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comments3.xml" ContentType="application/vnd.openxmlformats-officedocument.spreadsheetml.comments+xml"/>
  <Override PartName="/xl/comments4.xml" ContentType="application/vnd.openxmlformats-officedocument.spreadsheetml.comments+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hidePivotFieldList="1" defaultThemeVersion="124226"/>
  <bookViews>
    <workbookView xWindow="0" yWindow="0" windowWidth="19200" windowHeight="8470" tabRatio="832" firstSheet="17" activeTab="23"/>
  </bookViews>
  <sheets>
    <sheet name="Ch. 2 App 2-I 2016 COS" sheetId="57" r:id="rId1"/>
    <sheet name="2014 IESO persistence table" sheetId="87" r:id="rId2"/>
    <sheet name="KH MW Persistence Table" sheetId="77" r:id="rId3"/>
    <sheet name="KH MW Savings Pivot" sheetId="78" r:id="rId4"/>
    <sheet name="KH MWh Persistence Table" sheetId="76" r:id="rId5"/>
    <sheet name="KH MWh Savings Pivot" sheetId="79" r:id="rId6"/>
    <sheet name="Allocation to Rate Classes" sheetId="59" r:id="rId7"/>
    <sheet name="CDM kWh by Rate Class 2009-20" sheetId="72" r:id="rId8"/>
    <sheet name="KH 2011-2014 Rates" sheetId="81" r:id="rId9"/>
    <sheet name="2011-14 LRAMVA Summary" sheetId="5" r:id="rId10"/>
    <sheet name="KH LRAMVA Account" sheetId="86" r:id="rId11"/>
    <sheet name="Carrying Charges 2011" sheetId="82" r:id="rId12"/>
    <sheet name="Carrying Charges 2012" sheetId="83" r:id="rId13"/>
    <sheet name="Carrying Charges 2013" sheetId="84" r:id="rId14"/>
    <sheet name="Carrying Charges 2014" sheetId="85" r:id="rId15"/>
    <sheet name="2015-2020 LRAMVA Projections" sheetId="80" r:id="rId16"/>
    <sheet name="Kingston Hydro - Summary" sheetId="62" r:id="rId17"/>
    <sheet name="Kingston Hydro - Results (Net)" sheetId="60" r:id="rId18"/>
    <sheet name="Kingston Hydro - NTGs" sheetId="61" r:id="rId19"/>
    <sheet name="2006-10 KH Net MW MWh" sheetId="73" r:id="rId20"/>
    <sheet name="KH 2015-2020 CDM Plan Milestone" sheetId="58" r:id="rId21"/>
    <sheet name="2015-20 Measure Savings Results" sheetId="68" r:id="rId22"/>
    <sheet name="2015-20 Measures-CE Results" sheetId="71" r:id="rId23"/>
    <sheet name="Comparison - Old Model to New" sheetId="105" r:id="rId24"/>
  </sheets>
  <externalReferences>
    <externalReference r:id="rId25"/>
    <externalReference r:id="rId26"/>
    <externalReference r:id="rId27"/>
    <externalReference r:id="rId28"/>
    <externalReference r:id="rId29"/>
    <externalReference r:id="rId30"/>
    <externalReference r:id="rId31"/>
    <externalReference r:id="rId32"/>
  </externalReferences>
  <definedNames>
    <definedName name="_xlnm._FilterDatabase" localSheetId="1" hidden="1">'2014 IESO persistence table'!$A$1:$CR$1128</definedName>
    <definedName name="_xlnm._FilterDatabase" localSheetId="2" hidden="1">'KH MW Persistence Table'!$A$1:$AL$137</definedName>
    <definedName name="_xlnm._FilterDatabase" localSheetId="4" hidden="1">'KH MWh Persistence Table'!$A$1:$AS$142</definedName>
    <definedName name="_xlnm._FilterDatabase" localSheetId="18" hidden="1">'Kingston Hydro - NTGs'!$C$1:$S$50</definedName>
    <definedName name="Demand_Definition" localSheetId="11">'[1]Formatted Load Profiles'!$O$5:$P$5</definedName>
    <definedName name="Demand_Definition" localSheetId="12">'[1]Formatted Load Profiles'!$O$5:$P$5</definedName>
    <definedName name="Demand_Definition" localSheetId="13">'[1]Formatted Load Profiles'!$O$5:$P$5</definedName>
    <definedName name="Demand_Definition" localSheetId="14">'[1]Formatted Load Profiles'!$O$5:$P$5</definedName>
    <definedName name="Demand_Definition">'[1]Formatted Load Profiles'!$O$5:$P$5</definedName>
    <definedName name="discountRate" localSheetId="11">'[1]CE Parameters'!$F$7</definedName>
    <definedName name="discountRate" localSheetId="12">'[1]CE Parameters'!$F$7</definedName>
    <definedName name="discountRate" localSheetId="13">'[1]CE Parameters'!$F$7</definedName>
    <definedName name="discountRate" localSheetId="14">'[1]CE Parameters'!$F$7</definedName>
    <definedName name="discountRate">'[1]CE Parameters'!$F$7</definedName>
    <definedName name="EBNUMBER" localSheetId="0">'[2]LDC Info'!$E$16</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firstYear" localSheetId="11">'[1]CE Parameters'!$F$6</definedName>
    <definedName name="firstYear" localSheetId="12">'[1]CE Parameters'!$F$6</definedName>
    <definedName name="firstYear" localSheetId="13">'[1]CE Parameters'!$F$6</definedName>
    <definedName name="firstYear" localSheetId="14">'[1]CE Parameters'!$F$6</definedName>
    <definedName name="firstYear">'[1]CE Parameters'!$F$6</definedName>
    <definedName name="inflationRate" localSheetId="11">'[1]CE Parameters'!$F$9</definedName>
    <definedName name="inflationRate" localSheetId="12">'[1]CE Parameters'!$F$9</definedName>
    <definedName name="inflationRate" localSheetId="13">'[1]CE Parameters'!$F$9</definedName>
    <definedName name="inflationRate" localSheetId="14">'[1]CE Parameters'!$F$9</definedName>
    <definedName name="inflationRate">'[1]CE Parameters'!$F$9</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41780.6770717593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DCNAME">[3]LDCNAME!$B$2:$B$76</definedName>
    <definedName name="Local_Distribution_Company_List" localSheetId="11">'[4]Local Distribution Companies'!$B$9:$B$88</definedName>
    <definedName name="Local_Distribution_Company_List" localSheetId="12">'[4]Local Distribution Companies'!$B$9:$B$88</definedName>
    <definedName name="Local_Distribution_Company_List" localSheetId="13">'[4]Local Distribution Companies'!$B$9:$B$88</definedName>
    <definedName name="Local_Distribution_Company_List" localSheetId="14">'[4]Local Distribution Companies'!$B$9:$B$88</definedName>
    <definedName name="Local_Distribution_Company_List">'[4]Local Distribution Companies'!$B$9:$B$88</definedName>
    <definedName name="_xlnm.Print_Area" localSheetId="19">'2006-10 KH Net MW MWh'!$A$1:$BH$331</definedName>
    <definedName name="_xlnm.Print_Area" localSheetId="9">'2011-14 LRAMVA Summary'!$A$1:$R$59</definedName>
    <definedName name="_xlnm.Print_Area" localSheetId="21">'2015-20 Measure Savings Results'!$A$1:$CW$130</definedName>
    <definedName name="_xlnm.Print_Area" localSheetId="11">'Carrying Charges 2011'!$A$1:$N$28</definedName>
    <definedName name="_xlnm.Print_Area" localSheetId="0">'Ch. 2 App 2-I 2016 COS'!$A$1:$H$117</definedName>
    <definedName name="_xlnm.Print_Area" localSheetId="20">'KH 2015-2020 CDM Plan Milestone'!$A$1:$AA$83</definedName>
    <definedName name="_xlnm.Print_Area" localSheetId="3">'KH MW Savings Pivot'!$A$1:$G$88</definedName>
    <definedName name="_xlnm.Print_Area" localSheetId="18">'Kingston Hydro - NTGs'!$A$1:$S$51</definedName>
    <definedName name="_xlnm.Print_Area" localSheetId="17">'Kingston Hydro - Results (Net)'!$A$1:$T$70</definedName>
    <definedName name="_xlnm.Print_Titles" localSheetId="19">'2006-10 KH Net MW MWh'!$1:$5</definedName>
    <definedName name="_xlnm.Print_Titles" localSheetId="18">'Kingston Hydro - NTGs'!$A:$B</definedName>
    <definedName name="_xlnm.Print_Titles" localSheetId="17">'Kingston Hydro - Results (Net)'!$A:$C</definedName>
    <definedName name="societalDiscountRate" localSheetId="11">'[1]CE Parameters'!$F$8</definedName>
    <definedName name="societalDiscountRate" localSheetId="12">'[1]CE Parameters'!$F$8</definedName>
    <definedName name="societalDiscountRate" localSheetId="13">'[1]CE Parameters'!$F$8</definedName>
    <definedName name="societalDiscountRate" localSheetId="14">'[1]CE Parameters'!$F$8</definedName>
    <definedName name="societalDiscountRate">'[1]CE Parameters'!$F$8</definedName>
    <definedName name="Targets">'[5]LDC Targets'!$A$3:$D$83</definedName>
  </definedNames>
  <calcPr calcId="145621"/>
  <pivotCaches>
    <pivotCache cacheId="0" r:id="rId33"/>
    <pivotCache cacheId="1" r:id="rId34"/>
  </pivotCaches>
</workbook>
</file>

<file path=xl/calcChain.xml><?xml version="1.0" encoding="utf-8"?>
<calcChain xmlns="http://schemas.openxmlformats.org/spreadsheetml/2006/main">
  <c r="B45" i="105" l="1"/>
  <c r="C45" i="105"/>
  <c r="D45" i="105"/>
  <c r="E45" i="105"/>
  <c r="F45" i="105"/>
  <c r="A45" i="105"/>
  <c r="E32" i="105"/>
  <c r="C25" i="105"/>
  <c r="D25" i="105"/>
  <c r="E25" i="105"/>
  <c r="F25" i="105"/>
  <c r="G25" i="105"/>
  <c r="C26" i="105"/>
  <c r="C32" i="105" s="1"/>
  <c r="D26" i="105"/>
  <c r="D32" i="105" s="1"/>
  <c r="E26" i="105"/>
  <c r="F26" i="105"/>
  <c r="F32" i="105" s="1"/>
  <c r="G26" i="105"/>
  <c r="G32" i="105" s="1"/>
  <c r="C28" i="105"/>
  <c r="C33" i="105" s="1"/>
  <c r="D28" i="105"/>
  <c r="D33" i="105" s="1"/>
  <c r="E28" i="105"/>
  <c r="E31" i="105" s="1"/>
  <c r="F28" i="105"/>
  <c r="F31" i="105" s="1"/>
  <c r="G28" i="105"/>
  <c r="G33" i="105" s="1"/>
  <c r="C29" i="105"/>
  <c r="C34" i="105" s="1"/>
  <c r="D29" i="105"/>
  <c r="D34" i="105" s="1"/>
  <c r="E29" i="105"/>
  <c r="E34" i="105" s="1"/>
  <c r="F29" i="105"/>
  <c r="F34" i="105" s="1"/>
  <c r="G29" i="105"/>
  <c r="G34" i="105" s="1"/>
  <c r="B28" i="105"/>
  <c r="B31" i="105" s="1"/>
  <c r="B29" i="105"/>
  <c r="B34" i="105" s="1"/>
  <c r="B26" i="105"/>
  <c r="B32" i="105" s="1"/>
  <c r="B25" i="105"/>
  <c r="C9" i="80"/>
  <c r="D9" i="80"/>
  <c r="E9" i="80"/>
  <c r="F9" i="80"/>
  <c r="G9" i="80"/>
  <c r="B9" i="80"/>
  <c r="C8" i="80"/>
  <c r="D8" i="80"/>
  <c r="E8" i="80"/>
  <c r="F8" i="80"/>
  <c r="G8" i="80"/>
  <c r="B8" i="80"/>
  <c r="C95" i="78"/>
  <c r="D95" i="78"/>
  <c r="E95" i="78"/>
  <c r="F95" i="78"/>
  <c r="G95" i="78"/>
  <c r="D94" i="78"/>
  <c r="E94" i="78"/>
  <c r="F94" i="78"/>
  <c r="G94" i="78"/>
  <c r="C94" i="78"/>
  <c r="B95" i="78"/>
  <c r="B94" i="78"/>
  <c r="E91" i="78"/>
  <c r="F91" i="78"/>
  <c r="G91" i="78"/>
  <c r="E92" i="78"/>
  <c r="F92" i="78"/>
  <c r="G92" i="78"/>
  <c r="D92" i="78"/>
  <c r="D91" i="78"/>
  <c r="C92" i="78"/>
  <c r="C91" i="78"/>
  <c r="B92" i="78"/>
  <c r="B91" i="78"/>
  <c r="G31" i="105" l="1"/>
  <c r="D31" i="105"/>
  <c r="B33" i="105"/>
  <c r="C31" i="105"/>
  <c r="F33" i="105"/>
  <c r="E33" i="105"/>
  <c r="P117" i="76" l="1"/>
  <c r="Q117" i="76"/>
  <c r="R117" i="76"/>
  <c r="S117" i="76"/>
  <c r="T117" i="76"/>
  <c r="U117" i="76"/>
  <c r="V117" i="76"/>
  <c r="W117" i="76"/>
  <c r="X117" i="76"/>
  <c r="Y117" i="76"/>
  <c r="Z117" i="76"/>
  <c r="AA117" i="76"/>
  <c r="AB117" i="76"/>
  <c r="AC117" i="76"/>
  <c r="AD117" i="76"/>
  <c r="AE117" i="76"/>
  <c r="AF117" i="76"/>
  <c r="AG117" i="76"/>
  <c r="AH117" i="76"/>
  <c r="AI117" i="76"/>
  <c r="AJ117" i="76"/>
  <c r="AK117" i="76"/>
  <c r="AL117" i="76"/>
  <c r="AM117" i="76"/>
  <c r="AN117" i="76"/>
  <c r="P124" i="76"/>
  <c r="Q124" i="76"/>
  <c r="R124" i="76"/>
  <c r="S124" i="76"/>
  <c r="T124" i="76"/>
  <c r="U124" i="76"/>
  <c r="V124" i="76"/>
  <c r="W124" i="76"/>
  <c r="X124" i="76"/>
  <c r="Y124" i="76"/>
  <c r="Z124" i="76"/>
  <c r="AA124" i="76"/>
  <c r="AB124" i="76"/>
  <c r="AC124" i="76"/>
  <c r="AD124" i="76"/>
  <c r="AE124" i="76"/>
  <c r="AF124" i="76"/>
  <c r="AG124" i="76"/>
  <c r="AH124" i="76"/>
  <c r="AI124" i="76"/>
  <c r="AJ124" i="76"/>
  <c r="AK124" i="76"/>
  <c r="AL124" i="76"/>
  <c r="AM124" i="76"/>
  <c r="AN124" i="76"/>
  <c r="AO124" i="76"/>
  <c r="AP124" i="76"/>
  <c r="AQ124" i="76"/>
  <c r="AR124" i="76"/>
  <c r="P125" i="76"/>
  <c r="Q125" i="76"/>
  <c r="R125" i="76"/>
  <c r="S125" i="76"/>
  <c r="T125" i="76"/>
  <c r="U125" i="76"/>
  <c r="V125" i="76"/>
  <c r="W125" i="76"/>
  <c r="X125" i="76"/>
  <c r="Y125" i="76"/>
  <c r="Z125" i="76"/>
  <c r="AA125" i="76"/>
  <c r="AB125" i="76"/>
  <c r="AC125" i="76"/>
  <c r="AD125" i="76"/>
  <c r="AE125" i="76"/>
  <c r="AF125" i="76"/>
  <c r="AG125" i="76"/>
  <c r="AH125" i="76"/>
  <c r="AI125" i="76"/>
  <c r="AJ125" i="76"/>
  <c r="AK125" i="76"/>
  <c r="AL125" i="76"/>
  <c r="AM125" i="76"/>
  <c r="AN125" i="76"/>
  <c r="AO125" i="76"/>
  <c r="AP125" i="76"/>
  <c r="AQ125" i="76"/>
  <c r="AR125" i="76"/>
  <c r="P126" i="76"/>
  <c r="Q126" i="76"/>
  <c r="R126" i="76"/>
  <c r="S126" i="76"/>
  <c r="T126" i="76"/>
  <c r="U126" i="76"/>
  <c r="V126" i="76"/>
  <c r="W126" i="76"/>
  <c r="X126" i="76"/>
  <c r="Y126" i="76"/>
  <c r="Z126" i="76"/>
  <c r="AA126" i="76"/>
  <c r="AB126" i="76"/>
  <c r="AC126" i="76"/>
  <c r="AD126" i="76"/>
  <c r="AE126" i="76"/>
  <c r="AF126" i="76"/>
  <c r="AG126" i="76"/>
  <c r="AH126" i="76"/>
  <c r="AI126" i="76"/>
  <c r="AJ126" i="76"/>
  <c r="AK126" i="76"/>
  <c r="AL126" i="76"/>
  <c r="AM126" i="76"/>
  <c r="AN126" i="76"/>
  <c r="AO126" i="76"/>
  <c r="AP126" i="76"/>
  <c r="AQ126" i="76"/>
  <c r="AR126" i="76"/>
  <c r="AO116" i="76"/>
  <c r="AP116" i="76"/>
  <c r="AQ116" i="76"/>
  <c r="AR116" i="76"/>
  <c r="AO117" i="76"/>
  <c r="AP117" i="76"/>
  <c r="AQ117" i="76"/>
  <c r="AR117" i="76"/>
  <c r="AO118" i="76"/>
  <c r="AP118" i="76"/>
  <c r="AQ118" i="76"/>
  <c r="AR118" i="76"/>
  <c r="AO119" i="76"/>
  <c r="AP119" i="76"/>
  <c r="AQ119" i="76"/>
  <c r="AR119" i="76"/>
  <c r="AO120" i="76"/>
  <c r="AP120" i="76"/>
  <c r="AQ120" i="76"/>
  <c r="AR120" i="76"/>
  <c r="AO121" i="76"/>
  <c r="AP121" i="76"/>
  <c r="AQ121" i="76"/>
  <c r="AR121" i="76"/>
  <c r="AO122" i="76"/>
  <c r="AP122" i="76"/>
  <c r="AQ122" i="76"/>
  <c r="AR122" i="76"/>
  <c r="P116" i="76"/>
  <c r="Q116" i="76"/>
  <c r="R116" i="76"/>
  <c r="S116" i="76"/>
  <c r="T116" i="76"/>
  <c r="U116" i="76"/>
  <c r="V116" i="76"/>
  <c r="W116" i="76"/>
  <c r="X116" i="76"/>
  <c r="Y116" i="76"/>
  <c r="Z116" i="76"/>
  <c r="AA116" i="76"/>
  <c r="AB116" i="76"/>
  <c r="AC116" i="76"/>
  <c r="AD116" i="76"/>
  <c r="AE116" i="76"/>
  <c r="AF116" i="76"/>
  <c r="AG116" i="76"/>
  <c r="AH116" i="76"/>
  <c r="AI116" i="76"/>
  <c r="AJ116" i="76"/>
  <c r="AK116" i="76"/>
  <c r="AL116" i="76"/>
  <c r="AM116" i="76"/>
  <c r="AN116" i="76"/>
  <c r="P118" i="76"/>
  <c r="Q118" i="76"/>
  <c r="R118" i="76"/>
  <c r="S118" i="76"/>
  <c r="T118" i="76"/>
  <c r="U118" i="76"/>
  <c r="V118" i="76"/>
  <c r="W118" i="76"/>
  <c r="X118" i="76"/>
  <c r="Y118" i="76"/>
  <c r="Z118" i="76"/>
  <c r="AA118" i="76"/>
  <c r="AB118" i="76"/>
  <c r="AC118" i="76"/>
  <c r="AD118" i="76"/>
  <c r="AE118" i="76"/>
  <c r="AF118" i="76"/>
  <c r="AG118" i="76"/>
  <c r="AH118" i="76"/>
  <c r="AI118" i="76"/>
  <c r="AJ118" i="76"/>
  <c r="AK118" i="76"/>
  <c r="AL118" i="76"/>
  <c r="AM118" i="76"/>
  <c r="AN118" i="76"/>
  <c r="P119" i="76"/>
  <c r="Q119" i="76"/>
  <c r="R119" i="76"/>
  <c r="S119" i="76"/>
  <c r="T119" i="76"/>
  <c r="U119" i="76"/>
  <c r="V119" i="76"/>
  <c r="W119" i="76"/>
  <c r="X119" i="76"/>
  <c r="Y119" i="76"/>
  <c r="Z119" i="76"/>
  <c r="AA119" i="76"/>
  <c r="AB119" i="76"/>
  <c r="AC119" i="76"/>
  <c r="AD119" i="76"/>
  <c r="AE119" i="76"/>
  <c r="AF119" i="76"/>
  <c r="AG119" i="76"/>
  <c r="AH119" i="76"/>
  <c r="AI119" i="76"/>
  <c r="AJ119" i="76"/>
  <c r="AK119" i="76"/>
  <c r="AL119" i="76"/>
  <c r="AM119" i="76"/>
  <c r="AN119" i="76"/>
  <c r="P120" i="76"/>
  <c r="Q120" i="76"/>
  <c r="R120" i="76"/>
  <c r="S120" i="76"/>
  <c r="T120" i="76"/>
  <c r="U120" i="76"/>
  <c r="V120" i="76"/>
  <c r="W120" i="76"/>
  <c r="X120" i="76"/>
  <c r="Y120" i="76"/>
  <c r="Z120" i="76"/>
  <c r="AA120" i="76"/>
  <c r="AB120" i="76"/>
  <c r="AC120" i="76"/>
  <c r="AD120" i="76"/>
  <c r="AE120" i="76"/>
  <c r="AF120" i="76"/>
  <c r="AG120" i="76"/>
  <c r="AH120" i="76"/>
  <c r="AI120" i="76"/>
  <c r="AJ120" i="76"/>
  <c r="AK120" i="76"/>
  <c r="AL120" i="76"/>
  <c r="AM120" i="76"/>
  <c r="AN120" i="76"/>
  <c r="P121" i="76"/>
  <c r="Q121" i="76"/>
  <c r="R121" i="76"/>
  <c r="S121" i="76"/>
  <c r="T121" i="76"/>
  <c r="U121" i="76"/>
  <c r="V121" i="76"/>
  <c r="W121" i="76"/>
  <c r="X121" i="76"/>
  <c r="Y121" i="76"/>
  <c r="Z121" i="76"/>
  <c r="AA121" i="76"/>
  <c r="AB121" i="76"/>
  <c r="AC121" i="76"/>
  <c r="AD121" i="76"/>
  <c r="AE121" i="76"/>
  <c r="AF121" i="76"/>
  <c r="AG121" i="76"/>
  <c r="AH121" i="76"/>
  <c r="AI121" i="76"/>
  <c r="AJ121" i="76"/>
  <c r="AK121" i="76"/>
  <c r="AL121" i="76"/>
  <c r="AM121" i="76"/>
  <c r="AN121" i="76"/>
  <c r="P122" i="76"/>
  <c r="Q122" i="76"/>
  <c r="R122" i="76"/>
  <c r="S122" i="76"/>
  <c r="T122" i="76"/>
  <c r="U122" i="76"/>
  <c r="V122" i="76"/>
  <c r="W122" i="76"/>
  <c r="X122" i="76"/>
  <c r="Y122" i="76"/>
  <c r="Z122" i="76"/>
  <c r="AA122" i="76"/>
  <c r="AB122" i="76"/>
  <c r="AC122" i="76"/>
  <c r="AD122" i="76"/>
  <c r="AE122" i="76"/>
  <c r="AF122" i="76"/>
  <c r="AG122" i="76"/>
  <c r="AH122" i="76"/>
  <c r="AI122" i="76"/>
  <c r="AJ122" i="76"/>
  <c r="AK122" i="76"/>
  <c r="AL122" i="76"/>
  <c r="AM122" i="76"/>
  <c r="AN122" i="76"/>
  <c r="O126" i="76"/>
  <c r="O125" i="76"/>
  <c r="O124" i="76"/>
  <c r="O122" i="76"/>
  <c r="O121" i="76"/>
  <c r="O120" i="76"/>
  <c r="O119" i="76"/>
  <c r="O118" i="76"/>
  <c r="O117" i="76"/>
  <c r="O116" i="76"/>
  <c r="N116" i="77"/>
  <c r="O116" i="77"/>
  <c r="P116" i="77"/>
  <c r="Q116" i="77"/>
  <c r="R116" i="77"/>
  <c r="S116" i="77"/>
  <c r="T116" i="77"/>
  <c r="U116" i="77"/>
  <c r="V116" i="77"/>
  <c r="W116" i="77"/>
  <c r="X116" i="77"/>
  <c r="Y116" i="77"/>
  <c r="Z116" i="77"/>
  <c r="AA116" i="77"/>
  <c r="AB116" i="77"/>
  <c r="AC116" i="77"/>
  <c r="AD116" i="77"/>
  <c r="AE116" i="77"/>
  <c r="AF116" i="77"/>
  <c r="AG116" i="77"/>
  <c r="AH116" i="77"/>
  <c r="AI116" i="77"/>
  <c r="AJ116" i="77"/>
  <c r="AK116" i="77"/>
  <c r="AL116" i="77"/>
  <c r="N117" i="77"/>
  <c r="O117" i="77"/>
  <c r="P117" i="77"/>
  <c r="Q117" i="77"/>
  <c r="R117" i="77"/>
  <c r="S117" i="77"/>
  <c r="T117" i="77"/>
  <c r="U117" i="77"/>
  <c r="V117" i="77"/>
  <c r="W117" i="77"/>
  <c r="X117" i="77"/>
  <c r="Y117" i="77"/>
  <c r="Z117" i="77"/>
  <c r="AA117" i="77"/>
  <c r="AB117" i="77"/>
  <c r="AC117" i="77"/>
  <c r="AD117" i="77"/>
  <c r="AE117" i="77"/>
  <c r="AF117" i="77"/>
  <c r="AG117" i="77"/>
  <c r="AH117" i="77"/>
  <c r="AI117" i="77"/>
  <c r="AJ117" i="77"/>
  <c r="AK117" i="77"/>
  <c r="AL117" i="77"/>
  <c r="N118" i="77"/>
  <c r="O118" i="77"/>
  <c r="P118" i="77"/>
  <c r="Q118" i="77"/>
  <c r="R118" i="77"/>
  <c r="S118" i="77"/>
  <c r="T118" i="77"/>
  <c r="U118" i="77"/>
  <c r="V118" i="77"/>
  <c r="W118" i="77"/>
  <c r="X118" i="77"/>
  <c r="Y118" i="77"/>
  <c r="Z118" i="77"/>
  <c r="AA118" i="77"/>
  <c r="AB118" i="77"/>
  <c r="AC118" i="77"/>
  <c r="AD118" i="77"/>
  <c r="AE118" i="77"/>
  <c r="AF118" i="77"/>
  <c r="AG118" i="77"/>
  <c r="AH118" i="77"/>
  <c r="AI118" i="77"/>
  <c r="AJ118" i="77"/>
  <c r="AK118" i="77"/>
  <c r="AL118" i="77"/>
  <c r="N119" i="77"/>
  <c r="O119" i="77"/>
  <c r="P119" i="77"/>
  <c r="Q119" i="77"/>
  <c r="R119" i="77"/>
  <c r="S119" i="77"/>
  <c r="T119" i="77"/>
  <c r="U119" i="77"/>
  <c r="V119" i="77"/>
  <c r="W119" i="77"/>
  <c r="X119" i="77"/>
  <c r="Y119" i="77"/>
  <c r="Z119" i="77"/>
  <c r="AA119" i="77"/>
  <c r="AB119" i="77"/>
  <c r="AC119" i="77"/>
  <c r="AD119" i="77"/>
  <c r="AE119" i="77"/>
  <c r="AF119" i="77"/>
  <c r="AG119" i="77"/>
  <c r="AH119" i="77"/>
  <c r="AI119" i="77"/>
  <c r="AJ119" i="77"/>
  <c r="AK119" i="77"/>
  <c r="AL119" i="77"/>
  <c r="N120" i="77"/>
  <c r="O120" i="77"/>
  <c r="P120" i="77"/>
  <c r="Q120" i="77"/>
  <c r="R120" i="77"/>
  <c r="S120" i="77"/>
  <c r="T120" i="77"/>
  <c r="U120" i="77"/>
  <c r="V120" i="77"/>
  <c r="W120" i="77"/>
  <c r="X120" i="77"/>
  <c r="Y120" i="77"/>
  <c r="Z120" i="77"/>
  <c r="AA120" i="77"/>
  <c r="AB120" i="77"/>
  <c r="AC120" i="77"/>
  <c r="AD120" i="77"/>
  <c r="AE120" i="77"/>
  <c r="AF120" i="77"/>
  <c r="AG120" i="77"/>
  <c r="AH120" i="77"/>
  <c r="AI120" i="77"/>
  <c r="AJ120" i="77"/>
  <c r="AK120" i="77"/>
  <c r="AL120" i="77"/>
  <c r="N121" i="77"/>
  <c r="O121" i="77"/>
  <c r="P121" i="77"/>
  <c r="Q121" i="77"/>
  <c r="R121" i="77"/>
  <c r="S121" i="77"/>
  <c r="T121" i="77"/>
  <c r="U121" i="77"/>
  <c r="V121" i="77"/>
  <c r="W121" i="77"/>
  <c r="X121" i="77"/>
  <c r="Y121" i="77"/>
  <c r="Z121" i="77"/>
  <c r="AA121" i="77"/>
  <c r="AB121" i="77"/>
  <c r="AC121" i="77"/>
  <c r="AD121" i="77"/>
  <c r="AE121" i="77"/>
  <c r="AF121" i="77"/>
  <c r="AG121" i="77"/>
  <c r="AH121" i="77"/>
  <c r="AI121" i="77"/>
  <c r="AJ121" i="77"/>
  <c r="AK121" i="77"/>
  <c r="AL121" i="77"/>
  <c r="N122" i="77"/>
  <c r="O122" i="77"/>
  <c r="P122" i="77"/>
  <c r="Q122" i="77"/>
  <c r="R122" i="77"/>
  <c r="S122" i="77"/>
  <c r="T122" i="77"/>
  <c r="U122" i="77"/>
  <c r="V122" i="77"/>
  <c r="W122" i="77"/>
  <c r="X122" i="77"/>
  <c r="Y122" i="77"/>
  <c r="Z122" i="77"/>
  <c r="AA122" i="77"/>
  <c r="AB122" i="77"/>
  <c r="AC122" i="77"/>
  <c r="AD122" i="77"/>
  <c r="AE122" i="77"/>
  <c r="AF122" i="77"/>
  <c r="AG122" i="77"/>
  <c r="AH122" i="77"/>
  <c r="AI122" i="77"/>
  <c r="AJ122" i="77"/>
  <c r="AK122" i="77"/>
  <c r="AL122" i="77"/>
  <c r="N124" i="77"/>
  <c r="O124" i="77"/>
  <c r="P124" i="77"/>
  <c r="Q124" i="77"/>
  <c r="R124" i="77"/>
  <c r="S124" i="77"/>
  <c r="T124" i="77"/>
  <c r="U124" i="77"/>
  <c r="V124" i="77"/>
  <c r="W124" i="77"/>
  <c r="X124" i="77"/>
  <c r="Y124" i="77"/>
  <c r="Z124" i="77"/>
  <c r="AA124" i="77"/>
  <c r="AB124" i="77"/>
  <c r="AC124" i="77"/>
  <c r="AD124" i="77"/>
  <c r="AE124" i="77"/>
  <c r="AF124" i="77"/>
  <c r="AG124" i="77"/>
  <c r="AH124" i="77"/>
  <c r="AI124" i="77"/>
  <c r="AJ124" i="77"/>
  <c r="AK124" i="77"/>
  <c r="AL124" i="77"/>
  <c r="N125" i="77"/>
  <c r="O125" i="77"/>
  <c r="P125" i="77"/>
  <c r="Q125" i="77"/>
  <c r="R125" i="77"/>
  <c r="S125" i="77"/>
  <c r="T125" i="77"/>
  <c r="U125" i="77"/>
  <c r="V125" i="77"/>
  <c r="W125" i="77"/>
  <c r="X125" i="77"/>
  <c r="Y125" i="77"/>
  <c r="Z125" i="77"/>
  <c r="AA125" i="77"/>
  <c r="AB125" i="77"/>
  <c r="AC125" i="77"/>
  <c r="AD125" i="77"/>
  <c r="AE125" i="77"/>
  <c r="AF125" i="77"/>
  <c r="AG125" i="77"/>
  <c r="AH125" i="77"/>
  <c r="AI125" i="77"/>
  <c r="AJ125" i="77"/>
  <c r="AK125" i="77"/>
  <c r="AL125" i="77"/>
  <c r="N126" i="77"/>
  <c r="O126" i="77"/>
  <c r="P126" i="77"/>
  <c r="Q126" i="77"/>
  <c r="R126" i="77"/>
  <c r="S126" i="77"/>
  <c r="T126" i="77"/>
  <c r="U126" i="77"/>
  <c r="V126" i="77"/>
  <c r="W126" i="77"/>
  <c r="X126" i="77"/>
  <c r="Y126" i="77"/>
  <c r="Z126" i="77"/>
  <c r="AA126" i="77"/>
  <c r="AB126" i="77"/>
  <c r="AC126" i="77"/>
  <c r="AD126" i="77"/>
  <c r="AE126" i="77"/>
  <c r="AF126" i="77"/>
  <c r="AG126" i="77"/>
  <c r="AH126" i="77"/>
  <c r="AI126" i="77"/>
  <c r="AJ126" i="77"/>
  <c r="AK126" i="77"/>
  <c r="AL126" i="77"/>
  <c r="M126" i="77"/>
  <c r="M125" i="77"/>
  <c r="M124" i="77"/>
  <c r="M122" i="77"/>
  <c r="M121" i="77"/>
  <c r="M120" i="77"/>
  <c r="M119" i="77"/>
  <c r="M118" i="77"/>
  <c r="M117" i="77"/>
  <c r="M116" i="77"/>
  <c r="B33" i="85" l="1"/>
  <c r="B34" i="85" s="1"/>
  <c r="B32" i="85"/>
  <c r="C33" i="85" s="1"/>
  <c r="B30" i="85"/>
  <c r="B31" i="85" s="1"/>
  <c r="B29" i="85"/>
  <c r="C30" i="85" s="1"/>
  <c r="B27" i="85"/>
  <c r="B28" i="85" s="1"/>
  <c r="B26" i="85"/>
  <c r="C27" i="85" s="1"/>
  <c r="B24" i="85"/>
  <c r="B25" i="85" s="1"/>
  <c r="B23" i="85"/>
  <c r="C24" i="85" s="1"/>
  <c r="B21" i="85"/>
  <c r="B22" i="85" s="1"/>
  <c r="B20" i="85"/>
  <c r="C21" i="85" s="1"/>
  <c r="B14" i="85"/>
  <c r="B15" i="85" s="1"/>
  <c r="G9" i="85"/>
  <c r="H9" i="85" s="1"/>
  <c r="I9" i="85" s="1"/>
  <c r="J9" i="85" s="1"/>
  <c r="K9" i="85" s="1"/>
  <c r="L9" i="85" s="1"/>
  <c r="M9" i="85" s="1"/>
  <c r="B8" i="85"/>
  <c r="C8" i="85" s="1"/>
  <c r="D8" i="85" s="1"/>
  <c r="E8" i="85" s="1"/>
  <c r="F8" i="85" s="1"/>
  <c r="G8" i="85" s="1"/>
  <c r="H8" i="85" s="1"/>
  <c r="I8" i="85" s="1"/>
  <c r="J8" i="85" s="1"/>
  <c r="K8" i="85" s="1"/>
  <c r="L8" i="85" s="1"/>
  <c r="M8" i="85" s="1"/>
  <c r="B7" i="85"/>
  <c r="C7" i="85" s="1"/>
  <c r="D7" i="85" s="1"/>
  <c r="E7" i="85" s="1"/>
  <c r="F7" i="85" s="1"/>
  <c r="G7" i="85" s="1"/>
  <c r="H7" i="85" s="1"/>
  <c r="I7" i="85" s="1"/>
  <c r="J7" i="85" s="1"/>
  <c r="K7" i="85" s="1"/>
  <c r="L7" i="85" s="1"/>
  <c r="M7" i="85" s="1"/>
  <c r="B6" i="85"/>
  <c r="C6" i="85" s="1"/>
  <c r="G24" i="82"/>
  <c r="H25" i="82" s="1"/>
  <c r="H26" i="82" s="1"/>
  <c r="G21" i="82"/>
  <c r="H21" i="82" s="1"/>
  <c r="G18" i="82"/>
  <c r="H19" i="82" s="1"/>
  <c r="H20" i="82" s="1"/>
  <c r="G17" i="82"/>
  <c r="G15" i="82"/>
  <c r="H16" i="82" s="1"/>
  <c r="F11" i="82"/>
  <c r="E11" i="82"/>
  <c r="D11" i="82"/>
  <c r="C11" i="82"/>
  <c r="C12" i="82" s="1"/>
  <c r="B11" i="82"/>
  <c r="F8" i="82"/>
  <c r="G11" i="82" s="1"/>
  <c r="E8" i="82"/>
  <c r="D8" i="82"/>
  <c r="C8" i="82"/>
  <c r="B8" i="82"/>
  <c r="G6" i="82"/>
  <c r="G8" i="82" s="1"/>
  <c r="G31" i="83"/>
  <c r="G30" i="83"/>
  <c r="H31" i="83" s="1"/>
  <c r="H32" i="83" s="1"/>
  <c r="B28" i="83"/>
  <c r="B29" i="83" s="1"/>
  <c r="B27" i="83"/>
  <c r="C28" i="83" s="1"/>
  <c r="B26" i="83"/>
  <c r="B25" i="83"/>
  <c r="B24" i="83"/>
  <c r="C25" i="83" s="1"/>
  <c r="B23" i="83"/>
  <c r="B22" i="83"/>
  <c r="B21" i="83"/>
  <c r="C22" i="83" s="1"/>
  <c r="B19" i="83"/>
  <c r="B20" i="83" s="1"/>
  <c r="B18" i="83"/>
  <c r="C19" i="83" s="1"/>
  <c r="B12" i="83"/>
  <c r="B13" i="83" s="1"/>
  <c r="G7" i="83"/>
  <c r="H7" i="83" s="1"/>
  <c r="I7" i="83" s="1"/>
  <c r="J7" i="83" s="1"/>
  <c r="K7" i="83" s="1"/>
  <c r="L7" i="83" s="1"/>
  <c r="M7" i="83" s="1"/>
  <c r="B6" i="83"/>
  <c r="B9" i="83" s="1"/>
  <c r="C6" i="83" s="1"/>
  <c r="C9" i="83" s="1"/>
  <c r="B31" i="84"/>
  <c r="B32" i="84" s="1"/>
  <c r="B30" i="84"/>
  <c r="C31" i="84" s="1"/>
  <c r="B28" i="84"/>
  <c r="B29" i="84" s="1"/>
  <c r="B27" i="84"/>
  <c r="C28" i="84" s="1"/>
  <c r="B25" i="84"/>
  <c r="B26" i="84" s="1"/>
  <c r="B24" i="84"/>
  <c r="C25" i="84" s="1"/>
  <c r="B22" i="84"/>
  <c r="B23" i="84" s="1"/>
  <c r="B21" i="84"/>
  <c r="C22" i="84" s="1"/>
  <c r="B19" i="84"/>
  <c r="B20" i="84" s="1"/>
  <c r="B18" i="84"/>
  <c r="C19" i="84" s="1"/>
  <c r="B13" i="84"/>
  <c r="B14" i="84" s="1"/>
  <c r="G8" i="84"/>
  <c r="H8" i="84" s="1"/>
  <c r="I8" i="84" s="1"/>
  <c r="J8" i="84" s="1"/>
  <c r="K8" i="84" s="1"/>
  <c r="L8" i="84" s="1"/>
  <c r="M8" i="84" s="1"/>
  <c r="B7" i="84"/>
  <c r="C7" i="84" s="1"/>
  <c r="D7" i="84" s="1"/>
  <c r="E7" i="84" s="1"/>
  <c r="F7" i="84" s="1"/>
  <c r="G7" i="84" s="1"/>
  <c r="H7" i="84" s="1"/>
  <c r="I7" i="84" s="1"/>
  <c r="J7" i="84" s="1"/>
  <c r="K7" i="84" s="1"/>
  <c r="L7" i="84" s="1"/>
  <c r="M7" i="84" s="1"/>
  <c r="B6" i="84"/>
  <c r="C6" i="84" s="1"/>
  <c r="C28" i="85" l="1"/>
  <c r="H17" i="82"/>
  <c r="C25" i="85"/>
  <c r="H15" i="82"/>
  <c r="I16" i="82" s="1"/>
  <c r="I17" i="82" s="1"/>
  <c r="H18" i="82"/>
  <c r="I19" i="82" s="1"/>
  <c r="I20" i="82" s="1"/>
  <c r="C31" i="85"/>
  <c r="C34" i="85"/>
  <c r="C23" i="84"/>
  <c r="C29" i="84"/>
  <c r="C20" i="83"/>
  <c r="C29" i="83"/>
  <c r="C20" i="84"/>
  <c r="C26" i="84"/>
  <c r="C32" i="84"/>
  <c r="D12" i="82"/>
  <c r="E12" i="82" s="1"/>
  <c r="F12" i="82" s="1"/>
  <c r="G12" i="82" s="1"/>
  <c r="B11" i="85"/>
  <c r="C14" i="85" s="1"/>
  <c r="C15" i="85" s="1"/>
  <c r="B10" i="84"/>
  <c r="C13" i="84" s="1"/>
  <c r="C14" i="84" s="1"/>
  <c r="C22" i="85"/>
  <c r="B36" i="85"/>
  <c r="C11" i="85"/>
  <c r="D14" i="85" s="1"/>
  <c r="D6" i="85"/>
  <c r="C20" i="85"/>
  <c r="C23" i="85"/>
  <c r="C26" i="85"/>
  <c r="C29" i="85"/>
  <c r="C32" i="85"/>
  <c r="H11" i="82"/>
  <c r="H12" i="82" s="1"/>
  <c r="H6" i="82"/>
  <c r="H8" i="82" s="1"/>
  <c r="I21" i="82"/>
  <c r="I22" i="82"/>
  <c r="H22" i="82"/>
  <c r="H23" i="82" s="1"/>
  <c r="H24" i="82"/>
  <c r="C26" i="83"/>
  <c r="C23" i="83"/>
  <c r="D6" i="83"/>
  <c r="D9" i="83" s="1"/>
  <c r="D12" i="83"/>
  <c r="C12" i="83"/>
  <c r="C13" i="83" s="1"/>
  <c r="C18" i="83"/>
  <c r="C21" i="83"/>
  <c r="C24" i="83"/>
  <c r="C27" i="83"/>
  <c r="H30" i="83"/>
  <c r="D6" i="84"/>
  <c r="C10" i="84"/>
  <c r="D13" i="84" s="1"/>
  <c r="C18" i="84"/>
  <c r="C21" i="84"/>
  <c r="C24" i="84"/>
  <c r="C27" i="84"/>
  <c r="C30" i="84"/>
  <c r="D13" i="83" l="1"/>
  <c r="I18" i="82"/>
  <c r="J19" i="82" s="1"/>
  <c r="J20" i="82" s="1"/>
  <c r="I23" i="82"/>
  <c r="I15" i="82"/>
  <c r="D15" i="85"/>
  <c r="D14" i="84"/>
  <c r="D30" i="85"/>
  <c r="D31" i="85" s="1"/>
  <c r="D29" i="85"/>
  <c r="D27" i="85"/>
  <c r="D28" i="85" s="1"/>
  <c r="D26" i="85"/>
  <c r="D24" i="85"/>
  <c r="D25" i="85" s="1"/>
  <c r="D23" i="85"/>
  <c r="D33" i="85"/>
  <c r="D34" i="85" s="1"/>
  <c r="D32" i="85"/>
  <c r="D21" i="85"/>
  <c r="D20" i="85"/>
  <c r="D11" i="85"/>
  <c r="E14" i="85" s="1"/>
  <c r="E15" i="85" s="1"/>
  <c r="E6" i="85"/>
  <c r="D22" i="85"/>
  <c r="C36" i="85"/>
  <c r="I11" i="82"/>
  <c r="I12" i="82" s="1"/>
  <c r="I6" i="82"/>
  <c r="I8" i="82" s="1"/>
  <c r="J16" i="82"/>
  <c r="J15" i="82"/>
  <c r="I24" i="82"/>
  <c r="I25" i="82"/>
  <c r="I26" i="82" s="1"/>
  <c r="J17" i="82"/>
  <c r="J22" i="82"/>
  <c r="J23" i="82" s="1"/>
  <c r="J21" i="82"/>
  <c r="D25" i="83"/>
  <c r="D24" i="83"/>
  <c r="D22" i="83"/>
  <c r="D23" i="83" s="1"/>
  <c r="D21" i="83"/>
  <c r="D26" i="83"/>
  <c r="I30" i="83"/>
  <c r="I31" i="83"/>
  <c r="I32" i="83" s="1"/>
  <c r="D19" i="83"/>
  <c r="D20" i="83" s="1"/>
  <c r="D18" i="83"/>
  <c r="E6" i="83"/>
  <c r="E9" i="83" s="1"/>
  <c r="E12" i="83"/>
  <c r="E13" i="83" s="1"/>
  <c r="D28" i="83"/>
  <c r="D29" i="83" s="1"/>
  <c r="D27" i="83"/>
  <c r="D31" i="84"/>
  <c r="D32" i="84" s="1"/>
  <c r="D30" i="84"/>
  <c r="D19" i="84"/>
  <c r="D20" i="84" s="1"/>
  <c r="D18" i="84"/>
  <c r="D28" i="84"/>
  <c r="D29" i="84" s="1"/>
  <c r="D27" i="84"/>
  <c r="E6" i="84"/>
  <c r="D10" i="84"/>
  <c r="E13" i="84" s="1"/>
  <c r="E14" i="84" s="1"/>
  <c r="D25" i="84"/>
  <c r="D26" i="84" s="1"/>
  <c r="D24" i="84"/>
  <c r="D22" i="84"/>
  <c r="D23" i="84" s="1"/>
  <c r="D21" i="84"/>
  <c r="J18" i="82" l="1"/>
  <c r="K18" i="82"/>
  <c r="K19" i="82"/>
  <c r="K20" i="82" s="1"/>
  <c r="F6" i="85"/>
  <c r="E11" i="85"/>
  <c r="F14" i="85" s="1"/>
  <c r="F15" i="85" s="1"/>
  <c r="E33" i="85"/>
  <c r="E34" i="85" s="1"/>
  <c r="E32" i="85"/>
  <c r="E27" i="85"/>
  <c r="E28" i="85" s="1"/>
  <c r="E26" i="85"/>
  <c r="E21" i="85"/>
  <c r="E22" i="85" s="1"/>
  <c r="E20" i="85"/>
  <c r="E24" i="85"/>
  <c r="E25" i="85" s="1"/>
  <c r="E23" i="85"/>
  <c r="E30" i="85"/>
  <c r="E31" i="85" s="1"/>
  <c r="E29" i="85"/>
  <c r="D36" i="85"/>
  <c r="J24" i="82"/>
  <c r="J25" i="82"/>
  <c r="J26" i="82" s="1"/>
  <c r="J11" i="82"/>
  <c r="J12" i="82" s="1"/>
  <c r="J6" i="82"/>
  <c r="J8" i="82" s="1"/>
  <c r="K22" i="82"/>
  <c r="K23" i="82" s="1"/>
  <c r="K21" i="82"/>
  <c r="K15" i="82"/>
  <c r="K16" i="82"/>
  <c r="K17" i="82" s="1"/>
  <c r="E19" i="83"/>
  <c r="E20" i="83" s="1"/>
  <c r="E18" i="83"/>
  <c r="F6" i="83"/>
  <c r="F9" i="83" s="1"/>
  <c r="F12" i="83"/>
  <c r="F13" i="83" s="1"/>
  <c r="J30" i="83"/>
  <c r="J31" i="83"/>
  <c r="J32" i="83" s="1"/>
  <c r="E28" i="83"/>
  <c r="E29" i="83" s="1"/>
  <c r="E27" i="83"/>
  <c r="E25" i="83"/>
  <c r="E26" i="83" s="1"/>
  <c r="E24" i="83"/>
  <c r="E22" i="83"/>
  <c r="E23" i="83" s="1"/>
  <c r="E21" i="83"/>
  <c r="E19" i="84"/>
  <c r="E18" i="84"/>
  <c r="E10" i="84"/>
  <c r="F13" i="84" s="1"/>
  <c r="F14" i="84" s="1"/>
  <c r="F6" i="84"/>
  <c r="E20" i="84"/>
  <c r="E22" i="84"/>
  <c r="E23" i="84" s="1"/>
  <c r="E21" i="84"/>
  <c r="E25" i="84"/>
  <c r="E24" i="84"/>
  <c r="E28" i="84"/>
  <c r="E29" i="84" s="1"/>
  <c r="E27" i="84"/>
  <c r="E31" i="84"/>
  <c r="E32" i="84" s="1"/>
  <c r="E30" i="84"/>
  <c r="E26" i="84"/>
  <c r="L19" i="82" l="1"/>
  <c r="L20" i="82" s="1"/>
  <c r="L18" i="82"/>
  <c r="E36" i="85"/>
  <c r="F24" i="85"/>
  <c r="F25" i="85" s="1"/>
  <c r="F23" i="85"/>
  <c r="G6" i="85"/>
  <c r="F11" i="85"/>
  <c r="G14" i="85" s="1"/>
  <c r="G15" i="85" s="1"/>
  <c r="F33" i="85"/>
  <c r="F34" i="85" s="1"/>
  <c r="F32" i="85"/>
  <c r="F30" i="85"/>
  <c r="F31" i="85" s="1"/>
  <c r="F29" i="85"/>
  <c r="F21" i="85"/>
  <c r="F22" i="85" s="1"/>
  <c r="F20" i="85"/>
  <c r="F27" i="85"/>
  <c r="F28" i="85" s="1"/>
  <c r="F26" i="85"/>
  <c r="L21" i="82"/>
  <c r="L22" i="82"/>
  <c r="L23" i="82" s="1"/>
  <c r="L15" i="82"/>
  <c r="L16" i="82"/>
  <c r="L17" i="82" s="1"/>
  <c r="K25" i="82"/>
  <c r="K26" i="82" s="1"/>
  <c r="K24" i="82"/>
  <c r="K11" i="82"/>
  <c r="K12" i="82" s="1"/>
  <c r="K6" i="82"/>
  <c r="K8" i="82" s="1"/>
  <c r="K30" i="83"/>
  <c r="K31" i="83"/>
  <c r="K32" i="83" s="1"/>
  <c r="F19" i="83"/>
  <c r="F20" i="83" s="1"/>
  <c r="F18" i="83"/>
  <c r="F28" i="83"/>
  <c r="F29" i="83" s="1"/>
  <c r="F27" i="83"/>
  <c r="F22" i="83"/>
  <c r="F23" i="83" s="1"/>
  <c r="F21" i="83"/>
  <c r="F25" i="83"/>
  <c r="F26" i="83" s="1"/>
  <c r="F24" i="83"/>
  <c r="G6" i="83"/>
  <c r="G12" i="83"/>
  <c r="G13" i="83" s="1"/>
  <c r="F31" i="84"/>
  <c r="F32" i="84" s="1"/>
  <c r="F30" i="84"/>
  <c r="F25" i="84"/>
  <c r="F26" i="84" s="1"/>
  <c r="F24" i="84"/>
  <c r="F19" i="84"/>
  <c r="F20" i="84" s="1"/>
  <c r="F18" i="84"/>
  <c r="F10" i="84"/>
  <c r="G13" i="84" s="1"/>
  <c r="G14" i="84" s="1"/>
  <c r="G6" i="84"/>
  <c r="F28" i="84"/>
  <c r="F29" i="84" s="1"/>
  <c r="F27" i="84"/>
  <c r="F22" i="84"/>
  <c r="F23" i="84" s="1"/>
  <c r="F21" i="84"/>
  <c r="M18" i="82" l="1"/>
  <c r="M19" i="82"/>
  <c r="M20" i="82" s="1"/>
  <c r="F36" i="85"/>
  <c r="G27" i="85"/>
  <c r="G28" i="85" s="1"/>
  <c r="G26" i="85"/>
  <c r="G21" i="85"/>
  <c r="G22" i="85" s="1"/>
  <c r="G20" i="85"/>
  <c r="G11" i="85"/>
  <c r="H14" i="85" s="1"/>
  <c r="H15" i="85" s="1"/>
  <c r="H6" i="85"/>
  <c r="G33" i="85"/>
  <c r="G34" i="85" s="1"/>
  <c r="G32" i="85"/>
  <c r="G30" i="85"/>
  <c r="G31" i="85" s="1"/>
  <c r="G29" i="85"/>
  <c r="G24" i="85"/>
  <c r="G25" i="85" s="1"/>
  <c r="G23" i="85"/>
  <c r="L11" i="82"/>
  <c r="L12" i="82" s="1"/>
  <c r="L6" i="82"/>
  <c r="L8" i="82" s="1"/>
  <c r="M21" i="82"/>
  <c r="M22" i="82"/>
  <c r="M23" i="82" s="1"/>
  <c r="L25" i="82"/>
  <c r="L26" i="82" s="1"/>
  <c r="L24" i="82"/>
  <c r="M16" i="82"/>
  <c r="M17" i="82" s="1"/>
  <c r="M15" i="82"/>
  <c r="G25" i="83"/>
  <c r="G26" i="83" s="1"/>
  <c r="G24" i="83"/>
  <c r="G28" i="83"/>
  <c r="G29" i="83" s="1"/>
  <c r="G27" i="83"/>
  <c r="G22" i="83"/>
  <c r="G23" i="83" s="1"/>
  <c r="G21" i="83"/>
  <c r="L31" i="83"/>
  <c r="L32" i="83" s="1"/>
  <c r="L30" i="83"/>
  <c r="H6" i="83"/>
  <c r="G9" i="83"/>
  <c r="H12" i="83" s="1"/>
  <c r="H13" i="83" s="1"/>
  <c r="G19" i="83"/>
  <c r="G20" i="83" s="1"/>
  <c r="G18" i="83"/>
  <c r="G28" i="84"/>
  <c r="G29" i="84" s="1"/>
  <c r="G27" i="84"/>
  <c r="H6" i="84"/>
  <c r="G10" i="84"/>
  <c r="H13" i="84" s="1"/>
  <c r="H14" i="84" s="1"/>
  <c r="G25" i="84"/>
  <c r="G26" i="84" s="1"/>
  <c r="G24" i="84"/>
  <c r="G22" i="84"/>
  <c r="G23" i="84" s="1"/>
  <c r="G21" i="84"/>
  <c r="G19" i="84"/>
  <c r="G20" i="84" s="1"/>
  <c r="G18" i="84"/>
  <c r="G31" i="84"/>
  <c r="G32" i="84" s="1"/>
  <c r="G30" i="84"/>
  <c r="G36" i="85" l="1"/>
  <c r="H11" i="85"/>
  <c r="I14" i="85" s="1"/>
  <c r="I15" i="85" s="1"/>
  <c r="I6" i="85"/>
  <c r="H27" i="85"/>
  <c r="H28" i="85" s="1"/>
  <c r="H26" i="85"/>
  <c r="H24" i="85"/>
  <c r="H25" i="85" s="1"/>
  <c r="H23" i="85"/>
  <c r="H33" i="85"/>
  <c r="H34" i="85" s="1"/>
  <c r="H32" i="85"/>
  <c r="H21" i="85"/>
  <c r="H22" i="85" s="1"/>
  <c r="H20" i="85"/>
  <c r="H30" i="85"/>
  <c r="H31" i="85" s="1"/>
  <c r="H29" i="85"/>
  <c r="M11" i="82"/>
  <c r="M12" i="82" s="1"/>
  <c r="M6" i="82"/>
  <c r="M8" i="82" s="1"/>
  <c r="M24" i="82"/>
  <c r="M25" i="82"/>
  <c r="M26" i="82" s="1"/>
  <c r="H26" i="83"/>
  <c r="H22" i="83"/>
  <c r="H23" i="83" s="1"/>
  <c r="H21" i="83"/>
  <c r="H25" i="83"/>
  <c r="H24" i="83"/>
  <c r="H9" i="83"/>
  <c r="I12" i="83" s="1"/>
  <c r="I13" i="83" s="1"/>
  <c r="I6" i="83"/>
  <c r="H19" i="83"/>
  <c r="H20" i="83" s="1"/>
  <c r="H18" i="83"/>
  <c r="M30" i="83"/>
  <c r="M31" i="83"/>
  <c r="M32" i="83" s="1"/>
  <c r="H28" i="83"/>
  <c r="H29" i="83" s="1"/>
  <c r="H27" i="83"/>
  <c r="H25" i="84"/>
  <c r="H24" i="84"/>
  <c r="H19" i="84"/>
  <c r="H20" i="84" s="1"/>
  <c r="H18" i="84"/>
  <c r="H22" i="84"/>
  <c r="H23" i="84" s="1"/>
  <c r="H21" i="84"/>
  <c r="H31" i="84"/>
  <c r="H32" i="84" s="1"/>
  <c r="H30" i="84"/>
  <c r="H26" i="84"/>
  <c r="I6" i="84"/>
  <c r="H10" i="84"/>
  <c r="I13" i="84" s="1"/>
  <c r="I14" i="84" s="1"/>
  <c r="H28" i="84"/>
  <c r="H29" i="84" s="1"/>
  <c r="H27" i="84"/>
  <c r="H36" i="85" l="1"/>
  <c r="I30" i="85"/>
  <c r="I31" i="85" s="1"/>
  <c r="I29" i="85"/>
  <c r="I24" i="85"/>
  <c r="I25" i="85" s="1"/>
  <c r="I23" i="85"/>
  <c r="I33" i="85"/>
  <c r="I32" i="85"/>
  <c r="I27" i="85"/>
  <c r="I28" i="85" s="1"/>
  <c r="I26" i="85"/>
  <c r="I21" i="85"/>
  <c r="I22" i="85" s="1"/>
  <c r="I20" i="85"/>
  <c r="J6" i="85"/>
  <c r="I11" i="85"/>
  <c r="J14" i="85" s="1"/>
  <c r="J15" i="85" s="1"/>
  <c r="I34" i="85"/>
  <c r="M29" i="82"/>
  <c r="I25" i="83"/>
  <c r="I26" i="83" s="1"/>
  <c r="I24" i="83"/>
  <c r="I9" i="83"/>
  <c r="J12" i="83" s="1"/>
  <c r="J13" i="83" s="1"/>
  <c r="J6" i="83"/>
  <c r="I22" i="83"/>
  <c r="I23" i="83" s="1"/>
  <c r="I21" i="83"/>
  <c r="I28" i="83"/>
  <c r="I29" i="83" s="1"/>
  <c r="I27" i="83"/>
  <c r="I19" i="83"/>
  <c r="I20" i="83" s="1"/>
  <c r="I18" i="83"/>
  <c r="I28" i="84"/>
  <c r="I29" i="84" s="1"/>
  <c r="I27" i="84"/>
  <c r="I25" i="84"/>
  <c r="I26" i="84" s="1"/>
  <c r="I24" i="84"/>
  <c r="I20" i="84"/>
  <c r="I31" i="84"/>
  <c r="I32" i="84" s="1"/>
  <c r="I30" i="84"/>
  <c r="I19" i="84"/>
  <c r="I18" i="84"/>
  <c r="I10" i="84"/>
  <c r="J13" i="84" s="1"/>
  <c r="J14" i="84" s="1"/>
  <c r="J6" i="84"/>
  <c r="I22" i="84"/>
  <c r="I23" i="84" s="1"/>
  <c r="I21" i="84"/>
  <c r="J21" i="85" l="1"/>
  <c r="J22" i="85" s="1"/>
  <c r="J20" i="85"/>
  <c r="I36" i="85"/>
  <c r="J27" i="85"/>
  <c r="J28" i="85" s="1"/>
  <c r="J26" i="85"/>
  <c r="J24" i="85"/>
  <c r="J25" i="85" s="1"/>
  <c r="J23" i="85"/>
  <c r="J33" i="85"/>
  <c r="J34" i="85" s="1"/>
  <c r="J32" i="85"/>
  <c r="J30" i="85"/>
  <c r="J31" i="85" s="1"/>
  <c r="J29" i="85"/>
  <c r="K6" i="85"/>
  <c r="J11" i="85"/>
  <c r="K14" i="85" s="1"/>
  <c r="K15" i="85" s="1"/>
  <c r="J22" i="83"/>
  <c r="J23" i="83" s="1"/>
  <c r="J21" i="83"/>
  <c r="J25" i="83"/>
  <c r="J24" i="83"/>
  <c r="J19" i="83"/>
  <c r="J20" i="83" s="1"/>
  <c r="J18" i="83"/>
  <c r="J26" i="83"/>
  <c r="J28" i="83"/>
  <c r="J29" i="83" s="1"/>
  <c r="J27" i="83"/>
  <c r="K6" i="83"/>
  <c r="J9" i="83"/>
  <c r="K12" i="83" s="1"/>
  <c r="K13" i="83" s="1"/>
  <c r="J18" i="84"/>
  <c r="J19" i="84"/>
  <c r="J20" i="84" s="1"/>
  <c r="J28" i="84"/>
  <c r="J29" i="84" s="1"/>
  <c r="J27" i="84"/>
  <c r="K6" i="84"/>
  <c r="J10" i="84"/>
  <c r="K13" i="84" s="1"/>
  <c r="K14" i="84" s="1"/>
  <c r="J25" i="84"/>
  <c r="J26" i="84" s="1"/>
  <c r="J24" i="84"/>
  <c r="J31" i="84"/>
  <c r="J32" i="84" s="1"/>
  <c r="J30" i="84"/>
  <c r="J22" i="84"/>
  <c r="J23" i="84" s="1"/>
  <c r="J21" i="84"/>
  <c r="J36" i="85" l="1"/>
  <c r="K30" i="85"/>
  <c r="K29" i="85"/>
  <c r="K24" i="85"/>
  <c r="K25" i="85" s="1"/>
  <c r="K23" i="85"/>
  <c r="K33" i="85"/>
  <c r="K34" i="85" s="1"/>
  <c r="K32" i="85"/>
  <c r="K27" i="85"/>
  <c r="K28" i="85" s="1"/>
  <c r="K26" i="85"/>
  <c r="K31" i="85"/>
  <c r="K11" i="85"/>
  <c r="L14" i="85" s="1"/>
  <c r="L15" i="85" s="1"/>
  <c r="L6" i="85"/>
  <c r="K21" i="85"/>
  <c r="K22" i="85" s="1"/>
  <c r="K20" i="85"/>
  <c r="K28" i="83"/>
  <c r="K27" i="83"/>
  <c r="K22" i="83"/>
  <c r="K23" i="83" s="1"/>
  <c r="K21" i="83"/>
  <c r="K29" i="83"/>
  <c r="K25" i="83"/>
  <c r="K26" i="83" s="1"/>
  <c r="K24" i="83"/>
  <c r="L6" i="83"/>
  <c r="K9" i="83"/>
  <c r="L12" i="83" s="1"/>
  <c r="L13" i="83" s="1"/>
  <c r="K19" i="83"/>
  <c r="K20" i="83" s="1"/>
  <c r="K18" i="83"/>
  <c r="L6" i="84"/>
  <c r="K10" i="84"/>
  <c r="L13" i="84" s="1"/>
  <c r="L14" i="84" s="1"/>
  <c r="K22" i="84"/>
  <c r="K23" i="84" s="1"/>
  <c r="K21" i="84"/>
  <c r="K25" i="84"/>
  <c r="K26" i="84" s="1"/>
  <c r="K24" i="84"/>
  <c r="K28" i="84"/>
  <c r="K29" i="84" s="1"/>
  <c r="K27" i="84"/>
  <c r="K19" i="84"/>
  <c r="K20" i="84" s="1"/>
  <c r="K18" i="84"/>
  <c r="K31" i="84"/>
  <c r="K32" i="84" s="1"/>
  <c r="K30" i="84"/>
  <c r="K36" i="85" l="1"/>
  <c r="L11" i="85"/>
  <c r="M14" i="85" s="1"/>
  <c r="M15" i="85" s="1"/>
  <c r="M6" i="85"/>
  <c r="M11" i="85" s="1"/>
  <c r="L24" i="85"/>
  <c r="L25" i="85" s="1"/>
  <c r="L23" i="85"/>
  <c r="L33" i="85"/>
  <c r="L34" i="85" s="1"/>
  <c r="L32" i="85"/>
  <c r="L21" i="85"/>
  <c r="L22" i="85" s="1"/>
  <c r="L20" i="85"/>
  <c r="L30" i="85"/>
  <c r="L31" i="85" s="1"/>
  <c r="L29" i="85"/>
  <c r="L27" i="85"/>
  <c r="L28" i="85" s="1"/>
  <c r="L26" i="85"/>
  <c r="L28" i="83"/>
  <c r="L29" i="83" s="1"/>
  <c r="L27" i="83"/>
  <c r="L9" i="83"/>
  <c r="M12" i="83" s="1"/>
  <c r="M13" i="83" s="1"/>
  <c r="M6" i="83"/>
  <c r="M9" i="83" s="1"/>
  <c r="L19" i="83"/>
  <c r="L20" i="83" s="1"/>
  <c r="L18" i="83"/>
  <c r="L22" i="83"/>
  <c r="L23" i="83" s="1"/>
  <c r="L21" i="83"/>
  <c r="L25" i="83"/>
  <c r="L26" i="83" s="1"/>
  <c r="L24" i="83"/>
  <c r="L28" i="84"/>
  <c r="L29" i="84" s="1"/>
  <c r="L27" i="84"/>
  <c r="L19" i="84"/>
  <c r="L20" i="84" s="1"/>
  <c r="L18" i="84"/>
  <c r="L25" i="84"/>
  <c r="L26" i="84" s="1"/>
  <c r="L24" i="84"/>
  <c r="L22" i="84"/>
  <c r="L23" i="84" s="1"/>
  <c r="L21" i="84"/>
  <c r="L10" i="84"/>
  <c r="M13" i="84" s="1"/>
  <c r="M14" i="84" s="1"/>
  <c r="M6" i="84"/>
  <c r="M10" i="84" s="1"/>
  <c r="L31" i="84"/>
  <c r="L32" i="84" s="1"/>
  <c r="L30" i="84"/>
  <c r="M30" i="85" l="1"/>
  <c r="M31" i="85" s="1"/>
  <c r="G7" i="86" s="1"/>
  <c r="M29" i="85"/>
  <c r="M24" i="85"/>
  <c r="M25" i="85" s="1"/>
  <c r="G5" i="86" s="1"/>
  <c r="M23" i="85"/>
  <c r="M33" i="85"/>
  <c r="M34" i="85" s="1"/>
  <c r="G8" i="86" s="1"/>
  <c r="M32" i="85"/>
  <c r="M27" i="85"/>
  <c r="M28" i="85" s="1"/>
  <c r="G6" i="86" s="1"/>
  <c r="M26" i="85"/>
  <c r="M21" i="85"/>
  <c r="M22" i="85" s="1"/>
  <c r="M20" i="85"/>
  <c r="M28" i="83"/>
  <c r="M29" i="83" s="1"/>
  <c r="M27" i="83"/>
  <c r="M22" i="83"/>
  <c r="M23" i="83" s="1"/>
  <c r="M21" i="83"/>
  <c r="M25" i="83"/>
  <c r="M26" i="83" s="1"/>
  <c r="M24" i="83"/>
  <c r="M19" i="83"/>
  <c r="M20" i="83" s="1"/>
  <c r="M18" i="83"/>
  <c r="M31" i="84"/>
  <c r="M32" i="84" s="1"/>
  <c r="M30" i="84"/>
  <c r="M25" i="84"/>
  <c r="M26" i="84" s="1"/>
  <c r="M24" i="84"/>
  <c r="M22" i="84"/>
  <c r="M23" i="84" s="1"/>
  <c r="M21" i="84"/>
  <c r="M19" i="84"/>
  <c r="M20" i="84" s="1"/>
  <c r="M18" i="84"/>
  <c r="M28" i="84"/>
  <c r="M29" i="84" s="1"/>
  <c r="M27" i="84"/>
  <c r="M35" i="83" l="1"/>
  <c r="M36" i="84"/>
  <c r="M36" i="85"/>
  <c r="G4" i="86"/>
  <c r="K54" i="5"/>
  <c r="K55" i="5"/>
  <c r="K53" i="5"/>
  <c r="J53" i="5"/>
  <c r="I52" i="5"/>
  <c r="I51" i="5"/>
  <c r="K45" i="5"/>
  <c r="J55" i="5" s="1"/>
  <c r="K44" i="5"/>
  <c r="J54" i="5" s="1"/>
  <c r="K43" i="5"/>
  <c r="J45" i="5"/>
  <c r="J43" i="5"/>
  <c r="I42" i="5"/>
  <c r="H52" i="5" s="1"/>
  <c r="I41" i="5"/>
  <c r="H51" i="5" s="1"/>
  <c r="H41" i="5"/>
  <c r="K35" i="5"/>
  <c r="K34" i="5"/>
  <c r="J44" i="5" s="1"/>
  <c r="K33" i="5"/>
  <c r="I32" i="5"/>
  <c r="H42" i="5" s="1"/>
  <c r="I31" i="5"/>
  <c r="J33" i="5"/>
  <c r="K25" i="5"/>
  <c r="J35" i="5" s="1"/>
  <c r="K24" i="5"/>
  <c r="J34" i="5" s="1"/>
  <c r="K23" i="5"/>
  <c r="J25" i="5"/>
  <c r="N25" i="5" s="1"/>
  <c r="J24" i="5"/>
  <c r="J23" i="5"/>
  <c r="I22" i="5"/>
  <c r="H32" i="5" s="1"/>
  <c r="I21" i="5"/>
  <c r="H31" i="5" s="1"/>
  <c r="H22" i="5"/>
  <c r="H21" i="5"/>
  <c r="G9" i="86" l="1"/>
  <c r="O25" i="5"/>
  <c r="B8" i="86" s="1"/>
  <c r="E40" i="57"/>
  <c r="E39" i="57"/>
  <c r="D39" i="57"/>
  <c r="D38" i="57"/>
  <c r="D32" i="57" s="1"/>
  <c r="E38" i="57"/>
  <c r="C38" i="57"/>
  <c r="C37" i="57"/>
  <c r="C31" i="57" s="1"/>
  <c r="D37" i="57"/>
  <c r="D31" i="57" s="1"/>
  <c r="E37" i="57"/>
  <c r="E31" i="57" s="1"/>
  <c r="B37" i="57"/>
  <c r="C50" i="72"/>
  <c r="D50" i="72"/>
  <c r="B50" i="72"/>
  <c r="C40" i="72"/>
  <c r="B40" i="72"/>
  <c r="G40" i="57"/>
  <c r="H40" i="57"/>
  <c r="E32" i="57" l="1"/>
  <c r="E33" i="57"/>
  <c r="M21" i="59"/>
  <c r="D54" i="78" s="1"/>
  <c r="M20" i="59"/>
  <c r="D36" i="78" s="1"/>
  <c r="C45" i="5" s="1"/>
  <c r="F28" i="79"/>
  <c r="J27" i="79"/>
  <c r="I65" i="79"/>
  <c r="D28" i="79"/>
  <c r="L27" i="79"/>
  <c r="C27" i="79"/>
  <c r="H12" i="79"/>
  <c r="B27" i="79"/>
  <c r="E12" i="79"/>
  <c r="H27" i="79"/>
  <c r="I13" i="79"/>
  <c r="G13" i="79"/>
  <c r="K65" i="79"/>
  <c r="G12" i="79"/>
  <c r="D12" i="79"/>
  <c r="I28" i="79"/>
  <c r="L65" i="79"/>
  <c r="F13" i="79"/>
  <c r="E28" i="79"/>
  <c r="M65" i="79"/>
  <c r="G28" i="79"/>
  <c r="L13" i="79"/>
  <c r="J29" i="79"/>
  <c r="I12" i="79"/>
  <c r="F14" i="79"/>
  <c r="E14" i="79"/>
  <c r="J13" i="79"/>
  <c r="G65" i="79"/>
  <c r="M28" i="79"/>
  <c r="K13" i="79"/>
  <c r="J14" i="79"/>
  <c r="J65" i="79"/>
  <c r="L29" i="79"/>
  <c r="H29" i="79"/>
  <c r="L28" i="79"/>
  <c r="I27" i="79"/>
  <c r="F29" i="79"/>
  <c r="K14" i="79"/>
  <c r="M12" i="79"/>
  <c r="H14" i="79"/>
  <c r="B12" i="79"/>
  <c r="H65" i="79"/>
  <c r="E29" i="79"/>
  <c r="B28" i="79"/>
  <c r="F65" i="79"/>
  <c r="I14" i="79"/>
  <c r="E27" i="79"/>
  <c r="G14" i="79"/>
  <c r="C28" i="79"/>
  <c r="M27" i="79"/>
  <c r="L12" i="79"/>
  <c r="F12" i="79"/>
  <c r="C29" i="79"/>
  <c r="D14" i="79"/>
  <c r="M29" i="79"/>
  <c r="G27" i="79"/>
  <c r="K12" i="79"/>
  <c r="B29" i="79"/>
  <c r="C12" i="79"/>
  <c r="K28" i="79"/>
  <c r="J28" i="79"/>
  <c r="H28" i="79"/>
  <c r="B14" i="79"/>
  <c r="K29" i="79"/>
  <c r="E13" i="79"/>
  <c r="H13" i="79"/>
  <c r="I29" i="79"/>
  <c r="C13" i="79"/>
  <c r="G29" i="79"/>
  <c r="J12" i="79"/>
  <c r="E65" i="79"/>
  <c r="C14" i="79"/>
  <c r="K27" i="79"/>
  <c r="L14" i="79"/>
  <c r="F27" i="79"/>
  <c r="D27" i="79"/>
  <c r="B13" i="79"/>
  <c r="D13" i="79"/>
  <c r="M13" i="79"/>
  <c r="D29" i="79"/>
  <c r="M14" i="79"/>
  <c r="F13" i="72" l="1"/>
  <c r="J13" i="72"/>
  <c r="F23" i="72"/>
  <c r="B3" i="72"/>
  <c r="B10" i="72" s="1"/>
  <c r="F3" i="72"/>
  <c r="L4" i="72"/>
  <c r="G14" i="72"/>
  <c r="D24" i="72"/>
  <c r="C13" i="72"/>
  <c r="G13" i="72"/>
  <c r="K13" i="72"/>
  <c r="C23" i="72"/>
  <c r="G23" i="72"/>
  <c r="K23" i="72"/>
  <c r="C3" i="72"/>
  <c r="G3" i="72"/>
  <c r="I3" i="72"/>
  <c r="D4" i="72"/>
  <c r="H4" i="72"/>
  <c r="M4" i="72"/>
  <c r="D14" i="72"/>
  <c r="H14" i="72"/>
  <c r="L14" i="72"/>
  <c r="E24" i="72"/>
  <c r="I24" i="72"/>
  <c r="M24" i="72"/>
  <c r="H6" i="72"/>
  <c r="L6" i="72"/>
  <c r="H13" i="72"/>
  <c r="D23" i="72"/>
  <c r="L23" i="72"/>
  <c r="H3" i="72"/>
  <c r="E4" i="72"/>
  <c r="I4" i="72"/>
  <c r="I14" i="72"/>
  <c r="F24" i="72"/>
  <c r="J24" i="72"/>
  <c r="E6" i="72"/>
  <c r="I6" i="72"/>
  <c r="M6" i="72"/>
  <c r="D13" i="72"/>
  <c r="L13" i="72"/>
  <c r="H23" i="72"/>
  <c r="D3" i="72"/>
  <c r="J3" i="72"/>
  <c r="J4" i="72"/>
  <c r="E14" i="72"/>
  <c r="M14" i="72"/>
  <c r="C14" i="72"/>
  <c r="E13" i="72"/>
  <c r="I13" i="72"/>
  <c r="M13" i="72"/>
  <c r="E23" i="72"/>
  <c r="I23" i="72"/>
  <c r="M23" i="72"/>
  <c r="E3" i="72"/>
  <c r="K3" i="72"/>
  <c r="M3" i="72"/>
  <c r="F4" i="72"/>
  <c r="K4" i="72"/>
  <c r="C4" i="72"/>
  <c r="F14" i="72"/>
  <c r="J14" i="72"/>
  <c r="G24" i="72"/>
  <c r="K24" i="72"/>
  <c r="C24" i="72"/>
  <c r="F6" i="72"/>
  <c r="J6" i="72"/>
  <c r="B13" i="72"/>
  <c r="B20" i="72" s="1"/>
  <c r="B23" i="72"/>
  <c r="B30" i="72" s="1"/>
  <c r="J23" i="72"/>
  <c r="L3" i="72"/>
  <c r="G4" i="72"/>
  <c r="K14" i="72"/>
  <c r="H24" i="72"/>
  <c r="L24" i="72"/>
  <c r="G6" i="72"/>
  <c r="K6" i="72"/>
  <c r="O45" i="5"/>
  <c r="D8" i="86" s="1"/>
  <c r="N45" i="5"/>
  <c r="E36" i="78"/>
  <c r="C36" i="78"/>
  <c r="C35" i="5" s="1"/>
  <c r="E54" i="78"/>
  <c r="C30" i="72" l="1"/>
  <c r="C10" i="72"/>
  <c r="B53" i="72"/>
  <c r="C20" i="72"/>
  <c r="C55" i="5"/>
  <c r="F35" i="5"/>
  <c r="O35" i="5"/>
  <c r="C8" i="86" s="1"/>
  <c r="N35" i="5"/>
  <c r="I332" i="73"/>
  <c r="J332" i="73" s="1"/>
  <c r="K332" i="73" s="1"/>
  <c r="L332" i="73" s="1"/>
  <c r="M332" i="73" s="1"/>
  <c r="N332" i="73" s="1"/>
  <c r="O332" i="73" s="1"/>
  <c r="P332" i="73" s="1"/>
  <c r="Q332" i="73" s="1"/>
  <c r="R332" i="73" s="1"/>
  <c r="S332" i="73" s="1"/>
  <c r="T332" i="73" s="1"/>
  <c r="U332" i="73" s="1"/>
  <c r="V332" i="73" s="1"/>
  <c r="W332" i="73" s="1"/>
  <c r="X332" i="73" s="1"/>
  <c r="Y332" i="73" s="1"/>
  <c r="Z332" i="73" s="1"/>
  <c r="AA332" i="73" s="1"/>
  <c r="AB332" i="73" s="1"/>
  <c r="AC332" i="73" s="1"/>
  <c r="AD332" i="73" s="1"/>
  <c r="AE332" i="73" s="1"/>
  <c r="AF332" i="73" s="1"/>
  <c r="AG332" i="73" s="1"/>
  <c r="AH332" i="73" s="1"/>
  <c r="AI332" i="73" s="1"/>
  <c r="AJ332" i="73" s="1"/>
  <c r="AK332" i="73" s="1"/>
  <c r="AL332" i="73" s="1"/>
  <c r="AM332" i="73" s="1"/>
  <c r="AN332" i="73" s="1"/>
  <c r="AO332" i="73" s="1"/>
  <c r="AP332" i="73" s="1"/>
  <c r="AQ332" i="73" s="1"/>
  <c r="AR332" i="73" s="1"/>
  <c r="AS332" i="73" s="1"/>
  <c r="AT332" i="73" s="1"/>
  <c r="AU332" i="73" s="1"/>
  <c r="AV332" i="73" s="1"/>
  <c r="AW332" i="73" s="1"/>
  <c r="AX332" i="73" s="1"/>
  <c r="AY332" i="73" s="1"/>
  <c r="AZ332" i="73" s="1"/>
  <c r="AZ331" i="73"/>
  <c r="AY331" i="73"/>
  <c r="AX331" i="73"/>
  <c r="AW331" i="73"/>
  <c r="AV331" i="73"/>
  <c r="AU331" i="73"/>
  <c r="AT331" i="73"/>
  <c r="AS331" i="73"/>
  <c r="AR331" i="73"/>
  <c r="AQ331" i="73"/>
  <c r="AP331" i="73"/>
  <c r="AO331" i="73"/>
  <c r="AN331" i="73"/>
  <c r="AM331" i="73"/>
  <c r="AL331" i="73"/>
  <c r="AK331" i="73"/>
  <c r="AJ331" i="73"/>
  <c r="AI331" i="73"/>
  <c r="AH331" i="73"/>
  <c r="AG331" i="73"/>
  <c r="AF331" i="73"/>
  <c r="AE331" i="73"/>
  <c r="AD331" i="73"/>
  <c r="AC331" i="73"/>
  <c r="AB331" i="73"/>
  <c r="AA331" i="73"/>
  <c r="Z331" i="73"/>
  <c r="Y331" i="73"/>
  <c r="X331" i="73"/>
  <c r="W331" i="73"/>
  <c r="V331" i="73"/>
  <c r="U331" i="73"/>
  <c r="T331" i="73"/>
  <c r="S331" i="73"/>
  <c r="R331" i="73"/>
  <c r="Q331" i="73"/>
  <c r="P331" i="73"/>
  <c r="O331" i="73"/>
  <c r="N331" i="73"/>
  <c r="M331" i="73"/>
  <c r="L331" i="73"/>
  <c r="K331" i="73"/>
  <c r="J331" i="73"/>
  <c r="I331" i="73"/>
  <c r="H331" i="73"/>
  <c r="AZ329" i="73"/>
  <c r="AY329" i="73"/>
  <c r="AX329" i="73"/>
  <c r="AW329" i="73"/>
  <c r="AV329" i="73"/>
  <c r="AU329" i="73"/>
  <c r="AT329" i="73"/>
  <c r="AS329" i="73"/>
  <c r="AR329" i="73"/>
  <c r="AQ329" i="73"/>
  <c r="AP329" i="73"/>
  <c r="AO329" i="73"/>
  <c r="AN329" i="73"/>
  <c r="AM329" i="73"/>
  <c r="AL329" i="73"/>
  <c r="AK329" i="73"/>
  <c r="AJ329" i="73"/>
  <c r="AI329" i="73"/>
  <c r="AH329" i="73"/>
  <c r="AG329" i="73"/>
  <c r="AF329" i="73"/>
  <c r="AE329" i="73"/>
  <c r="AD329" i="73"/>
  <c r="AC329" i="73"/>
  <c r="AB329" i="73"/>
  <c r="AA329" i="73"/>
  <c r="Z329" i="73"/>
  <c r="Y329" i="73"/>
  <c r="X329" i="73"/>
  <c r="W329" i="73"/>
  <c r="V329" i="73"/>
  <c r="U329" i="73"/>
  <c r="T329" i="73"/>
  <c r="S329" i="73"/>
  <c r="R329" i="73"/>
  <c r="Q329" i="73"/>
  <c r="P329" i="73"/>
  <c r="O329" i="73"/>
  <c r="N329" i="73"/>
  <c r="M329" i="73"/>
  <c r="L329" i="73"/>
  <c r="K329" i="73"/>
  <c r="J329" i="73"/>
  <c r="I329" i="73"/>
  <c r="H329" i="73"/>
  <c r="AZ327" i="73"/>
  <c r="AY327" i="73"/>
  <c r="AX327" i="73"/>
  <c r="AW327" i="73"/>
  <c r="AV327" i="73"/>
  <c r="AU327" i="73"/>
  <c r="AT327" i="73"/>
  <c r="AS327" i="73"/>
  <c r="AR327" i="73"/>
  <c r="AQ327" i="73"/>
  <c r="AP327" i="73"/>
  <c r="AO327" i="73"/>
  <c r="AN327" i="73"/>
  <c r="AM327" i="73"/>
  <c r="AL327" i="73"/>
  <c r="AK327" i="73"/>
  <c r="AJ327" i="73"/>
  <c r="AI327" i="73"/>
  <c r="AH327" i="73"/>
  <c r="AG327" i="73"/>
  <c r="AF327" i="73"/>
  <c r="AE327" i="73"/>
  <c r="AD327" i="73"/>
  <c r="AC327" i="73"/>
  <c r="AB327" i="73"/>
  <c r="AA327" i="73"/>
  <c r="Z327" i="73"/>
  <c r="Y327" i="73"/>
  <c r="X327" i="73"/>
  <c r="W327" i="73"/>
  <c r="V327" i="73"/>
  <c r="U327" i="73"/>
  <c r="T327" i="73"/>
  <c r="S327" i="73"/>
  <c r="R327" i="73"/>
  <c r="Q327" i="73"/>
  <c r="P327" i="73"/>
  <c r="O327" i="73"/>
  <c r="N327" i="73"/>
  <c r="M327" i="73"/>
  <c r="L327" i="73"/>
  <c r="K327" i="73"/>
  <c r="J327" i="73"/>
  <c r="I327" i="73"/>
  <c r="H327" i="73"/>
  <c r="AZ325" i="73"/>
  <c r="AY325" i="73"/>
  <c r="AX325" i="73"/>
  <c r="AW325" i="73"/>
  <c r="AV325" i="73"/>
  <c r="AU325" i="73"/>
  <c r="AT325" i="73"/>
  <c r="AS325" i="73"/>
  <c r="AR325" i="73"/>
  <c r="AQ325" i="73"/>
  <c r="AP325" i="73"/>
  <c r="AO325" i="73"/>
  <c r="AN325" i="73"/>
  <c r="AM325" i="73"/>
  <c r="AL325" i="73"/>
  <c r="AK325" i="73"/>
  <c r="AJ325" i="73"/>
  <c r="AI325" i="73"/>
  <c r="AH325" i="73"/>
  <c r="AG325" i="73"/>
  <c r="AF325" i="73"/>
  <c r="AE325" i="73"/>
  <c r="AD325" i="73"/>
  <c r="AC325" i="73"/>
  <c r="AB325" i="73"/>
  <c r="AA325" i="73"/>
  <c r="Z325" i="73"/>
  <c r="Y325" i="73"/>
  <c r="X325" i="73"/>
  <c r="W325" i="73"/>
  <c r="V325" i="73"/>
  <c r="U325" i="73"/>
  <c r="T325" i="73"/>
  <c r="S325" i="73"/>
  <c r="R325" i="73"/>
  <c r="Q325" i="73"/>
  <c r="P325" i="73"/>
  <c r="O325" i="73"/>
  <c r="N325" i="73"/>
  <c r="M325" i="73"/>
  <c r="L325" i="73"/>
  <c r="K325" i="73"/>
  <c r="J325" i="73"/>
  <c r="I325" i="73"/>
  <c r="H325" i="73"/>
  <c r="AZ323" i="73"/>
  <c r="AY323" i="73"/>
  <c r="AX323" i="73"/>
  <c r="AW323" i="73"/>
  <c r="AV323" i="73"/>
  <c r="AU323" i="73"/>
  <c r="AT323" i="73"/>
  <c r="AS323" i="73"/>
  <c r="AR323" i="73"/>
  <c r="AQ323" i="73"/>
  <c r="AP323" i="73"/>
  <c r="AO323" i="73"/>
  <c r="AN323" i="73"/>
  <c r="AM323" i="73"/>
  <c r="AL323" i="73"/>
  <c r="AK323" i="73"/>
  <c r="AJ323" i="73"/>
  <c r="AI323" i="73"/>
  <c r="AH323" i="73"/>
  <c r="AG323" i="73"/>
  <c r="AF323" i="73"/>
  <c r="AE323" i="73"/>
  <c r="AD323" i="73"/>
  <c r="AC323" i="73"/>
  <c r="AB323" i="73"/>
  <c r="AA323" i="73"/>
  <c r="Z323" i="73"/>
  <c r="Y323" i="73"/>
  <c r="X323" i="73"/>
  <c r="W323" i="73"/>
  <c r="V323" i="73"/>
  <c r="U323" i="73"/>
  <c r="T323" i="73"/>
  <c r="S323" i="73"/>
  <c r="R323" i="73"/>
  <c r="Q323" i="73"/>
  <c r="P323" i="73"/>
  <c r="O323" i="73"/>
  <c r="N323" i="73"/>
  <c r="M323" i="73"/>
  <c r="L323" i="73"/>
  <c r="K323" i="73"/>
  <c r="J323" i="73"/>
  <c r="I323" i="73"/>
  <c r="H323" i="73"/>
  <c r="AZ321" i="73"/>
  <c r="AY321" i="73"/>
  <c r="AX321" i="73"/>
  <c r="AW321" i="73"/>
  <c r="AV321" i="73"/>
  <c r="AU321" i="73"/>
  <c r="AT321" i="73"/>
  <c r="AS321" i="73"/>
  <c r="AR321" i="73"/>
  <c r="AQ321" i="73"/>
  <c r="AP321" i="73"/>
  <c r="AO321" i="73"/>
  <c r="AN321" i="73"/>
  <c r="AM321" i="73"/>
  <c r="AL321" i="73"/>
  <c r="AK321" i="73"/>
  <c r="AJ321" i="73"/>
  <c r="AI321" i="73"/>
  <c r="AH321" i="73"/>
  <c r="AG321" i="73"/>
  <c r="AF321" i="73"/>
  <c r="AE321" i="73"/>
  <c r="AD321" i="73"/>
  <c r="AC321" i="73"/>
  <c r="AB321" i="73"/>
  <c r="AA321" i="73"/>
  <c r="Z321" i="73"/>
  <c r="Y321" i="73"/>
  <c r="X321" i="73"/>
  <c r="W321" i="73"/>
  <c r="V321" i="73"/>
  <c r="U321" i="73"/>
  <c r="T321" i="73"/>
  <c r="S321" i="73"/>
  <c r="R321" i="73"/>
  <c r="Q321" i="73"/>
  <c r="P321" i="73"/>
  <c r="O321" i="73"/>
  <c r="N321" i="73"/>
  <c r="M321" i="73"/>
  <c r="L321" i="73"/>
  <c r="K321" i="73"/>
  <c r="J321" i="73"/>
  <c r="I321" i="73"/>
  <c r="H321" i="73"/>
  <c r="F319" i="73"/>
  <c r="E319" i="73"/>
  <c r="C319" i="73"/>
  <c r="B319" i="73"/>
  <c r="A319" i="73"/>
  <c r="F318" i="73"/>
  <c r="E318" i="73"/>
  <c r="C318" i="73"/>
  <c r="B318" i="73"/>
  <c r="A318" i="73"/>
  <c r="F317" i="73"/>
  <c r="E317" i="73"/>
  <c r="C317" i="73"/>
  <c r="B317" i="73"/>
  <c r="A317" i="73"/>
  <c r="F316" i="73"/>
  <c r="E316" i="73"/>
  <c r="C316" i="73"/>
  <c r="B316" i="73"/>
  <c r="A316" i="73"/>
  <c r="F315" i="73"/>
  <c r="E315" i="73"/>
  <c r="C315" i="73"/>
  <c r="B315" i="73"/>
  <c r="A315" i="73"/>
  <c r="F314" i="73"/>
  <c r="E314" i="73"/>
  <c r="C314" i="73"/>
  <c r="B314" i="73"/>
  <c r="A314" i="73"/>
  <c r="F313" i="73"/>
  <c r="E313" i="73"/>
  <c r="C313" i="73"/>
  <c r="B313" i="73"/>
  <c r="A313" i="73"/>
  <c r="F312" i="73"/>
  <c r="E312" i="73"/>
  <c r="C312" i="73"/>
  <c r="B312" i="73"/>
  <c r="A312" i="73"/>
  <c r="F311" i="73"/>
  <c r="E311" i="73"/>
  <c r="C311" i="73"/>
  <c r="B311" i="73"/>
  <c r="A311" i="73"/>
  <c r="F310" i="73"/>
  <c r="E310" i="73"/>
  <c r="C310" i="73"/>
  <c r="B310" i="73"/>
  <c r="A310" i="73"/>
  <c r="F309" i="73"/>
  <c r="E309" i="73"/>
  <c r="C309" i="73"/>
  <c r="B309" i="73"/>
  <c r="A309" i="73"/>
  <c r="F308" i="73"/>
  <c r="E308" i="73"/>
  <c r="C308" i="73"/>
  <c r="B308" i="73"/>
  <c r="A308" i="73"/>
  <c r="F307" i="73"/>
  <c r="E307" i="73"/>
  <c r="C307" i="73"/>
  <c r="B307" i="73"/>
  <c r="A307" i="73"/>
  <c r="F306" i="73"/>
  <c r="E306" i="73"/>
  <c r="C306" i="73"/>
  <c r="B306" i="73"/>
  <c r="A306" i="73"/>
  <c r="F305" i="73"/>
  <c r="E305" i="73"/>
  <c r="C305" i="73"/>
  <c r="B305" i="73"/>
  <c r="A305" i="73"/>
  <c r="F304" i="73"/>
  <c r="E304" i="73"/>
  <c r="C304" i="73"/>
  <c r="B304" i="73"/>
  <c r="A304" i="73"/>
  <c r="F303" i="73"/>
  <c r="E303" i="73"/>
  <c r="C303" i="73"/>
  <c r="B303" i="73"/>
  <c r="A303" i="73"/>
  <c r="F302" i="73"/>
  <c r="E302" i="73"/>
  <c r="C302" i="73"/>
  <c r="B302" i="73"/>
  <c r="A302" i="73"/>
  <c r="F301" i="73"/>
  <c r="E301" i="73"/>
  <c r="C301" i="73"/>
  <c r="B301" i="73"/>
  <c r="A301" i="73"/>
  <c r="F300" i="73"/>
  <c r="E300" i="73"/>
  <c r="C300" i="73"/>
  <c r="B300" i="73"/>
  <c r="A300" i="73"/>
  <c r="F299" i="73"/>
  <c r="E299" i="73"/>
  <c r="C299" i="73"/>
  <c r="B299" i="73"/>
  <c r="A299" i="73"/>
  <c r="F298" i="73"/>
  <c r="E298" i="73"/>
  <c r="C298" i="73"/>
  <c r="B298" i="73"/>
  <c r="A298" i="73"/>
  <c r="F297" i="73"/>
  <c r="E297" i="73"/>
  <c r="C297" i="73"/>
  <c r="B297" i="73"/>
  <c r="A297" i="73"/>
  <c r="F296" i="73"/>
  <c r="E296" i="73"/>
  <c r="C296" i="73"/>
  <c r="B296" i="73"/>
  <c r="A296" i="73"/>
  <c r="F295" i="73"/>
  <c r="E295" i="73"/>
  <c r="C295" i="73"/>
  <c r="B295" i="73"/>
  <c r="A295" i="73"/>
  <c r="F294" i="73"/>
  <c r="E294" i="73"/>
  <c r="C294" i="73"/>
  <c r="B294" i="73"/>
  <c r="A294" i="73"/>
  <c r="F293" i="73"/>
  <c r="E293" i="73"/>
  <c r="C293" i="73"/>
  <c r="B293" i="73"/>
  <c r="A293" i="73"/>
  <c r="F292" i="73"/>
  <c r="E292" i="73"/>
  <c r="C292" i="73"/>
  <c r="B292" i="73"/>
  <c r="A292" i="73"/>
  <c r="F291" i="73"/>
  <c r="E291" i="73"/>
  <c r="C291" i="73"/>
  <c r="B291" i="73"/>
  <c r="A291" i="73"/>
  <c r="F290" i="73"/>
  <c r="E290" i="73"/>
  <c r="C290" i="73"/>
  <c r="B290" i="73"/>
  <c r="A290" i="73"/>
  <c r="F289" i="73"/>
  <c r="E289" i="73"/>
  <c r="C289" i="73"/>
  <c r="B289" i="73"/>
  <c r="A289" i="73"/>
  <c r="F288" i="73"/>
  <c r="E288" i="73"/>
  <c r="C288" i="73"/>
  <c r="B288" i="73"/>
  <c r="A288" i="73"/>
  <c r="F287" i="73"/>
  <c r="E287" i="73"/>
  <c r="C287" i="73"/>
  <c r="B287" i="73"/>
  <c r="A287" i="73"/>
  <c r="F286" i="73"/>
  <c r="E286" i="73"/>
  <c r="C286" i="73"/>
  <c r="B286" i="73"/>
  <c r="A286" i="73"/>
  <c r="F285" i="73"/>
  <c r="E285" i="73"/>
  <c r="C285" i="73"/>
  <c r="B285" i="73"/>
  <c r="A285" i="73"/>
  <c r="F284" i="73"/>
  <c r="E284" i="73"/>
  <c r="C284" i="73"/>
  <c r="B284" i="73"/>
  <c r="A284" i="73"/>
  <c r="F283" i="73"/>
  <c r="E283" i="73"/>
  <c r="C283" i="73"/>
  <c r="B283" i="73"/>
  <c r="A283" i="73"/>
  <c r="F282" i="73"/>
  <c r="E282" i="73"/>
  <c r="C282" i="73"/>
  <c r="B282" i="73"/>
  <c r="A282" i="73"/>
  <c r="F281" i="73"/>
  <c r="E281" i="73"/>
  <c r="C281" i="73"/>
  <c r="B281" i="73"/>
  <c r="A281" i="73"/>
  <c r="F280" i="73"/>
  <c r="E280" i="73"/>
  <c r="C280" i="73"/>
  <c r="B280" i="73"/>
  <c r="A280" i="73"/>
  <c r="F279" i="73"/>
  <c r="E279" i="73"/>
  <c r="C279" i="73"/>
  <c r="B279" i="73"/>
  <c r="A279" i="73"/>
  <c r="F278" i="73"/>
  <c r="E278" i="73"/>
  <c r="C278" i="73"/>
  <c r="B278" i="73"/>
  <c r="A278" i="73"/>
  <c r="F277" i="73"/>
  <c r="E277" i="73"/>
  <c r="C277" i="73"/>
  <c r="B277" i="73"/>
  <c r="A277" i="73"/>
  <c r="F276" i="73"/>
  <c r="E276" i="73"/>
  <c r="C276" i="73"/>
  <c r="B276" i="73"/>
  <c r="A276" i="73"/>
  <c r="F275" i="73"/>
  <c r="E275" i="73"/>
  <c r="C275" i="73"/>
  <c r="B275" i="73"/>
  <c r="A275" i="73"/>
  <c r="F274" i="73"/>
  <c r="E274" i="73"/>
  <c r="C274" i="73"/>
  <c r="B274" i="73"/>
  <c r="A274" i="73"/>
  <c r="F273" i="73"/>
  <c r="E273" i="73"/>
  <c r="C273" i="73"/>
  <c r="B273" i="73"/>
  <c r="A273" i="73"/>
  <c r="F272" i="73"/>
  <c r="E272" i="73"/>
  <c r="C272" i="73"/>
  <c r="B272" i="73"/>
  <c r="A272" i="73"/>
  <c r="F271" i="73"/>
  <c r="E271" i="73"/>
  <c r="C271" i="73"/>
  <c r="B271" i="73"/>
  <c r="A271" i="73"/>
  <c r="F270" i="73"/>
  <c r="E270" i="73"/>
  <c r="C270" i="73"/>
  <c r="B270" i="73"/>
  <c r="A270" i="73"/>
  <c r="F269" i="73"/>
  <c r="E269" i="73"/>
  <c r="C269" i="73"/>
  <c r="B269" i="73"/>
  <c r="A269" i="73"/>
  <c r="F268" i="73"/>
  <c r="E268" i="73"/>
  <c r="C268" i="73"/>
  <c r="B268" i="73"/>
  <c r="A268" i="73"/>
  <c r="F267" i="73"/>
  <c r="E267" i="73"/>
  <c r="C267" i="73"/>
  <c r="B267" i="73"/>
  <c r="A267" i="73"/>
  <c r="F266" i="73"/>
  <c r="E266" i="73"/>
  <c r="C266" i="73"/>
  <c r="B266" i="73"/>
  <c r="A266" i="73"/>
  <c r="F265" i="73"/>
  <c r="E265" i="73"/>
  <c r="C265" i="73"/>
  <c r="B265" i="73"/>
  <c r="A265" i="73"/>
  <c r="F264" i="73"/>
  <c r="E264" i="73"/>
  <c r="C264" i="73"/>
  <c r="B264" i="73"/>
  <c r="A264" i="73"/>
  <c r="F263" i="73"/>
  <c r="E263" i="73"/>
  <c r="C263" i="73"/>
  <c r="B263" i="73"/>
  <c r="A263" i="73"/>
  <c r="F262" i="73"/>
  <c r="E262" i="73"/>
  <c r="C262" i="73"/>
  <c r="B262" i="73"/>
  <c r="A262" i="73"/>
  <c r="F261" i="73"/>
  <c r="E261" i="73"/>
  <c r="C261" i="73"/>
  <c r="B261" i="73"/>
  <c r="A261" i="73"/>
  <c r="F260" i="73"/>
  <c r="E260" i="73"/>
  <c r="C260" i="73"/>
  <c r="B260" i="73"/>
  <c r="A260" i="73"/>
  <c r="F259" i="73"/>
  <c r="E259" i="73"/>
  <c r="C259" i="73"/>
  <c r="B259" i="73"/>
  <c r="A259" i="73"/>
  <c r="F258" i="73"/>
  <c r="E258" i="73"/>
  <c r="C258" i="73"/>
  <c r="B258" i="73"/>
  <c r="A258" i="73"/>
  <c r="F257" i="73"/>
  <c r="E257" i="73"/>
  <c r="C257" i="73"/>
  <c r="B257" i="73"/>
  <c r="A257" i="73"/>
  <c r="F256" i="73"/>
  <c r="E256" i="73"/>
  <c r="C256" i="73"/>
  <c r="B256" i="73"/>
  <c r="A256" i="73"/>
  <c r="F255" i="73"/>
  <c r="E255" i="73"/>
  <c r="C255" i="73"/>
  <c r="B255" i="73"/>
  <c r="A255" i="73"/>
  <c r="I253" i="73"/>
  <c r="J253" i="73" s="1"/>
  <c r="K253" i="73" s="1"/>
  <c r="L253" i="73" s="1"/>
  <c r="M253" i="73" s="1"/>
  <c r="N253" i="73" s="1"/>
  <c r="O253" i="73" s="1"/>
  <c r="P253" i="73" s="1"/>
  <c r="Q253" i="73" s="1"/>
  <c r="R253" i="73" s="1"/>
  <c r="S253" i="73" s="1"/>
  <c r="T253" i="73" s="1"/>
  <c r="U253" i="73" s="1"/>
  <c r="V253" i="73" s="1"/>
  <c r="W253" i="73" s="1"/>
  <c r="X253" i="73" s="1"/>
  <c r="Y253" i="73" s="1"/>
  <c r="Z253" i="73" s="1"/>
  <c r="AA253" i="73" s="1"/>
  <c r="AB253" i="73" s="1"/>
  <c r="AC253" i="73" s="1"/>
  <c r="AD253" i="73" s="1"/>
  <c r="AE253" i="73" s="1"/>
  <c r="AF253" i="73" s="1"/>
  <c r="AG253" i="73" s="1"/>
  <c r="AH253" i="73" s="1"/>
  <c r="AI253" i="73" s="1"/>
  <c r="AJ253" i="73" s="1"/>
  <c r="AK253" i="73" s="1"/>
  <c r="AL253" i="73" s="1"/>
  <c r="AM253" i="73" s="1"/>
  <c r="AN253" i="73" s="1"/>
  <c r="AO253" i="73" s="1"/>
  <c r="AP253" i="73" s="1"/>
  <c r="AQ253" i="73" s="1"/>
  <c r="AR253" i="73" s="1"/>
  <c r="AS253" i="73" s="1"/>
  <c r="AT253" i="73" s="1"/>
  <c r="AU253" i="73" s="1"/>
  <c r="AV253" i="73" s="1"/>
  <c r="AW253" i="73" s="1"/>
  <c r="AX253" i="73" s="1"/>
  <c r="AY253" i="73" s="1"/>
  <c r="AZ253" i="73" s="1"/>
  <c r="J250" i="73"/>
  <c r="K250" i="73" s="1"/>
  <c r="L250" i="73" s="1"/>
  <c r="M250" i="73" s="1"/>
  <c r="N250" i="73" s="1"/>
  <c r="O250" i="73" s="1"/>
  <c r="P250" i="73" s="1"/>
  <c r="Q250" i="73" s="1"/>
  <c r="R250" i="73" s="1"/>
  <c r="S250" i="73" s="1"/>
  <c r="T250" i="73" s="1"/>
  <c r="U250" i="73" s="1"/>
  <c r="V250" i="73" s="1"/>
  <c r="W250" i="73" s="1"/>
  <c r="X250" i="73" s="1"/>
  <c r="Y250" i="73" s="1"/>
  <c r="Z250" i="73" s="1"/>
  <c r="AA250" i="73" s="1"/>
  <c r="AB250" i="73" s="1"/>
  <c r="AC250" i="73" s="1"/>
  <c r="AD250" i="73" s="1"/>
  <c r="AE250" i="73" s="1"/>
  <c r="AF250" i="73" s="1"/>
  <c r="AG250" i="73" s="1"/>
  <c r="AH250" i="73" s="1"/>
  <c r="AI250" i="73" s="1"/>
  <c r="AJ250" i="73" s="1"/>
  <c r="AK250" i="73" s="1"/>
  <c r="AL250" i="73" s="1"/>
  <c r="AM250" i="73" s="1"/>
  <c r="AN250" i="73" s="1"/>
  <c r="AO250" i="73" s="1"/>
  <c r="AP250" i="73" s="1"/>
  <c r="AQ250" i="73" s="1"/>
  <c r="AR250" i="73" s="1"/>
  <c r="AS250" i="73" s="1"/>
  <c r="AT250" i="73" s="1"/>
  <c r="AU250" i="73" s="1"/>
  <c r="AV250" i="73" s="1"/>
  <c r="AW250" i="73" s="1"/>
  <c r="AX250" i="73" s="1"/>
  <c r="AY250" i="73" s="1"/>
  <c r="AZ250" i="73" s="1"/>
  <c r="I250" i="73"/>
  <c r="AZ249" i="73"/>
  <c r="AY249" i="73"/>
  <c r="AX249" i="73"/>
  <c r="AW249" i="73"/>
  <c r="AV249" i="73"/>
  <c r="AU249" i="73"/>
  <c r="AT249" i="73"/>
  <c r="AS249" i="73"/>
  <c r="AR249" i="73"/>
  <c r="AQ249" i="73"/>
  <c r="AP249" i="73"/>
  <c r="AO249" i="73"/>
  <c r="AN249" i="73"/>
  <c r="AM249" i="73"/>
  <c r="AL249" i="73"/>
  <c r="AK249" i="73"/>
  <c r="AJ249" i="73"/>
  <c r="AI249" i="73"/>
  <c r="AH249" i="73"/>
  <c r="AG249" i="73"/>
  <c r="AF249" i="73"/>
  <c r="AE249" i="73"/>
  <c r="AD249" i="73"/>
  <c r="AC249" i="73"/>
  <c r="AB249" i="73"/>
  <c r="AA249" i="73"/>
  <c r="Z249" i="73"/>
  <c r="Y249" i="73"/>
  <c r="X249" i="73"/>
  <c r="W249" i="73"/>
  <c r="V249" i="73"/>
  <c r="U249" i="73"/>
  <c r="T249" i="73"/>
  <c r="S249" i="73"/>
  <c r="R249" i="73"/>
  <c r="Q249" i="73"/>
  <c r="P249" i="73"/>
  <c r="O249" i="73"/>
  <c r="N249" i="73"/>
  <c r="M249" i="73"/>
  <c r="L249" i="73"/>
  <c r="K249" i="73"/>
  <c r="J249" i="73"/>
  <c r="I249" i="73"/>
  <c r="H249" i="73"/>
  <c r="AZ247" i="73"/>
  <c r="AY247" i="73"/>
  <c r="AX247" i="73"/>
  <c r="AW247" i="73"/>
  <c r="AV247" i="73"/>
  <c r="AU247" i="73"/>
  <c r="AT247" i="73"/>
  <c r="AS247" i="73"/>
  <c r="AR247" i="73"/>
  <c r="AQ247" i="73"/>
  <c r="AP247" i="73"/>
  <c r="AO247" i="73"/>
  <c r="AN247" i="73"/>
  <c r="AM247" i="73"/>
  <c r="AL247" i="73"/>
  <c r="AK247" i="73"/>
  <c r="AJ247" i="73"/>
  <c r="AI247" i="73"/>
  <c r="AH247" i="73"/>
  <c r="AG247" i="73"/>
  <c r="AF247" i="73"/>
  <c r="AE247" i="73"/>
  <c r="AD247" i="73"/>
  <c r="AC247" i="73"/>
  <c r="AB247" i="73"/>
  <c r="AA247" i="73"/>
  <c r="Z247" i="73"/>
  <c r="Y247" i="73"/>
  <c r="X247" i="73"/>
  <c r="W247" i="73"/>
  <c r="V247" i="73"/>
  <c r="U247" i="73"/>
  <c r="T247" i="73"/>
  <c r="S247" i="73"/>
  <c r="R247" i="73"/>
  <c r="Q247" i="73"/>
  <c r="P247" i="73"/>
  <c r="O247" i="73"/>
  <c r="N247" i="73"/>
  <c r="M247" i="73"/>
  <c r="L247" i="73"/>
  <c r="K247" i="73"/>
  <c r="J247" i="73"/>
  <c r="I247" i="73"/>
  <c r="H247" i="73"/>
  <c r="AZ245" i="73"/>
  <c r="AY245" i="73"/>
  <c r="AX245" i="73"/>
  <c r="AW245" i="73"/>
  <c r="AV245" i="73"/>
  <c r="AU245" i="73"/>
  <c r="AT245" i="73"/>
  <c r="AS245" i="73"/>
  <c r="AR245" i="73"/>
  <c r="AQ245" i="73"/>
  <c r="AP245" i="73"/>
  <c r="AO245" i="73"/>
  <c r="AN245" i="73"/>
  <c r="AM245" i="73"/>
  <c r="AL245" i="73"/>
  <c r="AK245" i="73"/>
  <c r="AJ245" i="73"/>
  <c r="AI245" i="73"/>
  <c r="AH245" i="73"/>
  <c r="AG245" i="73"/>
  <c r="AF245" i="73"/>
  <c r="AE245" i="73"/>
  <c r="AD245" i="73"/>
  <c r="AC245" i="73"/>
  <c r="AB245" i="73"/>
  <c r="AA245" i="73"/>
  <c r="Z245" i="73"/>
  <c r="Y245" i="73"/>
  <c r="X245" i="73"/>
  <c r="W245" i="73"/>
  <c r="V245" i="73"/>
  <c r="U245" i="73"/>
  <c r="T245" i="73"/>
  <c r="S245" i="73"/>
  <c r="R245" i="73"/>
  <c r="Q245" i="73"/>
  <c r="P245" i="73"/>
  <c r="O245" i="73"/>
  <c r="N245" i="73"/>
  <c r="M245" i="73"/>
  <c r="L245" i="73"/>
  <c r="K245" i="73"/>
  <c r="J245" i="73"/>
  <c r="I245" i="73"/>
  <c r="H245" i="73"/>
  <c r="AZ243" i="73"/>
  <c r="AY243" i="73"/>
  <c r="AX243" i="73"/>
  <c r="AW243" i="73"/>
  <c r="AV243" i="73"/>
  <c r="AU243" i="73"/>
  <c r="AT243" i="73"/>
  <c r="AS243" i="73"/>
  <c r="AR243" i="73"/>
  <c r="AQ243" i="73"/>
  <c r="AP243" i="73"/>
  <c r="AO243" i="73"/>
  <c r="AN243" i="73"/>
  <c r="AM243" i="73"/>
  <c r="AL243" i="73"/>
  <c r="AK243" i="73"/>
  <c r="AJ243" i="73"/>
  <c r="AI243" i="73"/>
  <c r="AH243" i="73"/>
  <c r="AG243" i="73"/>
  <c r="AF243" i="73"/>
  <c r="AE243" i="73"/>
  <c r="AD243" i="73"/>
  <c r="AC243" i="73"/>
  <c r="AB243" i="73"/>
  <c r="AA243" i="73"/>
  <c r="Z243" i="73"/>
  <c r="Y243" i="73"/>
  <c r="X243" i="73"/>
  <c r="W243" i="73"/>
  <c r="V243" i="73"/>
  <c r="U243" i="73"/>
  <c r="T243" i="73"/>
  <c r="S243" i="73"/>
  <c r="R243" i="73"/>
  <c r="Q243" i="73"/>
  <c r="P243" i="73"/>
  <c r="O243" i="73"/>
  <c r="N243" i="73"/>
  <c r="M243" i="73"/>
  <c r="L243" i="73"/>
  <c r="K243" i="73"/>
  <c r="J243" i="73"/>
  <c r="I243" i="73"/>
  <c r="H243" i="73"/>
  <c r="AZ241" i="73"/>
  <c r="AY241" i="73"/>
  <c r="AX241" i="73"/>
  <c r="AW241" i="73"/>
  <c r="AV241" i="73"/>
  <c r="AU241" i="73"/>
  <c r="AT241" i="73"/>
  <c r="AS241" i="73"/>
  <c r="AR241" i="73"/>
  <c r="AQ241" i="73"/>
  <c r="AP241" i="73"/>
  <c r="AO241" i="73"/>
  <c r="AN241" i="73"/>
  <c r="AM241" i="73"/>
  <c r="AL241" i="73"/>
  <c r="AK241" i="73"/>
  <c r="AJ241" i="73"/>
  <c r="AI241" i="73"/>
  <c r="AH241" i="73"/>
  <c r="AG241" i="73"/>
  <c r="AF241" i="73"/>
  <c r="AE241" i="73"/>
  <c r="AD241" i="73"/>
  <c r="AC241" i="73"/>
  <c r="AB241" i="73"/>
  <c r="AA241" i="73"/>
  <c r="Z241" i="73"/>
  <c r="Y241" i="73"/>
  <c r="X241" i="73"/>
  <c r="W241" i="73"/>
  <c r="V241" i="73"/>
  <c r="U241" i="73"/>
  <c r="T241" i="73"/>
  <c r="S241" i="73"/>
  <c r="R241" i="73"/>
  <c r="Q241" i="73"/>
  <c r="P241" i="73"/>
  <c r="O241" i="73"/>
  <c r="N241" i="73"/>
  <c r="M241" i="73"/>
  <c r="L241" i="73"/>
  <c r="K241" i="73"/>
  <c r="J241" i="73"/>
  <c r="I241" i="73"/>
  <c r="H241" i="73"/>
  <c r="AZ239" i="73"/>
  <c r="AY239" i="73"/>
  <c r="AX239" i="73"/>
  <c r="AW239" i="73"/>
  <c r="AV239" i="73"/>
  <c r="AU239" i="73"/>
  <c r="AT239" i="73"/>
  <c r="AS239" i="73"/>
  <c r="AR239" i="73"/>
  <c r="AQ239" i="73"/>
  <c r="AP239" i="73"/>
  <c r="AO239" i="73"/>
  <c r="AN239" i="73"/>
  <c r="AM239" i="73"/>
  <c r="AL239" i="73"/>
  <c r="AK239" i="73"/>
  <c r="AJ239" i="73"/>
  <c r="AI239" i="73"/>
  <c r="AH239" i="73"/>
  <c r="AG239" i="73"/>
  <c r="AF239" i="73"/>
  <c r="AE239" i="73"/>
  <c r="AD239" i="73"/>
  <c r="AC239" i="73"/>
  <c r="AB239" i="73"/>
  <c r="AA239" i="73"/>
  <c r="Z239" i="73"/>
  <c r="Y239" i="73"/>
  <c r="X239" i="73"/>
  <c r="W239" i="73"/>
  <c r="V239" i="73"/>
  <c r="U239" i="73"/>
  <c r="T239" i="73"/>
  <c r="S239" i="73"/>
  <c r="R239" i="73"/>
  <c r="Q239" i="73"/>
  <c r="P239" i="73"/>
  <c r="O239" i="73"/>
  <c r="N239" i="73"/>
  <c r="M239" i="73"/>
  <c r="L239" i="73"/>
  <c r="K239" i="73"/>
  <c r="J239" i="73"/>
  <c r="I239" i="73"/>
  <c r="H239" i="73"/>
  <c r="F237" i="73"/>
  <c r="E237" i="73"/>
  <c r="C237" i="73"/>
  <c r="B237" i="73"/>
  <c r="A237" i="73"/>
  <c r="F236" i="73"/>
  <c r="E236" i="73"/>
  <c r="C236" i="73"/>
  <c r="B236" i="73"/>
  <c r="A236" i="73"/>
  <c r="F235" i="73"/>
  <c r="E235" i="73"/>
  <c r="C235" i="73"/>
  <c r="B235" i="73"/>
  <c r="A235" i="73"/>
  <c r="F234" i="73"/>
  <c r="E234" i="73"/>
  <c r="C234" i="73"/>
  <c r="B234" i="73"/>
  <c r="A234" i="73"/>
  <c r="F233" i="73"/>
  <c r="E233" i="73"/>
  <c r="C233" i="73"/>
  <c r="B233" i="73"/>
  <c r="A233" i="73"/>
  <c r="F232" i="73"/>
  <c r="E232" i="73"/>
  <c r="C232" i="73"/>
  <c r="B232" i="73"/>
  <c r="A232" i="73"/>
  <c r="F231" i="73"/>
  <c r="E231" i="73"/>
  <c r="C231" i="73"/>
  <c r="B231" i="73"/>
  <c r="A231" i="73"/>
  <c r="F230" i="73"/>
  <c r="E230" i="73"/>
  <c r="C230" i="73"/>
  <c r="B230" i="73"/>
  <c r="A230" i="73"/>
  <c r="F229" i="73"/>
  <c r="E229" i="73"/>
  <c r="C229" i="73"/>
  <c r="B229" i="73"/>
  <c r="A229" i="73"/>
  <c r="F228" i="73"/>
  <c r="E228" i="73"/>
  <c r="C228" i="73"/>
  <c r="B228" i="73"/>
  <c r="A228" i="73"/>
  <c r="F227" i="73"/>
  <c r="E227" i="73"/>
  <c r="C227" i="73"/>
  <c r="B227" i="73"/>
  <c r="A227" i="73"/>
  <c r="F226" i="73"/>
  <c r="E226" i="73"/>
  <c r="C226" i="73"/>
  <c r="B226" i="73"/>
  <c r="A226" i="73"/>
  <c r="F225" i="73"/>
  <c r="E225" i="73"/>
  <c r="C225" i="73"/>
  <c r="B225" i="73"/>
  <c r="A225" i="73"/>
  <c r="F224" i="73"/>
  <c r="E224" i="73"/>
  <c r="C224" i="73"/>
  <c r="B224" i="73"/>
  <c r="A224" i="73"/>
  <c r="F223" i="73"/>
  <c r="E223" i="73"/>
  <c r="C223" i="73"/>
  <c r="B223" i="73"/>
  <c r="A223" i="73"/>
  <c r="F222" i="73"/>
  <c r="E222" i="73"/>
  <c r="C222" i="73"/>
  <c r="B222" i="73"/>
  <c r="A222" i="73"/>
  <c r="F221" i="73"/>
  <c r="E221" i="73"/>
  <c r="C221" i="73"/>
  <c r="B221" i="73"/>
  <c r="A221" i="73"/>
  <c r="F220" i="73"/>
  <c r="E220" i="73"/>
  <c r="C220" i="73"/>
  <c r="B220" i="73"/>
  <c r="A220" i="73"/>
  <c r="F219" i="73"/>
  <c r="E219" i="73"/>
  <c r="C219" i="73"/>
  <c r="B219" i="73"/>
  <c r="A219" i="73"/>
  <c r="F218" i="73"/>
  <c r="E218" i="73"/>
  <c r="C218" i="73"/>
  <c r="B218" i="73"/>
  <c r="A218" i="73"/>
  <c r="F217" i="73"/>
  <c r="E217" i="73"/>
  <c r="C217" i="73"/>
  <c r="B217" i="73"/>
  <c r="A217" i="73"/>
  <c r="F216" i="73"/>
  <c r="E216" i="73"/>
  <c r="C216" i="73"/>
  <c r="B216" i="73"/>
  <c r="A216" i="73"/>
  <c r="F215" i="73"/>
  <c r="E215" i="73"/>
  <c r="C215" i="73"/>
  <c r="B215" i="73"/>
  <c r="A215" i="73"/>
  <c r="F214" i="73"/>
  <c r="E214" i="73"/>
  <c r="C214" i="73"/>
  <c r="B214" i="73"/>
  <c r="A214" i="73"/>
  <c r="F213" i="73"/>
  <c r="E213" i="73"/>
  <c r="C213" i="73"/>
  <c r="B213" i="73"/>
  <c r="A213" i="73"/>
  <c r="F212" i="73"/>
  <c r="E212" i="73"/>
  <c r="C212" i="73"/>
  <c r="B212" i="73"/>
  <c r="A212" i="73"/>
  <c r="F211" i="73"/>
  <c r="E211" i="73"/>
  <c r="C211" i="73"/>
  <c r="B211" i="73"/>
  <c r="A211" i="73"/>
  <c r="F210" i="73"/>
  <c r="E210" i="73"/>
  <c r="C210" i="73"/>
  <c r="B210" i="73"/>
  <c r="A210" i="73"/>
  <c r="F209" i="73"/>
  <c r="E209" i="73"/>
  <c r="C209" i="73"/>
  <c r="B209" i="73"/>
  <c r="A209" i="73"/>
  <c r="F208" i="73"/>
  <c r="E208" i="73"/>
  <c r="C208" i="73"/>
  <c r="B208" i="73"/>
  <c r="A208" i="73"/>
  <c r="F207" i="73"/>
  <c r="E207" i="73"/>
  <c r="C207" i="73"/>
  <c r="B207" i="73"/>
  <c r="A207" i="73"/>
  <c r="F206" i="73"/>
  <c r="E206" i="73"/>
  <c r="C206" i="73"/>
  <c r="B206" i="73"/>
  <c r="A206" i="73"/>
  <c r="F205" i="73"/>
  <c r="E205" i="73"/>
  <c r="C205" i="73"/>
  <c r="B205" i="73"/>
  <c r="A205" i="73"/>
  <c r="F204" i="73"/>
  <c r="E204" i="73"/>
  <c r="C204" i="73"/>
  <c r="B204" i="73"/>
  <c r="A204" i="73"/>
  <c r="F203" i="73"/>
  <c r="E203" i="73"/>
  <c r="C203" i="73"/>
  <c r="B203" i="73"/>
  <c r="A203" i="73"/>
  <c r="F202" i="73"/>
  <c r="E202" i="73"/>
  <c r="C202" i="73"/>
  <c r="B202" i="73"/>
  <c r="A202" i="73"/>
  <c r="F201" i="73"/>
  <c r="E201" i="73"/>
  <c r="C201" i="73"/>
  <c r="B201" i="73"/>
  <c r="A201" i="73"/>
  <c r="F200" i="73"/>
  <c r="E200" i="73"/>
  <c r="C200" i="73"/>
  <c r="B200" i="73"/>
  <c r="A200" i="73"/>
  <c r="F199" i="73"/>
  <c r="E199" i="73"/>
  <c r="C199" i="73"/>
  <c r="B199" i="73"/>
  <c r="A199" i="73"/>
  <c r="F198" i="73"/>
  <c r="E198" i="73"/>
  <c r="C198" i="73"/>
  <c r="B198" i="73"/>
  <c r="A198" i="73"/>
  <c r="F197" i="73"/>
  <c r="E197" i="73"/>
  <c r="C197" i="73"/>
  <c r="B197" i="73"/>
  <c r="A197" i="73"/>
  <c r="F196" i="73"/>
  <c r="E196" i="73"/>
  <c r="C196" i="73"/>
  <c r="B196" i="73"/>
  <c r="A196" i="73"/>
  <c r="F195" i="73"/>
  <c r="E195" i="73"/>
  <c r="C195" i="73"/>
  <c r="B195" i="73"/>
  <c r="A195" i="73"/>
  <c r="F194" i="73"/>
  <c r="E194" i="73"/>
  <c r="C194" i="73"/>
  <c r="B194" i="73"/>
  <c r="A194" i="73"/>
  <c r="F193" i="73"/>
  <c r="E193" i="73"/>
  <c r="C193" i="73"/>
  <c r="B193" i="73"/>
  <c r="A193" i="73"/>
  <c r="F192" i="73"/>
  <c r="E192" i="73"/>
  <c r="C192" i="73"/>
  <c r="B192" i="73"/>
  <c r="A192" i="73"/>
  <c r="F191" i="73"/>
  <c r="E191" i="73"/>
  <c r="C191" i="73"/>
  <c r="B191" i="73"/>
  <c r="A191" i="73"/>
  <c r="F190" i="73"/>
  <c r="E190" i="73"/>
  <c r="C190" i="73"/>
  <c r="B190" i="73"/>
  <c r="A190" i="73"/>
  <c r="F189" i="73"/>
  <c r="E189" i="73"/>
  <c r="C189" i="73"/>
  <c r="B189" i="73"/>
  <c r="A189" i="73"/>
  <c r="F188" i="73"/>
  <c r="E188" i="73"/>
  <c r="C188" i="73"/>
  <c r="B188" i="73"/>
  <c r="A188" i="73"/>
  <c r="F187" i="73"/>
  <c r="E187" i="73"/>
  <c r="C187" i="73"/>
  <c r="B187" i="73"/>
  <c r="A187" i="73"/>
  <c r="F186" i="73"/>
  <c r="E186" i="73"/>
  <c r="C186" i="73"/>
  <c r="B186" i="73"/>
  <c r="A186" i="73"/>
  <c r="F185" i="73"/>
  <c r="E185" i="73"/>
  <c r="C185" i="73"/>
  <c r="B185" i="73"/>
  <c r="A185" i="73"/>
  <c r="F184" i="73"/>
  <c r="E184" i="73"/>
  <c r="C184" i="73"/>
  <c r="B184" i="73"/>
  <c r="A184" i="73"/>
  <c r="F183" i="73"/>
  <c r="E183" i="73"/>
  <c r="C183" i="73"/>
  <c r="B183" i="73"/>
  <c r="A183" i="73"/>
  <c r="F182" i="73"/>
  <c r="E182" i="73"/>
  <c r="C182" i="73"/>
  <c r="B182" i="73"/>
  <c r="A182" i="73"/>
  <c r="F181" i="73"/>
  <c r="E181" i="73"/>
  <c r="C181" i="73"/>
  <c r="B181" i="73"/>
  <c r="A181" i="73"/>
  <c r="F180" i="73"/>
  <c r="E180" i="73"/>
  <c r="C180" i="73"/>
  <c r="B180" i="73"/>
  <c r="A180" i="73"/>
  <c r="F179" i="73"/>
  <c r="E179" i="73"/>
  <c r="C179" i="73"/>
  <c r="B179" i="73"/>
  <c r="A179" i="73"/>
  <c r="F178" i="73"/>
  <c r="E178" i="73"/>
  <c r="C178" i="73"/>
  <c r="B178" i="73"/>
  <c r="A178" i="73"/>
  <c r="F177" i="73"/>
  <c r="E177" i="73"/>
  <c r="C177" i="73"/>
  <c r="B177" i="73"/>
  <c r="A177" i="73"/>
  <c r="F176" i="73"/>
  <c r="E176" i="73"/>
  <c r="C176" i="73"/>
  <c r="B176" i="73"/>
  <c r="A176" i="73"/>
  <c r="F175" i="73"/>
  <c r="E175" i="73"/>
  <c r="C175" i="73"/>
  <c r="B175" i="73"/>
  <c r="A175" i="73"/>
  <c r="F174" i="73"/>
  <c r="E174" i="73"/>
  <c r="C174" i="73"/>
  <c r="B174" i="73"/>
  <c r="A174" i="73"/>
  <c r="F173" i="73"/>
  <c r="E173" i="73"/>
  <c r="C173" i="73"/>
  <c r="B173" i="73"/>
  <c r="A173" i="73"/>
  <c r="I171" i="73"/>
  <c r="J171" i="73" s="1"/>
  <c r="K171" i="73" s="1"/>
  <c r="L171" i="73" s="1"/>
  <c r="M171" i="73" s="1"/>
  <c r="N171" i="73" s="1"/>
  <c r="O171" i="73" s="1"/>
  <c r="P171" i="73" s="1"/>
  <c r="Q171" i="73" s="1"/>
  <c r="R171" i="73" s="1"/>
  <c r="S171" i="73" s="1"/>
  <c r="T171" i="73" s="1"/>
  <c r="U171" i="73" s="1"/>
  <c r="V171" i="73" s="1"/>
  <c r="W171" i="73" s="1"/>
  <c r="X171" i="73" s="1"/>
  <c r="Y171" i="73" s="1"/>
  <c r="Z171" i="73" s="1"/>
  <c r="AA171" i="73" s="1"/>
  <c r="AB171" i="73" s="1"/>
  <c r="AC171" i="73" s="1"/>
  <c r="AD171" i="73" s="1"/>
  <c r="AE171" i="73" s="1"/>
  <c r="AF171" i="73" s="1"/>
  <c r="AG171" i="73" s="1"/>
  <c r="AH171" i="73" s="1"/>
  <c r="AI171" i="73" s="1"/>
  <c r="AJ171" i="73" s="1"/>
  <c r="AK171" i="73" s="1"/>
  <c r="AL171" i="73" s="1"/>
  <c r="AM171" i="73" s="1"/>
  <c r="AN171" i="73" s="1"/>
  <c r="AO171" i="73" s="1"/>
  <c r="AP171" i="73" s="1"/>
  <c r="AQ171" i="73" s="1"/>
  <c r="AR171" i="73" s="1"/>
  <c r="AS171" i="73" s="1"/>
  <c r="AT171" i="73" s="1"/>
  <c r="AU171" i="73" s="1"/>
  <c r="AV171" i="73" s="1"/>
  <c r="AW171" i="73" s="1"/>
  <c r="AX171" i="73" s="1"/>
  <c r="AY171" i="73" s="1"/>
  <c r="AZ171" i="73" s="1"/>
  <c r="I168" i="73"/>
  <c r="J168" i="73" s="1"/>
  <c r="K168" i="73" s="1"/>
  <c r="L168" i="73" s="1"/>
  <c r="M168" i="73" s="1"/>
  <c r="N168" i="73" s="1"/>
  <c r="O168" i="73" s="1"/>
  <c r="P168" i="73" s="1"/>
  <c r="Q168" i="73" s="1"/>
  <c r="R168" i="73" s="1"/>
  <c r="S168" i="73" s="1"/>
  <c r="T168" i="73" s="1"/>
  <c r="U168" i="73" s="1"/>
  <c r="V168" i="73" s="1"/>
  <c r="W168" i="73" s="1"/>
  <c r="X168" i="73" s="1"/>
  <c r="Y168" i="73" s="1"/>
  <c r="Z168" i="73" s="1"/>
  <c r="AA168" i="73" s="1"/>
  <c r="AB168" i="73" s="1"/>
  <c r="AC168" i="73" s="1"/>
  <c r="AD168" i="73" s="1"/>
  <c r="AE168" i="73" s="1"/>
  <c r="AF168" i="73" s="1"/>
  <c r="AG168" i="73" s="1"/>
  <c r="AH168" i="73" s="1"/>
  <c r="AI168" i="73" s="1"/>
  <c r="AJ168" i="73" s="1"/>
  <c r="AK168" i="73" s="1"/>
  <c r="AL168" i="73" s="1"/>
  <c r="AM168" i="73" s="1"/>
  <c r="AN168" i="73" s="1"/>
  <c r="AO168" i="73" s="1"/>
  <c r="AP168" i="73" s="1"/>
  <c r="AQ168" i="73" s="1"/>
  <c r="AR168" i="73" s="1"/>
  <c r="AS168" i="73" s="1"/>
  <c r="AT168" i="73" s="1"/>
  <c r="AU168" i="73" s="1"/>
  <c r="AV168" i="73" s="1"/>
  <c r="AW168" i="73" s="1"/>
  <c r="AX168" i="73" s="1"/>
  <c r="AY168" i="73" s="1"/>
  <c r="AZ168" i="73" s="1"/>
  <c r="AZ167" i="73"/>
  <c r="AY167" i="73"/>
  <c r="AX167" i="73"/>
  <c r="AW167" i="73"/>
  <c r="AV167" i="73"/>
  <c r="AU167" i="73"/>
  <c r="AT167" i="73"/>
  <c r="AS167" i="73"/>
  <c r="AR167" i="73"/>
  <c r="AQ167" i="73"/>
  <c r="AP167" i="73"/>
  <c r="AO167" i="73"/>
  <c r="AN167" i="73"/>
  <c r="AM167" i="73"/>
  <c r="AL167" i="73"/>
  <c r="AK167" i="73"/>
  <c r="AJ167" i="73"/>
  <c r="AI167" i="73"/>
  <c r="AH167" i="73"/>
  <c r="AG167" i="73"/>
  <c r="AF167" i="73"/>
  <c r="AE167" i="73"/>
  <c r="AD167" i="73"/>
  <c r="AC167" i="73"/>
  <c r="AB167" i="73"/>
  <c r="AA167" i="73"/>
  <c r="Z167" i="73"/>
  <c r="Y167" i="73"/>
  <c r="X167" i="73"/>
  <c r="W167" i="73"/>
  <c r="V167" i="73"/>
  <c r="U167" i="73"/>
  <c r="T167" i="73"/>
  <c r="S167" i="73"/>
  <c r="R167" i="73"/>
  <c r="Q167" i="73"/>
  <c r="P167" i="73"/>
  <c r="O167" i="73"/>
  <c r="N167" i="73"/>
  <c r="M167" i="73"/>
  <c r="L167" i="73"/>
  <c r="K167" i="73"/>
  <c r="J167" i="73"/>
  <c r="I167" i="73"/>
  <c r="H167" i="73"/>
  <c r="AZ165" i="73"/>
  <c r="AY165" i="73"/>
  <c r="AX165" i="73"/>
  <c r="AW165" i="73"/>
  <c r="AV165" i="73"/>
  <c r="AU165" i="73"/>
  <c r="AT165" i="73"/>
  <c r="AS165" i="73"/>
  <c r="AR165" i="73"/>
  <c r="AQ165" i="73"/>
  <c r="AP165" i="73"/>
  <c r="AO165" i="73"/>
  <c r="AN165" i="73"/>
  <c r="AM165" i="73"/>
  <c r="AL165" i="73"/>
  <c r="AK165" i="73"/>
  <c r="AJ165" i="73"/>
  <c r="AI165" i="73"/>
  <c r="AH165" i="73"/>
  <c r="AG165" i="73"/>
  <c r="AF165" i="73"/>
  <c r="AE165" i="73"/>
  <c r="AD165" i="73"/>
  <c r="AC165" i="73"/>
  <c r="AB165" i="73"/>
  <c r="AA165" i="73"/>
  <c r="Z165" i="73"/>
  <c r="Y165" i="73"/>
  <c r="X165" i="73"/>
  <c r="W165" i="73"/>
  <c r="V165" i="73"/>
  <c r="U165" i="73"/>
  <c r="T165" i="73"/>
  <c r="S165" i="73"/>
  <c r="R165" i="73"/>
  <c r="Q165" i="73"/>
  <c r="P165" i="73"/>
  <c r="O165" i="73"/>
  <c r="N165" i="73"/>
  <c r="M165" i="73"/>
  <c r="L165" i="73"/>
  <c r="K165" i="73"/>
  <c r="J165" i="73"/>
  <c r="I165" i="73"/>
  <c r="H165" i="73"/>
  <c r="AZ163" i="73"/>
  <c r="AY163" i="73"/>
  <c r="AX163" i="73"/>
  <c r="AW163" i="73"/>
  <c r="AV163" i="73"/>
  <c r="AU163" i="73"/>
  <c r="AT163" i="73"/>
  <c r="AS163" i="73"/>
  <c r="AR163" i="73"/>
  <c r="AQ163" i="73"/>
  <c r="AP163" i="73"/>
  <c r="AO163" i="73"/>
  <c r="AN163" i="73"/>
  <c r="AM163" i="73"/>
  <c r="AL163" i="73"/>
  <c r="AK163" i="73"/>
  <c r="AJ163" i="73"/>
  <c r="AI163" i="73"/>
  <c r="AH163" i="73"/>
  <c r="AG163" i="73"/>
  <c r="AF163" i="73"/>
  <c r="AE163" i="73"/>
  <c r="AD163" i="73"/>
  <c r="AC163" i="73"/>
  <c r="AB163" i="73"/>
  <c r="AA163" i="73"/>
  <c r="Z163" i="73"/>
  <c r="Y163" i="73"/>
  <c r="X163" i="73"/>
  <c r="W163" i="73"/>
  <c r="V163" i="73"/>
  <c r="U163" i="73"/>
  <c r="T163" i="73"/>
  <c r="S163" i="73"/>
  <c r="R163" i="73"/>
  <c r="Q163" i="73"/>
  <c r="P163" i="73"/>
  <c r="O163" i="73"/>
  <c r="N163" i="73"/>
  <c r="M163" i="73"/>
  <c r="L163" i="73"/>
  <c r="K163" i="73"/>
  <c r="J163" i="73"/>
  <c r="I163" i="73"/>
  <c r="H163" i="73"/>
  <c r="AZ161" i="73"/>
  <c r="AY161" i="73"/>
  <c r="AX161" i="73"/>
  <c r="AW161" i="73"/>
  <c r="AV161" i="73"/>
  <c r="AU161" i="73"/>
  <c r="AT161" i="73"/>
  <c r="AS161" i="73"/>
  <c r="AR161" i="73"/>
  <c r="AQ161" i="73"/>
  <c r="AP161" i="73"/>
  <c r="AO161" i="73"/>
  <c r="AN161" i="73"/>
  <c r="AM161" i="73"/>
  <c r="AL161" i="73"/>
  <c r="AK161" i="73"/>
  <c r="AJ161" i="73"/>
  <c r="AI161" i="73"/>
  <c r="AH161" i="73"/>
  <c r="AG161" i="73"/>
  <c r="AF161" i="73"/>
  <c r="AE161" i="73"/>
  <c r="AD161" i="73"/>
  <c r="AC161" i="73"/>
  <c r="AB161" i="73"/>
  <c r="AA161" i="73"/>
  <c r="Z161" i="73"/>
  <c r="Y161" i="73"/>
  <c r="X161" i="73"/>
  <c r="W161" i="73"/>
  <c r="V161" i="73"/>
  <c r="U161" i="73"/>
  <c r="T161" i="73"/>
  <c r="S161" i="73"/>
  <c r="R161" i="73"/>
  <c r="Q161" i="73"/>
  <c r="P161" i="73"/>
  <c r="O161" i="73"/>
  <c r="N161" i="73"/>
  <c r="M161" i="73"/>
  <c r="L161" i="73"/>
  <c r="K161" i="73"/>
  <c r="J161" i="73"/>
  <c r="I161" i="73"/>
  <c r="H161" i="73"/>
  <c r="AZ159" i="73"/>
  <c r="AY159" i="73"/>
  <c r="AX159" i="73"/>
  <c r="AW159" i="73"/>
  <c r="AV159" i="73"/>
  <c r="AU159" i="73"/>
  <c r="AT159" i="73"/>
  <c r="AS159" i="73"/>
  <c r="AR159" i="73"/>
  <c r="AQ159" i="73"/>
  <c r="AP159" i="73"/>
  <c r="AO159" i="73"/>
  <c r="AN159" i="73"/>
  <c r="AM159" i="73"/>
  <c r="AL159" i="73"/>
  <c r="AK159" i="73"/>
  <c r="AJ159" i="73"/>
  <c r="AI159" i="73"/>
  <c r="AH159" i="73"/>
  <c r="AG159" i="73"/>
  <c r="AF159" i="73"/>
  <c r="AE159" i="73"/>
  <c r="AD159" i="73"/>
  <c r="AC159" i="73"/>
  <c r="AB159" i="73"/>
  <c r="AA159" i="73"/>
  <c r="Z159" i="73"/>
  <c r="Y159" i="73"/>
  <c r="X159" i="73"/>
  <c r="W159" i="73"/>
  <c r="V159" i="73"/>
  <c r="U159" i="73"/>
  <c r="T159" i="73"/>
  <c r="S159" i="73"/>
  <c r="R159" i="73"/>
  <c r="Q159" i="73"/>
  <c r="P159" i="73"/>
  <c r="O159" i="73"/>
  <c r="N159" i="73"/>
  <c r="M159" i="73"/>
  <c r="L159" i="73"/>
  <c r="K159" i="73"/>
  <c r="J159" i="73"/>
  <c r="I159" i="73"/>
  <c r="H159" i="73"/>
  <c r="AZ157" i="73"/>
  <c r="AY157" i="73"/>
  <c r="AX157" i="73"/>
  <c r="AW157" i="73"/>
  <c r="AV157" i="73"/>
  <c r="AU157" i="73"/>
  <c r="AT157" i="73"/>
  <c r="AS157" i="73"/>
  <c r="AR157" i="73"/>
  <c r="AQ157" i="73"/>
  <c r="AP157" i="73"/>
  <c r="AO157" i="73"/>
  <c r="AN157" i="73"/>
  <c r="AM157" i="73"/>
  <c r="AL157" i="73"/>
  <c r="AK157" i="73"/>
  <c r="AJ157" i="73"/>
  <c r="AI157" i="73"/>
  <c r="AH157" i="73"/>
  <c r="AG157" i="73"/>
  <c r="AF157" i="73"/>
  <c r="AE157" i="73"/>
  <c r="AD157" i="73"/>
  <c r="AC157" i="73"/>
  <c r="AB157" i="73"/>
  <c r="AA157" i="73"/>
  <c r="Z157" i="73"/>
  <c r="Y157" i="73"/>
  <c r="X157" i="73"/>
  <c r="W157" i="73"/>
  <c r="V157" i="73"/>
  <c r="U157" i="73"/>
  <c r="T157" i="73"/>
  <c r="S157" i="73"/>
  <c r="R157" i="73"/>
  <c r="Q157" i="73"/>
  <c r="P157" i="73"/>
  <c r="O157" i="73"/>
  <c r="N157" i="73"/>
  <c r="M157" i="73"/>
  <c r="L157" i="73"/>
  <c r="K157" i="73"/>
  <c r="J157" i="73"/>
  <c r="I157" i="73"/>
  <c r="H157" i="73"/>
  <c r="F155" i="73"/>
  <c r="E155" i="73"/>
  <c r="C155" i="73"/>
  <c r="B155" i="73"/>
  <c r="A155" i="73"/>
  <c r="F154" i="73"/>
  <c r="E154" i="73"/>
  <c r="C154" i="73"/>
  <c r="B154" i="73"/>
  <c r="A154" i="73"/>
  <c r="F153" i="73"/>
  <c r="E153" i="73"/>
  <c r="C153" i="73"/>
  <c r="B153" i="73"/>
  <c r="A153" i="73"/>
  <c r="F152" i="73"/>
  <c r="E152" i="73"/>
  <c r="C152" i="73"/>
  <c r="B152" i="73"/>
  <c r="A152" i="73"/>
  <c r="F151" i="73"/>
  <c r="E151" i="73"/>
  <c r="C151" i="73"/>
  <c r="B151" i="73"/>
  <c r="A151" i="73"/>
  <c r="F150" i="73"/>
  <c r="E150" i="73"/>
  <c r="C150" i="73"/>
  <c r="B150" i="73"/>
  <c r="A150" i="73"/>
  <c r="F149" i="73"/>
  <c r="E149" i="73"/>
  <c r="C149" i="73"/>
  <c r="B149" i="73"/>
  <c r="A149" i="73"/>
  <c r="F148" i="73"/>
  <c r="E148" i="73"/>
  <c r="C148" i="73"/>
  <c r="B148" i="73"/>
  <c r="A148" i="73"/>
  <c r="F147" i="73"/>
  <c r="E147" i="73"/>
  <c r="C147" i="73"/>
  <c r="B147" i="73"/>
  <c r="A147" i="73"/>
  <c r="F146" i="73"/>
  <c r="E146" i="73"/>
  <c r="C146" i="73"/>
  <c r="B146" i="73"/>
  <c r="A146" i="73"/>
  <c r="F145" i="73"/>
  <c r="E145" i="73"/>
  <c r="C145" i="73"/>
  <c r="B145" i="73"/>
  <c r="A145" i="73"/>
  <c r="F144" i="73"/>
  <c r="E144" i="73"/>
  <c r="C144" i="73"/>
  <c r="B144" i="73"/>
  <c r="A144" i="73"/>
  <c r="F143" i="73"/>
  <c r="E143" i="73"/>
  <c r="C143" i="73"/>
  <c r="B143" i="73"/>
  <c r="A143" i="73"/>
  <c r="F142" i="73"/>
  <c r="E142" i="73"/>
  <c r="C142" i="73"/>
  <c r="B142" i="73"/>
  <c r="A142" i="73"/>
  <c r="F141" i="73"/>
  <c r="E141" i="73"/>
  <c r="C141" i="73"/>
  <c r="B141" i="73"/>
  <c r="A141" i="73"/>
  <c r="F140" i="73"/>
  <c r="E140" i="73"/>
  <c r="C140" i="73"/>
  <c r="B140" i="73"/>
  <c r="A140" i="73"/>
  <c r="F139" i="73"/>
  <c r="E139" i="73"/>
  <c r="C139" i="73"/>
  <c r="B139" i="73"/>
  <c r="A139" i="73"/>
  <c r="F138" i="73"/>
  <c r="E138" i="73"/>
  <c r="C138" i="73"/>
  <c r="B138" i="73"/>
  <c r="A138" i="73"/>
  <c r="F137" i="73"/>
  <c r="E137" i="73"/>
  <c r="C137" i="73"/>
  <c r="B137" i="73"/>
  <c r="A137" i="73"/>
  <c r="F136" i="73"/>
  <c r="E136" i="73"/>
  <c r="C136" i="73"/>
  <c r="B136" i="73"/>
  <c r="A136" i="73"/>
  <c r="F135" i="73"/>
  <c r="E135" i="73"/>
  <c r="C135" i="73"/>
  <c r="B135" i="73"/>
  <c r="A135" i="73"/>
  <c r="F134" i="73"/>
  <c r="E134" i="73"/>
  <c r="C134" i="73"/>
  <c r="B134" i="73"/>
  <c r="A134" i="73"/>
  <c r="F133" i="73"/>
  <c r="E133" i="73"/>
  <c r="C133" i="73"/>
  <c r="B133" i="73"/>
  <c r="A133" i="73"/>
  <c r="F132" i="73"/>
  <c r="E132" i="73"/>
  <c r="C132" i="73"/>
  <c r="B132" i="73"/>
  <c r="A132" i="73"/>
  <c r="F131" i="73"/>
  <c r="E131" i="73"/>
  <c r="C131" i="73"/>
  <c r="B131" i="73"/>
  <c r="A131" i="73"/>
  <c r="F130" i="73"/>
  <c r="E130" i="73"/>
  <c r="C130" i="73"/>
  <c r="B130" i="73"/>
  <c r="A130" i="73"/>
  <c r="F129" i="73"/>
  <c r="E129" i="73"/>
  <c r="C129" i="73"/>
  <c r="B129" i="73"/>
  <c r="A129" i="73"/>
  <c r="F128" i="73"/>
  <c r="E128" i="73"/>
  <c r="C128" i="73"/>
  <c r="B128" i="73"/>
  <c r="A128" i="73"/>
  <c r="F127" i="73"/>
  <c r="E127" i="73"/>
  <c r="C127" i="73"/>
  <c r="B127" i="73"/>
  <c r="A127" i="73"/>
  <c r="F126" i="73"/>
  <c r="E126" i="73"/>
  <c r="C126" i="73"/>
  <c r="B126" i="73"/>
  <c r="A126" i="73"/>
  <c r="F125" i="73"/>
  <c r="E125" i="73"/>
  <c r="C125" i="73"/>
  <c r="B125" i="73"/>
  <c r="A125" i="73"/>
  <c r="F124" i="73"/>
  <c r="E124" i="73"/>
  <c r="C124" i="73"/>
  <c r="B124" i="73"/>
  <c r="A124" i="73"/>
  <c r="F123" i="73"/>
  <c r="E123" i="73"/>
  <c r="C123" i="73"/>
  <c r="B123" i="73"/>
  <c r="A123" i="73"/>
  <c r="F122" i="73"/>
  <c r="E122" i="73"/>
  <c r="C122" i="73"/>
  <c r="B122" i="73"/>
  <c r="A122" i="73"/>
  <c r="F121" i="73"/>
  <c r="E121" i="73"/>
  <c r="C121" i="73"/>
  <c r="B121" i="73"/>
  <c r="A121" i="73"/>
  <c r="F120" i="73"/>
  <c r="E120" i="73"/>
  <c r="C120" i="73"/>
  <c r="B120" i="73"/>
  <c r="A120" i="73"/>
  <c r="F119" i="73"/>
  <c r="E119" i="73"/>
  <c r="C119" i="73"/>
  <c r="B119" i="73"/>
  <c r="A119" i="73"/>
  <c r="F118" i="73"/>
  <c r="E118" i="73"/>
  <c r="C118" i="73"/>
  <c r="B118" i="73"/>
  <c r="A118" i="73"/>
  <c r="F117" i="73"/>
  <c r="E117" i="73"/>
  <c r="C117" i="73"/>
  <c r="B117" i="73"/>
  <c r="A117" i="73"/>
  <c r="F116" i="73"/>
  <c r="E116" i="73"/>
  <c r="C116" i="73"/>
  <c r="B116" i="73"/>
  <c r="A116" i="73"/>
  <c r="F115" i="73"/>
  <c r="E115" i="73"/>
  <c r="C115" i="73"/>
  <c r="B115" i="73"/>
  <c r="A115" i="73"/>
  <c r="F114" i="73"/>
  <c r="E114" i="73"/>
  <c r="C114" i="73"/>
  <c r="B114" i="73"/>
  <c r="A114" i="73"/>
  <c r="F113" i="73"/>
  <c r="E113" i="73"/>
  <c r="C113" i="73"/>
  <c r="B113" i="73"/>
  <c r="A113" i="73"/>
  <c r="F112" i="73"/>
  <c r="E112" i="73"/>
  <c r="C112" i="73"/>
  <c r="B112" i="73"/>
  <c r="A112" i="73"/>
  <c r="F111" i="73"/>
  <c r="E111" i="73"/>
  <c r="C111" i="73"/>
  <c r="B111" i="73"/>
  <c r="A111" i="73"/>
  <c r="F110" i="73"/>
  <c r="E110" i="73"/>
  <c r="C110" i="73"/>
  <c r="B110" i="73"/>
  <c r="A110" i="73"/>
  <c r="F109" i="73"/>
  <c r="E109" i="73"/>
  <c r="C109" i="73"/>
  <c r="B109" i="73"/>
  <c r="A109" i="73"/>
  <c r="F108" i="73"/>
  <c r="E108" i="73"/>
  <c r="C108" i="73"/>
  <c r="B108" i="73"/>
  <c r="A108" i="73"/>
  <c r="F107" i="73"/>
  <c r="E107" i="73"/>
  <c r="C107" i="73"/>
  <c r="B107" i="73"/>
  <c r="A107" i="73"/>
  <c r="F106" i="73"/>
  <c r="E106" i="73"/>
  <c r="C106" i="73"/>
  <c r="B106" i="73"/>
  <c r="A106" i="73"/>
  <c r="F105" i="73"/>
  <c r="E105" i="73"/>
  <c r="C105" i="73"/>
  <c r="B105" i="73"/>
  <c r="A105" i="73"/>
  <c r="F104" i="73"/>
  <c r="E104" i="73"/>
  <c r="C104" i="73"/>
  <c r="B104" i="73"/>
  <c r="A104" i="73"/>
  <c r="F103" i="73"/>
  <c r="E103" i="73"/>
  <c r="C103" i="73"/>
  <c r="B103" i="73"/>
  <c r="A103" i="73"/>
  <c r="F102" i="73"/>
  <c r="E102" i="73"/>
  <c r="C102" i="73"/>
  <c r="B102" i="73"/>
  <c r="A102" i="73"/>
  <c r="F101" i="73"/>
  <c r="E101" i="73"/>
  <c r="C101" i="73"/>
  <c r="B101" i="73"/>
  <c r="A101" i="73"/>
  <c r="F100" i="73"/>
  <c r="E100" i="73"/>
  <c r="C100" i="73"/>
  <c r="B100" i="73"/>
  <c r="A100" i="73"/>
  <c r="F99" i="73"/>
  <c r="E99" i="73"/>
  <c r="C99" i="73"/>
  <c r="B99" i="73"/>
  <c r="A99" i="73"/>
  <c r="F98" i="73"/>
  <c r="E98" i="73"/>
  <c r="C98" i="73"/>
  <c r="B98" i="73"/>
  <c r="A98" i="73"/>
  <c r="F97" i="73"/>
  <c r="E97" i="73"/>
  <c r="C97" i="73"/>
  <c r="B97" i="73"/>
  <c r="A97" i="73"/>
  <c r="F96" i="73"/>
  <c r="E96" i="73"/>
  <c r="C96" i="73"/>
  <c r="B96" i="73"/>
  <c r="A96" i="73"/>
  <c r="F95" i="73"/>
  <c r="E95" i="73"/>
  <c r="C95" i="73"/>
  <c r="B95" i="73"/>
  <c r="A95" i="73"/>
  <c r="F94" i="73"/>
  <c r="E94" i="73"/>
  <c r="C94" i="73"/>
  <c r="B94" i="73"/>
  <c r="A94" i="73"/>
  <c r="F93" i="73"/>
  <c r="E93" i="73"/>
  <c r="C93" i="73"/>
  <c r="B93" i="73"/>
  <c r="A93" i="73"/>
  <c r="F92" i="73"/>
  <c r="E92" i="73"/>
  <c r="C92" i="73"/>
  <c r="B92" i="73"/>
  <c r="A92" i="73"/>
  <c r="F91" i="73"/>
  <c r="E91" i="73"/>
  <c r="C91" i="73"/>
  <c r="B91" i="73"/>
  <c r="A91" i="73"/>
  <c r="I89" i="73"/>
  <c r="J89" i="73" s="1"/>
  <c r="K89" i="73" s="1"/>
  <c r="L89" i="73" s="1"/>
  <c r="M89" i="73" s="1"/>
  <c r="N89" i="73" s="1"/>
  <c r="O89" i="73" s="1"/>
  <c r="P89" i="73" s="1"/>
  <c r="Q89" i="73" s="1"/>
  <c r="R89" i="73" s="1"/>
  <c r="S89" i="73" s="1"/>
  <c r="T89" i="73" s="1"/>
  <c r="U89" i="73" s="1"/>
  <c r="V89" i="73" s="1"/>
  <c r="W89" i="73" s="1"/>
  <c r="X89" i="73" s="1"/>
  <c r="Y89" i="73" s="1"/>
  <c r="Z89" i="73" s="1"/>
  <c r="AA89" i="73" s="1"/>
  <c r="AB89" i="73" s="1"/>
  <c r="AC89" i="73" s="1"/>
  <c r="AD89" i="73" s="1"/>
  <c r="AE89" i="73" s="1"/>
  <c r="AF89" i="73" s="1"/>
  <c r="AG89" i="73" s="1"/>
  <c r="AH89" i="73" s="1"/>
  <c r="AI89" i="73" s="1"/>
  <c r="AJ89" i="73" s="1"/>
  <c r="AK89" i="73" s="1"/>
  <c r="AL89" i="73" s="1"/>
  <c r="AM89" i="73" s="1"/>
  <c r="AN89" i="73" s="1"/>
  <c r="AO89" i="73" s="1"/>
  <c r="AP89" i="73" s="1"/>
  <c r="AQ89" i="73" s="1"/>
  <c r="AR89" i="73" s="1"/>
  <c r="AS89" i="73" s="1"/>
  <c r="AT89" i="73" s="1"/>
  <c r="AU89" i="73" s="1"/>
  <c r="AV89" i="73" s="1"/>
  <c r="AW89" i="73" s="1"/>
  <c r="AX89" i="73" s="1"/>
  <c r="AY89" i="73" s="1"/>
  <c r="AZ89" i="73" s="1"/>
  <c r="I86" i="73"/>
  <c r="J86" i="73" s="1"/>
  <c r="K86" i="73" s="1"/>
  <c r="L86" i="73" s="1"/>
  <c r="M86" i="73" s="1"/>
  <c r="N86" i="73" s="1"/>
  <c r="O86" i="73" s="1"/>
  <c r="P86" i="73" s="1"/>
  <c r="Q86" i="73" s="1"/>
  <c r="R86" i="73" s="1"/>
  <c r="S86" i="73" s="1"/>
  <c r="T86" i="73" s="1"/>
  <c r="U86" i="73" s="1"/>
  <c r="V86" i="73" s="1"/>
  <c r="W86" i="73" s="1"/>
  <c r="X86" i="73" s="1"/>
  <c r="Y86" i="73" s="1"/>
  <c r="Z86" i="73" s="1"/>
  <c r="AA86" i="73" s="1"/>
  <c r="AB86" i="73" s="1"/>
  <c r="AC86" i="73" s="1"/>
  <c r="AD86" i="73" s="1"/>
  <c r="AE86" i="73" s="1"/>
  <c r="AF86" i="73" s="1"/>
  <c r="AG86" i="73" s="1"/>
  <c r="AH86" i="73" s="1"/>
  <c r="AI86" i="73" s="1"/>
  <c r="AJ86" i="73" s="1"/>
  <c r="AK86" i="73" s="1"/>
  <c r="AL86" i="73" s="1"/>
  <c r="AM86" i="73" s="1"/>
  <c r="AN86" i="73" s="1"/>
  <c r="AO86" i="73" s="1"/>
  <c r="AP86" i="73" s="1"/>
  <c r="AQ86" i="73" s="1"/>
  <c r="AR86" i="73" s="1"/>
  <c r="AS86" i="73" s="1"/>
  <c r="AT86" i="73" s="1"/>
  <c r="AU86" i="73" s="1"/>
  <c r="AV86" i="73" s="1"/>
  <c r="AW86" i="73" s="1"/>
  <c r="AX86" i="73" s="1"/>
  <c r="AY86" i="73" s="1"/>
  <c r="AZ86" i="73" s="1"/>
  <c r="AZ85" i="73"/>
  <c r="AY85" i="73"/>
  <c r="AX85" i="73"/>
  <c r="AW85" i="73"/>
  <c r="AV85" i="73"/>
  <c r="AU85" i="73"/>
  <c r="AT85" i="73"/>
  <c r="AS85" i="73"/>
  <c r="AR85" i="73"/>
  <c r="AQ85" i="73"/>
  <c r="AP85" i="73"/>
  <c r="AO85" i="73"/>
  <c r="AN85" i="73"/>
  <c r="AM85" i="73"/>
  <c r="AL85" i="73"/>
  <c r="AK85" i="73"/>
  <c r="AJ85" i="73"/>
  <c r="AI85" i="73"/>
  <c r="AH85" i="73"/>
  <c r="AG85" i="73"/>
  <c r="AF85" i="73"/>
  <c r="AE85" i="73"/>
  <c r="AD85" i="73"/>
  <c r="AC85" i="73"/>
  <c r="AB85" i="73"/>
  <c r="AA85" i="73"/>
  <c r="Z85" i="73"/>
  <c r="Y85" i="73"/>
  <c r="X85" i="73"/>
  <c r="W85" i="73"/>
  <c r="V85" i="73"/>
  <c r="U85" i="73"/>
  <c r="T85" i="73"/>
  <c r="S85" i="73"/>
  <c r="R85" i="73"/>
  <c r="Q85" i="73"/>
  <c r="P85" i="73"/>
  <c r="O85" i="73"/>
  <c r="N85" i="73"/>
  <c r="M85" i="73"/>
  <c r="L85" i="73"/>
  <c r="K85" i="73"/>
  <c r="J85" i="73"/>
  <c r="I85" i="73"/>
  <c r="H85" i="73"/>
  <c r="AZ83" i="73"/>
  <c r="AY83" i="73"/>
  <c r="AX83" i="73"/>
  <c r="AW83" i="73"/>
  <c r="AV83" i="73"/>
  <c r="AU83" i="73"/>
  <c r="AT83" i="73"/>
  <c r="AS83" i="73"/>
  <c r="AR83" i="73"/>
  <c r="AQ83" i="73"/>
  <c r="AP83" i="73"/>
  <c r="AO83" i="73"/>
  <c r="AN83" i="73"/>
  <c r="AM83" i="73"/>
  <c r="AL83" i="73"/>
  <c r="AK83" i="73"/>
  <c r="AJ83" i="73"/>
  <c r="AI83" i="73"/>
  <c r="AH83" i="73"/>
  <c r="AG83" i="73"/>
  <c r="AF83" i="73"/>
  <c r="AE83" i="73"/>
  <c r="AD83" i="73"/>
  <c r="AC83" i="73"/>
  <c r="AB83" i="73"/>
  <c r="AA83" i="73"/>
  <c r="Z83" i="73"/>
  <c r="Y83" i="73"/>
  <c r="X83" i="73"/>
  <c r="W83" i="73"/>
  <c r="V83" i="73"/>
  <c r="U83" i="73"/>
  <c r="T83" i="73"/>
  <c r="S83" i="73"/>
  <c r="R83" i="73"/>
  <c r="Q83" i="73"/>
  <c r="P83" i="73"/>
  <c r="O83" i="73"/>
  <c r="N83" i="73"/>
  <c r="M83" i="73"/>
  <c r="L83" i="73"/>
  <c r="K83" i="73"/>
  <c r="J83" i="73"/>
  <c r="I83" i="73"/>
  <c r="H83" i="73"/>
  <c r="AZ81" i="73"/>
  <c r="AY81" i="73"/>
  <c r="AX81" i="73"/>
  <c r="AW81" i="73"/>
  <c r="AV81" i="73"/>
  <c r="AU81" i="73"/>
  <c r="AT81" i="73"/>
  <c r="AS81" i="73"/>
  <c r="AR81" i="73"/>
  <c r="AQ81" i="73"/>
  <c r="AP81" i="73"/>
  <c r="AO81" i="73"/>
  <c r="AN81" i="73"/>
  <c r="AM81" i="73"/>
  <c r="AL81" i="73"/>
  <c r="AK81" i="73"/>
  <c r="AJ81" i="73"/>
  <c r="AI81" i="73"/>
  <c r="AH81" i="73"/>
  <c r="AG81" i="73"/>
  <c r="AF81" i="73"/>
  <c r="AE81" i="73"/>
  <c r="AD81" i="73"/>
  <c r="AC81" i="73"/>
  <c r="AB81" i="73"/>
  <c r="AA81" i="73"/>
  <c r="Z81" i="73"/>
  <c r="Y81" i="73"/>
  <c r="X81" i="73"/>
  <c r="W81" i="73"/>
  <c r="V81" i="73"/>
  <c r="U81" i="73"/>
  <c r="T81" i="73"/>
  <c r="S81" i="73"/>
  <c r="R81" i="73"/>
  <c r="Q81" i="73"/>
  <c r="P81" i="73"/>
  <c r="O81" i="73"/>
  <c r="N81" i="73"/>
  <c r="M81" i="73"/>
  <c r="L81" i="73"/>
  <c r="K81" i="73"/>
  <c r="J81" i="73"/>
  <c r="I81" i="73"/>
  <c r="H81" i="73"/>
  <c r="AZ79" i="73"/>
  <c r="AY79" i="73"/>
  <c r="AX79" i="73"/>
  <c r="AW79" i="73"/>
  <c r="AV79" i="73"/>
  <c r="AU79" i="73"/>
  <c r="AT79" i="73"/>
  <c r="AS79" i="73"/>
  <c r="AR79" i="73"/>
  <c r="AQ79" i="73"/>
  <c r="AP79" i="73"/>
  <c r="AO79" i="73"/>
  <c r="AN79" i="73"/>
  <c r="AM79" i="73"/>
  <c r="AL79" i="73"/>
  <c r="AK79" i="73"/>
  <c r="AJ79" i="73"/>
  <c r="AI79" i="73"/>
  <c r="AH79" i="73"/>
  <c r="AG79" i="73"/>
  <c r="AF79" i="73"/>
  <c r="AE79" i="73"/>
  <c r="AD79" i="73"/>
  <c r="AC79" i="73"/>
  <c r="AB79" i="73"/>
  <c r="AA79" i="73"/>
  <c r="Z79" i="73"/>
  <c r="Y79" i="73"/>
  <c r="X79" i="73"/>
  <c r="W79" i="73"/>
  <c r="V79" i="73"/>
  <c r="U79" i="73"/>
  <c r="T79" i="73"/>
  <c r="S79" i="73"/>
  <c r="R79" i="73"/>
  <c r="Q79" i="73"/>
  <c r="P79" i="73"/>
  <c r="O79" i="73"/>
  <c r="N79" i="73"/>
  <c r="M79" i="73"/>
  <c r="L79" i="73"/>
  <c r="K79" i="73"/>
  <c r="J79" i="73"/>
  <c r="I79" i="73"/>
  <c r="H79" i="73"/>
  <c r="AZ77" i="73"/>
  <c r="AY77" i="73"/>
  <c r="AX77" i="73"/>
  <c r="AW77" i="73"/>
  <c r="AV77" i="73"/>
  <c r="AU77" i="73"/>
  <c r="AT77" i="73"/>
  <c r="AS77" i="73"/>
  <c r="AR77" i="73"/>
  <c r="AQ77" i="73"/>
  <c r="AP77" i="73"/>
  <c r="AO77" i="73"/>
  <c r="AN77" i="73"/>
  <c r="AM77" i="73"/>
  <c r="AL77" i="73"/>
  <c r="AK77" i="73"/>
  <c r="AJ77" i="73"/>
  <c r="AI77" i="73"/>
  <c r="AH77" i="73"/>
  <c r="AG77" i="73"/>
  <c r="AF77" i="73"/>
  <c r="AE77" i="73"/>
  <c r="AD77" i="73"/>
  <c r="AC77" i="73"/>
  <c r="AB77" i="73"/>
  <c r="AA77" i="73"/>
  <c r="Z77" i="73"/>
  <c r="Y77" i="73"/>
  <c r="X77" i="73"/>
  <c r="W77" i="73"/>
  <c r="V77" i="73"/>
  <c r="U77" i="73"/>
  <c r="T77" i="73"/>
  <c r="S77" i="73"/>
  <c r="R77" i="73"/>
  <c r="Q77" i="73"/>
  <c r="P77" i="73"/>
  <c r="O77" i="73"/>
  <c r="N77" i="73"/>
  <c r="M77" i="73"/>
  <c r="L77" i="73"/>
  <c r="K77" i="73"/>
  <c r="J77" i="73"/>
  <c r="I77" i="73"/>
  <c r="H77" i="73"/>
  <c r="AZ75" i="73"/>
  <c r="AY75" i="73"/>
  <c r="AX75" i="73"/>
  <c r="AW75" i="73"/>
  <c r="AV75" i="73"/>
  <c r="AU75" i="73"/>
  <c r="AT75" i="73"/>
  <c r="AS75" i="73"/>
  <c r="AR75" i="73"/>
  <c r="AQ75" i="73"/>
  <c r="AP75" i="73"/>
  <c r="AO75" i="73"/>
  <c r="AN75" i="73"/>
  <c r="AM75" i="73"/>
  <c r="AL75" i="73"/>
  <c r="AK75" i="73"/>
  <c r="AJ75" i="73"/>
  <c r="AI75" i="73"/>
  <c r="AH75" i="73"/>
  <c r="AG75" i="73"/>
  <c r="AF75" i="73"/>
  <c r="AE75" i="73"/>
  <c r="AD75" i="73"/>
  <c r="AC75" i="73"/>
  <c r="AB75" i="73"/>
  <c r="AA75" i="73"/>
  <c r="Z75" i="73"/>
  <c r="Y75" i="73"/>
  <c r="X75" i="73"/>
  <c r="W75" i="73"/>
  <c r="V75" i="73"/>
  <c r="U75" i="73"/>
  <c r="T75" i="73"/>
  <c r="S75" i="73"/>
  <c r="R75" i="73"/>
  <c r="Q75" i="73"/>
  <c r="P75" i="73"/>
  <c r="O75" i="73"/>
  <c r="N75" i="73"/>
  <c r="M75" i="73"/>
  <c r="L75" i="73"/>
  <c r="K75" i="73"/>
  <c r="J75" i="73"/>
  <c r="I75" i="73"/>
  <c r="H75" i="73"/>
  <c r="F73" i="73"/>
  <c r="E73" i="73"/>
  <c r="C73" i="73"/>
  <c r="B73" i="73"/>
  <c r="A73" i="73"/>
  <c r="F72" i="73"/>
  <c r="E72" i="73"/>
  <c r="C72" i="73"/>
  <c r="B72" i="73"/>
  <c r="A72" i="73"/>
  <c r="F71" i="73"/>
  <c r="E71" i="73"/>
  <c r="C71" i="73"/>
  <c r="B71" i="73"/>
  <c r="A71" i="73"/>
  <c r="F70" i="73"/>
  <c r="E70" i="73"/>
  <c r="C70" i="73"/>
  <c r="B70" i="73"/>
  <c r="A70" i="73"/>
  <c r="F69" i="73"/>
  <c r="E69" i="73"/>
  <c r="C69" i="73"/>
  <c r="B69" i="73"/>
  <c r="A69" i="73"/>
  <c r="F68" i="73"/>
  <c r="E68" i="73"/>
  <c r="C68" i="73"/>
  <c r="B68" i="73"/>
  <c r="A68" i="73"/>
  <c r="F67" i="73"/>
  <c r="E67" i="73"/>
  <c r="C67" i="73"/>
  <c r="B67" i="73"/>
  <c r="A67" i="73"/>
  <c r="F66" i="73"/>
  <c r="E66" i="73"/>
  <c r="C66" i="73"/>
  <c r="B66" i="73"/>
  <c r="A66" i="73"/>
  <c r="F65" i="73"/>
  <c r="E65" i="73"/>
  <c r="C65" i="73"/>
  <c r="B65" i="73"/>
  <c r="A65" i="73"/>
  <c r="F64" i="73"/>
  <c r="E64" i="73"/>
  <c r="C64" i="73"/>
  <c r="B64" i="73"/>
  <c r="A64" i="73"/>
  <c r="F63" i="73"/>
  <c r="E63" i="73"/>
  <c r="C63" i="73"/>
  <c r="B63" i="73"/>
  <c r="A63" i="73"/>
  <c r="F62" i="73"/>
  <c r="E62" i="73"/>
  <c r="C62" i="73"/>
  <c r="B62" i="73"/>
  <c r="A62" i="73"/>
  <c r="F61" i="73"/>
  <c r="E61" i="73"/>
  <c r="C61" i="73"/>
  <c r="B61" i="73"/>
  <c r="A61" i="73"/>
  <c r="F60" i="73"/>
  <c r="E60" i="73"/>
  <c r="C60" i="73"/>
  <c r="B60" i="73"/>
  <c r="A60" i="73"/>
  <c r="F59" i="73"/>
  <c r="E59" i="73"/>
  <c r="C59" i="73"/>
  <c r="B59" i="73"/>
  <c r="A59" i="73"/>
  <c r="F58" i="73"/>
  <c r="E58" i="73"/>
  <c r="C58" i="73"/>
  <c r="B58" i="73"/>
  <c r="A58" i="73"/>
  <c r="F57" i="73"/>
  <c r="E57" i="73"/>
  <c r="C57" i="73"/>
  <c r="B57" i="73"/>
  <c r="A57" i="73"/>
  <c r="F56" i="73"/>
  <c r="E56" i="73"/>
  <c r="C56" i="73"/>
  <c r="B56" i="73"/>
  <c r="A56" i="73"/>
  <c r="F55" i="73"/>
  <c r="E55" i="73"/>
  <c r="C55" i="73"/>
  <c r="B55" i="73"/>
  <c r="A55" i="73"/>
  <c r="F54" i="73"/>
  <c r="E54" i="73"/>
  <c r="C54" i="73"/>
  <c r="B54" i="73"/>
  <c r="A54" i="73"/>
  <c r="F53" i="73"/>
  <c r="E53" i="73"/>
  <c r="C53" i="73"/>
  <c r="B53" i="73"/>
  <c r="A53" i="73"/>
  <c r="F52" i="73"/>
  <c r="E52" i="73"/>
  <c r="C52" i="73"/>
  <c r="B52" i="73"/>
  <c r="A52" i="73"/>
  <c r="F51" i="73"/>
  <c r="E51" i="73"/>
  <c r="C51" i="73"/>
  <c r="B51" i="73"/>
  <c r="A51" i="73"/>
  <c r="F50" i="73"/>
  <c r="E50" i="73"/>
  <c r="C50" i="73"/>
  <c r="B50" i="73"/>
  <c r="A50" i="73"/>
  <c r="F49" i="73"/>
  <c r="E49" i="73"/>
  <c r="C49" i="73"/>
  <c r="B49" i="73"/>
  <c r="A49" i="73"/>
  <c r="F48" i="73"/>
  <c r="E48" i="73"/>
  <c r="C48" i="73"/>
  <c r="B48" i="73"/>
  <c r="A48" i="73"/>
  <c r="F47" i="73"/>
  <c r="E47" i="73"/>
  <c r="C47" i="73"/>
  <c r="B47" i="73"/>
  <c r="A47" i="73"/>
  <c r="F46" i="73"/>
  <c r="E46" i="73"/>
  <c r="C46" i="73"/>
  <c r="B46" i="73"/>
  <c r="A46" i="73"/>
  <c r="F45" i="73"/>
  <c r="E45" i="73"/>
  <c r="C45" i="73"/>
  <c r="B45" i="73"/>
  <c r="A45" i="73"/>
  <c r="F44" i="73"/>
  <c r="E44" i="73"/>
  <c r="C44" i="73"/>
  <c r="B44" i="73"/>
  <c r="A44" i="73"/>
  <c r="F43" i="73"/>
  <c r="E43" i="73"/>
  <c r="C43" i="73"/>
  <c r="B43" i="73"/>
  <c r="A43" i="73"/>
  <c r="F42" i="73"/>
  <c r="E42" i="73"/>
  <c r="C42" i="73"/>
  <c r="B42" i="73"/>
  <c r="A42" i="73"/>
  <c r="F41" i="73"/>
  <c r="E41" i="73"/>
  <c r="C41" i="73"/>
  <c r="B41" i="73"/>
  <c r="A41" i="73"/>
  <c r="F40" i="73"/>
  <c r="E40" i="73"/>
  <c r="C40" i="73"/>
  <c r="B40" i="73"/>
  <c r="A40" i="73"/>
  <c r="F39" i="73"/>
  <c r="E39" i="73"/>
  <c r="C39" i="73"/>
  <c r="B39" i="73"/>
  <c r="A39" i="73"/>
  <c r="F38" i="73"/>
  <c r="E38" i="73"/>
  <c r="C38" i="73"/>
  <c r="B38" i="73"/>
  <c r="A38" i="73"/>
  <c r="F37" i="73"/>
  <c r="E37" i="73"/>
  <c r="C37" i="73"/>
  <c r="B37" i="73"/>
  <c r="A37" i="73"/>
  <c r="F36" i="73"/>
  <c r="E36" i="73"/>
  <c r="C36" i="73"/>
  <c r="B36" i="73"/>
  <c r="A36" i="73"/>
  <c r="F35" i="73"/>
  <c r="E35" i="73"/>
  <c r="C35" i="73"/>
  <c r="B35" i="73"/>
  <c r="A35" i="73"/>
  <c r="F34" i="73"/>
  <c r="E34" i="73"/>
  <c r="C34" i="73"/>
  <c r="B34" i="73"/>
  <c r="A34" i="73"/>
  <c r="F33" i="73"/>
  <c r="E33" i="73"/>
  <c r="C33" i="73"/>
  <c r="B33" i="73"/>
  <c r="A33" i="73"/>
  <c r="F32" i="73"/>
  <c r="E32" i="73"/>
  <c r="C32" i="73"/>
  <c r="B32" i="73"/>
  <c r="A32" i="73"/>
  <c r="F31" i="73"/>
  <c r="E31" i="73"/>
  <c r="C31" i="73"/>
  <c r="B31" i="73"/>
  <c r="A31" i="73"/>
  <c r="F30" i="73"/>
  <c r="E30" i="73"/>
  <c r="C30" i="73"/>
  <c r="B30" i="73"/>
  <c r="A30" i="73"/>
  <c r="F29" i="73"/>
  <c r="E29" i="73"/>
  <c r="C29" i="73"/>
  <c r="B29" i="73"/>
  <c r="A29" i="73"/>
  <c r="F28" i="73"/>
  <c r="E28" i="73"/>
  <c r="C28" i="73"/>
  <c r="B28" i="73"/>
  <c r="A28" i="73"/>
  <c r="F27" i="73"/>
  <c r="E27" i="73"/>
  <c r="C27" i="73"/>
  <c r="B27" i="73"/>
  <c r="A27" i="73"/>
  <c r="F26" i="73"/>
  <c r="E26" i="73"/>
  <c r="C26" i="73"/>
  <c r="B26" i="73"/>
  <c r="A26" i="73"/>
  <c r="F25" i="73"/>
  <c r="E25" i="73"/>
  <c r="C25" i="73"/>
  <c r="B25" i="73"/>
  <c r="A25" i="73"/>
  <c r="F24" i="73"/>
  <c r="E24" i="73"/>
  <c r="C24" i="73"/>
  <c r="B24" i="73"/>
  <c r="A24" i="73"/>
  <c r="F23" i="73"/>
  <c r="E23" i="73"/>
  <c r="C23" i="73"/>
  <c r="B23" i="73"/>
  <c r="A23" i="73"/>
  <c r="F22" i="73"/>
  <c r="E22" i="73"/>
  <c r="C22" i="73"/>
  <c r="B22" i="73"/>
  <c r="A22" i="73"/>
  <c r="F21" i="73"/>
  <c r="E21" i="73"/>
  <c r="C21" i="73"/>
  <c r="B21" i="73"/>
  <c r="A21" i="73"/>
  <c r="F20" i="73"/>
  <c r="E20" i="73"/>
  <c r="C20" i="73"/>
  <c r="B20" i="73"/>
  <c r="A20" i="73"/>
  <c r="F19" i="73"/>
  <c r="E19" i="73"/>
  <c r="C19" i="73"/>
  <c r="B19" i="73"/>
  <c r="A19" i="73"/>
  <c r="F18" i="73"/>
  <c r="E18" i="73"/>
  <c r="C18" i="73"/>
  <c r="B18" i="73"/>
  <c r="A18" i="73"/>
  <c r="F17" i="73"/>
  <c r="E17" i="73"/>
  <c r="C17" i="73"/>
  <c r="B17" i="73"/>
  <c r="A17" i="73"/>
  <c r="F16" i="73"/>
  <c r="E16" i="73"/>
  <c r="C16" i="73"/>
  <c r="B16" i="73"/>
  <c r="A16" i="73"/>
  <c r="F15" i="73"/>
  <c r="E15" i="73"/>
  <c r="C15" i="73"/>
  <c r="B15" i="73"/>
  <c r="A15" i="73"/>
  <c r="F14" i="73"/>
  <c r="E14" i="73"/>
  <c r="C14" i="73"/>
  <c r="B14" i="73"/>
  <c r="A14" i="73"/>
  <c r="F13" i="73"/>
  <c r="E13" i="73"/>
  <c r="C13" i="73"/>
  <c r="B13" i="73"/>
  <c r="A13" i="73"/>
  <c r="F12" i="73"/>
  <c r="E12" i="73"/>
  <c r="C12" i="73"/>
  <c r="B12" i="73"/>
  <c r="A12" i="73"/>
  <c r="F11" i="73"/>
  <c r="E11" i="73"/>
  <c r="C11" i="73"/>
  <c r="B11" i="73"/>
  <c r="A11" i="73"/>
  <c r="F10" i="73"/>
  <c r="E10" i="73"/>
  <c r="C10" i="73"/>
  <c r="B10" i="73"/>
  <c r="A10" i="73"/>
  <c r="F9" i="73"/>
  <c r="E9" i="73"/>
  <c r="C9" i="73"/>
  <c r="B9" i="73"/>
  <c r="A9" i="73"/>
  <c r="I7" i="73"/>
  <c r="J7" i="73" s="1"/>
  <c r="K7" i="73" s="1"/>
  <c r="L7" i="73" s="1"/>
  <c r="M7" i="73" s="1"/>
  <c r="N7" i="73" s="1"/>
  <c r="O7" i="73" s="1"/>
  <c r="P7" i="73" s="1"/>
  <c r="Q7" i="73" s="1"/>
  <c r="R7" i="73" s="1"/>
  <c r="S7" i="73" s="1"/>
  <c r="T7" i="73" s="1"/>
  <c r="U7" i="73" s="1"/>
  <c r="V7" i="73" s="1"/>
  <c r="W7" i="73" s="1"/>
  <c r="X7" i="73" s="1"/>
  <c r="Y7" i="73" s="1"/>
  <c r="Z7" i="73" s="1"/>
  <c r="AA7" i="73" s="1"/>
  <c r="AB7" i="73" s="1"/>
  <c r="AC7" i="73" s="1"/>
  <c r="AD7" i="73" s="1"/>
  <c r="AE7" i="73" s="1"/>
  <c r="AF7" i="73" s="1"/>
  <c r="AG7" i="73" s="1"/>
  <c r="AH7" i="73" s="1"/>
  <c r="AI7" i="73" s="1"/>
  <c r="AJ7" i="73" s="1"/>
  <c r="AK7" i="73" s="1"/>
  <c r="AL7" i="73" s="1"/>
  <c r="AM7" i="73" s="1"/>
  <c r="AN7" i="73" s="1"/>
  <c r="AO7" i="73" s="1"/>
  <c r="AP7" i="73" s="1"/>
  <c r="AQ7" i="73" s="1"/>
  <c r="AR7" i="73" s="1"/>
  <c r="AS7" i="73" s="1"/>
  <c r="AT7" i="73" s="1"/>
  <c r="AU7" i="73" s="1"/>
  <c r="AV7" i="73" s="1"/>
  <c r="AW7" i="73" s="1"/>
  <c r="AX7" i="73" s="1"/>
  <c r="AY7" i="73" s="1"/>
  <c r="AZ7" i="73" s="1"/>
  <c r="C53" i="72" l="1"/>
  <c r="N55" i="5"/>
  <c r="O55" i="5"/>
  <c r="E8" i="86" s="1"/>
  <c r="F8" i="86" s="1"/>
  <c r="H8" i="86" s="1"/>
  <c r="I8" i="86" s="1"/>
  <c r="C51" i="59"/>
  <c r="E51" i="59"/>
  <c r="G51" i="59"/>
  <c r="I51" i="59"/>
  <c r="B52" i="59"/>
  <c r="C52" i="59"/>
  <c r="D52" i="59"/>
  <c r="E52" i="59"/>
  <c r="F52" i="59"/>
  <c r="G52" i="59"/>
  <c r="H52" i="59"/>
  <c r="I52" i="59"/>
  <c r="J52" i="59"/>
  <c r="B53" i="59"/>
  <c r="C53" i="59"/>
  <c r="D53" i="59"/>
  <c r="E53" i="59"/>
  <c r="F53" i="59"/>
  <c r="G53" i="59"/>
  <c r="H53" i="59"/>
  <c r="I53" i="59"/>
  <c r="J53" i="59"/>
  <c r="I50" i="59"/>
  <c r="G50" i="59"/>
  <c r="E50" i="59"/>
  <c r="C50" i="59"/>
  <c r="C31" i="59"/>
  <c r="D31" i="59"/>
  <c r="E31" i="59"/>
  <c r="B58" i="59"/>
  <c r="C58" i="59"/>
  <c r="D58" i="59"/>
  <c r="E58" i="59"/>
  <c r="F58" i="59"/>
  <c r="G58" i="59"/>
  <c r="N19" i="59"/>
  <c r="H50" i="59" s="1"/>
  <c r="N20" i="59"/>
  <c r="F51" i="59" s="1"/>
  <c r="O23" i="59"/>
  <c r="B27" i="59"/>
  <c r="F57" i="59" s="1"/>
  <c r="C17" i="78"/>
  <c r="I68" i="79"/>
  <c r="E17" i="78"/>
  <c r="M68" i="79"/>
  <c r="G68" i="79"/>
  <c r="D46" i="79"/>
  <c r="H68" i="79"/>
  <c r="C35" i="78"/>
  <c r="F68" i="79"/>
  <c r="E53" i="78"/>
  <c r="J68" i="79"/>
  <c r="M46" i="79"/>
  <c r="E70" i="78"/>
  <c r="E68" i="79"/>
  <c r="J46" i="79"/>
  <c r="K46" i="79"/>
  <c r="E46" i="79"/>
  <c r="L46" i="79"/>
  <c r="I46" i="79"/>
  <c r="E35" i="78"/>
  <c r="D17" i="78"/>
  <c r="B17" i="78"/>
  <c r="L68" i="79"/>
  <c r="D35" i="78"/>
  <c r="F46" i="79"/>
  <c r="D53" i="78"/>
  <c r="G46" i="79"/>
  <c r="K68" i="79"/>
  <c r="H46" i="79"/>
  <c r="L5" i="72" l="1"/>
  <c r="H5" i="72"/>
  <c r="D5" i="72"/>
  <c r="D10" i="72" s="1"/>
  <c r="B21" i="5"/>
  <c r="J36" i="72"/>
  <c r="F36" i="72"/>
  <c r="K5" i="72"/>
  <c r="G5" i="72"/>
  <c r="M36" i="72"/>
  <c r="I36" i="72"/>
  <c r="E36" i="72"/>
  <c r="J5" i="72"/>
  <c r="F5" i="72"/>
  <c r="L36" i="72"/>
  <c r="H36" i="72"/>
  <c r="M5" i="72"/>
  <c r="I5" i="72"/>
  <c r="E5" i="72"/>
  <c r="E10" i="72" s="1"/>
  <c r="B31" i="5"/>
  <c r="K36" i="72"/>
  <c r="G36" i="72"/>
  <c r="C54" i="5"/>
  <c r="C44" i="5"/>
  <c r="C34" i="5"/>
  <c r="C24" i="5"/>
  <c r="G57" i="59"/>
  <c r="B50" i="59"/>
  <c r="F50" i="59"/>
  <c r="J50" i="59"/>
  <c r="B57" i="59"/>
  <c r="D57" i="59"/>
  <c r="C57" i="59"/>
  <c r="E57" i="59"/>
  <c r="D50" i="59"/>
  <c r="H51" i="59"/>
  <c r="D51" i="59"/>
  <c r="B51" i="59"/>
  <c r="N23" i="59"/>
  <c r="J51" i="59"/>
  <c r="E7" i="59"/>
  <c r="F7" i="59"/>
  <c r="J85" i="79"/>
  <c r="F85" i="79"/>
  <c r="L104" i="79"/>
  <c r="I104" i="79"/>
  <c r="I107" i="79"/>
  <c r="M107" i="79"/>
  <c r="I89" i="79"/>
  <c r="G89" i="79"/>
  <c r="M88" i="79"/>
  <c r="L88" i="79"/>
  <c r="M85" i="79"/>
  <c r="L85" i="79"/>
  <c r="G104" i="79"/>
  <c r="K104" i="79"/>
  <c r="H107" i="79"/>
  <c r="L107" i="79"/>
  <c r="L89" i="79"/>
  <c r="H89" i="79"/>
  <c r="J88" i="79"/>
  <c r="H88" i="79"/>
  <c r="G85" i="79"/>
  <c r="I85" i="79"/>
  <c r="H104" i="79"/>
  <c r="J104" i="79"/>
  <c r="J107" i="79"/>
  <c r="J89" i="79"/>
  <c r="M89" i="79"/>
  <c r="I88" i="79"/>
  <c r="G88" i="79"/>
  <c r="H85" i="79"/>
  <c r="K85" i="79"/>
  <c r="M104" i="79"/>
  <c r="G107" i="79"/>
  <c r="K107" i="79"/>
  <c r="K89" i="79"/>
  <c r="F89" i="79"/>
  <c r="F88" i="79"/>
  <c r="K88" i="79"/>
  <c r="K37" i="72" l="1"/>
  <c r="F37" i="72"/>
  <c r="F47" i="72"/>
  <c r="K47" i="72"/>
  <c r="K38" i="72"/>
  <c r="G38" i="72"/>
  <c r="M8" i="72"/>
  <c r="K7" i="72"/>
  <c r="H7" i="72"/>
  <c r="G37" i="72"/>
  <c r="I37" i="72"/>
  <c r="M47" i="72"/>
  <c r="J47" i="72"/>
  <c r="J38" i="72"/>
  <c r="J8" i="72"/>
  <c r="H8" i="72"/>
  <c r="I7" i="72"/>
  <c r="G7" i="72"/>
  <c r="B51" i="5"/>
  <c r="M51" i="5" s="1"/>
  <c r="H37" i="72"/>
  <c r="J37" i="72"/>
  <c r="H47" i="72"/>
  <c r="L47" i="72"/>
  <c r="L38" i="72"/>
  <c r="H38" i="72"/>
  <c r="K8" i="72"/>
  <c r="G8" i="72"/>
  <c r="L7" i="72"/>
  <c r="M7" i="72"/>
  <c r="L37" i="72"/>
  <c r="M37" i="72"/>
  <c r="G47" i="72"/>
  <c r="I47" i="72"/>
  <c r="M38" i="72"/>
  <c r="I38" i="72"/>
  <c r="I8" i="72"/>
  <c r="L8" i="72"/>
  <c r="F7" i="72"/>
  <c r="F10" i="72" s="1"/>
  <c r="B41" i="5"/>
  <c r="M41" i="5" s="1"/>
  <c r="J7" i="72"/>
  <c r="H54" i="59"/>
  <c r="F54" i="5"/>
  <c r="N54" i="5" s="1"/>
  <c r="O54" i="5" s="1"/>
  <c r="E7" i="86" s="1"/>
  <c r="F44" i="5"/>
  <c r="N44" i="5" s="1"/>
  <c r="O44" i="5" s="1"/>
  <c r="D7" i="86" s="1"/>
  <c r="F34" i="5"/>
  <c r="N34" i="5" s="1"/>
  <c r="O34" i="5" s="1"/>
  <c r="C7" i="86" s="1"/>
  <c r="E31" i="5"/>
  <c r="M31" i="5"/>
  <c r="F24" i="5"/>
  <c r="N24" i="5" s="1"/>
  <c r="O24" i="5" s="1"/>
  <c r="B7" i="86" s="1"/>
  <c r="L49" i="79"/>
  <c r="H49" i="79"/>
  <c r="J49" i="79"/>
  <c r="G69" i="79"/>
  <c r="F69" i="79"/>
  <c r="E69" i="79"/>
  <c r="I49" i="79"/>
  <c r="D49" i="79"/>
  <c r="E49" i="79"/>
  <c r="H69" i="79"/>
  <c r="J69" i="79"/>
  <c r="F49" i="79"/>
  <c r="M49" i="79"/>
  <c r="I69" i="79"/>
  <c r="M69" i="79"/>
  <c r="K49" i="79"/>
  <c r="G49" i="79"/>
  <c r="L69" i="79"/>
  <c r="K69" i="79"/>
  <c r="G10" i="72" l="1"/>
  <c r="K46" i="72"/>
  <c r="K50" i="72" s="1"/>
  <c r="L46" i="72"/>
  <c r="L50" i="72" s="1"/>
  <c r="G35" i="72"/>
  <c r="G40" i="72" s="1"/>
  <c r="K35" i="72"/>
  <c r="M46" i="72"/>
  <c r="I46" i="72"/>
  <c r="M35" i="72"/>
  <c r="F35" i="72"/>
  <c r="F40" i="72" s="1"/>
  <c r="J46" i="72"/>
  <c r="J50" i="72" s="1"/>
  <c r="H46" i="72"/>
  <c r="H50" i="72" s="1"/>
  <c r="E35" i="72"/>
  <c r="E40" i="72" s="1"/>
  <c r="D35" i="72"/>
  <c r="D40" i="72" s="1"/>
  <c r="I35" i="72"/>
  <c r="E46" i="72"/>
  <c r="E50" i="72" s="1"/>
  <c r="F46" i="72"/>
  <c r="F50" i="72" s="1"/>
  <c r="G46" i="72"/>
  <c r="G50" i="72" s="1"/>
  <c r="J35" i="72"/>
  <c r="H35" i="72"/>
  <c r="L35" i="72"/>
  <c r="F7" i="86"/>
  <c r="H7" i="86" s="1"/>
  <c r="I7" i="86" s="1"/>
  <c r="M50" i="72"/>
  <c r="I50" i="72"/>
  <c r="E51" i="5"/>
  <c r="O31" i="5"/>
  <c r="C4" i="86" s="1"/>
  <c r="O51" i="5"/>
  <c r="E4" i="86" s="1"/>
  <c r="O41" i="5"/>
  <c r="D4" i="86" s="1"/>
  <c r="E21" i="5"/>
  <c r="E41" i="5"/>
  <c r="M21" i="5"/>
  <c r="F14" i="59"/>
  <c r="F13" i="59"/>
  <c r="F12" i="59"/>
  <c r="F11" i="59"/>
  <c r="E14" i="59"/>
  <c r="E13" i="59"/>
  <c r="E12" i="59"/>
  <c r="E11" i="59"/>
  <c r="B30" i="59"/>
  <c r="B29" i="59"/>
  <c r="B22" i="59"/>
  <c r="B21" i="59"/>
  <c r="B20" i="59"/>
  <c r="B19" i="59"/>
  <c r="B14" i="59"/>
  <c r="C46" i="59" s="1"/>
  <c r="B13" i="59"/>
  <c r="B12" i="59"/>
  <c r="B11" i="59"/>
  <c r="C43" i="59" s="1"/>
  <c r="B6" i="59"/>
  <c r="B5" i="59"/>
  <c r="B4" i="59"/>
  <c r="B3" i="59"/>
  <c r="J123" i="79"/>
  <c r="L123" i="79"/>
  <c r="K123" i="79"/>
  <c r="I123" i="79"/>
  <c r="H123" i="79"/>
  <c r="M123" i="79"/>
  <c r="M129" i="79" l="1"/>
  <c r="M134" i="79" s="1"/>
  <c r="H134" i="79"/>
  <c r="I134" i="79"/>
  <c r="I129" i="79"/>
  <c r="K129" i="79"/>
  <c r="K134" i="79" s="1"/>
  <c r="L134" i="79"/>
  <c r="L129" i="79"/>
  <c r="J129" i="79"/>
  <c r="J134" i="79" s="1"/>
  <c r="C44" i="59"/>
  <c r="D44" i="59"/>
  <c r="C45" i="59"/>
  <c r="B45" i="59"/>
  <c r="D46" i="59"/>
  <c r="B23" i="59"/>
  <c r="E59" i="59"/>
  <c r="B59" i="59"/>
  <c r="F59" i="59"/>
  <c r="C59" i="59"/>
  <c r="G59" i="59"/>
  <c r="D59" i="59"/>
  <c r="B31" i="59"/>
  <c r="C60" i="59"/>
  <c r="G60" i="59"/>
  <c r="D60" i="59"/>
  <c r="E60" i="59"/>
  <c r="B60" i="59"/>
  <c r="F60" i="59"/>
  <c r="B44" i="59"/>
  <c r="E44" i="59"/>
  <c r="E46" i="59"/>
  <c r="B46" i="59"/>
  <c r="J4" i="59"/>
  <c r="B37" i="59" s="1"/>
  <c r="I4" i="59"/>
  <c r="C37" i="59" s="1"/>
  <c r="J5" i="59"/>
  <c r="B38" i="59" s="1"/>
  <c r="I5" i="59"/>
  <c r="C38" i="59" s="1"/>
  <c r="H5" i="59"/>
  <c r="D38" i="59" s="1"/>
  <c r="I6" i="59"/>
  <c r="C39" i="59" s="1"/>
  <c r="J6" i="59"/>
  <c r="B39" i="59" s="1"/>
  <c r="H6" i="59"/>
  <c r="D39" i="59" s="1"/>
  <c r="J3" i="59"/>
  <c r="I3" i="59"/>
  <c r="H3" i="59"/>
  <c r="D4" i="59"/>
  <c r="G3" i="59"/>
  <c r="G5" i="59"/>
  <c r="G6" i="59"/>
  <c r="G11" i="59"/>
  <c r="H11" i="59"/>
  <c r="G12" i="59"/>
  <c r="H12" i="59"/>
  <c r="G13" i="59"/>
  <c r="H13" i="59"/>
  <c r="G14" i="59"/>
  <c r="H14" i="59"/>
  <c r="O21" i="5"/>
  <c r="B4" i="86" s="1"/>
  <c r="D5" i="80" l="1"/>
  <c r="J9" i="72"/>
  <c r="J10" i="72" s="1"/>
  <c r="E5" i="80"/>
  <c r="K9" i="72"/>
  <c r="K10" i="72" s="1"/>
  <c r="G5" i="80"/>
  <c r="M9" i="72"/>
  <c r="M10" i="72" s="1"/>
  <c r="C5" i="80"/>
  <c r="I9" i="72"/>
  <c r="I10" i="72" s="1"/>
  <c r="F5" i="80"/>
  <c r="L9" i="72"/>
  <c r="L10" i="72" s="1"/>
  <c r="B5" i="80"/>
  <c r="H9" i="72"/>
  <c r="H10" i="72" s="1"/>
  <c r="F4" i="86"/>
  <c r="B61" i="59"/>
  <c r="F61" i="59"/>
  <c r="G61" i="59"/>
  <c r="E61" i="59"/>
  <c r="D61" i="59"/>
  <c r="C61" i="59"/>
  <c r="B36" i="59"/>
  <c r="J7" i="59"/>
  <c r="B40" i="59" s="1"/>
  <c r="D36" i="59"/>
  <c r="I7" i="59"/>
  <c r="C40" i="59" s="1"/>
  <c r="C36" i="59"/>
  <c r="G4" i="59"/>
  <c r="G7" i="59" s="1"/>
  <c r="E40" i="59" s="1"/>
  <c r="H4" i="59"/>
  <c r="D37" i="59" s="1"/>
  <c r="J106" i="79"/>
  <c r="M106" i="79"/>
  <c r="F87" i="79"/>
  <c r="M87" i="79"/>
  <c r="J66" i="79"/>
  <c r="M66" i="79"/>
  <c r="F66" i="79"/>
  <c r="J105" i="79"/>
  <c r="I105" i="79"/>
  <c r="F86" i="79"/>
  <c r="H86" i="79"/>
  <c r="K48" i="79"/>
  <c r="J48" i="79"/>
  <c r="M48" i="79"/>
  <c r="I106" i="79"/>
  <c r="L106" i="79"/>
  <c r="G87" i="79"/>
  <c r="I87" i="79"/>
  <c r="E66" i="79"/>
  <c r="K66" i="79"/>
  <c r="M105" i="79"/>
  <c r="L105" i="79"/>
  <c r="K86" i="79"/>
  <c r="G86" i="79"/>
  <c r="D48" i="79"/>
  <c r="K47" i="79"/>
  <c r="M47" i="79"/>
  <c r="F48" i="79"/>
  <c r="G48" i="79"/>
  <c r="G106" i="79"/>
  <c r="H106" i="79"/>
  <c r="H87" i="79"/>
  <c r="L87" i="79"/>
  <c r="G66" i="79"/>
  <c r="I66" i="79"/>
  <c r="G105" i="79"/>
  <c r="L86" i="79"/>
  <c r="I86" i="79"/>
  <c r="D47" i="79"/>
  <c r="H47" i="79"/>
  <c r="J47" i="79"/>
  <c r="L47" i="79"/>
  <c r="K106" i="79"/>
  <c r="J87" i="79"/>
  <c r="K87" i="79"/>
  <c r="L66" i="79"/>
  <c r="H66" i="79"/>
  <c r="K105" i="79"/>
  <c r="H105" i="79"/>
  <c r="J86" i="79"/>
  <c r="M86" i="79"/>
  <c r="L48" i="79"/>
  <c r="I47" i="79"/>
  <c r="E48" i="79"/>
  <c r="I48" i="79"/>
  <c r="G47" i="79"/>
  <c r="H48" i="79"/>
  <c r="L67" i="79"/>
  <c r="F47" i="79"/>
  <c r="L26" i="72" l="1"/>
  <c r="M17" i="72"/>
  <c r="J17" i="72"/>
  <c r="H18" i="72"/>
  <c r="K18" i="72"/>
  <c r="H16" i="72"/>
  <c r="L16" i="72"/>
  <c r="K27" i="72"/>
  <c r="J27" i="72"/>
  <c r="K28" i="72"/>
  <c r="I17" i="72"/>
  <c r="L17" i="72"/>
  <c r="G18" i="72"/>
  <c r="I16" i="72"/>
  <c r="G16" i="72"/>
  <c r="L27" i="72"/>
  <c r="H27" i="72"/>
  <c r="H28" i="72"/>
  <c r="G28" i="72"/>
  <c r="G17" i="72"/>
  <c r="K17" i="72"/>
  <c r="L18" i="72"/>
  <c r="M18" i="72"/>
  <c r="K16" i="72"/>
  <c r="E16" i="72"/>
  <c r="I27" i="72"/>
  <c r="G27" i="72"/>
  <c r="L28" i="72"/>
  <c r="I28" i="72"/>
  <c r="H17" i="72"/>
  <c r="F17" i="72"/>
  <c r="I18" i="72"/>
  <c r="J18" i="72"/>
  <c r="F16" i="72"/>
  <c r="M16" i="72"/>
  <c r="J16" i="72"/>
  <c r="M27" i="72"/>
  <c r="F27" i="72"/>
  <c r="M28" i="72"/>
  <c r="J28" i="72"/>
  <c r="H4" i="86"/>
  <c r="M15" i="72"/>
  <c r="I15" i="72"/>
  <c r="K25" i="72"/>
  <c r="G25" i="72"/>
  <c r="L15" i="72"/>
  <c r="H15" i="72"/>
  <c r="D15" i="72"/>
  <c r="D20" i="72" s="1"/>
  <c r="B22" i="5"/>
  <c r="J25" i="72"/>
  <c r="F25" i="72"/>
  <c r="K15" i="72"/>
  <c r="G15" i="72"/>
  <c r="B52" i="5"/>
  <c r="M25" i="72"/>
  <c r="I25" i="72"/>
  <c r="E25" i="72"/>
  <c r="J15" i="72"/>
  <c r="F15" i="72"/>
  <c r="F20" i="72" s="1"/>
  <c r="B42" i="5"/>
  <c r="L25" i="72"/>
  <c r="H25" i="72"/>
  <c r="D25" i="72"/>
  <c r="D30" i="72" s="1"/>
  <c r="H7" i="59"/>
  <c r="D40" i="59" s="1"/>
  <c r="F41" i="57"/>
  <c r="F35" i="57"/>
  <c r="F40" i="57"/>
  <c r="D33" i="57"/>
  <c r="C32" i="57"/>
  <c r="B31" i="57"/>
  <c r="E47" i="79"/>
  <c r="J67" i="79"/>
  <c r="K67" i="79"/>
  <c r="G67" i="79"/>
  <c r="H67" i="79"/>
  <c r="I67" i="79"/>
  <c r="M67" i="79"/>
  <c r="E67" i="79"/>
  <c r="F67" i="79"/>
  <c r="F26" i="72" l="1"/>
  <c r="E26" i="72"/>
  <c r="E30" i="72" s="1"/>
  <c r="M26" i="72"/>
  <c r="I26" i="72"/>
  <c r="H26" i="72"/>
  <c r="G26" i="72"/>
  <c r="G30" i="72" s="1"/>
  <c r="K26" i="72"/>
  <c r="J26" i="72"/>
  <c r="E15" i="72"/>
  <c r="E20" i="72" s="1"/>
  <c r="B32" i="5"/>
  <c r="B36" i="5" s="1"/>
  <c r="F30" i="72"/>
  <c r="F53" i="72" s="1"/>
  <c r="I4" i="86"/>
  <c r="G20" i="72"/>
  <c r="E32" i="5"/>
  <c r="E36" i="5" s="1"/>
  <c r="B56" i="5"/>
  <c r="M52" i="5"/>
  <c r="E52" i="5"/>
  <c r="E56" i="5" s="1"/>
  <c r="M22" i="5"/>
  <c r="B26" i="5"/>
  <c r="E22" i="5"/>
  <c r="E26" i="5" s="1"/>
  <c r="B46" i="5"/>
  <c r="M42" i="5"/>
  <c r="E42" i="5"/>
  <c r="E46" i="5" s="1"/>
  <c r="D53" i="72"/>
  <c r="B41" i="57"/>
  <c r="F37" i="57"/>
  <c r="E34" i="57"/>
  <c r="C41" i="57"/>
  <c r="F39" i="57"/>
  <c r="E41" i="57"/>
  <c r="F38" i="57"/>
  <c r="D41" i="57"/>
  <c r="G53" i="72" l="1"/>
  <c r="M32" i="5"/>
  <c r="M36" i="5" s="1"/>
  <c r="E53" i="72"/>
  <c r="O32" i="5"/>
  <c r="C5" i="86" s="1"/>
  <c r="O42" i="5"/>
  <c r="D5" i="86" s="1"/>
  <c r="M46" i="5"/>
  <c r="O52" i="5"/>
  <c r="E5" i="86" s="1"/>
  <c r="M56" i="5"/>
  <c r="O22" i="5"/>
  <c r="B5" i="86" s="1"/>
  <c r="M26" i="5"/>
  <c r="E39" i="59"/>
  <c r="E38" i="59"/>
  <c r="E37" i="59"/>
  <c r="E36" i="59"/>
  <c r="S23" i="59"/>
  <c r="J54" i="59" s="1"/>
  <c r="R23" i="59"/>
  <c r="F54" i="59" s="1"/>
  <c r="Q23" i="59"/>
  <c r="D54" i="59" s="1"/>
  <c r="P23" i="59"/>
  <c r="B54" i="59" s="1"/>
  <c r="L23" i="59"/>
  <c r="K23" i="59"/>
  <c r="G23" i="59"/>
  <c r="F23" i="59"/>
  <c r="E23" i="59"/>
  <c r="D23" i="59"/>
  <c r="C23" i="59"/>
  <c r="D7" i="59"/>
  <c r="C7" i="59"/>
  <c r="B7" i="59"/>
  <c r="E52" i="78"/>
  <c r="B16" i="78"/>
  <c r="D34" i="78"/>
  <c r="E16" i="78"/>
  <c r="E34" i="78"/>
  <c r="D16" i="78"/>
  <c r="D52" i="78"/>
  <c r="C16" i="78"/>
  <c r="C34" i="78"/>
  <c r="E69" i="78"/>
  <c r="F5" i="86" l="1"/>
  <c r="C53" i="5"/>
  <c r="C43" i="5"/>
  <c r="C33" i="5"/>
  <c r="C23" i="5"/>
  <c r="M23" i="59"/>
  <c r="H23" i="59"/>
  <c r="E54" i="59" s="1"/>
  <c r="K125" i="79"/>
  <c r="L125" i="79"/>
  <c r="L126" i="79"/>
  <c r="M124" i="79"/>
  <c r="I125" i="79"/>
  <c r="J125" i="79"/>
  <c r="H126" i="79"/>
  <c r="M126" i="79"/>
  <c r="J124" i="79"/>
  <c r="L124" i="79"/>
  <c r="H124" i="79"/>
  <c r="H125" i="79"/>
  <c r="J126" i="79"/>
  <c r="I126" i="79"/>
  <c r="K124" i="79"/>
  <c r="M125" i="79"/>
  <c r="K126" i="79"/>
  <c r="I124" i="79"/>
  <c r="I130" i="79" l="1"/>
  <c r="I135" i="79" s="1"/>
  <c r="K132" i="79"/>
  <c r="K137" i="79" s="1"/>
  <c r="K39" i="72" s="1"/>
  <c r="K40" i="72" s="1"/>
  <c r="M131" i="79"/>
  <c r="M136" i="79"/>
  <c r="M29" i="72" s="1"/>
  <c r="K130" i="79"/>
  <c r="K135" i="79"/>
  <c r="I132" i="79"/>
  <c r="I137" i="79" s="1"/>
  <c r="I39" i="72" s="1"/>
  <c r="I40" i="72" s="1"/>
  <c r="J132" i="79"/>
  <c r="J137" i="79" s="1"/>
  <c r="J39" i="72" s="1"/>
  <c r="J40" i="72" s="1"/>
  <c r="H136" i="79"/>
  <c r="H29" i="72" s="1"/>
  <c r="H135" i="79"/>
  <c r="L130" i="79"/>
  <c r="L135" i="79" s="1"/>
  <c r="J130" i="79"/>
  <c r="J135" i="79"/>
  <c r="M132" i="79"/>
  <c r="M137" i="79"/>
  <c r="M39" i="72" s="1"/>
  <c r="M40" i="72" s="1"/>
  <c r="H137" i="79"/>
  <c r="H39" i="72" s="1"/>
  <c r="J131" i="79"/>
  <c r="J136" i="79" s="1"/>
  <c r="J29" i="72" s="1"/>
  <c r="J30" i="72" s="1"/>
  <c r="I136" i="79"/>
  <c r="I29" i="72" s="1"/>
  <c r="I131" i="79"/>
  <c r="M135" i="79"/>
  <c r="M130" i="79"/>
  <c r="L137" i="79"/>
  <c r="L39" i="72" s="1"/>
  <c r="L40" i="72" s="1"/>
  <c r="L132" i="79"/>
  <c r="L131" i="79"/>
  <c r="L136" i="79" s="1"/>
  <c r="L29" i="72" s="1"/>
  <c r="L30" i="72" s="1"/>
  <c r="K136" i="79"/>
  <c r="K29" i="72" s="1"/>
  <c r="K30" i="72" s="1"/>
  <c r="K131" i="79"/>
  <c r="I127" i="79"/>
  <c r="M30" i="72"/>
  <c r="K127" i="79"/>
  <c r="H30" i="72"/>
  <c r="H127" i="79"/>
  <c r="L127" i="79"/>
  <c r="J127" i="79"/>
  <c r="H40" i="72"/>
  <c r="I30" i="72"/>
  <c r="M127" i="79"/>
  <c r="H5" i="86"/>
  <c r="C56" i="5"/>
  <c r="F53" i="5"/>
  <c r="C26" i="5"/>
  <c r="F23" i="5"/>
  <c r="C36" i="5"/>
  <c r="F33" i="5"/>
  <c r="I54" i="59"/>
  <c r="C54" i="59"/>
  <c r="G54" i="59"/>
  <c r="C46" i="5"/>
  <c r="F43" i="5"/>
  <c r="Z78" i="58"/>
  <c r="AA76" i="58"/>
  <c r="Z76" i="58"/>
  <c r="O76" i="58"/>
  <c r="N76" i="58"/>
  <c r="AA58" i="58"/>
  <c r="Y58" i="58"/>
  <c r="X58" i="58"/>
  <c r="W58" i="58"/>
  <c r="V58" i="58"/>
  <c r="U58" i="58"/>
  <c r="T58" i="58"/>
  <c r="S58" i="58"/>
  <c r="R58" i="58"/>
  <c r="Q58" i="58"/>
  <c r="P58" i="58"/>
  <c r="O58" i="58"/>
  <c r="N58" i="58"/>
  <c r="Z57" i="58"/>
  <c r="Z56" i="58"/>
  <c r="Z55" i="58"/>
  <c r="Z54" i="58"/>
  <c r="Z53" i="58"/>
  <c r="Z52" i="58"/>
  <c r="Z51" i="58"/>
  <c r="Z50" i="58"/>
  <c r="Z49" i="58"/>
  <c r="Z58" i="58" s="1"/>
  <c r="Y47" i="58"/>
  <c r="Y80" i="58" s="1"/>
  <c r="G64" i="57" s="1"/>
  <c r="G56" i="57" s="1"/>
  <c r="X47" i="58"/>
  <c r="W47" i="58"/>
  <c r="W80" i="58" s="1"/>
  <c r="F63" i="57" s="1"/>
  <c r="F55" i="57" s="1"/>
  <c r="V47" i="58"/>
  <c r="U47" i="58"/>
  <c r="U80" i="58" s="1"/>
  <c r="E62" i="57" s="1"/>
  <c r="E54" i="57" s="1"/>
  <c r="T47" i="58"/>
  <c r="S47" i="58"/>
  <c r="S80" i="58" s="1"/>
  <c r="D61" i="57" s="1"/>
  <c r="D53" i="57" s="1"/>
  <c r="R47" i="58"/>
  <c r="Q47" i="58"/>
  <c r="Q80" i="58" s="1"/>
  <c r="C60" i="57" s="1"/>
  <c r="P47" i="58"/>
  <c r="O47" i="58"/>
  <c r="N47" i="58"/>
  <c r="Z46" i="58"/>
  <c r="Z45" i="58"/>
  <c r="Z44" i="58"/>
  <c r="Z43" i="58"/>
  <c r="Z42" i="58"/>
  <c r="Z41" i="58"/>
  <c r="Z40" i="58"/>
  <c r="Z39" i="58"/>
  <c r="Z38" i="58"/>
  <c r="Z37" i="58"/>
  <c r="Z36" i="58"/>
  <c r="Z35" i="58"/>
  <c r="Z34" i="58"/>
  <c r="Z33" i="58"/>
  <c r="Z32" i="58"/>
  <c r="Z31" i="58"/>
  <c r="Z30" i="58"/>
  <c r="Z29" i="58"/>
  <c r="Z28" i="58"/>
  <c r="Z27" i="58"/>
  <c r="Z26" i="58"/>
  <c r="Z25" i="58"/>
  <c r="Z24" i="58"/>
  <c r="AA23" i="58"/>
  <c r="Z23" i="58"/>
  <c r="AA22" i="58"/>
  <c r="Z22" i="58"/>
  <c r="AA21" i="58"/>
  <c r="Z21" i="58"/>
  <c r="AA20" i="58"/>
  <c r="Z20" i="58"/>
  <c r="AA19" i="58"/>
  <c r="Z19" i="58"/>
  <c r="AA18" i="58"/>
  <c r="Z18" i="58"/>
  <c r="AA17" i="58"/>
  <c r="Z17" i="58"/>
  <c r="AA16" i="58"/>
  <c r="AA47" i="58" s="1"/>
  <c r="Z16" i="58"/>
  <c r="C9" i="58"/>
  <c r="C87" i="78"/>
  <c r="E87" i="78"/>
  <c r="F87" i="78"/>
  <c r="B87" i="78"/>
  <c r="D87" i="78"/>
  <c r="G87" i="78"/>
  <c r="F6" i="80" l="1"/>
  <c r="L19" i="72"/>
  <c r="L20" i="72" s="1"/>
  <c r="L138" i="79"/>
  <c r="C6" i="80"/>
  <c r="I19" i="72"/>
  <c r="I20" i="72" s="1"/>
  <c r="I138" i="79"/>
  <c r="E6" i="80"/>
  <c r="K19" i="72"/>
  <c r="K20" i="72" s="1"/>
  <c r="K138" i="79"/>
  <c r="G6" i="80"/>
  <c r="M19" i="72"/>
  <c r="M20" i="72" s="1"/>
  <c r="M138" i="79"/>
  <c r="D6" i="80"/>
  <c r="J19" i="72"/>
  <c r="J20" i="72" s="1"/>
  <c r="J138" i="79"/>
  <c r="B6" i="80"/>
  <c r="H19" i="72"/>
  <c r="H20" i="72" s="1"/>
  <c r="H138" i="79"/>
  <c r="L53" i="72"/>
  <c r="I53" i="72"/>
  <c r="H53" i="72"/>
  <c r="K53" i="72"/>
  <c r="P80" i="58"/>
  <c r="T80" i="58"/>
  <c r="X80" i="58"/>
  <c r="O80" i="58"/>
  <c r="B59" i="57" s="1"/>
  <c r="I5" i="86"/>
  <c r="J53" i="72"/>
  <c r="Z47" i="58"/>
  <c r="N80" i="58"/>
  <c r="R80" i="58"/>
  <c r="V80" i="58"/>
  <c r="M53" i="72"/>
  <c r="N23" i="5"/>
  <c r="F26" i="5"/>
  <c r="N43" i="5"/>
  <c r="F46" i="5"/>
  <c r="N33" i="5"/>
  <c r="F36" i="5"/>
  <c r="N53" i="5"/>
  <c r="F56" i="5"/>
  <c r="C52" i="57"/>
  <c r="B51" i="57"/>
  <c r="AA80" i="58"/>
  <c r="Z80" i="58"/>
  <c r="D88" i="78"/>
  <c r="C88" i="78"/>
  <c r="G88" i="78"/>
  <c r="F88" i="78"/>
  <c r="E88" i="78"/>
  <c r="B88" i="78"/>
  <c r="N46" i="5" l="1"/>
  <c r="O43" i="5"/>
  <c r="N56" i="5"/>
  <c r="O53" i="5"/>
  <c r="O33" i="5"/>
  <c r="N36" i="5"/>
  <c r="N26" i="5"/>
  <c r="O23" i="5"/>
  <c r="Y82" i="58"/>
  <c r="Q82" i="58"/>
  <c r="W82" i="58"/>
  <c r="O82" i="58"/>
  <c r="U82" i="58"/>
  <c r="S82" i="58"/>
  <c r="O36" i="5" l="1"/>
  <c r="C6" i="86"/>
  <c r="C9" i="86" s="1"/>
  <c r="O26" i="5"/>
  <c r="B6" i="86"/>
  <c r="O56" i="5"/>
  <c r="E6" i="86"/>
  <c r="E9" i="86" s="1"/>
  <c r="O46" i="5"/>
  <c r="D58" i="5" s="1"/>
  <c r="D6" i="86"/>
  <c r="D9" i="86" s="1"/>
  <c r="K30" i="57"/>
  <c r="L30" i="57"/>
  <c r="M30" i="57"/>
  <c r="N30" i="57"/>
  <c r="J31" i="57"/>
  <c r="K31" i="57"/>
  <c r="J32" i="57"/>
  <c r="J33" i="57"/>
  <c r="J34" i="57"/>
  <c r="A59" i="57"/>
  <c r="H59" i="57"/>
  <c r="A60" i="57"/>
  <c r="H60" i="57"/>
  <c r="A61" i="57"/>
  <c r="H61" i="57"/>
  <c r="A62" i="57"/>
  <c r="H62" i="57"/>
  <c r="A63" i="57"/>
  <c r="H63" i="57"/>
  <c r="A64" i="57"/>
  <c r="H64" i="57"/>
  <c r="B65" i="57"/>
  <c r="C65" i="57"/>
  <c r="D65" i="57"/>
  <c r="E65" i="57"/>
  <c r="F65" i="57"/>
  <c r="G65" i="57"/>
  <c r="F6" i="86" l="1"/>
  <c r="B9" i="86"/>
  <c r="H65" i="57"/>
  <c r="H52" i="57"/>
  <c r="C57" i="57"/>
  <c r="F32" i="57"/>
  <c r="F34" i="57"/>
  <c r="C35" i="57"/>
  <c r="H6" i="86" l="1"/>
  <c r="F9" i="86"/>
  <c r="F33" i="57"/>
  <c r="B57" i="57"/>
  <c r="H51" i="57"/>
  <c r="E35" i="57"/>
  <c r="H56" i="57"/>
  <c r="G57" i="57"/>
  <c r="D57" i="57"/>
  <c r="H53" i="57"/>
  <c r="B35" i="57"/>
  <c r="F31" i="57"/>
  <c r="H54" i="57"/>
  <c r="E57" i="57"/>
  <c r="F57" i="57"/>
  <c r="H55" i="57"/>
  <c r="D35" i="57"/>
  <c r="I6" i="86" l="1"/>
  <c r="I9" i="86" s="1"/>
  <c r="D59" i="5" s="1"/>
  <c r="H9" i="86"/>
  <c r="H57" i="57"/>
</calcChain>
</file>

<file path=xl/comments1.xml><?xml version="1.0" encoding="utf-8"?>
<comments xmlns="http://schemas.openxmlformats.org/spreadsheetml/2006/main">
  <authors>
    <author>Sottile,Stephen</author>
  </authors>
  <commentList>
    <comment ref="G28" authorId="0">
      <text>
        <r>
          <rPr>
            <b/>
            <sz val="9"/>
            <color indexed="81"/>
            <rFont val="Tahoma"/>
            <family val="2"/>
          </rPr>
          <t>Sottile,Stephen:</t>
        </r>
        <r>
          <rPr>
            <sz val="9"/>
            <color indexed="81"/>
            <rFont val="Tahoma"/>
            <family val="2"/>
          </rPr>
          <t xml:space="preserve">
Note - All kWh savings from 2011-2013 reported for identical programs had 100% persistence for at least 2 years, with exception of DR 3 that has no persistence.
</t>
        </r>
      </text>
    </comment>
    <comment ref="F35" authorId="0">
      <text>
        <r>
          <rPr>
            <b/>
            <sz val="9"/>
            <color indexed="81"/>
            <rFont val="Tahoma"/>
            <family val="2"/>
          </rPr>
          <t>Sottile,Stephen:</t>
        </r>
        <r>
          <rPr>
            <sz val="9"/>
            <color indexed="81"/>
            <rFont val="Tahoma"/>
            <family val="2"/>
          </rPr>
          <t xml:space="preserve">
Cumulative Results do not reconcile to IESO reported numbers - 0.56% difference in cumulative net savings achieved. Total savings is from IESO numbers.  Savings in each year sum to less than IESO reported savings, therefore numbers in the appendix are conservative and result in lower LRAM and Conservation Results, hence lower rate impact to customers.</t>
        </r>
      </text>
    </comment>
    <comment ref="F41" authorId="0">
      <text>
        <r>
          <rPr>
            <b/>
            <sz val="9"/>
            <color indexed="81"/>
            <rFont val="Tahoma"/>
            <family val="2"/>
          </rPr>
          <t>Sottile,Stephen:</t>
        </r>
        <r>
          <rPr>
            <sz val="9"/>
            <color indexed="81"/>
            <rFont val="Tahoma"/>
            <family val="2"/>
          </rPr>
          <t xml:space="preserve">
Neither actual persisting savings, nor straightlining target savings will make the IESO reported, verified target progress match the sum based on calculations in this form. ACTUAL PERSISTING savings are used for calculation of LRAM and Load Forecast Adjustments</t>
        </r>
      </text>
    </comment>
    <comment ref="A51" authorId="0">
      <text>
        <r>
          <rPr>
            <b/>
            <sz val="9"/>
            <color indexed="81"/>
            <rFont val="Tahoma"/>
            <family val="2"/>
          </rPr>
          <t>Sottile,Stephen:</t>
        </r>
        <r>
          <rPr>
            <sz val="9"/>
            <color indexed="81"/>
            <rFont val="Tahoma"/>
            <family val="2"/>
          </rPr>
          <t xml:space="preserve">
Formulae corrected to display correct sums and percentages based on planned numbers and actual target - rather than assumption of exactly 100% achievement  - now refelcts actual plan submitted
</t>
        </r>
      </text>
    </comment>
    <comment ref="B51" authorId="0">
      <text>
        <r>
          <rPr>
            <b/>
            <sz val="9"/>
            <color indexed="81"/>
            <rFont val="Tahoma"/>
            <family val="2"/>
          </rPr>
          <t>Sottile,Stephen:</t>
        </r>
        <r>
          <rPr>
            <sz val="9"/>
            <color indexed="81"/>
            <rFont val="Tahoma"/>
            <family val="2"/>
          </rPr>
          <t xml:space="preserve">
Sottile,Stephen:
Numbers taken from Kingston Hydro's 2015-2020 Conservation Plan filed with the IESO
</t>
        </r>
      </text>
    </comment>
    <comment ref="B59" authorId="0">
      <text>
        <r>
          <rPr>
            <b/>
            <sz val="9"/>
            <color indexed="81"/>
            <rFont val="Tahoma"/>
            <family val="2"/>
          </rPr>
          <t>Sottile,Stephen:</t>
        </r>
        <r>
          <rPr>
            <sz val="9"/>
            <color indexed="81"/>
            <rFont val="Tahoma"/>
            <family val="2"/>
          </rPr>
          <t xml:space="preserve">
Numbers taken from Kingston Hydro's 2015-2020 Conservation Plan filed with the IESO
</t>
        </r>
      </text>
    </comment>
  </commentList>
</comments>
</file>

<file path=xl/comments2.xml><?xml version="1.0" encoding="utf-8"?>
<comments xmlns="http://schemas.openxmlformats.org/spreadsheetml/2006/main">
  <authors>
    <author>Sottile,Stephen</author>
    <author>Steve</author>
  </authors>
  <commentList>
    <comment ref="D119" authorId="0">
      <text>
        <r>
          <rPr>
            <b/>
            <sz val="9"/>
            <color indexed="81"/>
            <rFont val="Tahoma"/>
            <family val="2"/>
          </rPr>
          <t>Sottile,Stephen:</t>
        </r>
        <r>
          <rPr>
            <sz val="9"/>
            <color indexed="81"/>
            <rFont val="Tahoma"/>
            <family val="2"/>
          </rPr>
          <t xml:space="preserve">
Savings modeled as per 2013 savings decay rate
</t>
        </r>
      </text>
    </comment>
    <comment ref="C123" authorId="1">
      <text>
        <r>
          <rPr>
            <b/>
            <sz val="9"/>
            <color indexed="81"/>
            <rFont val="Tahoma"/>
            <charset val="1"/>
          </rPr>
          <t>Steve:</t>
        </r>
        <r>
          <rPr>
            <sz val="9"/>
            <color indexed="81"/>
            <rFont val="Tahoma"/>
            <charset val="1"/>
          </rPr>
          <t xml:space="preserve">
Appears in Kingston Hydro Results (Net) tab from IESO, but not in ISEO KH Persistence table for 2014. Numbers taken from Kingston Hydro Results (Net).
</t>
        </r>
      </text>
    </comment>
  </commentList>
</comments>
</file>

<file path=xl/comments3.xml><?xml version="1.0" encoding="utf-8"?>
<comments xmlns="http://schemas.openxmlformats.org/spreadsheetml/2006/main">
  <authors>
    <author>Sottile,Stephen</author>
  </authors>
  <commentList>
    <comment ref="A36" authorId="0">
      <text>
        <r>
          <rPr>
            <b/>
            <sz val="9"/>
            <color indexed="81"/>
            <rFont val="Tahoma"/>
            <family val="2"/>
          </rPr>
          <t>Sottile,Stephen:</t>
        </r>
        <r>
          <rPr>
            <sz val="9"/>
            <color indexed="81"/>
            <rFont val="Tahoma"/>
            <family val="2"/>
          </rPr>
          <t xml:space="preserve">
Streetlight demand savings are not summer peak, therefore not in SaveOnEnergy results. Gross kWh savings from IESO Records were applied a streetlighting load profile and IESO realization &amp; net to gross factors for Retrofit Programs to arrive at net kW rate impact Streetlighitng savings</t>
        </r>
      </text>
    </comment>
    <comment ref="A54" authorId="0">
      <text>
        <r>
          <rPr>
            <b/>
            <sz val="9"/>
            <color indexed="81"/>
            <rFont val="Tahoma"/>
            <family val="2"/>
          </rPr>
          <t>Sottile,Stephen:</t>
        </r>
        <r>
          <rPr>
            <sz val="9"/>
            <color indexed="81"/>
            <rFont val="Tahoma"/>
            <family val="2"/>
          </rPr>
          <t xml:space="preserve">
Streetlight demand savings are not summer peak, therefore not in SaveOnEnergy results. Gross kWh savings from IESO Records were applied a streetlighting load profile and IESO realization &amp; net to gross factors for Retrofit Programs to arrive at net kW rate impact Streetlighitng savings</t>
        </r>
      </text>
    </comment>
    <comment ref="A71" authorId="0">
      <text>
        <r>
          <rPr>
            <b/>
            <sz val="9"/>
            <color indexed="81"/>
            <rFont val="Tahoma"/>
            <family val="2"/>
          </rPr>
          <t>Sottile,Stephen:</t>
        </r>
        <r>
          <rPr>
            <sz val="9"/>
            <color indexed="81"/>
            <rFont val="Tahoma"/>
            <family val="2"/>
          </rPr>
          <t xml:space="preserve">
Streetlight demand savings are not summer peak, therefore not in SaveOnEnergy results. Gross kWh savings from IESO Records were applied a streetlighting load profile and IESO realization &amp; net to gross factors for Retrofit Programs to arrive at net kW rate impact Streetlighitng savings</t>
        </r>
      </text>
    </comment>
  </commentList>
</comments>
</file>

<file path=xl/comments4.xml><?xml version="1.0" encoding="utf-8"?>
<comments xmlns="http://schemas.openxmlformats.org/spreadsheetml/2006/main">
  <authors>
    <author>Sottile,Stephen</author>
  </authors>
  <commentList>
    <comment ref="C116" authorId="0">
      <text>
        <r>
          <rPr>
            <b/>
            <sz val="9"/>
            <color indexed="81"/>
            <rFont val="Tahoma"/>
            <family val="2"/>
          </rPr>
          <t>Sottile,Stephen:</t>
        </r>
        <r>
          <rPr>
            <sz val="9"/>
            <color indexed="81"/>
            <rFont val="Tahoma"/>
            <family val="2"/>
          </rPr>
          <t xml:space="preserve">
Assume 4 year persistence as in past years
</t>
        </r>
      </text>
    </comment>
    <comment ref="C117" authorId="0">
      <text>
        <r>
          <rPr>
            <b/>
            <sz val="9"/>
            <color indexed="81"/>
            <rFont val="Tahoma"/>
            <family val="2"/>
          </rPr>
          <t>Sottile,Stephen:</t>
        </r>
        <r>
          <rPr>
            <sz val="9"/>
            <color indexed="81"/>
            <rFont val="Tahoma"/>
            <family val="2"/>
          </rPr>
          <t xml:space="preserve">
15 yr persistence as per previous years
</t>
        </r>
      </text>
    </comment>
    <comment ref="C118" authorId="0">
      <text>
        <r>
          <rPr>
            <b/>
            <sz val="9"/>
            <color indexed="81"/>
            <rFont val="Tahoma"/>
            <family val="2"/>
          </rPr>
          <t>Sottile,Stephen:</t>
        </r>
        <r>
          <rPr>
            <sz val="9"/>
            <color indexed="81"/>
            <rFont val="Tahoma"/>
            <family val="2"/>
          </rPr>
          <t xml:space="preserve">
Persistence modelled at  2013 Retrofit Program savings persistence decay rate
  </t>
        </r>
      </text>
    </comment>
    <comment ref="C119" authorId="0">
      <text>
        <r>
          <rPr>
            <b/>
            <sz val="9"/>
            <color indexed="81"/>
            <rFont val="Tahoma"/>
            <family val="2"/>
          </rPr>
          <t>Sottile,Stephen:</t>
        </r>
        <r>
          <rPr>
            <sz val="9"/>
            <color indexed="81"/>
            <rFont val="Tahoma"/>
            <family val="2"/>
          </rPr>
          <t xml:space="preserve">
Savings all modelled after 2013 savings decay rate
</t>
        </r>
      </text>
    </comment>
    <comment ref="D119" authorId="0">
      <text>
        <r>
          <rPr>
            <b/>
            <sz val="9"/>
            <color indexed="81"/>
            <rFont val="Tahoma"/>
            <family val="2"/>
          </rPr>
          <t>Sottile,Stephen:</t>
        </r>
        <r>
          <rPr>
            <sz val="9"/>
            <color indexed="81"/>
            <rFont val="Tahoma"/>
            <family val="2"/>
          </rPr>
          <t xml:space="preserve">
Savings modeled as per 2013 savings decay rate
</t>
        </r>
      </text>
    </comment>
  </commentList>
</comments>
</file>

<file path=xl/comments5.xml><?xml version="1.0" encoding="utf-8"?>
<comments xmlns="http://schemas.openxmlformats.org/spreadsheetml/2006/main">
  <authors>
    <author>Sottile,Stephen</author>
  </authors>
  <commentList>
    <comment ref="A66" authorId="0">
      <text>
        <r>
          <rPr>
            <b/>
            <sz val="9"/>
            <color indexed="81"/>
            <rFont val="Tahoma"/>
            <family val="2"/>
          </rPr>
          <t>Sottile,Stephen:</t>
        </r>
        <r>
          <rPr>
            <sz val="9"/>
            <color indexed="81"/>
            <rFont val="Tahoma"/>
            <family val="2"/>
          </rPr>
          <t xml:space="preserve">
Did not bother allocating HP2012 - savings insignificant (1500kWh.yr)
</t>
        </r>
      </text>
    </comment>
  </commentList>
</comments>
</file>

<file path=xl/comments6.xml><?xml version="1.0" encoding="utf-8"?>
<comments xmlns="http://schemas.openxmlformats.org/spreadsheetml/2006/main">
  <authors>
    <author>OPA</author>
  </authors>
  <commentList>
    <comment ref="A1" authorId="0">
      <text>
        <r>
          <rPr>
            <sz val="9"/>
            <color indexed="81"/>
            <rFont val="Tahoma"/>
            <family val="2"/>
          </rPr>
          <t>Both Tables show Scenario 1 savings (which should match up with savings values in LDC - Results tab)</t>
        </r>
        <r>
          <rPr>
            <b/>
            <sz val="9"/>
            <color indexed="81"/>
            <rFont val="Tahoma"/>
            <family val="2"/>
          </rPr>
          <t xml:space="preserve">
'2012 - Verified' row explanation: 
</t>
        </r>
        <r>
          <rPr>
            <sz val="9"/>
            <color indexed="81"/>
            <rFont val="Tahoma"/>
            <family val="2"/>
          </rPr>
          <t xml:space="preserve">
2011 col. - values don't change after 2011, any true-ups for 2011 are rolled up into later years
2012 col. - values include savings from 2012 DR and EE projects in 2012, 2011 true-up in 2012 and 2011 true-up in 2011 (this shouldn't really go here, but since the 2011 col. is fixed, we need to capture the persistence of 2011 true-up in 2011, in the 2012 col.) 
2013 col. - values include savings from 2012 DR and EE projects in 2013 and 2011 true-up in 2013 
2014 col. - values include savings from 2012 DR and EE projects in 2014 and 2011 true-up in 2014 
</t>
        </r>
      </text>
    </comment>
  </commentList>
</comments>
</file>

<file path=xl/sharedStrings.xml><?xml version="1.0" encoding="utf-8"?>
<sst xmlns="http://schemas.openxmlformats.org/spreadsheetml/2006/main" count="23835" uniqueCount="1220">
  <si>
    <t>LDC</t>
  </si>
  <si>
    <t>Business</t>
  </si>
  <si>
    <t>Energy Audit Funding</t>
  </si>
  <si>
    <t>Kingston Hydro Corporation</t>
  </si>
  <si>
    <t>Commercial &amp; Institutional</t>
  </si>
  <si>
    <t>EE</t>
  </si>
  <si>
    <t>Audit</t>
  </si>
  <si>
    <t/>
  </si>
  <si>
    <t>DR-3</t>
  </si>
  <si>
    <t>DR</t>
  </si>
  <si>
    <t>Facilities</t>
  </si>
  <si>
    <t>New Construction</t>
  </si>
  <si>
    <t>Retrofit</t>
  </si>
  <si>
    <t>Projects</t>
  </si>
  <si>
    <t>Small Business Lighting</t>
  </si>
  <si>
    <t>Consumer</t>
  </si>
  <si>
    <t>Annual Coupons</t>
  </si>
  <si>
    <t>Residential</t>
  </si>
  <si>
    <t>measures</t>
  </si>
  <si>
    <t>Appliance Exchange</t>
  </si>
  <si>
    <t>Appliances</t>
  </si>
  <si>
    <t>Appliance Retirement</t>
  </si>
  <si>
    <t>Bi-Annual Retailer Events</t>
  </si>
  <si>
    <t>Home Assistance Program</t>
  </si>
  <si>
    <t>Projects Completed</t>
  </si>
  <si>
    <t>HVAC</t>
  </si>
  <si>
    <t>Equipment</t>
  </si>
  <si>
    <t>Industrial</t>
  </si>
  <si>
    <t>Portfolio</t>
  </si>
  <si>
    <t>Program</t>
  </si>
  <si>
    <t>Initiative</t>
  </si>
  <si>
    <t>Sector</t>
  </si>
  <si>
    <t xml:space="preserve">Conservation Resource Type </t>
  </si>
  <si>
    <t>(Implementation) Year</t>
  </si>
  <si>
    <t>Activity Unit Name</t>
  </si>
  <si>
    <t>Gross Summer Peak Demand Savings (MW)</t>
  </si>
  <si>
    <t>Gross Energy Savings (MWh)</t>
  </si>
  <si>
    <t>Tier 1</t>
  </si>
  <si>
    <t>Direct Install Lighting</t>
  </si>
  <si>
    <t>C&amp;I</t>
  </si>
  <si>
    <t>Energy Audit</t>
  </si>
  <si>
    <t>Audits</t>
  </si>
  <si>
    <t>High Performance New Construction</t>
  </si>
  <si>
    <t>Bi-Annual Retailer Event</t>
  </si>
  <si>
    <t>Products</t>
  </si>
  <si>
    <t>Conservation Instant Coupon Booklet</t>
  </si>
  <si>
    <t>HVAC Incentives</t>
  </si>
  <si>
    <t>Installations</t>
  </si>
  <si>
    <t>Home Assistance</t>
  </si>
  <si>
    <t>Demand Response 3</t>
  </si>
  <si>
    <t>Pre-2011 Programs Completed in 2011</t>
  </si>
  <si>
    <t>Demand Response 3 (part of the Industrial program schedule)</t>
  </si>
  <si>
    <t>Tier 1 - 2011 Adjustment</t>
  </si>
  <si>
    <t>Buildings</t>
  </si>
  <si>
    <t>Retailer Co-op</t>
  </si>
  <si>
    <t>Electricity Retrofit Incentive Program</t>
  </si>
  <si>
    <t>Rate Class</t>
  </si>
  <si>
    <t>Large User</t>
  </si>
  <si>
    <t>n/a</t>
  </si>
  <si>
    <t>Multi-Family Energy Efficiency Rebates</t>
  </si>
  <si>
    <t>Consumer, Consumer Low-Income</t>
  </si>
  <si>
    <t>Demand Response 2</t>
  </si>
  <si>
    <t>Business, Industrial</t>
  </si>
  <si>
    <t>Loblaw &amp; York Region Demand Response</t>
  </si>
  <si>
    <t>LDC Custom - Hydro Ottawa - Small Commercial Demand Response</t>
  </si>
  <si>
    <t>Consumer, Business</t>
  </si>
  <si>
    <t>Consumer Low-Income</t>
  </si>
  <si>
    <t>Consumer, Business, Industrial</t>
  </si>
  <si>
    <t>Consumer, Consumer Low-Income, Business</t>
  </si>
  <si>
    <t>Consumer, Consumer Low-Income, Business, Industrial</t>
  </si>
  <si>
    <t>GS Less Than 50kW</t>
  </si>
  <si>
    <t>GS Greater Than 50kW</t>
  </si>
  <si>
    <t>Annual Savings</t>
  </si>
  <si>
    <t>Monthly Savings</t>
  </si>
  <si>
    <t>Rate</t>
  </si>
  <si>
    <t>LRAM Award</t>
  </si>
  <si>
    <t>Carrying Charge Rate</t>
  </si>
  <si>
    <t>Customer Class</t>
  </si>
  <si>
    <t>kWh</t>
  </si>
  <si>
    <t>kW</t>
  </si>
  <si>
    <t>$/kWh</t>
  </si>
  <si>
    <t>$/kW</t>
  </si>
  <si>
    <t>Total</t>
  </si>
  <si>
    <t>Jan-Apr</t>
  </si>
  <si>
    <t>May-Dec</t>
  </si>
  <si>
    <t>Q1</t>
  </si>
  <si>
    <t>General Service &lt;50 kW</t>
  </si>
  <si>
    <t>Q2</t>
  </si>
  <si>
    <t>General Service &gt;50kW</t>
  </si>
  <si>
    <t>Q3</t>
  </si>
  <si>
    <t>Q4</t>
  </si>
  <si>
    <t>Annual</t>
  </si>
  <si>
    <t>DI 2011</t>
  </si>
  <si>
    <t>RF 2011</t>
  </si>
  <si>
    <t>AU 2011</t>
  </si>
  <si>
    <t>DI 2012</t>
  </si>
  <si>
    <t>RF 2012</t>
  </si>
  <si>
    <t>AU 2012</t>
  </si>
  <si>
    <t>HP 2012</t>
  </si>
  <si>
    <t>AU 2013</t>
  </si>
  <si>
    <t>HP 2013</t>
  </si>
  <si>
    <t>RF 2013</t>
  </si>
  <si>
    <t>DI 2013</t>
  </si>
  <si>
    <t>RF 2014</t>
  </si>
  <si>
    <t>AU 2014</t>
  </si>
  <si>
    <t>HP 2014</t>
  </si>
  <si>
    <t>DI 2014</t>
  </si>
  <si>
    <t>Consumer Program</t>
  </si>
  <si>
    <t>Residential New Construction</t>
  </si>
  <si>
    <t>Consumer Program Total</t>
  </si>
  <si>
    <t>Business Program</t>
  </si>
  <si>
    <t>Building Commissioning</t>
  </si>
  <si>
    <t>Business Program Total</t>
  </si>
  <si>
    <t>Industrial Program</t>
  </si>
  <si>
    <t>Process &amp; System Upgrades</t>
  </si>
  <si>
    <t>Monitoring &amp; Targeting</t>
  </si>
  <si>
    <t>Energy Manager</t>
  </si>
  <si>
    <t>Industrial Program Total</t>
  </si>
  <si>
    <t>Home Assistance Program Total</t>
  </si>
  <si>
    <t>Aboriginal Program</t>
  </si>
  <si>
    <t>Aboriginal Program Total</t>
  </si>
  <si>
    <t>Pre-2011 Programs completed in 2011</t>
  </si>
  <si>
    <t>Pre-2011 Programs completed in 2011 Total</t>
  </si>
  <si>
    <t>Other</t>
  </si>
  <si>
    <t>Program Enabled Savings</t>
  </si>
  <si>
    <t>Other Total</t>
  </si>
  <si>
    <t xml:space="preserve"> </t>
  </si>
  <si>
    <t>TOTALS</t>
  </si>
  <si>
    <t>Large User - No Rate Impact</t>
  </si>
  <si>
    <t>Kingston Hydro allocates OPA verified net savings to each rate class based on each program's proportional contribution to gross savings in each rate class for each program year - See 'Rate Class Totals', 'KH Net MW MWh 2006-2040', 'Gross Program Savings KH' worksheets</t>
  </si>
  <si>
    <t>Unit</t>
  </si>
  <si>
    <t>Incremental Activity 
(new program activity occurring within the specified reporting period)</t>
  </si>
  <si>
    <t>Net Incremental Peak Demand Savings (kW) 
(new peak demand savings from activity within the specified reporting period)</t>
  </si>
  <si>
    <t>Net Incremental Energy Savings (kWh)
(new energy savings from activity within the specified reporting period)</t>
  </si>
  <si>
    <t>2014 Net Annual Peak Demand Savings (kW)</t>
  </si>
  <si>
    <t>2011-2014 Net Cumulative Energy Savings (kWh)</t>
  </si>
  <si>
    <t>Items</t>
  </si>
  <si>
    <t>Devices</t>
  </si>
  <si>
    <t>Homes</t>
  </si>
  <si>
    <t>Toronto Comprehensive</t>
  </si>
  <si>
    <t>Multifamily Energy Efficiency Rebates</t>
  </si>
  <si>
    <t>LDC Custom Programs</t>
  </si>
  <si>
    <t>Time-of-Use Savings</t>
  </si>
  <si>
    <t>Energy Efficiency Total</t>
  </si>
  <si>
    <t>Demand Response Total (Scenario 1)</t>
  </si>
  <si>
    <t>Full OEB Target:</t>
  </si>
  <si>
    <t>*Includes adjustments after Final Reports were issued</t>
  </si>
  <si>
    <t>% of Full OEB Target Achieved to Date (Scenario 1):</t>
  </si>
  <si>
    <t>Queen's Cogen DR3 kWh and kW savings not counted towards lost revenues in 2011-2014. These are recovered through the current metering and billng protocol for the generator.</t>
  </si>
  <si>
    <t>SMALL BUSINESS LIGHTING</t>
  </si>
  <si>
    <t>-</t>
  </si>
  <si>
    <t>HPNC</t>
  </si>
  <si>
    <t>Program-to-Date Verified Progress to Target (excludes DR)</t>
  </si>
  <si>
    <t>2011*</t>
  </si>
  <si>
    <t>2012*</t>
  </si>
  <si>
    <t>2013*</t>
  </si>
  <si>
    <t>Residential Demand Response</t>
  </si>
  <si>
    <t>Residential Demand Response (IHD)</t>
  </si>
  <si>
    <t>Small Commercial Demand Response</t>
  </si>
  <si>
    <t>Small Commercial Demand Response (IHD)</t>
  </si>
  <si>
    <t xml:space="preserve">Adjustments to 2011 Verified Results </t>
  </si>
  <si>
    <t xml:space="preserve">Adjustments to 2012 Verified Results </t>
  </si>
  <si>
    <t xml:space="preserve">Adjustments to 2013 Verified Results </t>
  </si>
  <si>
    <t>Adjustments to Previous Years' Verified Results Total</t>
  </si>
  <si>
    <t>OPA-Contracted LDC Portfolio Total (inc. Adjustments)</t>
  </si>
  <si>
    <t>Results presented using scenario 1 which assumes that demand response resources have a persistence of 1 year</t>
  </si>
  <si>
    <t>The distributor should determine the allocation of the savings to all customer classes in a reasonable manner (e.g. taking into account what programs and what OPA-measured impacts were directed at specific customer classes), for both the LRAMVA and for the load forecast adjustment.</t>
  </si>
  <si>
    <t>If the distributor has developed their load forecast on a system purchased basis, then the manual adjustment should be on system purchased basis, including the adjustment for losses.  If the load forecast has been developed on a billed basis, either on a system basis or on a class-specific basis, the manual adjustment should be on a billed basis, excluding losses.</t>
  </si>
  <si>
    <t xml:space="preserve">The Manual Adjustment for the 2016 Load Forecast is the amount manually subtracted from the load forecast derived from the base forecast from historical data. </t>
  </si>
  <si>
    <t xml:space="preserve">The proposed loss factor should correspond with the loss factor calculated in Appendix 2-R </t>
  </si>
  <si>
    <t>One manual adjustment for CDM impacts to the 2015 load forecast is made.  However, the distributor will have two associated annualized CDM impacts, one for the 2011-2014 CDM program and the second for the 2015-2020 CDM plan.  In addition, the distributor needs to reflect the CDM adjustment that was explicitly factored into its 2011 load forecast in its 2011 cost of service application (assuming that it rebased in that year).  this amount, and equal persistence for 2012, 2013 and 2014 is used as an offset to determine what the net balance of the 2011-2014 LRAMVA balance should be for disposition.</t>
  </si>
  <si>
    <t>Determination of 2016 Load Forecast Adjustment</t>
  </si>
  <si>
    <t>Total in Year</t>
  </si>
  <si>
    <t>2020 CDM Programs</t>
  </si>
  <si>
    <t>2019 CDM Programs</t>
  </si>
  <si>
    <t>2018 CDM Programs</t>
  </si>
  <si>
    <t>2017 CDM Programs</t>
  </si>
  <si>
    <t>2016 CDM Programs</t>
  </si>
  <si>
    <t>2015 CDM Programs</t>
  </si>
  <si>
    <t>%</t>
  </si>
  <si>
    <t>6 Year (2015-2020) kWh Target:</t>
  </si>
  <si>
    <t>For the first year of the new 2015-2020 CDM plan, it is assumed that each year's program will achieve an equal amount of new CDM savings.  The new targets for 2015-2020 do not take into account persistence beyond the first year, but the IESO will encourage distributors to promote and implement  CDM plans that will have longer term persistence of savings.  This results in each year's program being about 1/6 (18.67%) of the cumulative 2015-2020 CDM target for kWh savings.  A distributor may propose an alternative approach but would be expected to document in its application why it believes that its proposal is more reasonable.  In its proposal, the distributor should ensure that the sum of the results for each year's CDM program from 2015 to 2020 add up to its 2015-2020 CDM target as established by the IESO.</t>
  </si>
  <si>
    <t>2015-2020 CDM Program - 2016, second year of the current CDM plan</t>
  </si>
  <si>
    <t>2014 CDM Programs</t>
  </si>
  <si>
    <t>2013 CDM Programs</t>
  </si>
  <si>
    <t>2012 CDM Programs</t>
  </si>
  <si>
    <t>2011 CDM Programs</t>
  </si>
  <si>
    <t>Persistence of 2014 CDM Program into 2015 and 2016</t>
  </si>
  <si>
    <t>4 Year (2011-2014) kWh Target:</t>
  </si>
  <si>
    <t>2011-2014 CDM Program - 2014, last year of the current CDM plan</t>
  </si>
  <si>
    <t>Appendix 2-I was developed to help determine what would be the amount of CDM savings needed in each year to cumulatively achieve the four year 2011-2014 CDM target.  This then determined the amount of kWh (and with translation, kW of demand) savings that were converted in dollars balances for the LRAMVA, and also to determine the related adjustment to the load forecast to account for OPA-reported savings.  Beginning for the 2015 year, it has been adjusted because of the persistence of 2011-2014 CDM programs will be an adjustment to the load forecast in addition to the estimated savings for the first year (2015) for the new 2015-2020 CDM plan.</t>
  </si>
  <si>
    <t>Load Forecast CDM Adjustment Work Form (2016)</t>
  </si>
  <si>
    <t>Appendix 2-I</t>
  </si>
  <si>
    <t>Date:</t>
  </si>
  <si>
    <t>Page:</t>
  </si>
  <si>
    <t>Schedule:</t>
  </si>
  <si>
    <t>Tab:</t>
  </si>
  <si>
    <t>Exhibit:</t>
  </si>
  <si>
    <t>File Number:</t>
  </si>
  <si>
    <t>D.</t>
  </si>
  <si>
    <t>CDM Plan Detailed List of Programs, Election of Funding Mechanism, and Annual Milestones</t>
  </si>
  <si>
    <t>NOTES</t>
  </si>
  <si>
    <t>1. CDM Plan</t>
  </si>
  <si>
    <t>Complete Table 2 for all Programs for which will contribute towards the CDM Plan Target.</t>
  </si>
  <si>
    <t>2. Program Name</t>
  </si>
  <si>
    <t>Province-wide LDC Program names are found in the applicable Program Rules.  Regional &amp; local Program names should be consistent with those included in approved business cases (if applicable) and consistent throughout this CDM Plan.</t>
  </si>
  <si>
    <t>3. Anticipated Annual Budget</t>
  </si>
  <si>
    <t xml:space="preserve">Include annual budgets for each Program to be allocated against the CDM Plan Budget by funding mechanism.  Note: LDC Eligible Expenses incurred in 2014 for programs delivered in 2015 (and not funded as part of the 2011-2014 Master CDM Program Agreement) should be included in 2015 Annual anticipated budget amounts.  </t>
  </si>
  <si>
    <t>4. Target Gap</t>
  </si>
  <si>
    <t xml:space="preserve">Portion of the CDM Plan Target that the LDC reasonably expects, based on qualified independent third party analysis as accepted by the IESO could only be achieved with funding in addition to the CDM Plan Budget. </t>
  </si>
  <si>
    <t>LDC 1:</t>
  </si>
  <si>
    <t>TABLE 2. PROGRAM AND MILESTONE SCHEDULE</t>
  </si>
  <si>
    <t>Funding Mechanism</t>
  </si>
  <si>
    <t>Approved
Province Wide
Programs</t>
  </si>
  <si>
    <t>Approved
Local, Regional, or Pilot Programs</t>
  </si>
  <si>
    <t>Proposed
Pilots or Programs</t>
  </si>
  <si>
    <t>Program Start Date
(DD-Mon-YYYY)</t>
  </si>
  <si>
    <t>Customer Segments Targeted by Program</t>
  </si>
  <si>
    <t>Program Implementation Schedule (Annual Anticipated Budget &amp; Incremental Annual Milestones by Program)</t>
  </si>
  <si>
    <t>Total 2015 - 2020</t>
  </si>
  <si>
    <t>Low-income</t>
  </si>
  <si>
    <t>Small business</t>
  </si>
  <si>
    <t>Commercial (inc. Multi-Fam)</t>
  </si>
  <si>
    <t>Agricultural</t>
  </si>
  <si>
    <t>Institutional</t>
  </si>
  <si>
    <t>Anticipated Annual Budget ($)</t>
  </si>
  <si>
    <t>Energy Savings (MWh)</t>
  </si>
  <si>
    <t>Total CDM Plan Budget ($)</t>
  </si>
  <si>
    <t>Total Persisting Energy Savings in 2020 (MWh)</t>
  </si>
  <si>
    <t>Full Cost Recovery Programs</t>
  </si>
  <si>
    <t>01-Jan-2016</t>
  </si>
  <si>
    <t>Yes</t>
  </si>
  <si>
    <t>Heating and Cooling Program</t>
  </si>
  <si>
    <t>Coupon Program</t>
  </si>
  <si>
    <t>Enhanced Direct Install</t>
  </si>
  <si>
    <t>Audit Funding Program</t>
  </si>
  <si>
    <t>Process and Systems Upgrades Program</t>
  </si>
  <si>
    <t>FCR TOTAL</t>
  </si>
  <si>
    <t>Pay for Performance Programs</t>
  </si>
  <si>
    <t>P4P TOTAL</t>
  </si>
  <si>
    <r>
      <t xml:space="preserve">2011-2014 CDM Framework (and 2015 extension of 2011-2014 Master CDM Agreement) </t>
    </r>
    <r>
      <rPr>
        <b/>
        <i/>
        <sz val="11"/>
        <color theme="1"/>
        <rFont val="Calibri"/>
        <family val="2"/>
        <scheme val="minor"/>
      </rPr>
      <t>(Not funded through 2015-2020 CDM Framework)</t>
    </r>
  </si>
  <si>
    <t>Heating and Cooling</t>
  </si>
  <si>
    <t xml:space="preserve">High Performance New Construction </t>
  </si>
  <si>
    <t>Audit Funding</t>
  </si>
  <si>
    <t>2011-2014 CDM Framework (and 2015 extension) TOTAL</t>
  </si>
  <si>
    <t>TARGET GAP TOTAL</t>
  </si>
  <si>
    <t>CDM PLAN TOTAL</t>
  </si>
  <si>
    <t>MINIMUM ANNUAL SAVINGS CHECK</t>
  </si>
  <si>
    <t>Option</t>
  </si>
  <si>
    <t>Program Types</t>
  </si>
  <si>
    <t>Regional</t>
  </si>
  <si>
    <t>No</t>
  </si>
  <si>
    <t>Local</t>
  </si>
  <si>
    <t>Provincial</t>
  </si>
  <si>
    <t>2011-2014 Province Wide Programs</t>
  </si>
  <si>
    <t xml:space="preserve">Direct Install Lighting </t>
  </si>
  <si>
    <t>Energy Manager (PSUI)</t>
  </si>
  <si>
    <t xml:space="preserve">Existing Building Commissioning </t>
  </si>
  <si>
    <t>Heating and Cooling Initiative</t>
  </si>
  <si>
    <t>Low Income Home Assistance Program</t>
  </si>
  <si>
    <t>Monitoring and Targeting (PSUI)</t>
  </si>
  <si>
    <t>peaksaverPLUS</t>
  </si>
  <si>
    <t xml:space="preserve">Residential New Construction </t>
  </si>
  <si>
    <t>Retrofit Initiative</t>
  </si>
  <si>
    <t>2015-2020 CDM Programs</t>
  </si>
  <si>
    <t>Energy Manager Program</t>
  </si>
  <si>
    <t>Existing Building Commissioning</t>
  </si>
  <si>
    <t>Monitoring and Targeting Program</t>
  </si>
  <si>
    <t>New Construction Program</t>
  </si>
  <si>
    <t>DI</t>
  </si>
  <si>
    <t>GS&lt;50kW Participants</t>
  </si>
  <si>
    <t>GS&gt;50kW participants</t>
  </si>
  <si>
    <t>Total Gross Demand Savings (kW)</t>
  </si>
  <si>
    <t>GS&lt;50kW Demand Savings (kW)</t>
  </si>
  <si>
    <t>GS&gt;50kW Demand Savings (kW)</t>
  </si>
  <si>
    <t>Total Gross Energy Savings (kWh)</t>
  </si>
  <si>
    <t>GS&lt;50kW Energy Savings (kWh)</t>
  </si>
  <si>
    <t>GS&gt;50kW Energy Savings (kWh)</t>
  </si>
  <si>
    <t>Totals</t>
  </si>
  <si>
    <t>AU</t>
  </si>
  <si>
    <t>Large User Demand Savings</t>
  </si>
  <si>
    <t>RF</t>
  </si>
  <si>
    <t>Large User Participants</t>
  </si>
  <si>
    <t>Street Lighting Participants</t>
  </si>
  <si>
    <t>Large User Demand Savings (kW)</t>
  </si>
  <si>
    <t>Residential Energy Savings (kWh)</t>
  </si>
  <si>
    <t>Large User Energy Savings (kWh)</t>
  </si>
  <si>
    <t>Streetlighting Energy Savings (kWh)</t>
  </si>
  <si>
    <t>HP</t>
  </si>
  <si>
    <t>GS Less than 50kW Energy Savings</t>
  </si>
  <si>
    <t>GS Greater Than 50kW Demand Savings</t>
  </si>
  <si>
    <t>Residential Energy Savings</t>
  </si>
  <si>
    <t>Streetlighting Energy Savings</t>
  </si>
  <si>
    <t>Activity and savings for Demand Response resources for each year represent the savings from all active facilities or devices contracted since January 1, 2011 (reported cumulatively).
†Results contain a DR contributor that was applied to Kingston Hydro's service territory in error in 2012 and 2013 respectively.  The contributor has been removed in 2014.</t>
  </si>
  <si>
    <t>LDC Pilots</t>
  </si>
  <si>
    <t>Demand Response 3†</t>
  </si>
  <si>
    <t xml:space="preserve">Table 1: Kingston Hydro Corporation Initiative and Program Level Net Savings by Year </t>
  </si>
  <si>
    <t>Net-to-Gross Ratio</t>
  </si>
  <si>
    <t>Realization Rate</t>
  </si>
  <si>
    <t>Energy Savings</t>
  </si>
  <si>
    <t>Peak Demand Savings</t>
  </si>
  <si>
    <t>Table 3: Kingston Hydro Corporation Realization Rate &amp; NTG</t>
  </si>
  <si>
    <t>†Includes adjustments to previous years' verified results</t>
  </si>
  <si>
    <t xml:space="preserve">Verified Portion of Cumulative Energy Target Achieved in 2014 (%):  </t>
  </si>
  <si>
    <t>Kingston Hydro Corporation 2011-2014 Annual CDM Energy Target:</t>
  </si>
  <si>
    <t>Verified Net Cumulative Energy Savings 2011-2014:</t>
  </si>
  <si>
    <t>2014 - Verified†</t>
  </si>
  <si>
    <t>2013 - Verified†</t>
  </si>
  <si>
    <t>2012 - Verified†</t>
  </si>
  <si>
    <t>2011 - Verified</t>
  </si>
  <si>
    <t xml:space="preserve">2011-2014 </t>
  </si>
  <si>
    <t>Cumulative</t>
  </si>
  <si>
    <t>Implementation Period</t>
  </si>
  <si>
    <t>Table 5: Net Energy Savings at the End User Level (GWh)</t>
  </si>
  <si>
    <t xml:space="preserve">Verified Portion of Peak Demand Savings Target Achieved in 2014 (%):  </t>
  </si>
  <si>
    <t>Kingston Hydro Corporation 2014 Annual CDM Capacity Target:</t>
  </si>
  <si>
    <t xml:space="preserve">Verified Net Annual Peak Demand Savings Persisting in 2014:  </t>
  </si>
  <si>
    <t>Table 4: Net Peak Demand Savings at the End User Level (MW) (Scenario 1)</t>
  </si>
  <si>
    <t xml:space="preserve">Results are recognized using current IESO reporting policies. Energy efficiency resources persist for the duration of the effective useful life. Any upcoming code changes are taken into account. Demand response resources persist for 1 year (Scenario 1). Please see methodology tab for more detailed information. </t>
  </si>
  <si>
    <t>Summary Achievement Against CDM Targets</t>
  </si>
  <si>
    <t>Total Resource Cost (TRC) Test</t>
  </si>
  <si>
    <t>Societal Cost (SC) Test</t>
  </si>
  <si>
    <t>Program Administrator Cost (PAC) Test</t>
  </si>
  <si>
    <t>Participant Cost (PC) Test</t>
  </si>
  <si>
    <t>Rate Impact Measure (RIM) Test</t>
  </si>
  <si>
    <t>Levelized Cost (LC) Metric ($/kW or $/kWh)</t>
  </si>
  <si>
    <t>ACTIVE</t>
  </si>
  <si>
    <t>SECTOR</t>
  </si>
  <si>
    <t>PROGRAM</t>
  </si>
  <si>
    <t>END-USE</t>
  </si>
  <si>
    <t>CONSERVATION MEASURE</t>
  </si>
  <si>
    <t>MEASURE DESCRIPTION</t>
  </si>
  <si>
    <t>BASE MEASURE</t>
  </si>
  <si>
    <t>END USE LOAD PROFILE</t>
  </si>
  <si>
    <t>PROGRAM YEAR</t>
  </si>
  <si>
    <t>QUANTITY</t>
  </si>
  <si>
    <t>PER UNIT INCENTIVE</t>
  </si>
  <si>
    <t>VARIABLE PROGRAM COSTS</t>
  </si>
  <si>
    <t>EARLY REPLACEMENT</t>
  </si>
  <si>
    <t>WEATHER SENSITIVE PEAK DEMAND</t>
  </si>
  <si>
    <t>Distribution (Dx) or Transmission (Tx) Connected</t>
  </si>
  <si>
    <t>NET-TO-GROSS (ENERGY)</t>
  </si>
  <si>
    <t>NET-TO-GROSS (DEMAND)</t>
  </si>
  <si>
    <t>TOTAL INCENTIVE</t>
  </si>
  <si>
    <t>TOTAL VARIABLE PROGRAM COSTS</t>
  </si>
  <si>
    <t>TRC BENEFITS</t>
  </si>
  <si>
    <t>TRC COSTS</t>
  </si>
  <si>
    <t>TRC RATIO</t>
  </si>
  <si>
    <t>TRC NET BENEFITS</t>
  </si>
  <si>
    <t>SC BENEFITS</t>
  </si>
  <si>
    <t>SC COSTS</t>
  </si>
  <si>
    <t>SC RATIO</t>
  </si>
  <si>
    <t>SC NET BENEFITS</t>
  </si>
  <si>
    <t>PAC BENEFITS</t>
  </si>
  <si>
    <t>PAC COSTS</t>
  </si>
  <si>
    <t>PAC RATIO</t>
  </si>
  <si>
    <t>PAC NET BENEFITS</t>
  </si>
  <si>
    <t>PC BENEFITS</t>
  </si>
  <si>
    <t>PC COSTS</t>
  </si>
  <si>
    <t>PC RATIO</t>
  </si>
  <si>
    <t>PC NET BENEFITS</t>
  </si>
  <si>
    <t>RIM BENEFITS</t>
  </si>
  <si>
    <t>RIM COSTS</t>
  </si>
  <si>
    <t>RIM RATIO</t>
  </si>
  <si>
    <t>RIM NET BENEFITS</t>
  </si>
  <si>
    <t>LC BENEFITS (DEMAND)</t>
  </si>
  <si>
    <t>LC BENEFITS (ENERGY)</t>
  </si>
  <si>
    <t>LC COSTS</t>
  </si>
  <si>
    <t>LC METRIC (DEMAND)</t>
  </si>
  <si>
    <t>LC METRIC (ENERGY)</t>
  </si>
  <si>
    <t>IESO - ARCHETYPE</t>
  </si>
  <si>
    <t>Lighting</t>
  </si>
  <si>
    <t>PRESCRIPTIVE LIGHTING</t>
  </si>
  <si>
    <t>ARCHETYPE - PRESCRIPTIVE LIGHTING</t>
  </si>
  <si>
    <t>HISTORICAL PERFORMANCE</t>
  </si>
  <si>
    <t>PSP-Business-Commercial-Lighting_Interior_General</t>
  </si>
  <si>
    <t>Dx</t>
  </si>
  <si>
    <t>Non-Lighting</t>
  </si>
  <si>
    <t>PRESCRIPTIVE NON-LIGHTING</t>
  </si>
  <si>
    <t>ARCHETYPE - PRESCRIPTIVE NON-LIGHTING</t>
  </si>
  <si>
    <t>PSP-Business-Commercial-Miscellaneous_Equipment</t>
  </si>
  <si>
    <t>ENGINEERED LIGHTING</t>
  </si>
  <si>
    <t>ARCHETYPE - ENGINEERED LIGHTING</t>
  </si>
  <si>
    <t>ENGINEERED NON-LIGHTING</t>
  </si>
  <si>
    <t>ARCHETYPE - ENGINEERED NON-LIGHTING</t>
  </si>
  <si>
    <t>CUSTOM LIGHTING</t>
  </si>
  <si>
    <t>ARCHETYPE - CUSTOM LIGHTING</t>
  </si>
  <si>
    <t>CUSTOM NON-LIGHTING</t>
  </si>
  <si>
    <t>ARCHETYPE - CUSTOM NON-LIGHTING</t>
  </si>
  <si>
    <t>Space Cooling</t>
  </si>
  <si>
    <t>CAC 14.5 SEER</t>
  </si>
  <si>
    <t>ARCHETYPE - CAC 14.5 SEER</t>
  </si>
  <si>
    <t>PSP-Consumer-Residential-AC_Central</t>
  </si>
  <si>
    <t>CAC 15 SEER</t>
  </si>
  <si>
    <t>ARCHETYPE - CAC 15 SEER</t>
  </si>
  <si>
    <t>Space Cooling and Heating</t>
  </si>
  <si>
    <t>ECM FURNACE</t>
  </si>
  <si>
    <t>ARCHETYPE - ECM FURNACE</t>
  </si>
  <si>
    <t>PSP-Consumer-Residential-Furnace_ECM_3</t>
  </si>
  <si>
    <t>AIR CONDITIONER - ROOM</t>
  </si>
  <si>
    <t>ARCHETYPE - AIR CONDITIONER ROOM</t>
  </si>
  <si>
    <t>PSP-Consumer-Residential-AC_Room</t>
  </si>
  <si>
    <t>DEHUMIDIFIER</t>
  </si>
  <si>
    <t>ARCHETYPE - DEHUMIDIFIER</t>
  </si>
  <si>
    <t>PSP-Consumer-Residential-Dehumidifiers</t>
  </si>
  <si>
    <t>Household Appliances</t>
  </si>
  <si>
    <t>FREEZER</t>
  </si>
  <si>
    <t>ARCHETYPE - FREEZER</t>
  </si>
  <si>
    <t>PSP-Consumer-Residential-Freezers</t>
  </si>
  <si>
    <t>REFRIGERATOR</t>
  </si>
  <si>
    <t>ARCHETYPE - REFRIGERATOR</t>
  </si>
  <si>
    <t>PSP-Consumer-Residential-Refrigerators</t>
  </si>
  <si>
    <t>Coupon</t>
  </si>
  <si>
    <t xml:space="preserve">Miscellaneous       </t>
  </si>
  <si>
    <t>COUPONS</t>
  </si>
  <si>
    <t>ARCHETYPE - COUPONS</t>
  </si>
  <si>
    <t>PSP-Consumer-Residential-Lighting</t>
  </si>
  <si>
    <t>BI-ANNUAL COUPONS</t>
  </si>
  <si>
    <t>ARCHETYPE - BI-ANNUAL COUPONS</t>
  </si>
  <si>
    <t>New Residential Home</t>
  </si>
  <si>
    <t>NEW HOME CONSTRUCTION</t>
  </si>
  <si>
    <t>ARCHETYPE - NEW HOME CONSTRUCTION</t>
  </si>
  <si>
    <t>HAP Home</t>
  </si>
  <si>
    <t>HAP HOME</t>
  </si>
  <si>
    <t>ARCHETYPE - HAP HOME</t>
  </si>
  <si>
    <t>ARCHETYPE - SMALL BUSINESS LIGHTING</t>
  </si>
  <si>
    <t>PSP-Business-Commercial-Lighting_Small Business</t>
  </si>
  <si>
    <t>High Performance New Construction (HPNC)</t>
  </si>
  <si>
    <t>HPNC Project</t>
  </si>
  <si>
    <t>HPNC PROJECT</t>
  </si>
  <si>
    <t>ARCHETYPE - HPNC PROJECT</t>
  </si>
  <si>
    <t>AUDIT PROJECT</t>
  </si>
  <si>
    <t>ARCHETYPE - AUDIT PROJECT</t>
  </si>
  <si>
    <t>Process and Systems</t>
  </si>
  <si>
    <t>Behind the Meter Generatiion</t>
  </si>
  <si>
    <t>Steam letdown generator</t>
  </si>
  <si>
    <t>Steam letdown Generator</t>
  </si>
  <si>
    <t>Pressure regulator</t>
  </si>
  <si>
    <t>CUSTOM-Business-Hospital-BMG</t>
  </si>
  <si>
    <t>Chillier Commissioning</t>
  </si>
  <si>
    <t>Unrecomissioned chiller</t>
  </si>
  <si>
    <t>PSP-Business-Commercial-Chiller</t>
  </si>
  <si>
    <t>Behind the meter generation</t>
  </si>
  <si>
    <t>Combined heat and power</t>
  </si>
  <si>
    <t>Steam production</t>
  </si>
  <si>
    <t>2015 Savings</t>
  </si>
  <si>
    <t>NET ANNUAL PEAK DEMAND SAVINGS (KW) AT THE GENERATOR LEVEL</t>
  </si>
  <si>
    <t>NET ANNUAL ENERGY SAVINGS (KWH) AT THE GENERATOR LEVEL</t>
  </si>
  <si>
    <t>GROSS ANNUAL PEAK DEMAND SAVINGS (KW) AT THE GENERATOR LEVEL</t>
  </si>
  <si>
    <t>GROSS ANNUAL ENERGY SAVINGS (KWH) AT THE GENERATOR LEVEL</t>
  </si>
  <si>
    <t>PEAK DEMAND SAVINGS (KW)</t>
  </si>
  <si>
    <t>FIRST YEAR ENERGY SAVINGS (KWH)</t>
  </si>
  <si>
    <t>EFFECTIVE USEFUL LIFE (YEAR)</t>
  </si>
  <si>
    <t>REMAINNG USEFUL LIFE 
(YEARS)</t>
  </si>
  <si>
    <t>REMAINNG USEFUL LIFE ANNUAL ENERGY SAVINGS (KWH)</t>
  </si>
  <si>
    <t>REMAINNG USEFUL LIFE PEAK DEMAND SAVINGS (KW)</t>
  </si>
  <si>
    <t>KH Projections</t>
  </si>
  <si>
    <t>Commercial</t>
  </si>
  <si>
    <r>
      <t>2014 is the last year of the current four year (2011-2014) CDM program, and 2015 is the first year of a new six year (2015-2020) CDM program, per the Ministerial directives of March 31</t>
    </r>
    <r>
      <rPr>
        <sz val="10"/>
        <rFont val="Arial"/>
        <family val="2"/>
      </rPr>
      <t xml:space="preserve">, 2014.  With 2016, there is a need to recognize the full year impact of the past 2011-2014 CDM program, as well as to estimate reasonable impacts for each year for the new 2015-2020 CDM program.  These are combined to estimate the adjustment for CDM program impacts on the 2016 load forecast.  </t>
    </r>
  </si>
  <si>
    <t>Input the 2011-2014 CDM target in Cell B34.</t>
  </si>
  <si>
    <t>Conservation Coupon Instant Booklet</t>
  </si>
  <si>
    <t>Total Participants (IESO)</t>
  </si>
  <si>
    <t>Net Demand Savings</t>
  </si>
  <si>
    <t>Net Savings Allocated to Rate Class based ratio of total gross savings per rate class per Kingston Hydro records as to rate class of customer where retrofit work occurred.</t>
  </si>
  <si>
    <t>Net Savings Allocated to Rate Class by number of participants in each rate class.</t>
  </si>
  <si>
    <t>Allocated to Rate Class based on ratio of total gross savings per rate class per Kingston Hydro records of the rate class of customer where retrofit work occurred.</t>
  </si>
  <si>
    <t>Net Energy Savings (kWh)</t>
  </si>
  <si>
    <t>Streetlighting kW savings (non-peak)</t>
  </si>
  <si>
    <t>IESO - Filed CDM Plan</t>
  </si>
  <si>
    <t>Direct Install Lighting (Archetype for Enhanced Direct Install)</t>
  </si>
  <si>
    <t>Process &amp; Systems</t>
  </si>
  <si>
    <t>RF 2015-20</t>
  </si>
  <si>
    <t>DI 2015-20</t>
  </si>
  <si>
    <t>HP 2015-20</t>
  </si>
  <si>
    <t>AU 2015-20</t>
  </si>
  <si>
    <t>Kingston Hydro Lost Revenue Adjustment Mechanism Variance Account - 2011-2014 Actuals &amp; 2015-2020 Projections</t>
  </si>
  <si>
    <t>All Lost Revenues from 2006-2009 have been recovered as part of Kingston Hydro's 2010 Rate Application and 2010 Lost Revenues have been recovered as part of Kingston Hydro's 2011 Rate Application. Current LRAMVA balances reflect revenue losses from persisting savings from all programs since 2011, with half year persistence in their year of achievement, that persist through 2013 as reported by the IESO, and as projected by Kingston Hydro for 2014 based IESO Reported 2014 Final CDM results and observed 2013 persistence curves for each program type.</t>
  </si>
  <si>
    <t>Quantity</t>
  </si>
  <si>
    <t>Process &amp; Systems - 2015 savings</t>
  </si>
  <si>
    <t>Process &amp; Systems - BTG - no Rate Impact</t>
  </si>
  <si>
    <t>GS&gt;50kW</t>
  </si>
  <si>
    <t>2015- 2020</t>
  </si>
  <si>
    <t>In response to Interrogatories, Kingston Hydro has been asked to calculate net kWh and kWh savings by rate class as required to isolate CDM from the Load Forecast Trend Variable</t>
  </si>
  <si>
    <t>Persiting net savings for each year to be included in the Load Forecast are taken from the IESO's 2011-2014 Final CDM Results Report for Kingston Hydro and Kingston Hydro's 2015-2020 Conservation Plan filed with the IESO</t>
  </si>
  <si>
    <t>Net savings are calculated by the IESO based on province wide and local annual EM&amp;V and actual records of program-derived savings within Kingston Hydro territory.</t>
  </si>
  <si>
    <t>All persisting CDM savings from measures or programs completed from 2011 through 2014, as well as projected 2015 savings, are required to be integrated into the Load Forecast, and used to calculate LRAMVA values.</t>
  </si>
  <si>
    <t>GS&lt;50kW</t>
  </si>
  <si>
    <t xml:space="preserve">Net Savings achieved in a given year are adjusted per half-year rule in the year they are first reported and have 50% of their annual persistence in the first year they are reported. Savings in years 2 forward have full persistence. </t>
  </si>
  <si>
    <t>GS&lt;50 Energy Savings (kWh)</t>
  </si>
  <si>
    <t>GS&gt;50kW Energy Savings (kW)</t>
  </si>
  <si>
    <t>2015-2020</t>
  </si>
  <si>
    <t>GS Less than 50kW Demand Savings</t>
  </si>
  <si>
    <t>GS Greater Than 50kW Energy Savings</t>
  </si>
  <si>
    <t>Large User Energy Savings</t>
  </si>
  <si>
    <t>Residential Demand Savings</t>
  </si>
  <si>
    <t>Streetlighting Demand Savings</t>
  </si>
  <si>
    <t>Streetlighting</t>
  </si>
  <si>
    <t>Allocated to Rate Class by number of participants in each rate class (required as Enbridge holds pre-2011 HPNC files for buildings completed in 2011-2012 - Large Users)</t>
  </si>
  <si>
    <t>The IESO's assumed Tx+Dx loss factor of 6.7% is used to transpose 2015-2020 Net Generator Level Savings to End User Level Savings for 2015-2020</t>
  </si>
  <si>
    <t>OPA Conservation &amp; Demand Management Programs</t>
  </si>
  <si>
    <t>Initiative Results at End-User Level</t>
  </si>
  <si>
    <t>For Lage User</t>
  </si>
  <si>
    <t>For:</t>
  </si>
  <si>
    <t>Net Summer Peak Demand Savings (MW)</t>
  </si>
  <si>
    <t>#</t>
  </si>
  <si>
    <t>Initiative Name</t>
  </si>
  <si>
    <t>Program Name</t>
  </si>
  <si>
    <t>Kingston Hydro Rate Class</t>
  </si>
  <si>
    <t>Program Year</t>
  </si>
  <si>
    <t>Results Status</t>
  </si>
  <si>
    <t>2006 Subtotal</t>
  </si>
  <si>
    <t>2007 Subtotal</t>
  </si>
  <si>
    <t>2008 Subtotal</t>
  </si>
  <si>
    <t>2009 Subtotal</t>
  </si>
  <si>
    <t>2010 Subtotal</t>
  </si>
  <si>
    <t>Overall Total</t>
  </si>
  <si>
    <t>Net Energy Savings (MWh)</t>
  </si>
  <si>
    <t>Row Labels</t>
  </si>
  <si>
    <t>Grand Total</t>
  </si>
  <si>
    <t>Secondary Refrigerator Retirement Pilot</t>
  </si>
  <si>
    <t>Cool &amp; Hot Savings Rebate</t>
  </si>
  <si>
    <t>Every Kilowatt Counts</t>
  </si>
  <si>
    <t>Demand Response 1</t>
  </si>
  <si>
    <t>Great Refrigerator Roundup</t>
  </si>
  <si>
    <t>peaksaver®</t>
  </si>
  <si>
    <t>Summer Savings</t>
  </si>
  <si>
    <t>Aboriginal</t>
  </si>
  <si>
    <t>Affordable Housing Pilot</t>
  </si>
  <si>
    <t>Social Housing Pilot</t>
  </si>
  <si>
    <t>Energy Efficiency Assistance for Houses Pilot</t>
  </si>
  <si>
    <t>Electricity Retrofit Incentive</t>
  </si>
  <si>
    <t>Renewable Energy Standard Offer</t>
  </si>
  <si>
    <t>Cool Savings Rebate</t>
  </si>
  <si>
    <t>Every Kilowatt Counts Power Savings Event</t>
  </si>
  <si>
    <t>Summer Sweepstakes</t>
  </si>
  <si>
    <t>Power Savings Blitz</t>
  </si>
  <si>
    <t>Other Customer Based Generation</t>
  </si>
  <si>
    <t>LDC Custom - Hydro One Networks Inc. - Double Return</t>
  </si>
  <si>
    <t>LDC Custom - Thunder Bay Hydro - Phantom Load</t>
  </si>
  <si>
    <t>LDC Custom - Toronto Hydro - Summer Challenge</t>
  </si>
  <si>
    <t>LDC Custom - PowerStream - Data Centers</t>
  </si>
  <si>
    <t>Toronto Comprehensive Adjustment</t>
  </si>
  <si>
    <t>LDC Custom - Hydro One Networks Inc. - Double Return Adjustment</t>
  </si>
  <si>
    <t>Final</t>
  </si>
  <si>
    <t>Sum of 2011</t>
  </si>
  <si>
    <t>Sum of 2012</t>
  </si>
  <si>
    <t>Sum of 2013</t>
  </si>
  <si>
    <t>Sum of 2014</t>
  </si>
  <si>
    <t>Sum of 2015</t>
  </si>
  <si>
    <t>Net MW Savings by Rate Class</t>
  </si>
  <si>
    <t>kW Demand Reduction billed kW Impacts - 2011 Program Year &amp; Adjustments</t>
  </si>
  <si>
    <t>kW Demand Reduction billed kW Impacts - 2012 Program Year &amp; Adjustments</t>
  </si>
  <si>
    <t>kW Demand Reduction billed kW Impacts - 2013 Program Year &amp; Adjustments</t>
  </si>
  <si>
    <t>kW Demand Reduction billed kW Impacts - 2014 Program Year &amp; Adjustments</t>
  </si>
  <si>
    <t>OPA Verified Demand Savings are defined as May-Sept, weekday savings. Since demand savings are only verified for 5 months of the year, Kingston Hydro is only claiming 5 months lost revenue, all under the May-Dec rate for each program year. The exception is streetlighting, in which we can verify that demand savings occur and revenues are lost in all months.  Streetlighting has 10 year persistence starting in 2012 and 2013 - savings calculated with RETROFIT program application information available upon request.</t>
  </si>
  <si>
    <t>Net MWh Savings by Rate Class</t>
  </si>
  <si>
    <t>Sum of 2010</t>
  </si>
  <si>
    <t>Sum of 2009</t>
  </si>
  <si>
    <t>Sum of 2016</t>
  </si>
  <si>
    <t>Sum of 2017</t>
  </si>
  <si>
    <t>Sum of 2018</t>
  </si>
  <si>
    <t>Sum of 2019</t>
  </si>
  <si>
    <t>Sum of 2020</t>
  </si>
  <si>
    <t>Energy Reduction billed kWh Impacts - 2009 Program Year &amp; Adjustments</t>
  </si>
  <si>
    <t>Energy Reduction billed kWh Impacts - 2010 Program Year &amp; Adjustments</t>
  </si>
  <si>
    <t>Energy Reduction billed kWh Impacts - 2011 Program Year &amp; Adjustments</t>
  </si>
  <si>
    <t>Energy Reduction billed kWh Impacts - 2012 Program Year &amp; Adjustments</t>
  </si>
  <si>
    <t>Energy Reduction billed kWh Impacts - 2013 Program Year &amp; Adjustments</t>
  </si>
  <si>
    <t>Energy Reduction billed kWh Impacts - 2014 Program Year &amp; Adjustments</t>
  </si>
  <si>
    <t>Energy Reduction billed kWh Impacts - 2015-20 Program Year &amp; Adjustments</t>
  </si>
  <si>
    <t>GS Greater Than 50KW</t>
  </si>
  <si>
    <t>2009 program year savings</t>
  </si>
  <si>
    <t>2010 program year savings</t>
  </si>
  <si>
    <t>2011 program year savings</t>
  </si>
  <si>
    <t>2012 program year savings</t>
  </si>
  <si>
    <t>2013 program year savings</t>
  </si>
  <si>
    <t>2014 program year savings</t>
  </si>
  <si>
    <t>2015-2020 Projected persisting savings</t>
  </si>
  <si>
    <t>Total CDM Load Forecast Impact</t>
  </si>
  <si>
    <t>RESIDENTIAL</t>
  </si>
  <si>
    <t>TOTAL LOAD FORECAST CDM ANNUAL CDM kWh IMPACTS</t>
  </si>
  <si>
    <t xml:space="preserve">The new six year (2015-2020) CDM program will work similar to the existing 2011-2014 CDM program, meaning that distributors will offer programs each year that, cumulatively over the six years (from January 1, 2015 to December 31, 2020) will achieve the new six year CDM target.  This is the approach contemplated in the Ministerial directive letters of March 31, 2014 to the Board and to the OPA.  </t>
  </si>
  <si>
    <t xml:space="preserve">With this approach, it is necessary to account for estimated savings for the last year of the current program, particularly the estimated savings for CDM programs offered in 2014, as well as the estimated savings for new CDM programs that the distributor will offer in 2015 towards achievement of the new six year (2015-2020) CDM program.   This necessitates expansion of this Appendix 2-I to deal with both the 2011-2014 results and 2015-2020 CDM plans. </t>
  </si>
  <si>
    <t xml:space="preserve">Kingston Hydro has 2011-2014 Final Results, as well as confirmation of the 2015-2020 program savings and persistence calculations from the IESO as of Sept. 1, 2015. This appendix has been modified to reflect use of past LRAMVA balances for disposition, future LRAMVA balances, and Load Forecast adjustments based on actual and forecast savings per rate class per year. </t>
  </si>
  <si>
    <t>Unmetered Scattered Load</t>
  </si>
  <si>
    <t>Street Lighting</t>
  </si>
  <si>
    <t>Large Use</t>
  </si>
  <si>
    <t>General Service 50 to 4,999 kW</t>
  </si>
  <si>
    <t>General Service Less Than 50 kW</t>
  </si>
  <si>
    <t>Distribution Volumetric Rate</t>
  </si>
  <si>
    <t>Monthly Service Charge</t>
  </si>
  <si>
    <t>Service Classification</t>
  </si>
  <si>
    <t>Implementation Date</t>
  </si>
  <si>
    <t>Effective Date</t>
  </si>
  <si>
    <t>Distributor</t>
  </si>
  <si>
    <t>Applicant</t>
  </si>
  <si>
    <t>Kingston Hydro Distribution Rates</t>
  </si>
  <si>
    <t>Residential (kWh)</t>
  </si>
  <si>
    <t>GS&lt;50kW (kWh)</t>
  </si>
  <si>
    <t>GS&gt;50kW (kW)</t>
  </si>
  <si>
    <t>Large User (kW)</t>
  </si>
  <si>
    <t>Values for calculation of projected LRAMVA 2015-2020</t>
  </si>
  <si>
    <t>Notes</t>
  </si>
  <si>
    <t>In the old 2011-2014 framework "NET PEAK DEMAND SAVINGS" was defined as May-Sept and verified as such - rate impacts on LRAMVA were only calculated for 5 months each year</t>
  </si>
  <si>
    <t>In the new 2015-2020 Framework, there is no requirement that peak demand savings occur in the summer, and as Kingston Hydro itself and a large portion of its customers are generally winter-peaking, demand savings are assumed to persist evenly throughout the year. Demand savings are assumed to persist for 6 months of each year (peak heating &amp; peak cooling season)</t>
  </si>
  <si>
    <t>To calculate forward looking LRAMVA by rate class, divide annual savings above by 12 for monthly kWh applied to kWh billed customer rates, or apply full MW savings to 6 months of revenue from demand billed rate classes</t>
  </si>
  <si>
    <t>Year</t>
  </si>
  <si>
    <t>RATE CLASS</t>
  </si>
  <si>
    <t>Cummulative Interest Life to Date</t>
  </si>
  <si>
    <t>Interest on Opening Balance</t>
  </si>
  <si>
    <t>Principal Ending Balance</t>
  </si>
  <si>
    <t>LRAM Adjustment -2011</t>
  </si>
  <si>
    <t>Prescribed Rate</t>
  </si>
  <si>
    <t># of Days</t>
  </si>
  <si>
    <t>December</t>
  </si>
  <si>
    <t>November</t>
  </si>
  <si>
    <t>October</t>
  </si>
  <si>
    <t>September</t>
  </si>
  <si>
    <t>August</t>
  </si>
  <si>
    <t>July</t>
  </si>
  <si>
    <t>June</t>
  </si>
  <si>
    <t>May</t>
  </si>
  <si>
    <t>April</t>
  </si>
  <si>
    <t>March</t>
  </si>
  <si>
    <t>February</t>
  </si>
  <si>
    <t>January</t>
  </si>
  <si>
    <t xml:space="preserve">Month </t>
  </si>
  <si>
    <t>LRAM Adjustment-2012</t>
  </si>
  <si>
    <t>LRAM Adjustment-2013</t>
  </si>
  <si>
    <t>LRAMVA as of Dec. 31, 2104 for 2011-2014 Lost Revenues</t>
  </si>
  <si>
    <t>Total LRAMVA as of Dec. 31, 2104 for 2011-2014 Lost Revenues (incl. Interest)</t>
  </si>
  <si>
    <t>EB-2015-0083</t>
  </si>
  <si>
    <t xml:space="preserve">1 of </t>
  </si>
  <si>
    <t>TOTAL</t>
  </si>
  <si>
    <t>Process &amp; Systems - BTG - no Rate Impact on MW</t>
  </si>
  <si>
    <t>Check</t>
  </si>
  <si>
    <t>SeL</t>
  </si>
  <si>
    <t>check</t>
  </si>
  <si>
    <t>Kingston Hydro Lost Revenue Adjustment Mechanism Variance Account</t>
  </si>
  <si>
    <t xml:space="preserve"> Principal Total</t>
  </si>
  <si>
    <t>Interest</t>
  </si>
  <si>
    <t>2015 Forecasted Interest</t>
  </si>
  <si>
    <t>Interest Total</t>
  </si>
  <si>
    <t>Behind the Meter Generation creates kWh volumetric impacts, but not billed kW impacts for GS&gt;50kW and Large Users due to implementation of Kingston Hydro's Standby Power rate class charges</t>
  </si>
  <si>
    <t>Input the measured results for 2011-2014 CDM programs for each of the years 2011 and persistence into 2012, 2013 and 2014 into cells B37 to E40.  These results are taken from the final 2011 CDM Report issued by the IESO for the LDC on Sept. 1, 2015.</t>
  </si>
  <si>
    <t>K7L 4X7</t>
  </si>
  <si>
    <t xml:space="preserve">Kingston </t>
  </si>
  <si>
    <t>DX</t>
  </si>
  <si>
    <t>Electric DHW Changeout Project</t>
  </si>
  <si>
    <t>12/31/2014</t>
  </si>
  <si>
    <t>K7L 4X9</t>
  </si>
  <si>
    <t>Kingston</t>
  </si>
  <si>
    <t>K7L 4X8</t>
  </si>
  <si>
    <t>N/A</t>
  </si>
  <si>
    <t>Projects Complete</t>
  </si>
  <si>
    <t>Distribution</t>
  </si>
  <si>
    <t>Prescriptive</t>
  </si>
  <si>
    <t>HAP</t>
  </si>
  <si>
    <t>Custom/Prescriptive</t>
  </si>
  <si>
    <t>L0R1B8</t>
  </si>
  <si>
    <t>HVAC, boilers, pumps, lighting</t>
  </si>
  <si>
    <t>Custom</t>
  </si>
  <si>
    <t>5/1/2014</t>
  </si>
  <si>
    <t>K7K 6Z4</t>
  </si>
  <si>
    <t>LED Light Bulb: LED Lamp 39 Watt</t>
  </si>
  <si>
    <t>Engineered</t>
  </si>
  <si>
    <t>K7K3H5</t>
  </si>
  <si>
    <t>Air Cooled Unitary AC Equipment, 10 tons, Packaged, Other Heat, CEE Tier 2, Office 1000 EFLH</t>
  </si>
  <si>
    <t>Air Cooled Unitary AC Equipment, 8.5 tons, Packaged, Other Heat, CEE Tier 2, Office 1000 EFLH</t>
  </si>
  <si>
    <t>T-5 Fixtures : 2-Lamp 1-Ballast T-5 Fixtures</t>
  </si>
  <si>
    <t>K7K 2A6</t>
  </si>
  <si>
    <t>KINGSTON</t>
  </si>
  <si>
    <t>m_200_020</t>
  </si>
  <si>
    <t>Office</t>
  </si>
  <si>
    <t>SBL</t>
  </si>
  <si>
    <t>m_040_080</t>
  </si>
  <si>
    <t>m_040_070</t>
  </si>
  <si>
    <t>m_120_020</t>
  </si>
  <si>
    <t>m_070_020</t>
  </si>
  <si>
    <t>K7K 1A1</t>
  </si>
  <si>
    <t>m_200_060</t>
  </si>
  <si>
    <t>Retail</t>
  </si>
  <si>
    <t>m_040_060</t>
  </si>
  <si>
    <t>K7K 2A5</t>
  </si>
  <si>
    <t>m_190_020</t>
  </si>
  <si>
    <t>Food Service</t>
  </si>
  <si>
    <t>m_010_090</t>
  </si>
  <si>
    <t>K7L 1H6</t>
  </si>
  <si>
    <t>m_210_020</t>
  </si>
  <si>
    <t>Service</t>
  </si>
  <si>
    <t>m_080_010</t>
  </si>
  <si>
    <t>K7K 4M9</t>
  </si>
  <si>
    <t>K7L 1A5</t>
  </si>
  <si>
    <t>m_200_050</t>
  </si>
  <si>
    <t>K7L 3G7</t>
  </si>
  <si>
    <t>m_200_030</t>
  </si>
  <si>
    <t>K7L 3B4</t>
  </si>
  <si>
    <t>m_120_010</t>
  </si>
  <si>
    <t>K7M 8P1</t>
  </si>
  <si>
    <t>K7L 1A2</t>
  </si>
  <si>
    <t>m_060_020</t>
  </si>
  <si>
    <t>K7M 7E7</t>
  </si>
  <si>
    <t>m_220_020</t>
  </si>
  <si>
    <t>m_070_030</t>
  </si>
  <si>
    <t>m_050_010</t>
  </si>
  <si>
    <t>m_140_010</t>
  </si>
  <si>
    <t>K7L 3A6</t>
  </si>
  <si>
    <t>K7L 2L1</t>
  </si>
  <si>
    <t>K7K 4J1</t>
  </si>
  <si>
    <t>K7L 5C7</t>
  </si>
  <si>
    <t>m_060_010</t>
  </si>
  <si>
    <t>m_020_030</t>
  </si>
  <si>
    <t>m_120_030</t>
  </si>
  <si>
    <t>m_040_050</t>
  </si>
  <si>
    <t>K7L 5C9</t>
  </si>
  <si>
    <t>m_070_050</t>
  </si>
  <si>
    <t>m_040_030</t>
  </si>
  <si>
    <t>K7L 1B4</t>
  </si>
  <si>
    <t>K7L 1C9</t>
  </si>
  <si>
    <t>K7L 2C5</t>
  </si>
  <si>
    <t>K7K 5V6</t>
  </si>
  <si>
    <t>K7M 1C4</t>
  </si>
  <si>
    <t>K7L 3V8</t>
  </si>
  <si>
    <t>K7M 3E1</t>
  </si>
  <si>
    <t>K7L 1B3</t>
  </si>
  <si>
    <t>K7K 2Y2</t>
  </si>
  <si>
    <t>K7K 3Y9</t>
  </si>
  <si>
    <t>K7L 5H8</t>
  </si>
  <si>
    <t>K7L 3A7</t>
  </si>
  <si>
    <t>K7K 2C3</t>
  </si>
  <si>
    <t>K7L 1B7</t>
  </si>
  <si>
    <t>K7K 3E7</t>
  </si>
  <si>
    <t>K7L 2N9</t>
  </si>
  <si>
    <t>K7K 6A9</t>
  </si>
  <si>
    <t>m_120_070</t>
  </si>
  <si>
    <t>m_020_050</t>
  </si>
  <si>
    <t>K7L 1A8</t>
  </si>
  <si>
    <t>K7L 1A7</t>
  </si>
  <si>
    <t>K7K 1Z7</t>
  </si>
  <si>
    <t>m_070_010</t>
  </si>
  <si>
    <t>K7K 3K1</t>
  </si>
  <si>
    <t>K7K 3G6</t>
  </si>
  <si>
    <t>m_010_070</t>
  </si>
  <si>
    <t>K7K 2Y8</t>
  </si>
  <si>
    <t>K7L 1B6</t>
  </si>
  <si>
    <t>K7L 1B2</t>
  </si>
  <si>
    <t>m_180_010</t>
  </si>
  <si>
    <t>K7K 0C3</t>
  </si>
  <si>
    <t>K7M 3L5</t>
  </si>
  <si>
    <t>K7K 2C1</t>
  </si>
  <si>
    <t>m_140_020</t>
  </si>
  <si>
    <t>K7K 1Z8</t>
  </si>
  <si>
    <t>K7K 1Y8</t>
  </si>
  <si>
    <t>K7K 2B9</t>
  </si>
  <si>
    <t>m_080_020</t>
  </si>
  <si>
    <t>K7M 8N4</t>
  </si>
  <si>
    <t>K7L 4V6</t>
  </si>
  <si>
    <t>K7K 6K8</t>
  </si>
  <si>
    <t>K7L 1H4</t>
  </si>
  <si>
    <t>K7L 3G3</t>
  </si>
  <si>
    <t>m_200_040</t>
  </si>
  <si>
    <t>m_200_070</t>
  </si>
  <si>
    <t>K7K 3E6</t>
  </si>
  <si>
    <t>m_190_010</t>
  </si>
  <si>
    <t>K7L 4P7</t>
  </si>
  <si>
    <t>K7L 1E7</t>
  </si>
  <si>
    <t>K7K 6X4</t>
  </si>
  <si>
    <t>K7L 1G3</t>
  </si>
  <si>
    <t>m_010_030</t>
  </si>
  <si>
    <t>K7L 1E4</t>
  </si>
  <si>
    <t>m_080_030</t>
  </si>
  <si>
    <t>K7L 1C2</t>
  </si>
  <si>
    <t>K7L 4V8</t>
  </si>
  <si>
    <t>K7K 2L5</t>
  </si>
  <si>
    <t>m_150_020</t>
  </si>
  <si>
    <t>K7K 4M2</t>
  </si>
  <si>
    <t>K7M 8H3</t>
  </si>
  <si>
    <t>K7K 3M2</t>
  </si>
  <si>
    <t>K7M 8R7</t>
  </si>
  <si>
    <t>K7L 1B1</t>
  </si>
  <si>
    <t>K7K 7A8</t>
  </si>
  <si>
    <t>K7L 3J9</t>
  </si>
  <si>
    <t>K7L 1E5</t>
  </si>
  <si>
    <t>m_070_040</t>
  </si>
  <si>
    <t>K7K 3J5</t>
  </si>
  <si>
    <t>m_156_060</t>
  </si>
  <si>
    <t>K7L 1Y8</t>
  </si>
  <si>
    <t>K7L 1X9</t>
  </si>
  <si>
    <t>m_040_100</t>
  </si>
  <si>
    <t>K7M 1G7</t>
  </si>
  <si>
    <t>K7L2V7</t>
  </si>
  <si>
    <t>K7L2N9</t>
  </si>
  <si>
    <t>Non-lighting</t>
  </si>
  <si>
    <t>K7K4B7</t>
  </si>
  <si>
    <t>K7L1A7</t>
  </si>
  <si>
    <t>K7L3X3</t>
  </si>
  <si>
    <t>K7L4X7</t>
  </si>
  <si>
    <t>K7L4X4</t>
  </si>
  <si>
    <t>K7L3N6</t>
  </si>
  <si>
    <t>K7L3B3</t>
  </si>
  <si>
    <t>1880551 Ont Ltd</t>
  </si>
  <si>
    <t>K7M2X6</t>
  </si>
  <si>
    <t>K7L1B4</t>
  </si>
  <si>
    <t>K7L2Z1</t>
  </si>
  <si>
    <t>K7L1A3</t>
  </si>
  <si>
    <t>kingston</t>
  </si>
  <si>
    <t>K7K1B8</t>
  </si>
  <si>
    <t>Bridal Creations</t>
  </si>
  <si>
    <t>K7K5A9</t>
  </si>
  <si>
    <t>Presland Iron and Steel Ltd</t>
  </si>
  <si>
    <t>K7K2X2</t>
  </si>
  <si>
    <t>K7L5A6</t>
  </si>
  <si>
    <t>K7L2Z3</t>
  </si>
  <si>
    <t>K7M2B7</t>
  </si>
  <si>
    <t>K7L1G7</t>
  </si>
  <si>
    <t>K7K7A9</t>
  </si>
  <si>
    <t>K7L1C3</t>
  </si>
  <si>
    <t>Kingston - RTU</t>
  </si>
  <si>
    <t>K7K3J4</t>
  </si>
  <si>
    <t>K7L1H3</t>
  </si>
  <si>
    <t>K7K6X4</t>
  </si>
  <si>
    <t>K7M5V5</t>
  </si>
  <si>
    <t>Homestead</t>
  </si>
  <si>
    <t>K7M5V6</t>
  </si>
  <si>
    <t>K7M9C5</t>
  </si>
  <si>
    <t>K7K7J7</t>
  </si>
  <si>
    <t>K7K5V7</t>
  </si>
  <si>
    <t>K7L3W3</t>
  </si>
  <si>
    <t>Princess St United Church</t>
  </si>
  <si>
    <t>K7K4B1</t>
  </si>
  <si>
    <t>K7L2Z9</t>
  </si>
  <si>
    <t>K7K2R2</t>
  </si>
  <si>
    <t>K7M1A2</t>
  </si>
  <si>
    <t>K7L5A2</t>
  </si>
  <si>
    <t>K7K1G7</t>
  </si>
  <si>
    <t>K7L1C5</t>
  </si>
  <si>
    <t>K7L5G8</t>
  </si>
  <si>
    <t>K7L1B3</t>
  </si>
  <si>
    <t>K7K1A4</t>
  </si>
  <si>
    <t>K7K5T6</t>
  </si>
  <si>
    <t>K7L1B1</t>
  </si>
  <si>
    <t>1278861 Ont Ltd</t>
  </si>
  <si>
    <t>K7L1E3</t>
  </si>
  <si>
    <t>K7K3H9</t>
  </si>
  <si>
    <t>K7K3M6</t>
  </si>
  <si>
    <t>Providence Care Center</t>
  </si>
  <si>
    <t>K7K6Z2</t>
  </si>
  <si>
    <t>1760571 Ontario INc</t>
  </si>
  <si>
    <t>K7L4W5</t>
  </si>
  <si>
    <t>Tony Deodato and Sons Ltd</t>
  </si>
  <si>
    <t>K7K7B4</t>
  </si>
  <si>
    <t>K7M8H3</t>
  </si>
  <si>
    <t>K7L3B4</t>
  </si>
  <si>
    <t>K7L5H7</t>
  </si>
  <si>
    <t>1159336 Ontario Ltd</t>
  </si>
  <si>
    <t>K7K6C3</t>
  </si>
  <si>
    <t>K7K3Y9</t>
  </si>
  <si>
    <t>Highpoint Developments Inc</t>
  </si>
  <si>
    <t>K7L2N7</t>
  </si>
  <si>
    <t>K7M9G3</t>
  </si>
  <si>
    <t>K7M3E5</t>
  </si>
  <si>
    <t>K7M8Z6</t>
  </si>
  <si>
    <t>K7K5B9</t>
  </si>
  <si>
    <t>K7L2Y7</t>
  </si>
  <si>
    <t>Frontenac Condominium Corporation 10</t>
  </si>
  <si>
    <t>Weatherstripping (foam or V-strip packs)</t>
  </si>
  <si>
    <t>Conservation Instant Coupons Initiative</t>
  </si>
  <si>
    <t>Weatherstripping (door frame kits)</t>
  </si>
  <si>
    <t>Prog therms electric bsbrd htr 1/dbl pks</t>
  </si>
  <si>
    <t>Prog therms electric bsbrd htr 3+ pks</t>
  </si>
  <si>
    <t>custom load profile based on combination of IESO load profiles</t>
  </si>
  <si>
    <t>Power bars with timer or auto-shutoff</t>
  </si>
  <si>
    <t>Insulation blankets for elect water htrs</t>
  </si>
  <si>
    <t>ES Specialty LEDs single or multipacks</t>
  </si>
  <si>
    <t>ES specialty CFL lgt bulbs 1-2 pks</t>
  </si>
  <si>
    <t>ES General Purpose LEDs single or multipacks</t>
  </si>
  <si>
    <t>3 pipe wraps for hot water pipes</t>
  </si>
  <si>
    <t>AC Central</t>
  </si>
  <si>
    <t>K7M3K3</t>
  </si>
  <si>
    <t>K7M1V9</t>
  </si>
  <si>
    <t>K7K5Y7</t>
  </si>
  <si>
    <t>K7L4H3</t>
  </si>
  <si>
    <t>K7L3Y5</t>
  </si>
  <si>
    <t>L7G0H7</t>
  </si>
  <si>
    <t>L1K0T6</t>
  </si>
  <si>
    <t>K7M7J8</t>
  </si>
  <si>
    <t>K7M3J2</t>
  </si>
  <si>
    <t>K7K4T8</t>
  </si>
  <si>
    <t>K7L4V1</t>
  </si>
  <si>
    <t>K7K6B2</t>
  </si>
  <si>
    <t>L7A4A5</t>
  </si>
  <si>
    <t>K7M7H2</t>
  </si>
  <si>
    <t>K7M2W2</t>
  </si>
  <si>
    <t>K7L4M6</t>
  </si>
  <si>
    <t>K7M1Y6</t>
  </si>
  <si>
    <t>K7L4J4</t>
  </si>
  <si>
    <t>K7M3H7</t>
  </si>
  <si>
    <t>L6Y5Y5</t>
  </si>
  <si>
    <t>K7M2K5</t>
  </si>
  <si>
    <t>K7M8Y8</t>
  </si>
  <si>
    <t>K7M1V7</t>
  </si>
  <si>
    <t>K7M2V9</t>
  </si>
  <si>
    <t>K7K4S7</t>
  </si>
  <si>
    <t>K7R2G1</t>
  </si>
  <si>
    <t>K7L4H8</t>
  </si>
  <si>
    <t>K7M1C9</t>
  </si>
  <si>
    <t>K7L1L7</t>
  </si>
  <si>
    <t>K7M6G9</t>
  </si>
  <si>
    <t>K7K5Y8</t>
  </si>
  <si>
    <t>K7M6G4</t>
  </si>
  <si>
    <t>K7M2K2</t>
  </si>
  <si>
    <t>K7K4R6</t>
  </si>
  <si>
    <t>K7K4W8</t>
  </si>
  <si>
    <t>K7L2B6</t>
  </si>
  <si>
    <t>K7L4A6</t>
  </si>
  <si>
    <t>K7M2X7</t>
  </si>
  <si>
    <t>L1Z0P6</t>
  </si>
  <si>
    <t>K7M1J7</t>
  </si>
  <si>
    <t>K7M2K4</t>
  </si>
  <si>
    <t>K7L2L5</t>
  </si>
  <si>
    <t>K7K7A2</t>
  </si>
  <si>
    <t>K7K5B6</t>
  </si>
  <si>
    <t>L6C0S6</t>
  </si>
  <si>
    <t>K7L1K5</t>
  </si>
  <si>
    <t>K7M1L8</t>
  </si>
  <si>
    <t>K7K5A4</t>
  </si>
  <si>
    <t>K7L4N3</t>
  </si>
  <si>
    <t>K7K4L8</t>
  </si>
  <si>
    <t>K7M2V7</t>
  </si>
  <si>
    <t>K7M1G5</t>
  </si>
  <si>
    <t>K7M7S5</t>
  </si>
  <si>
    <t>K7L4L4</t>
  </si>
  <si>
    <t>L6Y5X1</t>
  </si>
  <si>
    <t>K7M1X2</t>
  </si>
  <si>
    <t>K7K5T2</t>
  </si>
  <si>
    <t>K7K2S9</t>
  </si>
  <si>
    <t>K7K5Z1</t>
  </si>
  <si>
    <t>K7M1H4</t>
  </si>
  <si>
    <t>K7K4W1</t>
  </si>
  <si>
    <t>K7K6T1</t>
  </si>
  <si>
    <t>K7M2B5</t>
  </si>
  <si>
    <t>K7K6A7</t>
  </si>
  <si>
    <t>K7L4P9</t>
  </si>
  <si>
    <t>K7K3T3</t>
  </si>
  <si>
    <t>K7M1H5</t>
  </si>
  <si>
    <t>K7L1W5</t>
  </si>
  <si>
    <t>K7K4B5</t>
  </si>
  <si>
    <t>N4V0C6</t>
  </si>
  <si>
    <t>K7M7E2</t>
  </si>
  <si>
    <t>K7M1N9</t>
  </si>
  <si>
    <t>L9R0M1</t>
  </si>
  <si>
    <t>K7L4H9</t>
  </si>
  <si>
    <t>K7M1Z7</t>
  </si>
  <si>
    <t>K7M1N8</t>
  </si>
  <si>
    <t>K7K6B3</t>
  </si>
  <si>
    <t>K7M2N5</t>
  </si>
  <si>
    <t>K7K2W4</t>
  </si>
  <si>
    <t>Blended Load Shape</t>
  </si>
  <si>
    <t>K7P3C1</t>
  </si>
  <si>
    <t>ECM Furnace</t>
  </si>
  <si>
    <t>K7K2J3</t>
  </si>
  <si>
    <t>K7L3T5</t>
  </si>
  <si>
    <t>K7M1S1</t>
  </si>
  <si>
    <t>K7K2B5</t>
  </si>
  <si>
    <t>K7K2C9</t>
  </si>
  <si>
    <t>K7L4L7</t>
  </si>
  <si>
    <t>K7K4E4</t>
  </si>
  <si>
    <t>K7M6K9</t>
  </si>
  <si>
    <t>L9V2H5</t>
  </si>
  <si>
    <t>K7K2E7</t>
  </si>
  <si>
    <t>K7K2C6</t>
  </si>
  <si>
    <t>K7K6W3</t>
  </si>
  <si>
    <t>K7M1B2</t>
  </si>
  <si>
    <t>K7K6W9</t>
  </si>
  <si>
    <t>K7K6K4</t>
  </si>
  <si>
    <t>K7K3K5</t>
  </si>
  <si>
    <t>K7K4W4</t>
  </si>
  <si>
    <t>K7L4E8</t>
  </si>
  <si>
    <t>K7M3J5</t>
  </si>
  <si>
    <t>K7M2G5</t>
  </si>
  <si>
    <t>K7M1X8</t>
  </si>
  <si>
    <t>K7M1W2</t>
  </si>
  <si>
    <t>K7M1A3</t>
  </si>
  <si>
    <t>K7M1R4</t>
  </si>
  <si>
    <t>K7M2V4</t>
  </si>
  <si>
    <t>K7M3B2</t>
  </si>
  <si>
    <t>K7K3L4</t>
  </si>
  <si>
    <t>K7M2T3</t>
  </si>
  <si>
    <t>K7L4L6</t>
  </si>
  <si>
    <t>K7M7L3</t>
  </si>
  <si>
    <t>K7K4W3</t>
  </si>
  <si>
    <t>K7L4M8</t>
  </si>
  <si>
    <t>K7M1N6</t>
  </si>
  <si>
    <t>K7M1J4</t>
  </si>
  <si>
    <t>K7K3B2</t>
  </si>
  <si>
    <t>K7L4V3</t>
  </si>
  <si>
    <t>K7M1J6</t>
  </si>
  <si>
    <t>K7M6N7</t>
  </si>
  <si>
    <t>K7K2C2</t>
  </si>
  <si>
    <t>K7M1A8</t>
  </si>
  <si>
    <t>K7M2Z9</t>
  </si>
  <si>
    <t>K7M1G2</t>
  </si>
  <si>
    <t>K7M2V5</t>
  </si>
  <si>
    <t>K7K4Z3</t>
  </si>
  <si>
    <t>K7K1W1</t>
  </si>
  <si>
    <t>K7K5W9</t>
  </si>
  <si>
    <t>K7K2K4</t>
  </si>
  <si>
    <t>K7L4P8</t>
  </si>
  <si>
    <t>K7M2S7</t>
  </si>
  <si>
    <t>K7K3B1</t>
  </si>
  <si>
    <t>K7M2R3</t>
  </si>
  <si>
    <t>K7M6L5</t>
  </si>
  <si>
    <t>K7K2K1</t>
  </si>
  <si>
    <t>K7M2H1</t>
  </si>
  <si>
    <t>K7M7B8</t>
  </si>
  <si>
    <t>K7K4S6</t>
  </si>
  <si>
    <t>K7K4C8</t>
  </si>
  <si>
    <t>K7L4G7</t>
  </si>
  <si>
    <t>K7L4M1</t>
  </si>
  <si>
    <t>K7K3N3</t>
  </si>
  <si>
    <t>K7K2V4</t>
  </si>
  <si>
    <t>K7L4R9</t>
  </si>
  <si>
    <t>K7L4L3</t>
  </si>
  <si>
    <t>K7L1W1</t>
  </si>
  <si>
    <t>K7L4L8</t>
  </si>
  <si>
    <t>K7K3V4</t>
  </si>
  <si>
    <t>K7L1W7</t>
  </si>
  <si>
    <t>K7M1J2</t>
  </si>
  <si>
    <t>K7M9H3</t>
  </si>
  <si>
    <t>K7M7S9</t>
  </si>
  <si>
    <t>K7K5X3</t>
  </si>
  <si>
    <t>K7K2Z1</t>
  </si>
  <si>
    <t>K7M8Y1</t>
  </si>
  <si>
    <t>K7K1K9</t>
  </si>
  <si>
    <t>K7M7S2</t>
  </si>
  <si>
    <t>K7K3L8</t>
  </si>
  <si>
    <t>K7L2G8</t>
  </si>
  <si>
    <t>K7M2M5</t>
  </si>
  <si>
    <t>K7L4P5</t>
  </si>
  <si>
    <t>K7K1V5</t>
  </si>
  <si>
    <t>K7M1W6</t>
  </si>
  <si>
    <t>K7L4B5</t>
  </si>
  <si>
    <t>K7M3K2</t>
  </si>
  <si>
    <t>K7L2W6</t>
  </si>
  <si>
    <t>K7M1Z3</t>
  </si>
  <si>
    <t>K7L4P3</t>
  </si>
  <si>
    <t>K7K2C3</t>
  </si>
  <si>
    <t>K7M2R7</t>
  </si>
  <si>
    <t>K7M1P1</t>
  </si>
  <si>
    <t>K7K3J5</t>
  </si>
  <si>
    <t>K7M7S3</t>
  </si>
  <si>
    <t>K7K6G8</t>
  </si>
  <si>
    <t>K7K3W4</t>
  </si>
  <si>
    <t>K7K4B4</t>
  </si>
  <si>
    <t>K7M1W5</t>
  </si>
  <si>
    <t>K7M8Y6</t>
  </si>
  <si>
    <t>K7K4T9</t>
  </si>
  <si>
    <t>K7L4B7</t>
  </si>
  <si>
    <t>K7P1V4</t>
  </si>
  <si>
    <t>K7M7K8</t>
  </si>
  <si>
    <t>K7M2V8</t>
  </si>
  <si>
    <t>K7K3J3</t>
  </si>
  <si>
    <t>K7K4V1</t>
  </si>
  <si>
    <t>K7K5Z2</t>
  </si>
  <si>
    <t>K7M1C2</t>
  </si>
  <si>
    <t>K7L1P8</t>
  </si>
  <si>
    <t>K7M7S8</t>
  </si>
  <si>
    <t>K7M1C7</t>
  </si>
  <si>
    <t>K7K7B2</t>
  </si>
  <si>
    <t>K7L4A8</t>
  </si>
  <si>
    <t>K7K1P1</t>
  </si>
  <si>
    <t>K7K5Z8</t>
  </si>
  <si>
    <t>K7L2W8</t>
  </si>
  <si>
    <t>K7K3L7</t>
  </si>
  <si>
    <t>K7L4M9</t>
  </si>
  <si>
    <t>K7K2J1</t>
  </si>
  <si>
    <t>K7L4T4</t>
  </si>
  <si>
    <t>K7K3P4</t>
  </si>
  <si>
    <t>K7M1R5</t>
  </si>
  <si>
    <t>K7M2M4</t>
  </si>
  <si>
    <t>K7M7L2</t>
  </si>
  <si>
    <t>K7L4L5</t>
  </si>
  <si>
    <t>K7M1Z5</t>
  </si>
  <si>
    <t>K7M2K8</t>
  </si>
  <si>
    <t>K7M3H4</t>
  </si>
  <si>
    <t>K7M2W1</t>
  </si>
  <si>
    <t>K7L4H7</t>
  </si>
  <si>
    <t>K7K6S1</t>
  </si>
  <si>
    <t>K7L3X6</t>
  </si>
  <si>
    <t>K7K4T1</t>
  </si>
  <si>
    <t>Matched LDC, Dehumidifier Load Shape</t>
  </si>
  <si>
    <t>K7L2Z4</t>
  </si>
  <si>
    <t>Dehumifier exchange</t>
  </si>
  <si>
    <t>K7L2Z7</t>
  </si>
  <si>
    <t>K7L4K8</t>
  </si>
  <si>
    <t>N9A63</t>
  </si>
  <si>
    <t>L4Z3T0</t>
  </si>
  <si>
    <t>K0M1K0</t>
  </si>
  <si>
    <t>K0M1K1</t>
  </si>
  <si>
    <t>K9M1K0</t>
  </si>
  <si>
    <t>M6W3M1</t>
  </si>
  <si>
    <t>M6J2R0</t>
  </si>
  <si>
    <t>K7L 1W9</t>
  </si>
  <si>
    <t>K7L 2B5</t>
  </si>
  <si>
    <t>K7M 2Y3</t>
  </si>
  <si>
    <t>K7K 1K9</t>
  </si>
  <si>
    <t>K7L 4L3</t>
  </si>
  <si>
    <t>K7L 1N8</t>
  </si>
  <si>
    <t>K7L 4M8</t>
  </si>
  <si>
    <t>K7L 4S6</t>
  </si>
  <si>
    <t>K7L 4S8</t>
  </si>
  <si>
    <t>K7K 4M5</t>
  </si>
  <si>
    <t>K7M 3C4</t>
  </si>
  <si>
    <t>Z9Z9Z9</t>
  </si>
  <si>
    <t>Refrigerator</t>
  </si>
  <si>
    <t>12/11/2014</t>
  </si>
  <si>
    <t>K7M2X1</t>
  </si>
  <si>
    <t>12/10/2014</t>
  </si>
  <si>
    <t>K7M1T4</t>
  </si>
  <si>
    <t>K7L4H6</t>
  </si>
  <si>
    <t>Freezer</t>
  </si>
  <si>
    <t>11/26/2014</t>
  </si>
  <si>
    <t>K7K3V9</t>
  </si>
  <si>
    <t>11/13/2014</t>
  </si>
  <si>
    <t>K7K2R3</t>
  </si>
  <si>
    <t>K7M1Y7</t>
  </si>
  <si>
    <t>10/31/2014</t>
  </si>
  <si>
    <t>Dehumidifier</t>
  </si>
  <si>
    <t>K7K3W7</t>
  </si>
  <si>
    <t>10/28/2014</t>
  </si>
  <si>
    <t>K7K3L9</t>
  </si>
  <si>
    <t>10/23/2014</t>
  </si>
  <si>
    <t>K7M6Y8</t>
  </si>
  <si>
    <t>10/4/2014</t>
  </si>
  <si>
    <t>K7M1Y1</t>
  </si>
  <si>
    <t>10/1/2014</t>
  </si>
  <si>
    <t>K7K5A3</t>
  </si>
  <si>
    <t>9/30/2014</t>
  </si>
  <si>
    <t>K7K3V2</t>
  </si>
  <si>
    <t>9/15/2014</t>
  </si>
  <si>
    <t>Air Conditioner</t>
  </si>
  <si>
    <t>K7M2P9</t>
  </si>
  <si>
    <t>K7L4T8</t>
  </si>
  <si>
    <t>9/29/2014</t>
  </si>
  <si>
    <t>8/19/2014</t>
  </si>
  <si>
    <t>K7L1V3</t>
  </si>
  <si>
    <t>K7K4G1</t>
  </si>
  <si>
    <t>K7M3B5</t>
  </si>
  <si>
    <t>K7L4P4</t>
  </si>
  <si>
    <t>7/31/2014</t>
  </si>
  <si>
    <t>K7M1L5</t>
  </si>
  <si>
    <t>K7L4P7</t>
  </si>
  <si>
    <t>K7K3E7</t>
  </si>
  <si>
    <t>K7L2V3</t>
  </si>
  <si>
    <t>6/23/2014</t>
  </si>
  <si>
    <t>6/11/2014</t>
  </si>
  <si>
    <t>K7K3N4</t>
  </si>
  <si>
    <t>6/26/2014</t>
  </si>
  <si>
    <t>K7L4N9</t>
  </si>
  <si>
    <t>K7M1E1</t>
  </si>
  <si>
    <t>5/15/2014</t>
  </si>
  <si>
    <t>K7K4J1</t>
  </si>
  <si>
    <t>4/15/2014</t>
  </si>
  <si>
    <t>5/14/2014</t>
  </si>
  <si>
    <t>K7L2Y6</t>
  </si>
  <si>
    <t>K7M6N8</t>
  </si>
  <si>
    <t>3/5/2014</t>
  </si>
  <si>
    <t>K7K7L2</t>
  </si>
  <si>
    <t>2/4/2014</t>
  </si>
  <si>
    <t>K7L2X6</t>
  </si>
  <si>
    <t>K7M2T6</t>
  </si>
  <si>
    <t>K7K2P5</t>
  </si>
  <si>
    <t>1/7/2014</t>
  </si>
  <si>
    <t>K7K1J4</t>
  </si>
  <si>
    <t>K7M1M8</t>
  </si>
  <si>
    <t>Notes (loadshapes used if different from OPA, etc.)</t>
  </si>
  <si>
    <t>Total Incremental Equipment Cost</t>
  </si>
  <si>
    <t>Per Unit Incremental Equipment Cost</t>
  </si>
  <si>
    <t>Ex post Energy Savings (kWh)</t>
  </si>
  <si>
    <t>Ex ante Capacity (kW)</t>
  </si>
  <si>
    <t>Contracted Capacity (kW)</t>
  </si>
  <si>
    <t>Total NTG Ratio (Summer Demand)</t>
  </si>
  <si>
    <t>NTG: Other</t>
  </si>
  <si>
    <t>NTG: Spillover</t>
  </si>
  <si>
    <t>NTG: Free-riders</t>
  </si>
  <si>
    <t>Total NTG Ratio (Energy)</t>
  </si>
  <si>
    <t>Realization Rate (Summer Demand)</t>
  </si>
  <si>
    <t>Realization Rate (Energy)</t>
  </si>
  <si>
    <t>Net Verified Summer Demand Savings at 2014 (kW)</t>
  </si>
  <si>
    <t>Net Verified Lifetime Energy Savings to 2014 (kWh)</t>
  </si>
  <si>
    <t>Net Verified Lifetime Energy Savings (kWh)</t>
  </si>
  <si>
    <t>Gross Verified Lifetime Energy Savings (kWh)</t>
  </si>
  <si>
    <t>Gross Verified Incremental Energy Savings (kWh)</t>
  </si>
  <si>
    <t>Gross Verified Incremental Summer Peak Demand Savings (kW)</t>
  </si>
  <si>
    <t>Gross Reported Incremental Energy Savings (kWh)</t>
  </si>
  <si>
    <t>Gross Reported Incremental Summer Peak Demand Savings (kW)</t>
  </si>
  <si>
    <t>Step Down 3 (%)</t>
  </si>
  <si>
    <t>Step Down EUL 3</t>
  </si>
  <si>
    <t>Step Down 2 (%)</t>
  </si>
  <si>
    <t>Step Down EUL 2</t>
  </si>
  <si>
    <t>Step Down 1 (%)</t>
  </si>
  <si>
    <t xml:space="preserve">Step Down EUL 1 </t>
  </si>
  <si>
    <t>Effective EUL</t>
  </si>
  <si>
    <t>Postal Code</t>
  </si>
  <si>
    <t>City</t>
  </si>
  <si>
    <t>Participation 
(# of projects, measures)</t>
  </si>
  <si>
    <t>Tx (Transmission) or Dx (Distribution) connected</t>
  </si>
  <si>
    <t>Resource Type (DR, EE)</t>
  </si>
  <si>
    <t xml:space="preserve">Measure </t>
  </si>
  <si>
    <t>Track</t>
  </si>
  <si>
    <t>Implementation Year</t>
  </si>
  <si>
    <t>Project Completion Date (mm/dd/yyyy)</t>
  </si>
  <si>
    <t>LDC (if applicable)</t>
  </si>
  <si>
    <t>Incremental Savings</t>
  </si>
  <si>
    <t>Energy Reduction Billed kWh Impacts - 2015-20 Program Year &amp; Adjustments - 1/2 rule applied to incremental savings</t>
  </si>
  <si>
    <t>Energy Reduction Billed kW Impacts - 2015-20 Program Year &amp; Adjustments - 1/2 rule applied to incremental savings</t>
  </si>
  <si>
    <t>Difference</t>
  </si>
  <si>
    <t>$ value of difference @ 2015 rates</t>
  </si>
  <si>
    <t>Filed IR Evidence</t>
  </si>
  <si>
    <t>Adjusted for Undertakings &amp; 2014 IESO-provided final persistence table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</si>
</sst>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135">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_);\(&quot;$&quot;#,##0\)"/>
    <numFmt numFmtId="165" formatCode="&quot;$&quot;#,##0_);[Red]\(&quot;$&quot;#,##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0.000"/>
    <numFmt numFmtId="172" formatCode="0.0"/>
    <numFmt numFmtId="173" formatCode="_(* #,##0_);_(* \(#,##0\);_(* &quot;-&quot;??_);_(@_)"/>
    <numFmt numFmtId="174" formatCode="0.0%"/>
    <numFmt numFmtId="175" formatCode="0.0000"/>
    <numFmt numFmtId="176" formatCode="[$-1009]d\-mmm\-yy;@"/>
    <numFmt numFmtId="177" formatCode="_(* #,##0.0_);_(* \(#,##0.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 #,##0_);[Red]\(\¥\ #,##0\)"/>
    <numFmt numFmtId="197" formatCode="0.000000"/>
    <numFmt numFmtId="198" formatCode="[&gt;1]&quot;10Q: &quot;0&quot; qtrs&quot;;&quot;10Q: &quot;0&quot; qtr&quot;"/>
    <numFmt numFmtId="199" formatCode="0.0%;[Red]\(0.0%\)"/>
    <numFmt numFmtId="200" formatCode="#,##0.0\ \ \ _);\(#,##0.0\)\ \ "/>
    <numFmt numFmtId="201" formatCode="#,##0.00;[Red]\(#,##0.00\)"/>
    <numFmt numFmtId="202" formatCode="_-* #,##0.00\ _F_-;\-* #,##0.00\ _F_-;_-* &quot;-&quot;??\ _F_-;_-@_-"/>
    <numFmt numFmtId="203" formatCode="m\-d\-yy"/>
    <numFmt numFmtId="204" formatCode="&quot;£&quot;#,##0.00_);[Red]\(&quot;£&quot;#,##0.00\)"/>
    <numFmt numFmtId="205" formatCode="0.0_)"/>
    <numFmt numFmtId="206" formatCode="m/yy"/>
    <numFmt numFmtId="207" formatCode="#,###.0#"/>
    <numFmt numFmtId="208" formatCode="#,###.#"/>
    <numFmt numFmtId="209" formatCode="&quot;$&quot;#,##0.00"/>
    <numFmt numFmtId="210" formatCode="0000\ \-\ 0000"/>
    <numFmt numFmtId="211" formatCode="[Red][&gt;0.0000001]\+#,##0.?#;[Red][&lt;-0.0000001]\-#,##0.?#;[Green]&quot;=  &quot;"/>
    <numFmt numFmtId="212" formatCode="#.#######\x"/>
    <numFmt numFmtId="213" formatCode="0.00000E+00"/>
    <numFmt numFmtId="214" formatCode="_(* #,##0.0_);_(* \(#,##0.0\);_(* &quot;-&quot;_);_(@_)"/>
    <numFmt numFmtId="215" formatCode="_-* #,##0.00\ _D_M_-;\-* #,##0.00\ _D_M_-;_-* &quot;-&quot;??\ _D_M_-;_-@_-"/>
    <numFmt numFmtId="216" formatCode="#,##0_%_);\(#,##0\)_%;#,##0_%_);@_%_)"/>
    <numFmt numFmtId="217" formatCode="#,##0.00_%_);\(#,##0.00\)_%;**;@_%_)"/>
    <numFmt numFmtId="218" formatCode="0.000\x"/>
    <numFmt numFmtId="219" formatCode="&quot;$&quot;#,##0.00_);[Red]\(&quot;$&quot;#,##0.00\);&quot;--  &quot;;_(@_)"/>
    <numFmt numFmtId="220" formatCode="_(&quot;$&quot;* #,##0.0_);_(&quot;$&quot;* \(#,##0.0\);_(&quot;$&quot;* &quot;-&quot;_);_(@_)"/>
    <numFmt numFmtId="221" formatCode="_(&quot;$&quot;* #,##0_);_(&quot;$&quot;* \(#,##0\);_(&quot;$&quot;* &quot;-&quot;??_);_(@_)"/>
    <numFmt numFmtId="222" formatCode="&quot;$&quot;#,##0.00_%_);\(&quot;$&quot;#,##0.00\)_%;**;@_%_)"/>
    <numFmt numFmtId="223" formatCode="&quot;$&quot;#,##0.00_%_);\(&quot;$&quot;#,##0.00\)_%;&quot;$&quot;###0.00_%_);@_%_)"/>
    <numFmt numFmtId="224" formatCode="_(\§\ #,##0_)\ ;[Red]\(\§\ #,##0\)\ ;&quot; - &quot;;_(@\ _)"/>
    <numFmt numFmtId="225" formatCode="_(\§\ #,##0.00_);[Red]\(\§\ #,##0.00\);&quot; - &quot;_0_0;_(@_)"/>
    <numFmt numFmtId="226" formatCode="###0.00_)"/>
    <numFmt numFmtId="227" formatCode="m/d/yy_%_)"/>
    <numFmt numFmtId="228" formatCode="mmm\-dd\-yyyy"/>
    <numFmt numFmtId="229" formatCode="mmm\-d\-yyyy"/>
    <numFmt numFmtId="230" formatCode="mmm\-yyyy"/>
    <numFmt numFmtId="231" formatCode="m/d/yy_%_);;**"/>
    <numFmt numFmtId="232" formatCode="#,##0.0_);[Red]\(#,##0.0\)"/>
    <numFmt numFmtId="233" formatCode="_([$€-2]* #,##0.00_);_([$€-2]* \(#,##0.00\);_([$€-2]* &quot;-&quot;??_)"/>
    <numFmt numFmtId="234" formatCode="&quot;$&quot;#,##0.000_);[Red]\(&quot;$&quot;#,##0.000\)"/>
    <numFmt numFmtId="235" formatCode="0.0000000000000"/>
    <numFmt numFmtId="236" formatCode="0_)"/>
    <numFmt numFmtId="237" formatCode="[$-409]d\-mmm\-yy;@"/>
    <numFmt numFmtId="238" formatCode="#,##0.00_);[Red]\(#,##0.00\);\-\-\ \ \ "/>
    <numFmt numFmtId="239" formatCode="General_)"/>
    <numFmt numFmtId="240" formatCode="&quot;&quot;"/>
    <numFmt numFmtId="241" formatCode="#,##0.0\ ;\(#,##0.0\ \)"/>
    <numFmt numFmtId="242" formatCode="0.0%;0.0%;\-\ "/>
    <numFmt numFmtId="243" formatCode="0.0%\ ;\(0.0%\)"/>
    <numFmt numFmtId="244" formatCode="_ * #,##0.00_)\ _$_ ;_ * \(#,##0.00\)\ _$_ ;_ * &quot;-&quot;??_)\ _$_ ;_ @_ "/>
    <numFmt numFmtId="245" formatCode="#,##0.00000\ ;\(#,##0.00000\ \)"/>
    <numFmt numFmtId="246" formatCode="0.000000000000"/>
    <numFmt numFmtId="247" formatCode="_ * #,##0.00_)\ &quot;$&quot;_ ;_ * \(#,##0.00\)\ &quot;$&quot;_ ;_ * &quot;-&quot;??_)\ &quot;$&quot;_ ;_ @_ "/>
    <numFmt numFmtId="248" formatCode="#,##0.0000\ ;\(#,##0.0000\ \)"/>
    <numFmt numFmtId="249" formatCode="0.000%\ ;\(0.000%\)"/>
    <numFmt numFmtId="250" formatCode="#,##0.0\x_)_);\(#,##0.0\x\)_);#,##0.0\x_)_);@_%_)"/>
    <numFmt numFmtId="251" formatCode="_(* #,##0.00000_);_(* \(#,##0.00000\);_(* &quot;-&quot;?_);_(@_)"/>
    <numFmt numFmtId="252" formatCode="#,##0.0_);[Red]\(#,##0.0\);&quot;--  &quot;"/>
    <numFmt numFmtId="253" formatCode="0.00_)"/>
    <numFmt numFmtId="254" formatCode="#,##0.000_);[Red]\(#,##0.000\)"/>
    <numFmt numFmtId="255" formatCode="0_);\(0\)"/>
    <numFmt numFmtId="256" formatCode="#,##0.00&quot;x&quot;_);[Red]\(#,##0.00&quot;x&quot;\)"/>
    <numFmt numFmtId="257" formatCode="#,##0_);\(#,##0\);&quot;-  &quot;"/>
    <numFmt numFmtId="258" formatCode="#,##0.0_);\(#,##0.0\);&quot;-  &quot;"/>
    <numFmt numFmtId="259" formatCode="#,##0.0_);\(#,##0.0\);\-_)"/>
    <numFmt numFmtId="260" formatCode="0.00000000"/>
    <numFmt numFmtId="261" formatCode="#,##0.0%_);[Red]\(#,##0.0%\)"/>
    <numFmt numFmtId="262" formatCode="#,##0.00%_);[Red]\(#,##0.00%\)"/>
    <numFmt numFmtId="263" formatCode="0.0%_);\(0.0%\);&quot;-  &quot;"/>
    <numFmt numFmtId="264" formatCode="#,##0.0\%_);\(#,##0.0\%\);#,##0.0\%_);@_%_)"/>
    <numFmt numFmtId="265" formatCode="mm/dd/yy"/>
    <numFmt numFmtId="266" formatCode="0.00\ ;\-0.00\ ;&quot;- &quot;"/>
    <numFmt numFmtId="267" formatCode="#,##0.0000"/>
    <numFmt numFmtId="268" formatCode="#,##0\ ;[Red]\(#,##0\);\ \-\ "/>
    <numFmt numFmtId="269" formatCode="#,##0.00_);\(#,##0.00\);#,##0.00_);@_)"/>
    <numFmt numFmtId="270" formatCode="[White]General"/>
    <numFmt numFmtId="271" formatCode="#,###.##"/>
    <numFmt numFmtId="272" formatCode="&quot;$&quot;#,##0.000000_);[Red]\(&quot;$&quot;#,##0.000000\)"/>
    <numFmt numFmtId="273" formatCode="&quot;Table &quot;0"/>
    <numFmt numFmtId="274" formatCode="_(General_)"/>
    <numFmt numFmtId="275" formatCode="0.00\ "/>
    <numFmt numFmtId="276" formatCode="_-&quot;L.&quot;\ * #,##0.00_-;\-&quot;L.&quot;\ * #,##0.00_-;_-&quot;L.&quot;\ * &quot;-&quot;??_-;_-@_-"/>
    <numFmt numFmtId="277" formatCode="0_%_);\(0\)_%;0_%_);@_%_)"/>
    <numFmt numFmtId="278" formatCode="0,000\x"/>
    <numFmt numFmtId="279" formatCode="yyyy&quot;A&quot;"/>
    <numFmt numFmtId="280" formatCode="_-* #,##0\ _D_M_-;\-* #,##0\ _D_M_-;_-* &quot;-&quot;\ _D_M_-;_-@_-"/>
    <numFmt numFmtId="281" formatCode="&quot;@ &quot;0.00"/>
    <numFmt numFmtId="282" formatCode="&quot;Yes&quot;_%_);&quot;Error&quot;_%_);&quot;No&quot;_%_);&quot;--&quot;_%_)"/>
    <numFmt numFmtId="283" formatCode="0.000"/>
    <numFmt numFmtId="284" formatCode="&quot;$&quot;#,##0"/>
    <numFmt numFmtId="285" formatCode="#,##0_ ;\-#,##0\ "/>
    <numFmt numFmtId="286" formatCode="[$-409]d\-mmm\-yyyy;@"/>
    <numFmt numFmtId="287" formatCode="#,##0.0"/>
    <numFmt numFmtId="288" formatCode="0.0000000"/>
    <numFmt numFmtId="289" formatCode="[$-F800]dddd\,\ mmmm\ dd\,\ yyyy"/>
    <numFmt numFmtId="290" formatCode="_-* #,##0_-;\-* #,##0_-;_-* &quot;-&quot;??_-;_-@_-"/>
    <numFmt numFmtId="291" formatCode="dd/mm/yyyy;@"/>
  </numFmts>
  <fonts count="242">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font>
    <font>
      <b/>
      <sz val="12"/>
      <color theme="1"/>
      <name val="Calibri"/>
      <family val="2"/>
    </font>
    <font>
      <u/>
      <sz val="11"/>
      <color theme="10"/>
      <name val="Calibri"/>
      <family val="2"/>
    </font>
    <font>
      <sz val="11"/>
      <name val="Arial"/>
      <family val="2"/>
    </font>
    <font>
      <u/>
      <sz val="9.35"/>
      <color theme="10"/>
      <name val="Calibri"/>
      <family val="2"/>
    </font>
    <font>
      <sz val="10"/>
      <name val="Arial"/>
      <family val="2"/>
    </font>
    <font>
      <sz val="11"/>
      <color rgb="FF000000"/>
      <name val="Calibri"/>
      <family val="2"/>
      <scheme val="minor"/>
    </font>
    <font>
      <sz val="8"/>
      <color indexed="12"/>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b/>
      <sz val="10"/>
      <name val="Arial"/>
      <family val="2"/>
    </font>
    <font>
      <sz val="8"/>
      <color indexed="8"/>
      <name val="Times New Roman"/>
      <family val="1"/>
    </font>
    <font>
      <sz val="10"/>
      <color indexed="8"/>
      <name val="Times New Roman"/>
      <family val="1"/>
    </font>
    <font>
      <sz val="12"/>
      <name val="Arial"/>
      <family val="2"/>
    </font>
    <font>
      <sz val="9"/>
      <name val="Times New Roman"/>
      <family val="1"/>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2"/>
      <name val="Goudy Old Style"/>
      <family val="1"/>
    </font>
    <font>
      <sz val="10"/>
      <name val="Verdana"/>
      <family val="2"/>
    </font>
    <font>
      <sz val="12"/>
      <color indexed="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8"/>
      <name val="Arial"/>
      <family val="2"/>
    </font>
    <font>
      <sz val="9"/>
      <name val="Arial"/>
      <family val="2"/>
    </font>
    <font>
      <sz val="11"/>
      <color indexed="12"/>
      <name val="Book Antiqua"/>
      <family val="1"/>
    </font>
    <font>
      <sz val="10"/>
      <color indexed="8"/>
      <name val="Arial"/>
      <family val="2"/>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indexed="23"/>
      <name val="Calibri"/>
      <family val="2"/>
    </font>
    <font>
      <i/>
      <sz val="11"/>
      <color rgb="FF7F7F7F"/>
      <name val="Arial"/>
      <family val="2"/>
    </font>
    <font>
      <sz val="14"/>
      <color indexed="32"/>
      <name val="Times New Roman"/>
      <family val="1"/>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sz val="11"/>
      <color indexed="62"/>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indexed="52"/>
      <name val="Calibri"/>
      <family val="2"/>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u/>
      <sz val="8"/>
      <color indexed="8"/>
      <name val="Arial"/>
      <family val="2"/>
    </font>
    <font>
      <sz val="16"/>
      <name val="WarburgLogo"/>
      <family val="1"/>
    </font>
    <font>
      <sz val="11"/>
      <color indexed="10"/>
      <name val="Calibri"/>
      <family val="2"/>
    </font>
    <font>
      <sz val="11"/>
      <color rgb="FFFF0000"/>
      <name val="Arial"/>
      <family val="2"/>
    </font>
    <font>
      <sz val="8"/>
      <color indexed="12"/>
      <name val="Times New Roman"/>
      <family val="1"/>
    </font>
    <font>
      <b/>
      <sz val="12"/>
      <name val="Calibri"/>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10"/>
      <name val="Arial"/>
      <family val="2"/>
    </font>
    <font>
      <sz val="9"/>
      <color indexed="81"/>
      <name val="Tahoma"/>
      <family val="2"/>
    </font>
    <font>
      <b/>
      <sz val="9"/>
      <color indexed="81"/>
      <name val="Tahoma"/>
      <family val="2"/>
    </font>
    <font>
      <sz val="12"/>
      <color theme="1"/>
      <name val="Calibri"/>
      <family val="2"/>
      <scheme val="minor"/>
    </font>
    <font>
      <b/>
      <sz val="18"/>
      <color theme="3"/>
      <name val="Cambria"/>
      <family val="2"/>
      <scheme val="major"/>
    </font>
    <font>
      <u/>
      <sz val="8"/>
      <color rgb="FF800080"/>
      <name val="Calibri"/>
      <family val="2"/>
      <scheme val="minor"/>
    </font>
    <font>
      <u/>
      <sz val="8"/>
      <color rgb="FF0000FF"/>
      <name val="Calibri"/>
      <family val="2"/>
      <scheme val="minor"/>
    </font>
    <font>
      <b/>
      <u/>
      <sz val="11"/>
      <color theme="1"/>
      <name val="Calibri"/>
      <family val="2"/>
      <scheme val="minor"/>
    </font>
    <font>
      <i/>
      <sz val="10"/>
      <name val="Arial"/>
      <family val="2"/>
    </font>
    <font>
      <sz val="1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sz val="10"/>
      <name val="Arial Unicode MS"/>
      <family val="2"/>
    </font>
    <font>
      <b/>
      <sz val="10"/>
      <name val="Arial Unicode MS"/>
      <family val="2"/>
    </font>
    <font>
      <b/>
      <sz val="10"/>
      <name val="Arial Unicode MS"/>
      <family val="2"/>
    </font>
    <font>
      <sz val="10"/>
      <name val="Arial Unicode MS"/>
      <family val="2"/>
    </font>
    <font>
      <sz val="10"/>
      <color indexed="8"/>
      <name val="Arial"/>
      <family val="2"/>
    </font>
    <font>
      <b/>
      <sz val="12"/>
      <color theme="1"/>
      <name val="Calibri"/>
      <family val="2"/>
      <scheme val="minor"/>
    </font>
    <font>
      <i/>
      <sz val="9"/>
      <color theme="1"/>
      <name val="Calibri"/>
      <family val="2"/>
      <scheme val="minor"/>
    </font>
    <font>
      <sz val="10"/>
      <name val="Calibri"/>
      <family val="2"/>
      <scheme val="minor"/>
    </font>
    <font>
      <b/>
      <i/>
      <sz val="14"/>
      <color theme="1"/>
      <name val="Calibri"/>
      <family val="2"/>
      <scheme val="minor"/>
    </font>
    <font>
      <b/>
      <i/>
      <sz val="11"/>
      <color theme="1"/>
      <name val="Calibri"/>
      <family val="2"/>
      <scheme val="minor"/>
    </font>
    <font>
      <b/>
      <sz val="11"/>
      <name val="Calibri"/>
      <family val="2"/>
      <scheme val="minor"/>
    </font>
    <font>
      <b/>
      <sz val="14"/>
      <color theme="1"/>
      <name val="Calibri"/>
      <family val="2"/>
      <scheme val="minor"/>
    </font>
    <font>
      <b/>
      <sz val="18"/>
      <color theme="1"/>
      <name val="Calibri"/>
      <family val="2"/>
      <scheme val="minor"/>
    </font>
    <font>
      <sz val="14"/>
      <color theme="1"/>
      <name val="Calibri"/>
      <family val="2"/>
      <scheme val="minor"/>
    </font>
    <font>
      <b/>
      <sz val="16"/>
      <color theme="1"/>
      <name val="Calibri"/>
      <family val="2"/>
      <scheme val="minor"/>
    </font>
    <font>
      <b/>
      <sz val="11"/>
      <name val="Calibri"/>
      <family val="2"/>
    </font>
    <font>
      <b/>
      <sz val="11"/>
      <name val="Arial"/>
      <family val="2"/>
    </font>
    <font>
      <sz val="11"/>
      <color theme="1"/>
      <name val="Calibri"/>
      <family val="2"/>
    </font>
    <font>
      <b/>
      <sz val="11"/>
      <color rgb="FFFF0000"/>
      <name val="Calibri"/>
      <family val="2"/>
      <scheme val="minor"/>
    </font>
    <font>
      <sz val="9"/>
      <name val="Calibri"/>
      <family val="2"/>
      <scheme val="minor"/>
    </font>
    <font>
      <sz val="9"/>
      <color theme="1"/>
      <name val="Calibri"/>
      <family val="2"/>
      <scheme val="minor"/>
    </font>
    <font>
      <sz val="8"/>
      <color theme="1"/>
      <name val="Calibri"/>
      <family val="2"/>
      <scheme val="minor"/>
    </font>
    <font>
      <b/>
      <sz val="10"/>
      <name val="Calibri"/>
      <family val="2"/>
      <scheme val="minor"/>
    </font>
    <font>
      <sz val="10"/>
      <color rgb="FFFF0000"/>
      <name val="Calibri"/>
      <family val="2"/>
      <scheme val="minor"/>
    </font>
    <font>
      <b/>
      <sz val="10"/>
      <color rgb="FFFF0000"/>
      <name val="Calibri"/>
      <family val="2"/>
      <scheme val="minor"/>
    </font>
    <font>
      <b/>
      <sz val="11"/>
      <color rgb="FF000000"/>
      <name val="Calibri"/>
      <family val="2"/>
      <scheme val="minor"/>
    </font>
    <font>
      <b/>
      <sz val="10"/>
      <color rgb="FFFFFFFF"/>
      <name val="Arial"/>
      <family val="2"/>
    </font>
    <font>
      <sz val="10"/>
      <color rgb="FFFFFFFF"/>
      <name val="Arial"/>
      <family val="2"/>
    </font>
    <font>
      <b/>
      <sz val="10"/>
      <color theme="0"/>
      <name val="Arial"/>
      <family val="2"/>
    </font>
    <font>
      <u/>
      <sz val="11"/>
      <color theme="1"/>
      <name val="Calibri"/>
      <family val="2"/>
      <scheme val="minor"/>
    </font>
    <font>
      <b/>
      <sz val="18"/>
      <color indexed="62"/>
      <name val="Arial"/>
      <family val="2"/>
    </font>
    <font>
      <b/>
      <sz val="12"/>
      <color indexed="62"/>
      <name val="Arial"/>
      <family val="2"/>
    </font>
    <font>
      <b/>
      <i/>
      <sz val="9"/>
      <name val="Arial"/>
      <family val="2"/>
    </font>
    <font>
      <sz val="10"/>
      <color theme="0"/>
      <name val="Arial"/>
      <family val="2"/>
    </font>
    <font>
      <sz val="11"/>
      <name val="Calibri"/>
      <family val="2"/>
    </font>
    <font>
      <sz val="9"/>
      <color indexed="81"/>
      <name val="Tahoma"/>
      <charset val="1"/>
    </font>
    <font>
      <b/>
      <sz val="9"/>
      <color indexed="81"/>
      <name val="Tahoma"/>
      <charset val="1"/>
    </font>
  </fonts>
  <fills count="10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26"/>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indexed="31"/>
        <bgColor indexed="64"/>
      </patternFill>
    </fill>
    <fill>
      <patternFill patternType="solid">
        <fgColor theme="6" tint="0.59999389629810485"/>
        <bgColor indexed="64"/>
      </patternFill>
    </fill>
    <fill>
      <patternFill patternType="solid">
        <fgColor rgb="FFFFFFFF"/>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FFFF99"/>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E0E0E0"/>
        <bgColor indexed="64"/>
      </patternFill>
    </fill>
    <fill>
      <patternFill patternType="solid">
        <fgColor rgb="FFD8D8D8"/>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rgb="FFFFFF99"/>
        <bgColor rgb="FF000000"/>
      </patternFill>
    </fill>
    <fill>
      <patternFill patternType="solid">
        <fgColor rgb="FF009745"/>
        <bgColor indexed="64"/>
      </patternFill>
    </fill>
    <fill>
      <patternFill patternType="solid">
        <fgColor indexed="48"/>
        <bgColor indexed="64"/>
      </patternFill>
    </fill>
    <fill>
      <patternFill patternType="solid">
        <fgColor theme="3" tint="0.79998168889431442"/>
        <bgColor indexed="64"/>
      </patternFill>
    </fill>
    <fill>
      <patternFill patternType="solid">
        <fgColor theme="3" tint="0.39997558519241921"/>
        <bgColor indexed="64"/>
      </patternFill>
    </fill>
  </fills>
  <borders count="16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auto="1"/>
      </top>
      <bottom style="medium">
        <color indexed="64"/>
      </bottom>
      <diagonal/>
    </border>
    <border>
      <left/>
      <right/>
      <top/>
      <bottom style="medium">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hair">
        <color indexed="64"/>
      </right>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thin">
        <color indexed="28"/>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right/>
      <top/>
      <bottom style="hair">
        <color indexed="64"/>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style="hair">
        <color indexed="64"/>
      </right>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23"/>
      </top>
      <bottom style="thin">
        <color indexed="2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auto="1"/>
      </top>
      <bottom style="medium">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double">
        <color indexed="64"/>
      </top>
      <bottom style="thin">
        <color indexed="64"/>
      </bottom>
      <diagonal/>
    </border>
    <border>
      <left style="medium">
        <color indexed="64"/>
      </left>
      <right/>
      <top/>
      <bottom style="double">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bottom style="double">
        <color indexed="64"/>
      </bottom>
      <diagonal/>
    </border>
    <border>
      <left/>
      <right style="double">
        <color indexed="64"/>
      </right>
      <top/>
      <bottom style="medium">
        <color indexed="64"/>
      </bottom>
      <diagonal/>
    </border>
    <border>
      <left/>
      <right style="medium">
        <color indexed="64"/>
      </right>
      <top/>
      <bottom style="double">
        <color indexed="64"/>
      </bottom>
      <diagonal/>
    </border>
    <border>
      <left/>
      <right style="double">
        <color indexed="64"/>
      </right>
      <top/>
      <bottom style="double">
        <color indexed="64"/>
      </bottom>
      <diagonal/>
    </border>
    <border>
      <left/>
      <right style="double">
        <color indexed="64"/>
      </right>
      <top/>
      <bottom/>
      <diagonal/>
    </border>
    <border>
      <left/>
      <right style="double">
        <color indexed="64"/>
      </right>
      <top style="thin">
        <color theme="0"/>
      </top>
      <bottom/>
      <diagonal/>
    </border>
    <border>
      <left/>
      <right/>
      <top style="thin">
        <color theme="0"/>
      </top>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top style="double">
        <color indexed="64"/>
      </top>
      <bottom style="thin">
        <color indexed="64"/>
      </bottom>
      <diagonal/>
    </border>
    <border>
      <left style="double">
        <color indexed="64"/>
      </left>
      <right style="medium">
        <color indexed="64"/>
      </right>
      <top/>
      <bottom style="medium">
        <color indexed="64"/>
      </bottom>
      <diagonal/>
    </border>
    <border>
      <left style="double">
        <color indexed="64"/>
      </left>
      <right style="medium">
        <color indexed="64"/>
      </right>
      <top/>
      <bottom/>
      <diagonal/>
    </border>
    <border>
      <left/>
      <right/>
      <top/>
      <bottom style="thin">
        <color theme="0"/>
      </bottom>
      <diagonal/>
    </border>
    <border>
      <left/>
      <right style="thin">
        <color theme="1"/>
      </right>
      <top style="thin">
        <color indexed="64"/>
      </top>
      <bottom style="thin">
        <color indexed="64"/>
      </bottom>
      <diagonal/>
    </border>
    <border>
      <left style="thin">
        <color theme="1"/>
      </left>
      <right/>
      <top style="thin">
        <color indexed="64"/>
      </top>
      <bottom style="thin">
        <color indexed="64"/>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style="thin">
        <color indexed="64"/>
      </right>
      <top style="thin">
        <color theme="1"/>
      </top>
      <bottom style="thin">
        <color theme="1"/>
      </bottom>
      <diagonal/>
    </border>
    <border>
      <left/>
      <right/>
      <top style="thin">
        <color theme="1"/>
      </top>
      <bottom style="thin">
        <color theme="1"/>
      </bottom>
      <diagonal/>
    </border>
    <border>
      <left/>
      <right style="thin">
        <color indexed="64"/>
      </right>
      <top style="thin">
        <color theme="1"/>
      </top>
      <bottom style="thin">
        <color indexed="64"/>
      </bottom>
      <diagonal/>
    </border>
    <border>
      <left style="thin">
        <color indexed="64"/>
      </left>
      <right/>
      <top style="thin">
        <color theme="1"/>
      </top>
      <bottom style="thin">
        <color indexed="64"/>
      </bottom>
      <diagonal/>
    </border>
    <border>
      <left style="thin">
        <color indexed="64"/>
      </left>
      <right style="hair">
        <color indexed="64"/>
      </right>
      <top/>
      <bottom style="thin">
        <color indexed="64"/>
      </bottom>
      <diagonal/>
    </border>
    <border>
      <left/>
      <right style="thin">
        <color indexed="64"/>
      </right>
      <top style="thin">
        <color indexed="64"/>
      </top>
      <bottom style="thin">
        <color theme="1"/>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theme="1"/>
      </left>
      <right style="hair">
        <color indexed="64"/>
      </right>
      <top style="hair">
        <color indexed="64"/>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right style="thin">
        <color theme="1"/>
      </right>
      <top/>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style="thin">
        <color indexed="64"/>
      </left>
      <right style="thin">
        <color theme="1"/>
      </right>
      <top style="hair">
        <color indexed="64"/>
      </top>
      <bottom style="hair">
        <color indexed="64"/>
      </bottom>
      <diagonal/>
    </border>
    <border>
      <left style="thin">
        <color indexed="64"/>
      </left>
      <right style="thin">
        <color theme="1"/>
      </right>
      <top style="thin">
        <color theme="1"/>
      </top>
      <bottom style="hair">
        <color indexed="64"/>
      </bottom>
      <diagonal/>
    </border>
    <border>
      <left style="thin">
        <color indexed="64"/>
      </left>
      <right style="thin">
        <color indexed="64"/>
      </right>
      <top style="hair">
        <color indexed="64"/>
      </top>
      <bottom/>
      <diagonal/>
    </border>
    <border>
      <left style="thin">
        <color theme="0"/>
      </left>
      <right style="thin">
        <color indexed="64"/>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1"/>
      </right>
      <top style="thin">
        <color theme="0"/>
      </top>
      <bottom style="thin">
        <color indexed="64"/>
      </bottom>
      <diagonal/>
    </border>
    <border>
      <left style="thin">
        <color theme="1"/>
      </left>
      <right style="thin">
        <color theme="0"/>
      </right>
      <top style="thin">
        <color theme="0"/>
      </top>
      <bottom style="thin">
        <color indexed="64"/>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right style="thin">
        <color indexed="64"/>
      </right>
      <top/>
      <bottom style="thin">
        <color theme="0"/>
      </bottom>
      <diagonal/>
    </border>
    <border>
      <left style="thin">
        <color indexed="64"/>
      </left>
      <right/>
      <top/>
      <bottom style="thin">
        <color theme="0"/>
      </bottom>
      <diagonal/>
    </border>
    <border>
      <left/>
      <right style="thin">
        <color theme="1"/>
      </right>
      <top/>
      <bottom style="thin">
        <color theme="0"/>
      </bottom>
      <diagonal/>
    </border>
    <border>
      <left style="thin">
        <color theme="1"/>
      </left>
      <right/>
      <top/>
      <bottom style="thin">
        <color theme="0"/>
      </bottom>
      <diagonal/>
    </border>
    <border>
      <left/>
      <right style="thin">
        <color indexed="64"/>
      </right>
      <top style="thin">
        <color indexed="64"/>
      </top>
      <bottom style="thin">
        <color theme="0"/>
      </bottom>
      <diagonal/>
    </border>
    <border>
      <left style="thin">
        <color indexed="64"/>
      </left>
      <right/>
      <top style="thin">
        <color indexed="64"/>
      </top>
      <bottom style="thin">
        <color theme="0"/>
      </bottom>
      <diagonal/>
    </border>
    <border>
      <left/>
      <right style="thin">
        <color theme="1"/>
      </right>
      <top style="thin">
        <color indexed="64"/>
      </top>
      <bottom/>
      <diagonal/>
    </border>
    <border>
      <left style="thin">
        <color theme="1"/>
      </left>
      <right/>
      <top style="thin">
        <color indexed="64"/>
      </top>
      <bottom/>
      <diagonal/>
    </border>
    <border>
      <left style="thin">
        <color indexed="64"/>
      </left>
      <right style="thin">
        <color indexed="64"/>
      </right>
      <top style="hair">
        <color indexed="64"/>
      </top>
      <bottom style="thin">
        <color indexed="64"/>
      </bottom>
      <diagonal/>
    </border>
    <border>
      <left style="thin">
        <color theme="1"/>
      </left>
      <right/>
      <top style="thin">
        <color indexed="64"/>
      </top>
      <bottom style="thin">
        <color theme="1"/>
      </bottom>
      <diagonal/>
    </border>
    <border>
      <left style="thin">
        <color indexed="64"/>
      </left>
      <right style="thin">
        <color indexed="64"/>
      </right>
      <top style="thin">
        <color indexed="64"/>
      </top>
      <bottom style="thin">
        <color theme="1"/>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auto="1"/>
      </bottom>
      <diagonal/>
    </border>
  </borders>
  <cellStyleXfs count="5608">
    <xf numFmtId="0" fontId="0" fillId="0" borderId="0"/>
    <xf numFmtId="0" fontId="1" fillId="0" borderId="0"/>
    <xf numFmtId="170" fontId="1" fillId="0" borderId="0" applyFont="0" applyFill="0" applyBorder="0" applyAlignment="0" applyProtection="0"/>
    <xf numFmtId="0" fontId="1" fillId="0" borderId="0"/>
    <xf numFmtId="0" fontId="21" fillId="0" borderId="0" applyNumberFormat="0" applyFill="0" applyBorder="0" applyAlignment="0" applyProtection="0">
      <alignment vertical="top"/>
      <protection locked="0"/>
    </xf>
    <xf numFmtId="176" fontId="22" fillId="0" borderId="0"/>
    <xf numFmtId="176" fontId="22" fillId="0" borderId="0"/>
    <xf numFmtId="0" fontId="22" fillId="0" borderId="0"/>
    <xf numFmtId="9" fontId="24" fillId="0" borderId="0">
      <alignment horizontal="right"/>
    </xf>
    <xf numFmtId="164" fontId="25" fillId="0" borderId="0" applyFont="0" applyFill="0" applyBorder="0" applyAlignment="0" applyProtection="0"/>
    <xf numFmtId="166" fontId="25" fillId="0" borderId="0" applyFont="0" applyFill="0" applyBorder="0" applyAlignment="0" applyProtection="0"/>
    <xf numFmtId="9" fontId="25" fillId="0" borderId="0" applyFont="0" applyFill="0" applyBorder="0" applyAlignment="0" applyProtection="0"/>
    <xf numFmtId="10" fontId="25" fillId="0" borderId="0" applyFont="0" applyFill="0" applyBorder="0" applyAlignment="0" applyProtection="0"/>
    <xf numFmtId="0" fontId="22" fillId="36" borderId="22" applyNumberFormat="0">
      <alignment horizontal="centerContinuous" vertical="center" wrapText="1"/>
    </xf>
    <xf numFmtId="0" fontId="22" fillId="37" borderId="22" applyNumberFormat="0">
      <alignment horizontal="left" vertical="center"/>
    </xf>
    <xf numFmtId="170" fontId="26" fillId="0" borderId="0" applyFont="0" applyFill="0" applyBorder="0" applyAlignment="0" applyProtection="0"/>
    <xf numFmtId="0" fontId="22" fillId="0" borderId="0"/>
    <xf numFmtId="0" fontId="22" fillId="0" borderId="0" applyFont="0" applyFill="0" applyBorder="0" applyAlignment="0" applyProtection="0"/>
    <xf numFmtId="178" fontId="22" fillId="0" borderId="0" applyFont="0" applyFill="0" applyBorder="0" applyAlignment="0" applyProtection="0"/>
    <xf numFmtId="0" fontId="27" fillId="0" borderId="0"/>
    <xf numFmtId="0" fontId="28" fillId="0" borderId="0" applyFont="0" applyFill="0" applyBorder="0" applyAlignment="0" applyProtection="0"/>
    <xf numFmtId="179" fontId="22" fillId="0" borderId="0" applyFont="0" applyFill="0" applyBorder="0" applyAlignment="0" applyProtection="0"/>
    <xf numFmtId="177" fontId="22" fillId="0" borderId="0" applyFont="0" applyFill="0" applyBorder="0" applyAlignment="0" applyProtection="0"/>
    <xf numFmtId="180" fontId="29" fillId="0" borderId="0" applyFont="0" applyFill="0" applyBorder="0" applyAlignment="0" applyProtection="0"/>
    <xf numFmtId="181" fontId="29" fillId="0" borderId="0" applyFont="0" applyFill="0" applyBorder="0" applyAlignment="0" applyProtection="0"/>
    <xf numFmtId="39" fontId="22" fillId="0" borderId="0" applyFont="0" applyFill="0" applyBorder="0" applyAlignment="0" applyProtection="0"/>
    <xf numFmtId="0" fontId="27" fillId="0" borderId="0"/>
    <xf numFmtId="0" fontId="22" fillId="0" borderId="0">
      <alignment vertical="top"/>
    </xf>
    <xf numFmtId="9" fontId="28" fillId="0" borderId="0">
      <alignment horizontal="right"/>
    </xf>
    <xf numFmtId="0" fontId="30" fillId="0" borderId="0" applyNumberFormat="0" applyFill="0">
      <alignment horizontal="left" vertical="center" wrapText="1"/>
    </xf>
    <xf numFmtId="182" fontId="22" fillId="0" borderId="0" applyFont="0" applyFill="0" applyBorder="0" applyAlignment="0" applyProtection="0"/>
    <xf numFmtId="183" fontId="29" fillId="0" borderId="0" applyFont="0" applyFill="0" applyBorder="0" applyAlignment="0" applyProtection="0"/>
    <xf numFmtId="184" fontId="29" fillId="0" borderId="0" applyFont="0" applyFill="0" applyBorder="0" applyAlignment="0" applyProtection="0"/>
    <xf numFmtId="185" fontId="29" fillId="0" borderId="0" applyFont="0" applyFill="0" applyBorder="0" applyAlignment="0" applyProtection="0"/>
    <xf numFmtId="186" fontId="29" fillId="0" borderId="0" applyFont="0" applyFill="0" applyBorder="0" applyAlignment="0" applyProtection="0"/>
    <xf numFmtId="187" fontId="22" fillId="0" borderId="0" applyFont="0" applyFill="0" applyBorder="0" applyAlignment="0" applyProtection="0"/>
    <xf numFmtId="188" fontId="22" fillId="0" borderId="0" applyFont="0" applyFill="0" applyBorder="0" applyAlignment="0" applyProtection="0"/>
    <xf numFmtId="189" fontId="22" fillId="0" borderId="0" applyFont="0" applyFill="0" applyBorder="0" applyProtection="0">
      <alignment horizontal="right"/>
    </xf>
    <xf numFmtId="190" fontId="29" fillId="0" borderId="0" applyFont="0" applyFill="0" applyBorder="0" applyAlignment="0" applyProtection="0"/>
    <xf numFmtId="41" fontId="29" fillId="0" borderId="0" applyFont="0" applyFill="0" applyBorder="0" applyAlignment="0" applyProtection="0"/>
    <xf numFmtId="191" fontId="22" fillId="0" borderId="0" applyFont="0" applyFill="0" applyBorder="0" applyAlignment="0" applyProtection="0"/>
    <xf numFmtId="175" fontId="22" fillId="0" borderId="0" applyFont="0" applyFill="0" applyBorder="0" applyAlignment="0" applyProtection="0"/>
    <xf numFmtId="192" fontId="29" fillId="0" borderId="0" applyFont="0" applyFill="0" applyBorder="0" applyAlignment="0" applyProtection="0"/>
    <xf numFmtId="192" fontId="22" fillId="0" borderId="0" applyFont="0" applyFill="0" applyBorder="0" applyAlignment="0" applyProtection="0"/>
    <xf numFmtId="193" fontId="22" fillId="0" borderId="0" applyFont="0" applyFill="0" applyBorder="0" applyAlignment="0" applyProtection="0"/>
    <xf numFmtId="194" fontId="22" fillId="0" borderId="0" applyFont="0" applyFill="0" applyBorder="0" applyAlignment="0" applyProtection="0"/>
    <xf numFmtId="195" fontId="22" fillId="0" borderId="0" applyFont="0" applyFill="0" applyBorder="0" applyAlignment="0" applyProtection="0"/>
    <xf numFmtId="0" fontId="22" fillId="0" borderId="0"/>
    <xf numFmtId="0" fontId="22" fillId="0" borderId="0"/>
    <xf numFmtId="0" fontId="31" fillId="0" borderId="0" applyFont="0" applyFill="0" applyBorder="0" applyAlignment="0" applyProtection="0"/>
    <xf numFmtId="196" fontId="31" fillId="0" borderId="0" applyFont="0" applyFill="0" applyBorder="0" applyAlignment="0" applyProtection="0"/>
    <xf numFmtId="0" fontId="29" fillId="0" borderId="0" applyNumberFormat="0" applyFill="0" applyBorder="0" applyAlignment="0" applyProtection="0"/>
    <xf numFmtId="197" fontId="30" fillId="0" borderId="0" applyNumberFormat="0" applyFill="0">
      <alignment horizontal="left" vertical="center" wrapText="1"/>
    </xf>
    <xf numFmtId="0" fontId="30" fillId="38" borderId="0" applyFont="0" applyFill="0" applyProtection="0"/>
    <xf numFmtId="178" fontId="22" fillId="0" borderId="0"/>
    <xf numFmtId="198" fontId="32" fillId="0" borderId="0" applyFill="0" applyBorder="0" applyAlignment="0" applyProtection="0">
      <alignment horizontal="right"/>
    </xf>
    <xf numFmtId="0" fontId="33" fillId="39" borderId="0" applyNumberFormat="0" applyBorder="0" applyAlignment="0" applyProtection="0"/>
    <xf numFmtId="0" fontId="1" fillId="10" borderId="0" applyNumberFormat="0" applyBorder="0" applyAlignment="0" applyProtection="0"/>
    <xf numFmtId="0" fontId="34"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10" borderId="0" applyNumberFormat="0" applyBorder="0" applyAlignment="0" applyProtection="0"/>
    <xf numFmtId="0" fontId="1"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5"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3" fillId="40" borderId="0" applyNumberFormat="0" applyBorder="0" applyAlignment="0" applyProtection="0"/>
    <xf numFmtId="0" fontId="1" fillId="14" borderId="0" applyNumberFormat="0" applyBorder="0" applyAlignment="0" applyProtection="0"/>
    <xf numFmtId="0" fontId="34"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14" borderId="0" applyNumberFormat="0" applyBorder="0" applyAlignment="0" applyProtection="0"/>
    <xf numFmtId="0" fontId="1"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5"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3" fillId="41" borderId="0" applyNumberFormat="0" applyBorder="0" applyAlignment="0" applyProtection="0"/>
    <xf numFmtId="0" fontId="1" fillId="18" borderId="0" applyNumberFormat="0" applyBorder="0" applyAlignment="0" applyProtection="0"/>
    <xf numFmtId="0" fontId="34"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18" borderId="0" applyNumberFormat="0" applyBorder="0" applyAlignment="0" applyProtection="0"/>
    <xf numFmtId="0" fontId="1"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5"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3" fillId="42" borderId="0" applyNumberFormat="0" applyBorder="0" applyAlignment="0" applyProtection="0"/>
    <xf numFmtId="0" fontId="1" fillId="22" borderId="0" applyNumberFormat="0" applyBorder="0" applyAlignment="0" applyProtection="0"/>
    <xf numFmtId="0" fontId="34"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22" borderId="0" applyNumberFormat="0" applyBorder="0" applyAlignment="0" applyProtection="0"/>
    <xf numFmtId="0" fontId="1"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5"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3" fillId="43" borderId="0" applyNumberFormat="0" applyBorder="0" applyAlignment="0" applyProtection="0"/>
    <xf numFmtId="0" fontId="1" fillId="26" borderId="0" applyNumberFormat="0" applyBorder="0" applyAlignment="0" applyProtection="0"/>
    <xf numFmtId="0" fontId="34"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26" borderId="0" applyNumberFormat="0" applyBorder="0" applyAlignment="0" applyProtection="0"/>
    <xf numFmtId="0" fontId="1"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5"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3" fillId="44" borderId="0" applyNumberFormat="0" applyBorder="0" applyAlignment="0" applyProtection="0"/>
    <xf numFmtId="0" fontId="1" fillId="30" borderId="0" applyNumberFormat="0" applyBorder="0" applyAlignment="0" applyProtection="0"/>
    <xf numFmtId="0" fontId="34"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30" borderId="0" applyNumberFormat="0" applyBorder="0" applyAlignment="0" applyProtection="0"/>
    <xf numFmtId="0" fontId="1"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5"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3" fillId="45" borderId="0" applyNumberFormat="0" applyBorder="0" applyAlignment="0" applyProtection="0"/>
    <xf numFmtId="0" fontId="1" fillId="11" borderId="0" applyNumberFormat="0" applyBorder="0" applyAlignment="0" applyProtection="0"/>
    <xf numFmtId="0" fontId="34"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11" borderId="0" applyNumberFormat="0" applyBorder="0" applyAlignment="0" applyProtection="0"/>
    <xf numFmtId="0" fontId="1"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5"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3" fillId="46" borderId="0" applyNumberFormat="0" applyBorder="0" applyAlignment="0" applyProtection="0"/>
    <xf numFmtId="0" fontId="1" fillId="15" borderId="0" applyNumberFormat="0" applyBorder="0" applyAlignment="0" applyProtection="0"/>
    <xf numFmtId="0" fontId="34"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15" borderId="0" applyNumberFormat="0" applyBorder="0" applyAlignment="0" applyProtection="0"/>
    <xf numFmtId="0" fontId="1"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5"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3" fillId="47" borderId="0" applyNumberFormat="0" applyBorder="0" applyAlignment="0" applyProtection="0"/>
    <xf numFmtId="0" fontId="1" fillId="19" borderId="0" applyNumberFormat="0" applyBorder="0" applyAlignment="0" applyProtection="0"/>
    <xf numFmtId="0" fontId="34"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19" borderId="0" applyNumberFormat="0" applyBorder="0" applyAlignment="0" applyProtection="0"/>
    <xf numFmtId="0" fontId="1"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5"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3" fillId="42" borderId="0" applyNumberFormat="0" applyBorder="0" applyAlignment="0" applyProtection="0"/>
    <xf numFmtId="0" fontId="1" fillId="23" borderId="0" applyNumberFormat="0" applyBorder="0" applyAlignment="0" applyProtection="0"/>
    <xf numFmtId="0" fontId="34"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23" borderId="0" applyNumberFormat="0" applyBorder="0" applyAlignment="0" applyProtection="0"/>
    <xf numFmtId="0" fontId="1"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5"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3" fillId="45" borderId="0" applyNumberFormat="0" applyBorder="0" applyAlignment="0" applyProtection="0"/>
    <xf numFmtId="0" fontId="1" fillId="27" borderId="0" applyNumberFormat="0" applyBorder="0" applyAlignment="0" applyProtection="0"/>
    <xf numFmtId="0" fontId="34"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27" borderId="0" applyNumberFormat="0" applyBorder="0" applyAlignment="0" applyProtection="0"/>
    <xf numFmtId="0" fontId="1"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5"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3" fillId="48" borderId="0" applyNumberFormat="0" applyBorder="0" applyAlignment="0" applyProtection="0"/>
    <xf numFmtId="0" fontId="1" fillId="31" borderId="0" applyNumberFormat="0" applyBorder="0" applyAlignment="0" applyProtection="0"/>
    <xf numFmtId="0" fontId="34"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31" borderId="0" applyNumberFormat="0" applyBorder="0" applyAlignment="0" applyProtection="0"/>
    <xf numFmtId="0" fontId="1"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5"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6" fillId="49"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16" fillId="12" borderId="0" applyNumberFormat="0" applyBorder="0" applyAlignment="0" applyProtection="0"/>
    <xf numFmtId="0" fontId="36" fillId="4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6" fillId="16" borderId="0" applyNumberFormat="0" applyBorder="0" applyAlignment="0" applyProtection="0"/>
    <xf numFmtId="0" fontId="36" fillId="47"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16" fillId="20" borderId="0" applyNumberFormat="0" applyBorder="0" applyAlignment="0" applyProtection="0"/>
    <xf numFmtId="0" fontId="36" fillId="50"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6" fillId="24" borderId="0" applyNumberFormat="0" applyBorder="0" applyAlignment="0" applyProtection="0"/>
    <xf numFmtId="0" fontId="36" fillId="51"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6" fillId="28" borderId="0" applyNumberFormat="0" applyBorder="0" applyAlignment="0" applyProtection="0"/>
    <xf numFmtId="0" fontId="36" fillId="5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16" fillId="32" borderId="0" applyNumberFormat="0" applyBorder="0" applyAlignment="0" applyProtection="0"/>
    <xf numFmtId="199" fontId="22" fillId="0" borderId="14">
      <alignment horizontal="right"/>
    </xf>
    <xf numFmtId="0" fontId="36" fillId="53"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16" fillId="9" borderId="0" applyNumberFormat="0" applyBorder="0" applyAlignment="0" applyProtection="0"/>
    <xf numFmtId="0" fontId="36" fillId="54"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16" fillId="13" borderId="0" applyNumberFormat="0" applyBorder="0" applyAlignment="0" applyProtection="0"/>
    <xf numFmtId="0" fontId="36" fillId="55"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6" fillId="17" borderId="0" applyNumberFormat="0" applyBorder="0" applyAlignment="0" applyProtection="0"/>
    <xf numFmtId="0" fontId="36" fillId="5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6" fillId="21" borderId="0" applyNumberFormat="0" applyBorder="0" applyAlignment="0" applyProtection="0"/>
    <xf numFmtId="0" fontId="36" fillId="51"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6" fillId="25" borderId="0" applyNumberFormat="0" applyBorder="0" applyAlignment="0" applyProtection="0"/>
    <xf numFmtId="0" fontId="36" fillId="56"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16" fillId="29" borderId="0" applyNumberFormat="0" applyBorder="0" applyAlignment="0" applyProtection="0"/>
    <xf numFmtId="167" fontId="38" fillId="0" borderId="0" applyFont="0"/>
    <xf numFmtId="167" fontId="38" fillId="0" borderId="23" applyFont="0"/>
    <xf numFmtId="168" fontId="38" fillId="0" borderId="0" applyFont="0"/>
    <xf numFmtId="200" fontId="39" fillId="0" borderId="14">
      <alignment horizontal="right"/>
    </xf>
    <xf numFmtId="200" fontId="39" fillId="0" borderId="14" applyFill="0">
      <alignment horizontal="right"/>
    </xf>
    <xf numFmtId="201" fontId="22" fillId="0" borderId="14">
      <alignment horizontal="right"/>
    </xf>
    <xf numFmtId="3" fontId="22" fillId="0" borderId="14" applyFill="0">
      <alignment horizontal="right"/>
    </xf>
    <xf numFmtId="202" fontId="39" fillId="0" borderId="14" applyFill="0">
      <alignment horizontal="right"/>
    </xf>
    <xf numFmtId="3" fontId="40" fillId="0" borderId="14" applyFill="0">
      <alignment horizontal="right"/>
    </xf>
    <xf numFmtId="203" fontId="41" fillId="57" borderId="24">
      <alignment horizontal="center" vertical="center"/>
    </xf>
    <xf numFmtId="0" fontId="22" fillId="0" borderId="0"/>
    <xf numFmtId="178" fontId="42" fillId="0" borderId="0"/>
    <xf numFmtId="0" fontId="22" fillId="0" borderId="0"/>
    <xf numFmtId="204" fontId="22" fillId="0" borderId="14">
      <alignment horizontal="right"/>
      <protection locked="0"/>
    </xf>
    <xf numFmtId="165" fontId="39" fillId="0" borderId="14" applyNumberFormat="0" applyFont="0" applyBorder="0" applyProtection="0">
      <alignment horizontal="right"/>
    </xf>
    <xf numFmtId="205" fontId="43" fillId="58" borderId="25"/>
    <xf numFmtId="0" fontId="22" fillId="0" borderId="0" applyNumberFormat="0" applyFill="0" applyBorder="0" applyAlignment="0" applyProtection="0"/>
    <xf numFmtId="0" fontId="44" fillId="0" borderId="0" applyNumberFormat="0" applyFill="0" applyBorder="0" applyAlignment="0" applyProtection="0"/>
    <xf numFmtId="0" fontId="45" fillId="0" borderId="0"/>
    <xf numFmtId="0" fontId="46" fillId="40"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6" fillId="3" borderId="0" applyNumberFormat="0" applyBorder="0" applyAlignment="0" applyProtection="0"/>
    <xf numFmtId="1" fontId="48" fillId="59" borderId="20" applyNumberFormat="0" applyBorder="0" applyAlignment="0">
      <alignment horizontal="center" vertical="top" wrapText="1"/>
      <protection hidden="1"/>
    </xf>
    <xf numFmtId="0" fontId="49" fillId="60" borderId="0"/>
    <xf numFmtId="0" fontId="50" fillId="0" borderId="0" applyAlignment="0"/>
    <xf numFmtId="0" fontId="51" fillId="0" borderId="12" applyNumberFormat="0" applyFill="0" applyAlignment="0" applyProtection="0"/>
    <xf numFmtId="0" fontId="40" fillId="0" borderId="17" applyNumberFormat="0" applyFont="0" applyFill="0" applyAlignment="0" applyProtection="0"/>
    <xf numFmtId="0" fontId="52" fillId="0" borderId="26" applyNumberFormat="0" applyFont="0" applyFill="0" applyAlignment="0" applyProtection="0">
      <alignment horizontal="centerContinuous"/>
    </xf>
    <xf numFmtId="0" fontId="25" fillId="0" borderId="12" applyNumberFormat="0" applyFont="0" applyFill="0" applyAlignment="0" applyProtection="0"/>
    <xf numFmtId="0" fontId="25" fillId="0" borderId="20" applyNumberFormat="0" applyFont="0" applyFill="0" applyAlignment="0" applyProtection="0"/>
    <xf numFmtId="0" fontId="25" fillId="0" borderId="18" applyNumberFormat="0" applyFont="0" applyFill="0" applyAlignment="0" applyProtection="0"/>
    <xf numFmtId="0" fontId="25" fillId="0" borderId="13" applyNumberFormat="0" applyFont="0" applyFill="0" applyAlignment="0" applyProtection="0"/>
    <xf numFmtId="206" fontId="22" fillId="0" borderId="0" applyFont="0" applyFill="0" applyBorder="0" applyAlignment="0" applyProtection="0"/>
    <xf numFmtId="0" fontId="29" fillId="0" borderId="0">
      <alignment horizontal="right"/>
    </xf>
    <xf numFmtId="0" fontId="31" fillId="0" borderId="0" applyFont="0" applyFill="0" applyBorder="0" applyAlignment="0" applyProtection="0"/>
    <xf numFmtId="207" fontId="29" fillId="0" borderId="0" applyFill="0" applyBorder="0" applyAlignment="0"/>
    <xf numFmtId="208" fontId="29" fillId="0" borderId="0" applyFill="0" applyBorder="0" applyAlignment="0"/>
    <xf numFmtId="209" fontId="29" fillId="0" borderId="0" applyFill="0" applyBorder="0" applyAlignment="0"/>
    <xf numFmtId="210" fontId="29" fillId="0" borderId="0" applyFill="0" applyBorder="0" applyAlignment="0"/>
    <xf numFmtId="209" fontId="22" fillId="0" borderId="0" applyFill="0" applyBorder="0" applyAlignment="0"/>
    <xf numFmtId="207" fontId="29" fillId="0" borderId="0" applyFill="0" applyBorder="0" applyAlignment="0"/>
    <xf numFmtId="210" fontId="22" fillId="0" borderId="0" applyFill="0" applyBorder="0" applyAlignment="0"/>
    <xf numFmtId="208" fontId="29" fillId="0" borderId="0" applyFill="0" applyBorder="0" applyAlignment="0"/>
    <xf numFmtId="0" fontId="53" fillId="61" borderId="22" applyNumberFormat="0" applyAlignment="0" applyProtection="0"/>
    <xf numFmtId="0" fontId="53" fillId="61" borderId="22" applyNumberFormat="0" applyAlignment="0" applyProtection="0"/>
    <xf numFmtId="0" fontId="54" fillId="6" borderId="4" applyNumberFormat="0" applyAlignment="0" applyProtection="0"/>
    <xf numFmtId="0" fontId="54" fillId="6" borderId="4" applyNumberFormat="0" applyAlignment="0" applyProtection="0"/>
    <xf numFmtId="0" fontId="54" fillId="6" borderId="4" applyNumberFormat="0" applyAlignment="0" applyProtection="0"/>
    <xf numFmtId="0" fontId="54" fillId="6" borderId="4" applyNumberFormat="0" applyAlignment="0" applyProtection="0"/>
    <xf numFmtId="0" fontId="54" fillId="6" borderId="4" applyNumberFormat="0" applyAlignment="0" applyProtection="0"/>
    <xf numFmtId="0" fontId="54" fillId="6" borderId="4" applyNumberFormat="0" applyAlignment="0" applyProtection="0"/>
    <xf numFmtId="0" fontId="54" fillId="6" borderId="4" applyNumberFormat="0" applyAlignment="0" applyProtection="0"/>
    <xf numFmtId="0" fontId="10" fillId="6" borderId="4" applyNumberFormat="0" applyAlignment="0" applyProtection="0"/>
    <xf numFmtId="178" fontId="40" fillId="62" borderId="0" applyNumberFormat="0" applyFont="0" applyBorder="0" applyAlignment="0">
      <alignment horizontal="left"/>
    </xf>
    <xf numFmtId="211" fontId="22" fillId="0" borderId="0" applyFont="0" applyFill="0" applyBorder="0" applyProtection="0">
      <alignment horizontal="center" vertical="center"/>
    </xf>
    <xf numFmtId="0" fontId="55" fillId="63" borderId="27" applyNumberFormat="0" applyAlignment="0" applyProtection="0"/>
    <xf numFmtId="0" fontId="56" fillId="7" borderId="7" applyNumberFormat="0" applyAlignment="0" applyProtection="0"/>
    <xf numFmtId="0" fontId="56" fillId="7" borderId="7" applyNumberFormat="0" applyAlignment="0" applyProtection="0"/>
    <xf numFmtId="0" fontId="56" fillId="7" borderId="7" applyNumberFormat="0" applyAlignment="0" applyProtection="0"/>
    <xf numFmtId="0" fontId="56" fillId="7" borderId="7" applyNumberFormat="0" applyAlignment="0" applyProtection="0"/>
    <xf numFmtId="0" fontId="56" fillId="7" borderId="7" applyNumberFormat="0" applyAlignment="0" applyProtection="0"/>
    <xf numFmtId="0" fontId="56" fillId="7" borderId="7" applyNumberFormat="0" applyAlignment="0" applyProtection="0"/>
    <xf numFmtId="0" fontId="56" fillId="7" borderId="7" applyNumberFormat="0" applyAlignment="0" applyProtection="0"/>
    <xf numFmtId="0" fontId="12" fillId="7" borderId="7" applyNumberFormat="0" applyAlignment="0" applyProtection="0"/>
    <xf numFmtId="212" fontId="22" fillId="0" borderId="0" applyNumberFormat="0" applyFont="0" applyFill="0" applyAlignment="0" applyProtection="0"/>
    <xf numFmtId="0" fontId="51" fillId="0" borderId="12" applyNumberFormat="0" applyFill="0" applyProtection="0">
      <alignment horizontal="left" vertical="center"/>
    </xf>
    <xf numFmtId="0" fontId="57" fillId="0" borderId="0">
      <alignment horizontal="center" wrapText="1"/>
      <protection hidden="1"/>
    </xf>
    <xf numFmtId="0" fontId="58" fillId="0" borderId="0">
      <alignment horizontal="right"/>
    </xf>
    <xf numFmtId="172" fontId="32" fillId="0" borderId="0" applyBorder="0">
      <alignment horizontal="right"/>
    </xf>
    <xf numFmtId="172" fontId="32" fillId="0" borderId="17" applyAlignment="0">
      <alignment horizontal="right"/>
    </xf>
    <xf numFmtId="213" fontId="29" fillId="0" borderId="0"/>
    <xf numFmtId="213" fontId="29" fillId="0" borderId="0"/>
    <xf numFmtId="213" fontId="29" fillId="0" borderId="0"/>
    <xf numFmtId="213" fontId="29" fillId="0" borderId="0"/>
    <xf numFmtId="213" fontId="29" fillId="0" borderId="0"/>
    <xf numFmtId="213" fontId="29" fillId="0" borderId="0"/>
    <xf numFmtId="213" fontId="29" fillId="0" borderId="0"/>
    <xf numFmtId="213" fontId="29" fillId="0" borderId="0"/>
    <xf numFmtId="168" fontId="59" fillId="0" borderId="0" applyFont="0" applyBorder="0">
      <alignment horizontal="right"/>
    </xf>
    <xf numFmtId="207" fontId="29" fillId="0" borderId="0" applyFont="0" applyFill="0" applyBorder="0" applyAlignment="0" applyProtection="0"/>
    <xf numFmtId="214" fontId="22" fillId="0" borderId="0" applyFont="0"/>
    <xf numFmtId="0" fontId="60" fillId="0" borderId="0" applyFont="0" applyFill="0" applyBorder="0" applyProtection="0">
      <alignment horizontal="right"/>
    </xf>
    <xf numFmtId="0" fontId="60" fillId="0" borderId="0" applyFont="0" applyFill="0" applyBorder="0" applyProtection="0">
      <alignment horizontal="right"/>
    </xf>
    <xf numFmtId="175" fontId="22" fillId="0" borderId="0" applyFont="0" applyFill="0" applyBorder="0" applyAlignment="0" applyProtection="0">
      <alignment horizontal="right"/>
    </xf>
    <xf numFmtId="215" fontId="22" fillId="0" borderId="0" applyFont="0" applyFill="0" applyBorder="0" applyAlignment="0" applyProtection="0"/>
    <xf numFmtId="216" fontId="61" fillId="0" borderId="0" applyFont="0" applyFill="0" applyBorder="0" applyAlignment="0" applyProtection="0">
      <alignment horizontal="right"/>
    </xf>
    <xf numFmtId="170" fontId="1"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1"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3" fillId="0" borderId="0" applyFont="0" applyFill="0" applyBorder="0" applyAlignment="0" applyProtection="0"/>
    <xf numFmtId="170" fontId="22"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2"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3" fontId="22" fillId="0" borderId="0" applyFont="0" applyFill="0" applyBorder="0" applyAlignment="0" applyProtection="0">
      <alignment horizontal="right"/>
    </xf>
    <xf numFmtId="173" fontId="22" fillId="0" borderId="0" applyFont="0" applyFill="0" applyBorder="0" applyAlignment="0" applyProtection="0">
      <alignment horizontal="right"/>
    </xf>
    <xf numFmtId="173" fontId="22" fillId="0" borderId="0" applyFont="0" applyFill="0" applyBorder="0" applyAlignment="0" applyProtection="0">
      <alignment horizontal="right"/>
    </xf>
    <xf numFmtId="173" fontId="22" fillId="0" borderId="0" applyFont="0" applyFill="0" applyBorder="0" applyAlignment="0" applyProtection="0">
      <alignment horizontal="right"/>
    </xf>
    <xf numFmtId="170" fontId="22" fillId="0" borderId="0" applyFont="0" applyFill="0" applyBorder="0" applyAlignment="0" applyProtection="0"/>
    <xf numFmtId="170" fontId="17" fillId="0" borderId="0" applyFont="0" applyFill="0" applyBorder="0" applyAlignment="0" applyProtection="0"/>
    <xf numFmtId="170" fontId="62" fillId="0" borderId="0" applyFont="0" applyFill="0" applyBorder="0" applyAlignment="0" applyProtection="0"/>
    <xf numFmtId="173" fontId="22" fillId="0" borderId="0" applyFont="0" applyFill="0" applyBorder="0" applyAlignment="0" applyProtection="0">
      <alignment horizontal="right"/>
    </xf>
    <xf numFmtId="173" fontId="22" fillId="0" borderId="0" applyFont="0" applyFill="0" applyBorder="0" applyAlignment="0" applyProtection="0">
      <alignment horizontal="right"/>
    </xf>
    <xf numFmtId="173" fontId="22" fillId="0" borderId="0" applyFont="0" applyFill="0" applyBorder="0" applyAlignment="0" applyProtection="0">
      <alignment horizontal="right"/>
    </xf>
    <xf numFmtId="173" fontId="22" fillId="0" borderId="0" applyFont="0" applyFill="0" applyBorder="0" applyAlignment="0" applyProtection="0">
      <alignment horizontal="right"/>
    </xf>
    <xf numFmtId="170" fontId="57" fillId="0" borderId="0" applyFont="0" applyFill="0" applyBorder="0" applyAlignment="0" applyProtection="0"/>
    <xf numFmtId="170" fontId="1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17"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2"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217" fontId="61" fillId="0" borderId="0" applyFont="0" applyFill="0" applyBorder="0" applyAlignment="0" applyProtection="0"/>
    <xf numFmtId="170" fontId="22" fillId="0" borderId="0" applyFont="0" applyFill="0" applyBorder="0" applyAlignment="0" applyProtection="0"/>
    <xf numFmtId="43" fontId="1" fillId="0" borderId="0" applyFont="0" applyFill="0" applyBorder="0" applyAlignment="0" applyProtection="0"/>
    <xf numFmtId="170" fontId="33"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44"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63" fillId="0" borderId="0" applyFont="0" applyFill="0" applyBorder="0" applyAlignment="0" applyProtection="0"/>
    <xf numFmtId="170" fontId="1" fillId="0" borderId="0" applyFont="0" applyFill="0" applyBorder="0" applyAlignment="0" applyProtection="0"/>
    <xf numFmtId="170" fontId="22"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2" fillId="0" borderId="0" applyFont="0" applyFill="0" applyBorder="0" applyAlignment="0" applyProtection="0"/>
    <xf numFmtId="170" fontId="1" fillId="0" borderId="0" applyFont="0" applyFill="0" applyBorder="0" applyAlignment="0" applyProtection="0"/>
    <xf numFmtId="170" fontId="6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6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6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66"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1" fillId="0" borderId="0" applyFont="0" applyFill="0" applyBorder="0" applyAlignment="0" applyProtection="0"/>
    <xf numFmtId="170" fontId="3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3" fontId="67" fillId="0" borderId="0" applyFont="0" applyFill="0" applyBorder="0" applyAlignment="0" applyProtection="0"/>
    <xf numFmtId="178" fontId="68" fillId="0" borderId="0"/>
    <xf numFmtId="0" fontId="69" fillId="0" borderId="0"/>
    <xf numFmtId="0" fontId="70" fillId="64" borderId="0">
      <alignment horizontal="center" vertical="center" wrapText="1"/>
    </xf>
    <xf numFmtId="218" fontId="22" fillId="0" borderId="0" applyFill="0" applyBorder="0">
      <alignment horizontal="right"/>
      <protection locked="0"/>
    </xf>
    <xf numFmtId="219" fontId="71" fillId="0" borderId="28" applyFont="0" applyFill="0" applyBorder="0" applyAlignment="0" applyProtection="0"/>
    <xf numFmtId="208" fontId="29" fillId="0" borderId="0" applyFont="0" applyFill="0" applyBorder="0" applyAlignment="0" applyProtection="0"/>
    <xf numFmtId="220" fontId="72" fillId="0" borderId="0">
      <alignment horizontal="right"/>
    </xf>
    <xf numFmtId="166" fontId="73" fillId="0" borderId="29">
      <protection locked="0"/>
    </xf>
    <xf numFmtId="0" fontId="60" fillId="0" borderId="0" applyFont="0" applyFill="0" applyBorder="0" applyProtection="0">
      <alignment horizontal="right"/>
    </xf>
    <xf numFmtId="187" fontId="22" fillId="0" borderId="0" applyFont="0" applyFill="0" applyBorder="0" applyAlignment="0" applyProtection="0">
      <alignment horizontal="right"/>
    </xf>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33" fillId="0" borderId="0" applyFont="0" applyFill="0" applyBorder="0" applyAlignment="0" applyProtection="0"/>
    <xf numFmtId="169" fontId="4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4" fontId="22"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2"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74"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74" fillId="0" borderId="0" applyFont="0" applyFill="0" applyBorder="0" applyAlignment="0" applyProtection="0"/>
    <xf numFmtId="169" fontId="63" fillId="0" borderId="0" applyFont="0" applyFill="0" applyBorder="0" applyAlignment="0" applyProtection="0"/>
    <xf numFmtId="44" fontId="44" fillId="0" borderId="0" applyFont="0" applyFill="0" applyBorder="0" applyAlignment="0" applyProtection="0"/>
    <xf numFmtId="169" fontId="64"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221" fontId="22" fillId="0" borderId="0" applyFont="0" applyFill="0" applyBorder="0" applyAlignment="0" applyProtection="0">
      <alignment horizontal="right"/>
    </xf>
    <xf numFmtId="221" fontId="22" fillId="0" borderId="0" applyFont="0" applyFill="0" applyBorder="0" applyAlignment="0" applyProtection="0">
      <alignment horizontal="right"/>
    </xf>
    <xf numFmtId="221" fontId="22" fillId="0" borderId="0" applyFont="0" applyFill="0" applyBorder="0" applyAlignment="0" applyProtection="0">
      <alignment horizontal="right"/>
    </xf>
    <xf numFmtId="221" fontId="22" fillId="0" borderId="0" applyFont="0" applyFill="0" applyBorder="0" applyAlignment="0" applyProtection="0">
      <alignment horizontal="right"/>
    </xf>
    <xf numFmtId="44" fontId="22"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221" fontId="22" fillId="0" borderId="0" applyFont="0" applyFill="0" applyBorder="0" applyAlignment="0" applyProtection="0">
      <alignment horizontal="right"/>
    </xf>
    <xf numFmtId="221" fontId="22" fillId="0" borderId="0" applyFont="0" applyFill="0" applyBorder="0" applyAlignment="0" applyProtection="0">
      <alignment horizontal="right"/>
    </xf>
    <xf numFmtId="221" fontId="22" fillId="0" borderId="0" applyFont="0" applyFill="0" applyBorder="0" applyAlignment="0" applyProtection="0">
      <alignment horizontal="right"/>
    </xf>
    <xf numFmtId="221" fontId="22" fillId="0" borderId="0" applyFont="0" applyFill="0" applyBorder="0" applyAlignment="0" applyProtection="0">
      <alignment horizontal="right"/>
    </xf>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22" fillId="0" borderId="0" applyFont="0" applyFill="0" applyBorder="0" applyAlignment="0" applyProtection="0"/>
    <xf numFmtId="222" fontId="75" fillId="0" borderId="0" applyFont="0" applyFill="0" applyBorder="0" applyAlignment="0" applyProtection="0"/>
    <xf numFmtId="169" fontId="22"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65" fillId="0" borderId="0" applyFont="0" applyFill="0" applyBorder="0" applyAlignment="0" applyProtection="0"/>
    <xf numFmtId="169" fontId="63"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63" fillId="0" borderId="0" applyFont="0" applyFill="0" applyBorder="0" applyAlignment="0" applyProtection="0"/>
    <xf numFmtId="169" fontId="1" fillId="0" borderId="0" applyFont="0" applyFill="0" applyBorder="0" applyAlignment="0" applyProtection="0"/>
    <xf numFmtId="169" fontId="22" fillId="0" borderId="0" applyFont="0" applyFill="0" applyBorder="0" applyAlignment="0" applyProtection="0"/>
    <xf numFmtId="44" fontId="1" fillId="0" borderId="0" applyFont="0" applyFill="0" applyBorder="0" applyAlignment="0" applyProtection="0"/>
    <xf numFmtId="169" fontId="7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9" fontId="63"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4"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74"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74"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223" fontId="29" fillId="0" borderId="0" applyFont="0" applyFill="0" applyBorder="0" applyProtection="0">
      <alignment horizontal="right"/>
    </xf>
    <xf numFmtId="224" fontId="39" fillId="0" borderId="0" applyFont="0" applyFill="0" applyBorder="0" applyAlignment="0" applyProtection="0">
      <alignment vertical="center"/>
    </xf>
    <xf numFmtId="225" fontId="39" fillId="0" borderId="0" applyFont="0" applyFill="0" applyBorder="0" applyAlignment="0" applyProtection="0">
      <alignment vertical="center"/>
    </xf>
    <xf numFmtId="0" fontId="57" fillId="0" borderId="0" applyFont="0" applyFill="0" applyBorder="0" applyAlignment="0">
      <protection locked="0"/>
    </xf>
    <xf numFmtId="0" fontId="31" fillId="0" borderId="0" applyFont="0" applyFill="0" applyBorder="0" applyAlignment="0" applyProtection="0"/>
    <xf numFmtId="226" fontId="76" fillId="0" borderId="30" applyNumberFormat="0" applyFill="0">
      <alignment horizontal="right"/>
    </xf>
    <xf numFmtId="226" fontId="76" fillId="0" borderId="30" applyNumberFormat="0" applyFill="0">
      <alignment horizontal="right"/>
    </xf>
    <xf numFmtId="1" fontId="77" fillId="0" borderId="0"/>
    <xf numFmtId="227" fontId="40" fillId="0" borderId="0" applyFont="0" applyFill="0" applyBorder="0" applyProtection="0">
      <alignment horizontal="right"/>
    </xf>
    <xf numFmtId="228" fontId="71" fillId="0" borderId="0" applyFont="0" applyFill="0" applyBorder="0" applyAlignment="0" applyProtection="0"/>
    <xf numFmtId="228" fontId="71" fillId="0" borderId="0" applyFont="0" applyFill="0" applyBorder="0" applyAlignment="0" applyProtection="0"/>
    <xf numFmtId="229" fontId="24" fillId="60" borderId="15" applyFont="0" applyFill="0" applyBorder="0" applyAlignment="0" applyProtection="0"/>
    <xf numFmtId="230" fontId="32" fillId="0" borderId="12" applyFont="0" applyFill="0" applyBorder="0" applyAlignment="0" applyProtection="0"/>
    <xf numFmtId="179" fontId="22" fillId="0" borderId="0" applyFont="0" applyFill="0" applyBorder="0" applyAlignment="0" applyProtection="0"/>
    <xf numFmtId="231" fontId="61" fillId="0" borderId="0" applyFont="0" applyFill="0" applyBorder="0" applyAlignment="0" applyProtection="0"/>
    <xf numFmtId="0" fontId="61" fillId="0" borderId="0" applyFont="0" applyFill="0" applyBorder="0" applyAlignment="0" applyProtection="0"/>
    <xf numFmtId="14" fontId="74" fillId="0" borderId="0" applyFill="0" applyBorder="0" applyAlignment="0"/>
    <xf numFmtId="0" fontId="22" fillId="0" borderId="0">
      <alignment horizontal="left" vertical="top"/>
    </xf>
    <xf numFmtId="167" fontId="78" fillId="0" borderId="0"/>
    <xf numFmtId="0" fontId="71" fillId="0" borderId="0"/>
    <xf numFmtId="168" fontId="22" fillId="0" borderId="0" applyFont="0" applyFill="0" applyBorder="0" applyAlignment="0" applyProtection="0"/>
    <xf numFmtId="170" fontId="22" fillId="0" borderId="0" applyFont="0" applyFill="0" applyBorder="0" applyAlignment="0" applyProtection="0"/>
    <xf numFmtId="0" fontId="79" fillId="0" borderId="0">
      <protection locked="0"/>
    </xf>
    <xf numFmtId="0" fontId="22" fillId="0" borderId="0"/>
    <xf numFmtId="167" fontId="29" fillId="0" borderId="0"/>
    <xf numFmtId="172" fontId="22" fillId="0" borderId="31" applyNumberFormat="0" applyFont="0" applyFill="0" applyAlignment="0" applyProtection="0"/>
    <xf numFmtId="172" fontId="22" fillId="0" borderId="31" applyNumberFormat="0" applyFont="0" applyFill="0" applyAlignment="0" applyProtection="0"/>
    <xf numFmtId="172" fontId="22" fillId="0" borderId="31" applyNumberFormat="0" applyFont="0" applyFill="0" applyAlignment="0" applyProtection="0"/>
    <xf numFmtId="167" fontId="80" fillId="0" borderId="0" applyFill="0" applyBorder="0" applyAlignment="0" applyProtection="0"/>
    <xf numFmtId="1" fontId="40" fillId="0" borderId="0"/>
    <xf numFmtId="232" fontId="81" fillId="0" borderId="0">
      <protection locked="0"/>
    </xf>
    <xf numFmtId="232" fontId="81" fillId="0" borderId="0">
      <protection locked="0"/>
    </xf>
    <xf numFmtId="207" fontId="29" fillId="0" borderId="0" applyFill="0" applyBorder="0" applyAlignment="0"/>
    <xf numFmtId="208" fontId="29" fillId="0" borderId="0" applyFill="0" applyBorder="0" applyAlignment="0"/>
    <xf numFmtId="207" fontId="29" fillId="0" borderId="0" applyFill="0" applyBorder="0" applyAlignment="0"/>
    <xf numFmtId="210" fontId="22" fillId="0" borderId="0" applyFill="0" applyBorder="0" applyAlignment="0"/>
    <xf numFmtId="208" fontId="29" fillId="0" borderId="0" applyFill="0" applyBorder="0" applyAlignment="0"/>
    <xf numFmtId="233" fontId="28" fillId="0" borderId="0" applyFon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4" fillId="0" borderId="0" applyNumberFormat="0" applyFill="0" applyBorder="0" applyAlignment="0" applyProtection="0"/>
    <xf numFmtId="234" fontId="57" fillId="65" borderId="20">
      <alignment horizontal="left"/>
    </xf>
    <xf numFmtId="1" fontId="84" fillId="66" borderId="19" applyNumberFormat="0" applyBorder="0" applyAlignment="0">
      <alignment horizontal="centerContinuous" vertical="center"/>
      <protection locked="0"/>
    </xf>
    <xf numFmtId="235" fontId="22" fillId="0" borderId="0">
      <protection locked="0"/>
    </xf>
    <xf numFmtId="212" fontId="22" fillId="0" borderId="0">
      <protection locked="0"/>
    </xf>
    <xf numFmtId="2" fontId="67" fillId="0" borderId="0" applyFont="0" applyFill="0" applyBorder="0" applyAlignment="0" applyProtection="0"/>
    <xf numFmtId="0" fontId="85" fillId="0" borderId="0" applyFill="0" applyBorder="0" applyProtection="0">
      <alignment horizontal="left"/>
    </xf>
    <xf numFmtId="0" fontId="86" fillId="41" borderId="0" applyNumberFormat="0" applyBorder="0" applyAlignment="0" applyProtection="0"/>
    <xf numFmtId="0" fontId="87" fillId="2" borderId="0" applyNumberFormat="0" applyBorder="0" applyAlignment="0" applyProtection="0"/>
    <xf numFmtId="0" fontId="87" fillId="2" borderId="0" applyNumberFormat="0" applyBorder="0" applyAlignment="0" applyProtection="0"/>
    <xf numFmtId="0" fontId="87" fillId="2" borderId="0" applyNumberFormat="0" applyBorder="0" applyAlignment="0" applyProtection="0"/>
    <xf numFmtId="0" fontId="87" fillId="2" borderId="0" applyNumberFormat="0" applyBorder="0" applyAlignment="0" applyProtection="0"/>
    <xf numFmtId="0" fontId="87" fillId="2" borderId="0" applyNumberFormat="0" applyBorder="0" applyAlignment="0" applyProtection="0"/>
    <xf numFmtId="0" fontId="87" fillId="2" borderId="0" applyNumberFormat="0" applyBorder="0" applyAlignment="0" applyProtection="0"/>
    <xf numFmtId="0" fontId="87" fillId="2" borderId="0" applyNumberFormat="0" applyBorder="0" applyAlignment="0" applyProtection="0"/>
    <xf numFmtId="0" fontId="5" fillId="2" borderId="0" applyNumberFormat="0" applyBorder="0" applyAlignment="0" applyProtection="0"/>
    <xf numFmtId="38" fontId="71" fillId="67" borderId="0" applyNumberFormat="0" applyBorder="0" applyAlignment="0" applyProtection="0"/>
    <xf numFmtId="0" fontId="88" fillId="0" borderId="0" applyNumberFormat="0">
      <alignment horizontal="right"/>
    </xf>
    <xf numFmtId="0" fontId="22" fillId="0" borderId="0"/>
    <xf numFmtId="0" fontId="22" fillId="0" borderId="0"/>
    <xf numFmtId="0" fontId="22" fillId="0" borderId="0"/>
    <xf numFmtId="0" fontId="22" fillId="0" borderId="0"/>
    <xf numFmtId="174" fontId="22" fillId="68" borderId="10" applyNumberFormat="0" applyFont="0" applyBorder="0" applyAlignment="0" applyProtection="0"/>
    <xf numFmtId="182" fontId="22" fillId="0" borderId="0" applyFont="0" applyFill="0" applyBorder="0" applyAlignment="0" applyProtection="0">
      <alignment horizontal="right"/>
    </xf>
    <xf numFmtId="178" fontId="89" fillId="68" borderId="0" applyNumberFormat="0" applyFont="0" applyAlignment="0"/>
    <xf numFmtId="0" fontId="90" fillId="0" borderId="0" applyProtection="0">
      <alignment horizontal="right"/>
    </xf>
    <xf numFmtId="0" fontId="91" fillId="0" borderId="32" applyNumberFormat="0" applyAlignment="0" applyProtection="0">
      <alignment horizontal="left" vertical="center"/>
    </xf>
    <xf numFmtId="0" fontId="91" fillId="0" borderId="11">
      <alignment horizontal="left" vertical="center"/>
    </xf>
    <xf numFmtId="49" fontId="92" fillId="0" borderId="0">
      <alignment horizontal="centerContinuous"/>
    </xf>
    <xf numFmtId="0" fontId="93" fillId="0" borderId="33"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2" fillId="0" borderId="1" applyNumberFormat="0" applyFill="0" applyAlignment="0" applyProtection="0"/>
    <xf numFmtId="0" fontId="94" fillId="0" borderId="0" applyNumberFormat="0" applyFill="0" applyBorder="0" applyAlignment="0" applyProtection="0"/>
    <xf numFmtId="0" fontId="95" fillId="0" borderId="34" applyNumberFormat="0" applyFill="0" applyAlignment="0" applyProtection="0"/>
    <xf numFmtId="0" fontId="96" fillId="0" borderId="0" applyProtection="0">
      <alignment horizontal="left"/>
    </xf>
    <xf numFmtId="0" fontId="96" fillId="0" borderId="0" applyProtection="0">
      <alignment horizontal="left"/>
    </xf>
    <xf numFmtId="0" fontId="96" fillId="0" borderId="0" applyProtection="0">
      <alignment horizontal="left"/>
    </xf>
    <xf numFmtId="0" fontId="96" fillId="0" borderId="0" applyProtection="0">
      <alignment horizontal="left"/>
    </xf>
    <xf numFmtId="0" fontId="3" fillId="0" borderId="2" applyNumberFormat="0" applyFill="0" applyAlignment="0" applyProtection="0"/>
    <xf numFmtId="0" fontId="96" fillId="0" borderId="0" applyProtection="0">
      <alignment horizontal="left"/>
    </xf>
    <xf numFmtId="0" fontId="97" fillId="0" borderId="35" applyNumberFormat="0" applyFill="0" applyAlignment="0" applyProtection="0"/>
    <xf numFmtId="0" fontId="98" fillId="0" borderId="0" applyProtection="0">
      <alignment horizontal="left"/>
    </xf>
    <xf numFmtId="0" fontId="98" fillId="0" borderId="0" applyProtection="0">
      <alignment horizontal="left"/>
    </xf>
    <xf numFmtId="0" fontId="98" fillId="0" borderId="0" applyProtection="0">
      <alignment horizontal="left"/>
    </xf>
    <xf numFmtId="0" fontId="98" fillId="0" borderId="0" applyProtection="0">
      <alignment horizontal="left"/>
    </xf>
    <xf numFmtId="0" fontId="99" fillId="0" borderId="3" applyNumberFormat="0" applyFill="0" applyAlignment="0" applyProtection="0"/>
    <xf numFmtId="0" fontId="4" fillId="0" borderId="3" applyNumberFormat="0" applyFill="0" applyAlignment="0" applyProtection="0"/>
    <xf numFmtId="0" fontId="98" fillId="0" borderId="0" applyProtection="0">
      <alignment horizontal="left"/>
    </xf>
    <xf numFmtId="0" fontId="97" fillId="0" borderId="0" applyNumberFormat="0" applyFill="0" applyBorder="0" applyAlignment="0" applyProtection="0"/>
    <xf numFmtId="0" fontId="4" fillId="0" borderId="0" applyNumberFormat="0" applyFill="0" applyBorder="0" applyAlignment="0" applyProtection="0"/>
    <xf numFmtId="0" fontId="100" fillId="0" borderId="0"/>
    <xf numFmtId="0" fontId="45" fillId="0" borderId="0"/>
    <xf numFmtId="236" fontId="38" fillId="0" borderId="0">
      <alignment horizontal="centerContinuous"/>
    </xf>
    <xf numFmtId="0" fontId="101" fillId="0" borderId="36" applyNumberFormat="0" applyFill="0" applyBorder="0" applyAlignment="0" applyProtection="0">
      <alignment horizontal="left"/>
    </xf>
    <xf numFmtId="236" fontId="38" fillId="0" borderId="37">
      <alignment horizontal="center"/>
    </xf>
    <xf numFmtId="0" fontId="22" fillId="0" borderId="0" applyNumberFormat="0" applyFill="0" applyBorder="0" applyProtection="0">
      <alignment wrapText="1"/>
    </xf>
    <xf numFmtId="0" fontId="22" fillId="0" borderId="0" applyNumberFormat="0" applyFill="0" applyBorder="0" applyProtection="0">
      <alignment horizontal="justify" vertical="top" wrapText="1"/>
    </xf>
    <xf numFmtId="0" fontId="102" fillId="0" borderId="38">
      <alignment horizontal="left" vertical="center"/>
    </xf>
    <xf numFmtId="0" fontId="102" fillId="69" borderId="0">
      <alignment horizontal="centerContinuous" wrapText="1"/>
    </xf>
    <xf numFmtId="0" fontId="103"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5" fillId="0" borderId="0" applyNumberFormat="0" applyFill="0" applyBorder="0" applyAlignment="0" applyProtection="0"/>
    <xf numFmtId="0" fontId="103" fillId="0" borderId="0" applyNumberFormat="0" applyFill="0" applyBorder="0" applyAlignment="0" applyProtection="0">
      <alignment vertical="top"/>
      <protection locked="0"/>
    </xf>
    <xf numFmtId="0" fontId="106" fillId="0" borderId="0" applyNumberFormat="0" applyFill="0" applyBorder="0" applyAlignment="0" applyProtection="0"/>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237" fontId="103" fillId="0" borderId="0" applyNumberFormat="0" applyFill="0" applyBorder="0" applyAlignment="0" applyProtection="0">
      <alignment vertical="top"/>
      <protection locked="0"/>
    </xf>
    <xf numFmtId="0" fontId="22" fillId="0" borderId="0" applyNumberFormat="0" applyFill="0" applyBorder="0" applyAlignment="0" applyProtection="0"/>
    <xf numFmtId="0" fontId="22" fillId="0" borderId="0">
      <alignment horizontal="right"/>
    </xf>
    <xf numFmtId="10" fontId="71" fillId="60" borderId="10" applyNumberFormat="0" applyBorder="0" applyAlignment="0" applyProtection="0"/>
    <xf numFmtId="0" fontId="107" fillId="44" borderId="22" applyNumberFormat="0" applyAlignment="0" applyProtection="0"/>
    <xf numFmtId="0" fontId="107" fillId="44" borderId="22" applyNumberFormat="0" applyAlignment="0" applyProtection="0"/>
    <xf numFmtId="0" fontId="108" fillId="5" borderId="4" applyNumberFormat="0" applyAlignment="0" applyProtection="0"/>
    <xf numFmtId="0" fontId="108" fillId="5" borderId="4" applyNumberFormat="0" applyAlignment="0" applyProtection="0"/>
    <xf numFmtId="0" fontId="108" fillId="5" borderId="4" applyNumberFormat="0" applyAlignment="0" applyProtection="0"/>
    <xf numFmtId="0" fontId="108" fillId="5" borderId="4" applyNumberFormat="0" applyAlignment="0" applyProtection="0"/>
    <xf numFmtId="0" fontId="108" fillId="5" borderId="4" applyNumberFormat="0" applyAlignment="0" applyProtection="0"/>
    <xf numFmtId="0" fontId="108" fillId="5" borderId="4" applyNumberFormat="0" applyAlignment="0" applyProtection="0"/>
    <xf numFmtId="0" fontId="108" fillId="5" borderId="4" applyNumberFormat="0" applyAlignment="0" applyProtection="0"/>
    <xf numFmtId="0" fontId="8" fillId="5" borderId="4" applyNumberFormat="0" applyAlignment="0" applyProtection="0"/>
    <xf numFmtId="238" fontId="57" fillId="0" borderId="0" applyNumberFormat="0" applyFill="0" applyBorder="0" applyAlignment="0" applyProtection="0"/>
    <xf numFmtId="0" fontId="22" fillId="0" borderId="0" applyNumberFormat="0" applyFill="0" applyBorder="0" applyAlignment="0">
      <protection locked="0"/>
    </xf>
    <xf numFmtId="0" fontId="109" fillId="60" borderId="0" applyNumberFormat="0" applyFont="0" applyBorder="0" applyAlignment="0">
      <alignment horizontal="right"/>
      <protection locked="0"/>
    </xf>
    <xf numFmtId="0" fontId="110" fillId="70" borderId="0" applyNumberFormat="0" applyFont="0" applyBorder="0" applyAlignment="0">
      <alignment horizontal="right" vertical="top"/>
      <protection locked="0"/>
    </xf>
    <xf numFmtId="239" fontId="22" fillId="60" borderId="21" applyNumberFormat="0" applyFont="0" applyBorder="0" applyAlignment="0">
      <alignment horizontal="right" vertical="center"/>
      <protection locked="0"/>
    </xf>
    <xf numFmtId="0" fontId="110" fillId="70" borderId="0" applyNumberFormat="0" applyFont="0" applyBorder="0" applyAlignment="0">
      <alignment horizontal="right" vertical="top"/>
      <protection locked="0"/>
    </xf>
    <xf numFmtId="0" fontId="57" fillId="0" borderId="0" applyFill="0" applyBorder="0">
      <alignment horizontal="right"/>
      <protection locked="0"/>
    </xf>
    <xf numFmtId="240" fontId="111" fillId="0" borderId="39" applyFont="0" applyFill="0" applyBorder="0" applyAlignment="0" applyProtection="0"/>
    <xf numFmtId="241" fontId="22" fillId="0" borderId="0" applyFill="0" applyBorder="0">
      <alignment horizontal="right"/>
      <protection locked="0"/>
    </xf>
    <xf numFmtId="0" fontId="112" fillId="0" borderId="0" applyFill="0" applyBorder="0"/>
    <xf numFmtId="0" fontId="113" fillId="71" borderId="40">
      <alignment horizontal="left" vertical="center" wrapText="1"/>
    </xf>
    <xf numFmtId="0" fontId="31" fillId="0" borderId="0" applyNumberFormat="0" applyFill="0" applyBorder="0" applyProtection="0">
      <alignment horizontal="left" vertical="center"/>
    </xf>
    <xf numFmtId="0" fontId="114"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29" fillId="72" borderId="0" applyNumberFormat="0" applyFont="0" applyBorder="0" applyProtection="0"/>
    <xf numFmtId="2" fontId="115" fillId="0" borderId="12"/>
    <xf numFmtId="207" fontId="29" fillId="0" borderId="0" applyFill="0" applyBorder="0" applyAlignment="0"/>
    <xf numFmtId="208" fontId="29" fillId="0" borderId="0" applyFill="0" applyBorder="0" applyAlignment="0"/>
    <xf numFmtId="207" fontId="29" fillId="0" borderId="0" applyFill="0" applyBorder="0" applyAlignment="0"/>
    <xf numFmtId="210" fontId="22" fillId="0" borderId="0" applyFill="0" applyBorder="0" applyAlignment="0"/>
    <xf numFmtId="208" fontId="29" fillId="0" borderId="0" applyFill="0" applyBorder="0" applyAlignment="0"/>
    <xf numFmtId="0" fontId="116" fillId="0" borderId="41" applyNumberFormat="0" applyFill="0" applyAlignment="0" applyProtection="0"/>
    <xf numFmtId="0" fontId="117" fillId="0" borderId="6" applyNumberFormat="0" applyFill="0" applyAlignment="0" applyProtection="0"/>
    <xf numFmtId="0" fontId="117" fillId="0" borderId="6" applyNumberFormat="0" applyFill="0" applyAlignment="0" applyProtection="0"/>
    <xf numFmtId="0" fontId="117" fillId="0" borderId="6" applyNumberFormat="0" applyFill="0" applyAlignment="0" applyProtection="0"/>
    <xf numFmtId="0" fontId="117" fillId="0" borderId="6" applyNumberFormat="0" applyFill="0" applyAlignment="0" applyProtection="0"/>
    <xf numFmtId="0" fontId="117" fillId="0" borderId="6" applyNumberFormat="0" applyFill="0" applyAlignment="0" applyProtection="0"/>
    <xf numFmtId="0" fontId="117" fillId="0" borderId="6" applyNumberFormat="0" applyFill="0" applyAlignment="0" applyProtection="0"/>
    <xf numFmtId="0" fontId="117" fillId="0" borderId="6" applyNumberFormat="0" applyFill="0" applyAlignment="0" applyProtection="0"/>
    <xf numFmtId="0" fontId="11" fillId="0" borderId="6" applyNumberFormat="0" applyFill="0" applyAlignment="0" applyProtection="0"/>
    <xf numFmtId="14" fontId="32" fillId="0" borderId="12" applyFont="0" applyFill="0" applyBorder="0" applyAlignment="0" applyProtection="0"/>
    <xf numFmtId="3" fontId="22" fillId="0" borderId="0"/>
    <xf numFmtId="1" fontId="118" fillId="0" borderId="0"/>
    <xf numFmtId="242" fontId="119" fillId="73" borderId="0" applyBorder="0" applyAlignment="0">
      <alignment horizontal="right"/>
    </xf>
    <xf numFmtId="168" fontId="22" fillId="0" borderId="0" applyFont="0" applyFill="0" applyBorder="0" applyAlignment="0" applyProtection="0"/>
    <xf numFmtId="43"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243" fontId="22" fillId="0" borderId="0" applyFont="0" applyFill="0" applyBorder="0" applyAlignment="0" applyProtection="0"/>
    <xf numFmtId="244" fontId="1" fillId="0" borderId="0" applyFont="0" applyFill="0" applyBorder="0" applyAlignment="0" applyProtection="0"/>
    <xf numFmtId="245" fontId="22" fillId="0" borderId="0" applyFont="0" applyFill="0" applyBorder="0" applyAlignment="0" applyProtection="0"/>
    <xf numFmtId="14" fontId="25" fillId="0" borderId="0" applyFont="0" applyFill="0" applyBorder="0" applyAlignment="0" applyProtection="0"/>
    <xf numFmtId="3" fontId="31" fillId="0" borderId="0"/>
    <xf numFmtId="3" fontId="31" fillId="0" borderId="0"/>
    <xf numFmtId="0" fontId="22" fillId="0" borderId="0" applyFont="0" applyFill="0" applyBorder="0" applyAlignment="0" applyProtection="0"/>
    <xf numFmtId="0" fontId="22" fillId="0" borderId="0" applyFont="0" applyFill="0" applyBorder="0" applyAlignment="0" applyProtection="0"/>
    <xf numFmtId="246" fontId="22" fillId="0" borderId="0" applyFont="0" applyFill="0" applyBorder="0" applyAlignment="0" applyProtection="0"/>
    <xf numFmtId="247" fontId="1" fillId="0" borderId="0" applyFont="0" applyFill="0" applyBorder="0" applyAlignment="0" applyProtection="0"/>
    <xf numFmtId="248" fontId="22" fillId="0" borderId="0" applyFont="0" applyFill="0" applyBorder="0" applyAlignment="0" applyProtection="0"/>
    <xf numFmtId="249" fontId="22" fillId="0" borderId="0">
      <protection locked="0"/>
    </xf>
    <xf numFmtId="230" fontId="71" fillId="60" borderId="0">
      <alignment horizontal="center"/>
    </xf>
    <xf numFmtId="250" fontId="61" fillId="0" borderId="0" applyFont="0" applyFill="0" applyBorder="0" applyProtection="0">
      <alignment horizontal="right"/>
    </xf>
    <xf numFmtId="251" fontId="22" fillId="0" borderId="0" applyFont="0" applyFill="0" applyBorder="0" applyAlignment="0" applyProtection="0"/>
    <xf numFmtId="177" fontId="22" fillId="0" borderId="0" applyFont="0" applyFill="0" applyBorder="0" applyAlignment="0" applyProtection="0"/>
    <xf numFmtId="0" fontId="60" fillId="0" borderId="0" applyFont="0" applyFill="0" applyBorder="0" applyProtection="0">
      <alignment horizontal="right"/>
    </xf>
    <xf numFmtId="0" fontId="60" fillId="0" borderId="0" applyFont="0" applyFill="0" applyBorder="0" applyProtection="0">
      <alignment horizontal="right"/>
    </xf>
    <xf numFmtId="0" fontId="60" fillId="0" borderId="0" applyFont="0" applyFill="0" applyBorder="0" applyProtection="0">
      <alignment horizontal="right"/>
    </xf>
    <xf numFmtId="0" fontId="22" fillId="0" borderId="0" applyFont="0" applyFill="0" applyBorder="0" applyProtection="0">
      <alignment horizontal="right"/>
    </xf>
    <xf numFmtId="172" fontId="22" fillId="0" borderId="0" applyFont="0" applyFill="0" applyBorder="0" applyProtection="0">
      <alignment horizontal="right"/>
    </xf>
    <xf numFmtId="0" fontId="22" fillId="0" borderId="42" applyBorder="0" applyAlignment="0" applyProtection="0">
      <alignment horizontal="center"/>
    </xf>
    <xf numFmtId="0" fontId="120" fillId="70" borderId="0" applyNumberFormat="0" applyBorder="0" applyAlignment="0" applyProtection="0"/>
    <xf numFmtId="0" fontId="121" fillId="4" borderId="0" applyNumberFormat="0" applyBorder="0" applyAlignment="0" applyProtection="0"/>
    <xf numFmtId="0" fontId="121" fillId="4" borderId="0" applyNumberFormat="0" applyBorder="0" applyAlignment="0" applyProtection="0"/>
    <xf numFmtId="0" fontId="121" fillId="4" borderId="0" applyNumberFormat="0" applyBorder="0" applyAlignment="0" applyProtection="0"/>
    <xf numFmtId="0" fontId="121" fillId="4" borderId="0" applyNumberFormat="0" applyBorder="0" applyAlignment="0" applyProtection="0"/>
    <xf numFmtId="0" fontId="121" fillId="4" borderId="0" applyNumberFormat="0" applyBorder="0" applyAlignment="0" applyProtection="0"/>
    <xf numFmtId="0" fontId="121" fillId="4" borderId="0" applyNumberFormat="0" applyBorder="0" applyAlignment="0" applyProtection="0"/>
    <xf numFmtId="0" fontId="121" fillId="4" borderId="0" applyNumberFormat="0" applyBorder="0" applyAlignment="0" applyProtection="0"/>
    <xf numFmtId="0" fontId="7" fillId="4" borderId="0" applyNumberFormat="0" applyBorder="0" applyAlignment="0" applyProtection="0"/>
    <xf numFmtId="0" fontId="50" fillId="0" borderId="0"/>
    <xf numFmtId="239" fontId="39" fillId="0" borderId="0" applyNumberFormat="0" applyFont="0" applyFill="0" applyBorder="0" applyAlignment="0" applyProtection="0">
      <alignment vertical="center"/>
    </xf>
    <xf numFmtId="37" fontId="122" fillId="0" borderId="0"/>
    <xf numFmtId="0" fontId="123" fillId="0" borderId="0"/>
    <xf numFmtId="0" fontId="72" fillId="74" borderId="0" applyNumberFormat="0" applyBorder="0" applyAlignment="0">
      <alignment horizontal="right"/>
      <protection hidden="1"/>
    </xf>
    <xf numFmtId="239" fontId="124" fillId="0" borderId="0" applyNumberFormat="0" applyFill="0" applyBorder="0" applyAlignment="0" applyProtection="0">
      <alignment vertical="center"/>
    </xf>
    <xf numFmtId="1" fontId="31" fillId="0" borderId="0"/>
    <xf numFmtId="252" fontId="71" fillId="0" borderId="0" applyFont="0" applyFill="0" applyBorder="0" applyAlignment="0" applyProtection="0">
      <alignment horizontal="right"/>
    </xf>
    <xf numFmtId="253" fontId="125" fillId="0" borderId="0"/>
    <xf numFmtId="37" fontId="24" fillId="75" borderId="0" applyFont="0" applyFill="0" applyBorder="0" applyAlignment="0" applyProtection="0"/>
    <xf numFmtId="232" fontId="22" fillId="0" borderId="0" applyFont="0" applyFill="0" applyBorder="0" applyAlignment="0"/>
    <xf numFmtId="254" fontId="71" fillId="0" borderId="0" applyFont="0" applyFill="0" applyBorder="0" applyAlignment="0"/>
    <xf numFmtId="255" fontId="71" fillId="0" borderId="0" applyFont="0" applyFill="0" applyBorder="0" applyAlignment="0"/>
    <xf numFmtId="254" fontId="71" fillId="0" borderId="0" applyFont="0" applyFill="0" applyBorder="0" applyAlignment="0"/>
    <xf numFmtId="0" fontId="33" fillId="0" borderId="0"/>
    <xf numFmtId="0" fontId="22" fillId="0" borderId="0"/>
    <xf numFmtId="0" fontId="22" fillId="0" borderId="0"/>
    <xf numFmtId="0" fontId="22" fillId="0" borderId="0"/>
    <xf numFmtId="0" fontId="22" fillId="0" borderId="0"/>
    <xf numFmtId="0" fontId="57" fillId="0" borderId="0"/>
    <xf numFmtId="0" fontId="1" fillId="0" borderId="0"/>
    <xf numFmtId="0" fontId="65" fillId="0" borderId="0"/>
    <xf numFmtId="0" fontId="1" fillId="0" borderId="0"/>
    <xf numFmtId="0" fontId="22" fillId="0" borderId="0"/>
    <xf numFmtId="0" fontId="1" fillId="0" borderId="0"/>
    <xf numFmtId="0" fontId="1" fillId="0" borderId="0"/>
    <xf numFmtId="0" fontId="1" fillId="0" borderId="0"/>
    <xf numFmtId="0" fontId="57" fillId="0" borderId="0"/>
    <xf numFmtId="0" fontId="22" fillId="0" borderId="0"/>
    <xf numFmtId="0" fontId="57" fillId="0" borderId="0"/>
    <xf numFmtId="0" fontId="1" fillId="0" borderId="0"/>
    <xf numFmtId="0" fontId="1" fillId="0" borderId="0"/>
    <xf numFmtId="0" fontId="1" fillId="0" borderId="0"/>
    <xf numFmtId="0" fontId="1" fillId="0" borderId="0"/>
    <xf numFmtId="0" fontId="57" fillId="0" borderId="0"/>
    <xf numFmtId="0" fontId="74" fillId="0" borderId="0">
      <alignment vertical="top"/>
    </xf>
    <xf numFmtId="0" fontId="74" fillId="0" borderId="0">
      <alignment vertical="top"/>
    </xf>
    <xf numFmtId="0" fontId="57" fillId="0" borderId="0"/>
    <xf numFmtId="0" fontId="22" fillId="0" borderId="0"/>
    <xf numFmtId="0" fontId="22" fillId="0" borderId="0"/>
    <xf numFmtId="0" fontId="57" fillId="0" borderId="0"/>
    <xf numFmtId="0" fontId="22" fillId="0" borderId="0"/>
    <xf numFmtId="0" fontId="22" fillId="0" borderId="0"/>
    <xf numFmtId="0" fontId="22" fillId="0" borderId="0"/>
    <xf numFmtId="0" fontId="22" fillId="0" borderId="0"/>
    <xf numFmtId="0" fontId="57" fillId="0" borderId="0"/>
    <xf numFmtId="0" fontId="22" fillId="0" borderId="0"/>
    <xf numFmtId="0" fontId="22" fillId="0" borderId="0"/>
    <xf numFmtId="0" fontId="57" fillId="0" borderId="0"/>
    <xf numFmtId="0" fontId="1" fillId="0" borderId="0"/>
    <xf numFmtId="0" fontId="57" fillId="0" borderId="0"/>
    <xf numFmtId="0" fontId="57" fillId="0" borderId="0"/>
    <xf numFmtId="252" fontId="71" fillId="0" borderId="0" applyFont="0" applyFill="0" applyBorder="0" applyAlignment="0" applyProtection="0">
      <alignment horizontal="right"/>
    </xf>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74" fillId="0" borderId="0"/>
    <xf numFmtId="0" fontId="57" fillId="0" borderId="0"/>
    <xf numFmtId="0" fontId="66" fillId="0" borderId="0"/>
    <xf numFmtId="0" fontId="22" fillId="0" borderId="0"/>
    <xf numFmtId="0" fontId="22" fillId="0" borderId="0"/>
    <xf numFmtId="0" fontId="66" fillId="0" borderId="0"/>
    <xf numFmtId="0" fontId="57" fillId="0" borderId="0"/>
    <xf numFmtId="0" fontId="22" fillId="0" borderId="0"/>
    <xf numFmtId="0" fontId="22" fillId="0" borderId="0"/>
    <xf numFmtId="0" fontId="57" fillId="0" borderId="0"/>
    <xf numFmtId="0" fontId="57" fillId="0" borderId="0"/>
    <xf numFmtId="237" fontId="22" fillId="0" borderId="0"/>
    <xf numFmtId="0" fontId="66"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0" fontId="1" fillId="0" borderId="0"/>
    <xf numFmtId="0" fontId="1" fillId="0" borderId="0"/>
    <xf numFmtId="0" fontId="1"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44" fillId="0" borderId="0"/>
    <xf numFmtId="237" fontId="22" fillId="0" borderId="0"/>
    <xf numFmtId="0" fontId="22" fillId="0" borderId="0"/>
    <xf numFmtId="0" fontId="57"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22" fillId="0" borderId="0"/>
    <xf numFmtId="0" fontId="22" fillId="0" borderId="0"/>
    <xf numFmtId="0" fontId="22" fillId="0" borderId="0"/>
    <xf numFmtId="237" fontId="22" fillId="0" borderId="0"/>
    <xf numFmtId="0" fontId="22" fillId="0" borderId="0"/>
    <xf numFmtId="0" fontId="5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88" fillId="0" borderId="0"/>
    <xf numFmtId="237" fontId="22" fillId="0" borderId="0"/>
    <xf numFmtId="0" fontId="57"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0" fontId="57" fillId="0" borderId="0"/>
    <xf numFmtId="0" fontId="57" fillId="0" borderId="0"/>
    <xf numFmtId="0" fontId="57" fillId="0" borderId="0"/>
    <xf numFmtId="0" fontId="57"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52" fontId="71" fillId="0" borderId="0" applyFont="0" applyFill="0" applyBorder="0" applyAlignment="0" applyProtection="0">
      <alignment horizontal="right"/>
    </xf>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88" fillId="0" borderId="0"/>
    <xf numFmtId="0" fontId="22" fillId="0" borderId="0"/>
    <xf numFmtId="0" fontId="63" fillId="0" borderId="0"/>
    <xf numFmtId="0" fontId="63" fillId="0" borderId="0"/>
    <xf numFmtId="0" fontId="57" fillId="0" borderId="0"/>
    <xf numFmtId="0" fontId="57"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57" fillId="0" borderId="0"/>
    <xf numFmtId="0" fontId="1" fillId="0" borderId="0"/>
    <xf numFmtId="0" fontId="1" fillId="0" borderId="0"/>
    <xf numFmtId="0" fontId="1" fillId="0" borderId="0"/>
    <xf numFmtId="0" fontId="57" fillId="0" borderId="0"/>
    <xf numFmtId="0" fontId="57" fillId="0" borderId="0"/>
    <xf numFmtId="0" fontId="57" fillId="0" borderId="0"/>
    <xf numFmtId="0" fontId="57" fillId="0" borderId="0"/>
    <xf numFmtId="0" fontId="57" fillId="0" borderId="0"/>
    <xf numFmtId="0" fontId="44" fillId="0" borderId="0"/>
    <xf numFmtId="0" fontId="57" fillId="0" borderId="0"/>
    <xf numFmtId="0" fontId="63" fillId="0" borderId="0"/>
    <xf numFmtId="0" fontId="63" fillId="0" borderId="0"/>
    <xf numFmtId="0" fontId="57" fillId="0" borderId="0"/>
    <xf numFmtId="0" fontId="5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3" fillId="0" borderId="0"/>
    <xf numFmtId="0" fontId="22" fillId="0" borderId="0"/>
    <xf numFmtId="0" fontId="57" fillId="0" borderId="0"/>
    <xf numFmtId="0" fontId="22" fillId="0" borderId="0"/>
    <xf numFmtId="0" fontId="63" fillId="0" borderId="0"/>
    <xf numFmtId="0" fontId="22" fillId="0" borderId="0"/>
    <xf numFmtId="0" fontId="22" fillId="0" borderId="0"/>
    <xf numFmtId="0" fontId="63" fillId="0" borderId="0"/>
    <xf numFmtId="0" fontId="22" fillId="0" borderId="0"/>
    <xf numFmtId="0" fontId="22" fillId="0" borderId="0"/>
    <xf numFmtId="0" fontId="22" fillId="0" borderId="0"/>
    <xf numFmtId="0" fontId="22" fillId="0" borderId="0"/>
    <xf numFmtId="0" fontId="22" fillId="0" borderId="0"/>
    <xf numFmtId="0" fontId="63" fillId="0" borderId="0"/>
    <xf numFmtId="0" fontId="88" fillId="0" borderId="0"/>
    <xf numFmtId="0" fontId="57" fillId="0" borderId="0"/>
    <xf numFmtId="0" fontId="63" fillId="0" borderId="0"/>
    <xf numFmtId="0" fontId="22" fillId="0" borderId="0"/>
    <xf numFmtId="0" fontId="22" fillId="0" borderId="0"/>
    <xf numFmtId="0" fontId="44" fillId="0" borderId="0"/>
    <xf numFmtId="0" fontId="57" fillId="0" borderId="0"/>
    <xf numFmtId="0" fontId="57" fillId="0" borderId="0"/>
    <xf numFmtId="0" fontId="57" fillId="0" borderId="0"/>
    <xf numFmtId="0" fontId="57"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0" fontId="57" fillId="0" borderId="0"/>
    <xf numFmtId="237" fontId="22" fillId="0" borderId="0"/>
    <xf numFmtId="0" fontId="57"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0" fontId="57" fillId="0" borderId="0"/>
    <xf numFmtId="0" fontId="57" fillId="0" borderId="0"/>
    <xf numFmtId="0" fontId="22" fillId="0" borderId="0"/>
    <xf numFmtId="252" fontId="71" fillId="0" borderId="0" applyFont="0" applyFill="0" applyBorder="0" applyAlignment="0" applyProtection="0">
      <alignment horizontal="right"/>
    </xf>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23" fillId="0" borderId="0"/>
    <xf numFmtId="0" fontId="57" fillId="0" borderId="0"/>
    <xf numFmtId="237" fontId="22" fillId="0" borderId="0"/>
    <xf numFmtId="0" fontId="44"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64" fillId="0" borderId="0"/>
    <xf numFmtId="0" fontId="22" fillId="0" borderId="0"/>
    <xf numFmtId="0" fontId="22" fillId="0" borderId="0"/>
    <xf numFmtId="0" fontId="22" fillId="0" borderId="0"/>
    <xf numFmtId="0" fontId="22" fillId="0" borderId="0"/>
    <xf numFmtId="237" fontId="22" fillId="0" borderId="0"/>
    <xf numFmtId="0" fontId="63" fillId="0" borderId="0"/>
    <xf numFmtId="0" fontId="1" fillId="0" borderId="0"/>
    <xf numFmtId="0" fontId="63" fillId="0" borderId="0"/>
    <xf numFmtId="0" fontId="57" fillId="0" borderId="0"/>
    <xf numFmtId="237" fontId="22"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37" fontId="22"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37" fontId="22"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37" fontId="22"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37" fontId="22" fillId="0" borderId="0"/>
    <xf numFmtId="0" fontId="57" fillId="0" borderId="0"/>
    <xf numFmtId="0" fontId="1" fillId="0" borderId="0"/>
    <xf numFmtId="0" fontId="1" fillId="0" borderId="0"/>
    <xf numFmtId="0" fontId="1" fillId="0" borderId="0"/>
    <xf numFmtId="237" fontId="22" fillId="0" borderId="0"/>
    <xf numFmtId="0" fontId="57" fillId="0" borderId="0"/>
    <xf numFmtId="237" fontId="22" fillId="0" borderId="0"/>
    <xf numFmtId="0" fontId="57" fillId="0" borderId="0"/>
    <xf numFmtId="0" fontId="1" fillId="0" borderId="0"/>
    <xf numFmtId="0" fontId="1" fillId="0" borderId="0"/>
    <xf numFmtId="0" fontId="1" fillId="0" borderId="0"/>
    <xf numFmtId="237" fontId="22" fillId="0" borderId="0"/>
    <xf numFmtId="0" fontId="57" fillId="0" borderId="0"/>
    <xf numFmtId="0" fontId="1" fillId="0" borderId="0"/>
    <xf numFmtId="237" fontId="22" fillId="0" borderId="0"/>
    <xf numFmtId="0" fontId="57" fillId="0" borderId="0"/>
    <xf numFmtId="237" fontId="22" fillId="0" borderId="0"/>
    <xf numFmtId="0" fontId="22" fillId="0" borderId="0"/>
    <xf numFmtId="0" fontId="22" fillId="0" borderId="0"/>
    <xf numFmtId="0" fontId="22" fillId="0" borderId="0"/>
    <xf numFmtId="0" fontId="22" fillId="0" borderId="0"/>
    <xf numFmtId="0" fontId="22" fillId="0" borderId="0"/>
    <xf numFmtId="237" fontId="22" fillId="0" borderId="0"/>
    <xf numFmtId="0" fontId="22" fillId="0" borderId="0"/>
    <xf numFmtId="0" fontId="57" fillId="0" borderId="0"/>
    <xf numFmtId="0" fontId="22" fillId="0" borderId="0"/>
    <xf numFmtId="237" fontId="22" fillId="0" borderId="0"/>
    <xf numFmtId="0" fontId="22" fillId="0" borderId="0"/>
    <xf numFmtId="237" fontId="22" fillId="0" borderId="0"/>
    <xf numFmtId="0" fontId="22" fillId="0" borderId="0"/>
    <xf numFmtId="237" fontId="22" fillId="0" borderId="0"/>
    <xf numFmtId="0" fontId="1"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22" fillId="0" borderId="0"/>
    <xf numFmtId="237" fontId="22" fillId="0" borderId="0"/>
    <xf numFmtId="0"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252" fontId="71" fillId="0" borderId="0" applyFont="0" applyFill="0" applyBorder="0" applyAlignment="0" applyProtection="0">
      <alignment horizontal="right"/>
    </xf>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0" fontId="66" fillId="0" borderId="0"/>
    <xf numFmtId="0" fontId="22" fillId="0" borderId="0">
      <alignment wrapText="1"/>
    </xf>
    <xf numFmtId="0" fontId="22" fillId="0" borderId="0">
      <alignment wrapText="1"/>
    </xf>
    <xf numFmtId="0" fontId="44"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22" fillId="0" borderId="0"/>
    <xf numFmtId="237" fontId="22" fillId="0" borderId="0"/>
    <xf numFmtId="0" fontId="1" fillId="0" borderId="0"/>
    <xf numFmtId="0" fontId="22" fillId="0" borderId="0"/>
    <xf numFmtId="0" fontId="1" fillId="0" borderId="0"/>
    <xf numFmtId="0" fontId="57" fillId="0" borderId="0"/>
    <xf numFmtId="237" fontId="22" fillId="0" borderId="0"/>
    <xf numFmtId="0" fontId="57" fillId="0" borderId="0"/>
    <xf numFmtId="237" fontId="22" fillId="0" borderId="0"/>
    <xf numFmtId="0" fontId="22" fillId="0" borderId="0"/>
    <xf numFmtId="0" fontId="1" fillId="0" borderId="0"/>
    <xf numFmtId="0" fontId="1" fillId="0" borderId="0"/>
    <xf numFmtId="0" fontId="1"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22" fillId="0" borderId="0"/>
    <xf numFmtId="237" fontId="22" fillId="0" borderId="0"/>
    <xf numFmtId="0" fontId="22" fillId="0" borderId="0"/>
    <xf numFmtId="237" fontId="22" fillId="0" borderId="0"/>
    <xf numFmtId="0" fontId="22" fillId="0" borderId="0"/>
    <xf numFmtId="237" fontId="22" fillId="0" borderId="0"/>
    <xf numFmtId="0" fontId="22" fillId="0" borderId="0"/>
    <xf numFmtId="237" fontId="22" fillId="0" borderId="0"/>
    <xf numFmtId="0" fontId="22" fillId="0" borderId="0"/>
    <xf numFmtId="237" fontId="22" fillId="0" borderId="0"/>
    <xf numFmtId="0"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37"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252" fontId="71" fillId="0" borderId="0" applyFont="0" applyFill="0" applyBorder="0" applyAlignment="0" applyProtection="0">
      <alignment horizontal="right"/>
    </xf>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0" fontId="22" fillId="0" borderId="0">
      <alignment wrapText="1"/>
    </xf>
    <xf numFmtId="0" fontId="34" fillId="0" borderId="0"/>
    <xf numFmtId="0" fontId="34" fillId="0" borderId="0"/>
    <xf numFmtId="0" fontId="22" fillId="0" borderId="0">
      <alignment wrapText="1"/>
    </xf>
    <xf numFmtId="0" fontId="22" fillId="0" borderId="0">
      <alignment wrapText="1"/>
    </xf>
    <xf numFmtId="0" fontId="22" fillId="0" borderId="0">
      <alignment wrapText="1"/>
    </xf>
    <xf numFmtId="0" fontId="34" fillId="0" borderId="0"/>
    <xf numFmtId="0" fontId="34"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237" fontId="22" fillId="0" borderId="0"/>
    <xf numFmtId="0" fontId="22" fillId="0" borderId="0">
      <alignment wrapText="1"/>
    </xf>
    <xf numFmtId="0" fontId="57" fillId="0" borderId="0"/>
    <xf numFmtId="0" fontId="22" fillId="0" borderId="0">
      <alignment wrapText="1"/>
    </xf>
    <xf numFmtId="0" fontId="57" fillId="0" borderId="0"/>
    <xf numFmtId="237" fontId="22" fillId="0" borderId="0"/>
    <xf numFmtId="0" fontId="57" fillId="0" borderId="0"/>
    <xf numFmtId="0" fontId="1" fillId="0" borderId="0"/>
    <xf numFmtId="0" fontId="1" fillId="0" borderId="0"/>
    <xf numFmtId="0" fontId="1" fillId="0" borderId="0"/>
    <xf numFmtId="237" fontId="22" fillId="0" borderId="0"/>
    <xf numFmtId="0" fontId="57" fillId="0" borderId="0"/>
    <xf numFmtId="0" fontId="1" fillId="0" borderId="0"/>
    <xf numFmtId="0" fontId="1" fillId="0" borderId="0"/>
    <xf numFmtId="0" fontId="1"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22" fillId="0" borderId="0">
      <alignment wrapText="1"/>
    </xf>
    <xf numFmtId="237" fontId="22" fillId="0" borderId="0"/>
    <xf numFmtId="0" fontId="22" fillId="0" borderId="0">
      <alignment wrapText="1"/>
    </xf>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52" fontId="71" fillId="0" borderId="0" applyFont="0" applyFill="0" applyBorder="0" applyAlignment="0" applyProtection="0">
      <alignment horizontal="right"/>
    </xf>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2" fillId="0" borderId="0"/>
    <xf numFmtId="0" fontId="22" fillId="0" borderId="0"/>
    <xf numFmtId="0" fontId="66" fillId="0" borderId="0"/>
    <xf numFmtId="0" fontId="74"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2" fillId="0" borderId="0"/>
    <xf numFmtId="0" fontId="22" fillId="0" borderId="0"/>
    <xf numFmtId="0" fontId="22" fillId="0" borderId="0"/>
    <xf numFmtId="0" fontId="22" fillId="0" borderId="0"/>
    <xf numFmtId="0" fontId="22" fillId="0" borderId="0"/>
    <xf numFmtId="0" fontId="74" fillId="0" borderId="0"/>
    <xf numFmtId="0" fontId="74" fillId="0" borderId="0"/>
    <xf numFmtId="237" fontId="22" fillId="0" borderId="0"/>
    <xf numFmtId="0" fontId="57" fillId="0" borderId="0"/>
    <xf numFmtId="0" fontId="57" fillId="0" borderId="0"/>
    <xf numFmtId="0" fontId="57" fillId="0" borderId="0"/>
    <xf numFmtId="0" fontId="57" fillId="0" borderId="0"/>
    <xf numFmtId="0" fontId="57"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63" fillId="0" borderId="0"/>
    <xf numFmtId="0" fontId="22" fillId="0" borderId="0"/>
    <xf numFmtId="252" fontId="71" fillId="0" borderId="0" applyFont="0" applyFill="0" applyBorder="0" applyAlignment="0" applyProtection="0">
      <alignment horizontal="right"/>
    </xf>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 fillId="0" borderId="0"/>
    <xf numFmtId="0" fontId="57"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57" fillId="0" borderId="0"/>
    <xf numFmtId="0" fontId="1" fillId="0" borderId="0"/>
    <xf numFmtId="0" fontId="57" fillId="0" borderId="0"/>
    <xf numFmtId="0" fontId="57" fillId="0" borderId="0"/>
    <xf numFmtId="0" fontId="57" fillId="0" borderId="0"/>
    <xf numFmtId="0" fontId="57" fillId="0" borderId="0"/>
    <xf numFmtId="0" fontId="57" fillId="0" borderId="0"/>
    <xf numFmtId="0" fontId="22" fillId="0" borderId="0"/>
    <xf numFmtId="0" fontId="57"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57" fillId="0" borderId="0"/>
    <xf numFmtId="0" fontId="57" fillId="0" borderId="0"/>
    <xf numFmtId="0" fontId="57" fillId="0" borderId="0"/>
    <xf numFmtId="0" fontId="57" fillId="0" borderId="0"/>
    <xf numFmtId="0" fontId="57" fillId="0" borderId="0"/>
    <xf numFmtId="0" fontId="22" fillId="0" borderId="0"/>
    <xf numFmtId="0" fontId="1" fillId="0" borderId="0"/>
    <xf numFmtId="0" fontId="22" fillId="0" borderId="0"/>
    <xf numFmtId="0" fontId="1" fillId="0" borderId="0"/>
    <xf numFmtId="0" fontId="1" fillId="0" borderId="0"/>
    <xf numFmtId="0" fontId="1" fillId="0" borderId="0"/>
    <xf numFmtId="0" fontId="57" fillId="0" borderId="0"/>
    <xf numFmtId="0" fontId="126" fillId="0" borderId="0"/>
    <xf numFmtId="0" fontId="22" fillId="0" borderId="0"/>
    <xf numFmtId="0" fontId="127" fillId="0" borderId="0"/>
    <xf numFmtId="256" fontId="71" fillId="0" borderId="0" applyFont="0" applyFill="0" applyBorder="0" applyAlignment="0" applyProtection="0"/>
    <xf numFmtId="0" fontId="33" fillId="76" borderId="43" applyNumberFormat="0" applyFont="0" applyAlignment="0" applyProtection="0"/>
    <xf numFmtId="0" fontId="35" fillId="8" borderId="8" applyNumberFormat="0" applyFont="0" applyAlignment="0" applyProtection="0"/>
    <xf numFmtId="0" fontId="1" fillId="8" borderId="8" applyNumberFormat="0" applyFont="0" applyAlignment="0" applyProtection="0"/>
    <xf numFmtId="0" fontId="33" fillId="76" borderId="43" applyNumberFormat="0" applyFont="0" applyAlignment="0" applyProtection="0"/>
    <xf numFmtId="0" fontId="128"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28" fillId="8" borderId="8" applyNumberFormat="0" applyFont="0" applyAlignment="0" applyProtection="0"/>
    <xf numFmtId="0" fontId="1" fillId="8" borderId="8" applyNumberFormat="0" applyFont="0" applyAlignment="0" applyProtection="0"/>
    <xf numFmtId="0" fontId="128" fillId="8" borderId="8" applyNumberFormat="0" applyFont="0" applyAlignment="0" applyProtection="0"/>
    <xf numFmtId="0" fontId="128" fillId="8" borderId="8" applyNumberFormat="0" applyFont="0" applyAlignment="0" applyProtection="0"/>
    <xf numFmtId="0" fontId="128" fillId="8" borderId="8" applyNumberFormat="0" applyFont="0" applyAlignment="0" applyProtection="0"/>
    <xf numFmtId="0" fontId="128" fillId="8" borderId="8" applyNumberFormat="0" applyFont="0" applyAlignment="0" applyProtection="0"/>
    <xf numFmtId="0" fontId="128" fillId="8" borderId="8" applyNumberFormat="0" applyFont="0" applyAlignment="0" applyProtection="0"/>
    <xf numFmtId="0" fontId="128" fillId="8" borderId="8" applyNumberFormat="0" applyFont="0" applyAlignment="0" applyProtection="0"/>
    <xf numFmtId="0" fontId="35"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5" fillId="8" borderId="8" applyNumberFormat="0" applyFont="0" applyAlignment="0" applyProtection="0"/>
    <xf numFmtId="0" fontId="1" fillId="8" borderId="8" applyNumberFormat="0" applyFont="0" applyAlignment="0" applyProtection="0"/>
    <xf numFmtId="0" fontId="35" fillId="8" borderId="8" applyNumberFormat="0" applyFont="0" applyAlignment="0" applyProtection="0"/>
    <xf numFmtId="0" fontId="1" fillId="8" borderId="8" applyNumberFormat="0" applyFont="0" applyAlignment="0" applyProtection="0"/>
    <xf numFmtId="0" fontId="35" fillId="8" borderId="8" applyNumberFormat="0" applyFont="0" applyAlignment="0" applyProtection="0"/>
    <xf numFmtId="0" fontId="1" fillId="8" borderId="8" applyNumberFormat="0" applyFont="0" applyAlignment="0" applyProtection="0"/>
    <xf numFmtId="0" fontId="35"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257" fontId="129" fillId="0" borderId="0" applyBorder="0" applyProtection="0">
      <alignment horizontal="right"/>
    </xf>
    <xf numFmtId="257" fontId="130" fillId="77" borderId="0" applyBorder="0" applyProtection="0">
      <alignment horizontal="right"/>
    </xf>
    <xf numFmtId="257" fontId="131" fillId="0" borderId="11" applyBorder="0"/>
    <xf numFmtId="257" fontId="132" fillId="0" borderId="0" applyBorder="0" applyProtection="0">
      <alignment horizontal="right"/>
    </xf>
    <xf numFmtId="258" fontId="132" fillId="0" borderId="0" applyBorder="0" applyProtection="0">
      <alignment horizontal="right"/>
    </xf>
    <xf numFmtId="258" fontId="133" fillId="77" borderId="0" applyProtection="0">
      <alignment horizontal="right"/>
    </xf>
    <xf numFmtId="37" fontId="30" fillId="0" borderId="0" applyFill="0" applyBorder="0" applyProtection="0">
      <alignment horizontal="right"/>
    </xf>
    <xf numFmtId="188" fontId="24" fillId="0" borderId="0" applyFont="0" applyFill="0" applyBorder="0" applyProtection="0">
      <alignment horizontal="right"/>
    </xf>
    <xf numFmtId="259" fontId="129" fillId="0" borderId="0" applyFill="0" applyBorder="0" applyProtection="0"/>
    <xf numFmtId="0" fontId="49" fillId="60" borderId="0">
      <alignment horizontal="right"/>
    </xf>
    <xf numFmtId="0" fontId="22" fillId="0" borderId="0">
      <alignment horizontal="right"/>
    </xf>
    <xf numFmtId="0" fontId="134" fillId="61" borderId="44" applyNumberFormat="0" applyAlignment="0" applyProtection="0"/>
    <xf numFmtId="0" fontId="134" fillId="61" borderId="44" applyNumberFormat="0" applyAlignment="0" applyProtection="0"/>
    <xf numFmtId="0" fontId="135" fillId="6" borderId="5" applyNumberFormat="0" applyAlignment="0" applyProtection="0"/>
    <xf numFmtId="0" fontId="135" fillId="6" borderId="5" applyNumberFormat="0" applyAlignment="0" applyProtection="0"/>
    <xf numFmtId="0" fontId="135" fillId="6" borderId="5" applyNumberFormat="0" applyAlignment="0" applyProtection="0"/>
    <xf numFmtId="0" fontId="135" fillId="6" borderId="5" applyNumberFormat="0" applyAlignment="0" applyProtection="0"/>
    <xf numFmtId="0" fontId="135" fillId="6" borderId="5" applyNumberFormat="0" applyAlignment="0" applyProtection="0"/>
    <xf numFmtId="0" fontId="135" fillId="6" borderId="5" applyNumberFormat="0" applyAlignment="0" applyProtection="0"/>
    <xf numFmtId="0" fontId="135" fillId="6" borderId="5" applyNumberFormat="0" applyAlignment="0" applyProtection="0"/>
    <xf numFmtId="0" fontId="9" fillId="6" borderId="5" applyNumberFormat="0" applyAlignment="0" applyProtection="0"/>
    <xf numFmtId="0" fontId="136" fillId="0" borderId="0" applyProtection="0">
      <alignment horizontal="left"/>
    </xf>
    <xf numFmtId="0" fontId="136" fillId="0" borderId="0" applyFill="0" applyBorder="0" applyProtection="0">
      <alignment horizontal="left"/>
    </xf>
    <xf numFmtId="0" fontId="137" fillId="0" borderId="0" applyFill="0" applyBorder="0" applyProtection="0">
      <alignment horizontal="left"/>
    </xf>
    <xf numFmtId="1" fontId="138" fillId="0" borderId="0" applyProtection="0">
      <alignment horizontal="right" vertical="center"/>
    </xf>
    <xf numFmtId="239" fontId="139" fillId="0" borderId="12">
      <alignment vertical="center"/>
    </xf>
    <xf numFmtId="2" fontId="40" fillId="0" borderId="0"/>
    <xf numFmtId="174" fontId="140" fillId="0" borderId="0" applyFill="0" applyBorder="0" applyAlignment="0" applyProtection="0"/>
    <xf numFmtId="209" fontId="22" fillId="0" borderId="0" applyFont="0" applyFill="0" applyBorder="0" applyAlignment="0" applyProtection="0"/>
    <xf numFmtId="260" fontId="29" fillId="0" borderId="0" applyFont="0" applyFill="0" applyBorder="0" applyAlignment="0" applyProtection="0"/>
    <xf numFmtId="261" fontId="141" fillId="60" borderId="10" applyFill="0" applyBorder="0" applyAlignment="0" applyProtection="0">
      <alignment horizontal="right"/>
      <protection locked="0"/>
    </xf>
    <xf numFmtId="262" fontId="141" fillId="67" borderId="0" applyFill="0" applyBorder="0" applyAlignment="0" applyProtection="0">
      <protection hidden="1"/>
    </xf>
    <xf numFmtId="10" fontId="22" fillId="0" borderId="0" applyFont="0" applyFill="0" applyBorder="0" applyAlignment="0" applyProtection="0"/>
    <xf numFmtId="10" fontId="22" fillId="0" borderId="0" applyFont="0" applyFill="0" applyBorder="0" applyAlignment="0" applyProtection="0"/>
    <xf numFmtId="263" fontId="129" fillId="0" borderId="0" applyBorder="0" applyProtection="0">
      <alignment horizontal="right"/>
    </xf>
    <xf numFmtId="263" fontId="130" fillId="77" borderId="0" applyProtection="0">
      <alignment horizontal="right"/>
    </xf>
    <xf numFmtId="263" fontId="132" fillId="0" borderId="0" applyFont="0" applyBorder="0" applyProtection="0">
      <alignment horizontal="right"/>
    </xf>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3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3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4"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22" fillId="0" borderId="0" applyFont="0" applyFill="0" applyBorder="0" applyAlignment="0" applyProtection="0"/>
    <xf numFmtId="9" fontId="74" fillId="0" borderId="0" applyFont="0" applyFill="0" applyBorder="0" applyAlignment="0" applyProtection="0"/>
    <xf numFmtId="9" fontId="33" fillId="0" borderId="0" applyFont="0" applyFill="0" applyBorder="0" applyAlignment="0" applyProtection="0"/>
    <xf numFmtId="9" fontId="1" fillId="0" borderId="0" applyFont="0" applyFill="0" applyBorder="0" applyAlignment="0" applyProtection="0"/>
    <xf numFmtId="9" fontId="3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64" fontId="40" fillId="0" borderId="0" applyFont="0" applyFill="0" applyBorder="0" applyProtection="0">
      <alignment horizontal="right"/>
    </xf>
    <xf numFmtId="9" fontId="22" fillId="0" borderId="0"/>
    <xf numFmtId="265" fontId="22" fillId="0" borderId="0" applyFill="0" applyBorder="0">
      <alignment horizontal="right"/>
      <protection locked="0"/>
    </xf>
    <xf numFmtId="1" fontId="31" fillId="0" borderId="0"/>
    <xf numFmtId="249" fontId="22" fillId="0" borderId="0">
      <protection locked="0"/>
    </xf>
    <xf numFmtId="174" fontId="22" fillId="0" borderId="0" applyFont="0" applyFill="0" applyBorder="0" applyAlignment="0" applyProtection="0"/>
    <xf numFmtId="207" fontId="29" fillId="0" borderId="0" applyFill="0" applyBorder="0" applyAlignment="0"/>
    <xf numFmtId="208" fontId="29" fillId="0" borderId="0" applyFill="0" applyBorder="0" applyAlignment="0"/>
    <xf numFmtId="207" fontId="29" fillId="0" borderId="0" applyFill="0" applyBorder="0" applyAlignment="0"/>
    <xf numFmtId="210" fontId="22" fillId="0" borderId="0" applyFill="0" applyBorder="0" applyAlignment="0"/>
    <xf numFmtId="208" fontId="29" fillId="0" borderId="0" applyFill="0" applyBorder="0" applyAlignment="0"/>
    <xf numFmtId="10" fontId="40" fillId="0" borderId="0"/>
    <xf numFmtId="10" fontId="40" fillId="71" borderId="0"/>
    <xf numFmtId="9" fontId="40" fillId="0" borderId="0" applyFont="0" applyFill="0" applyBorder="0" applyAlignment="0" applyProtection="0"/>
    <xf numFmtId="172" fontId="74" fillId="0" borderId="0"/>
    <xf numFmtId="266" fontId="142" fillId="67" borderId="0" applyBorder="0" applyAlignment="0">
      <protection hidden="1"/>
    </xf>
    <xf numFmtId="1" fontId="142" fillId="67" borderId="0">
      <alignment horizontal="center"/>
    </xf>
    <xf numFmtId="0" fontId="57" fillId="0" borderId="0" applyNumberFormat="0" applyFont="0" applyFill="0" applyBorder="0" applyAlignment="0" applyProtection="0">
      <alignment horizontal="left"/>
    </xf>
    <xf numFmtId="15" fontId="57" fillId="0" borderId="0" applyFont="0" applyFill="0" applyBorder="0" applyAlignment="0" applyProtection="0"/>
    <xf numFmtId="4" fontId="57" fillId="0" borderId="0" applyFont="0" applyFill="0" applyBorder="0" applyAlignment="0" applyProtection="0"/>
    <xf numFmtId="0" fontId="113" fillId="0" borderId="17">
      <alignment horizontal="center"/>
    </xf>
    <xf numFmtId="3" fontId="57" fillId="0" borderId="0" applyFont="0" applyFill="0" applyBorder="0" applyAlignment="0" applyProtection="0"/>
    <xf numFmtId="0" fontId="57" fillId="78" borderId="0" applyNumberFormat="0" applyFont="0" applyBorder="0" applyAlignment="0" applyProtection="0"/>
    <xf numFmtId="0" fontId="57" fillId="0" borderId="0">
      <alignment horizontal="right"/>
      <protection locked="0"/>
    </xf>
    <xf numFmtId="232" fontId="143" fillId="0" borderId="0" applyNumberFormat="0" applyFill="0" applyBorder="0" applyAlignment="0" applyProtection="0">
      <alignment horizontal="left"/>
    </xf>
    <xf numFmtId="0" fontId="144" fillId="65" borderId="0"/>
    <xf numFmtId="0" fontId="31" fillId="0" borderId="0" applyNumberFormat="0" applyFill="0" applyBorder="0" applyProtection="0">
      <alignment horizontal="right" vertical="center"/>
    </xf>
    <xf numFmtId="0" fontId="145" fillId="0" borderId="45">
      <alignment vertical="center"/>
    </xf>
    <xf numFmtId="267" fontId="22" fillId="0" borderId="0" applyFill="0" applyBorder="0">
      <alignment horizontal="right"/>
      <protection hidden="1"/>
    </xf>
    <xf numFmtId="0" fontId="146" fillId="64" borderId="10">
      <alignment horizontal="center" vertical="center" wrapText="1"/>
      <protection hidden="1"/>
    </xf>
    <xf numFmtId="0" fontId="57" fillId="79" borderId="46"/>
    <xf numFmtId="0" fontId="29" fillId="80" borderId="0" applyNumberFormat="0" applyFont="0" applyBorder="0" applyAlignment="0" applyProtection="0"/>
    <xf numFmtId="167" fontId="147" fillId="0" borderId="0" applyFill="0" applyBorder="0" applyAlignment="0" applyProtection="0"/>
    <xf numFmtId="168" fontId="148" fillId="0" borderId="0"/>
    <xf numFmtId="0" fontId="71" fillId="0" borderId="0"/>
    <xf numFmtId="0" fontId="149" fillId="0" borderId="0">
      <alignment horizontal="right"/>
    </xf>
    <xf numFmtId="0" fontId="77" fillId="0" borderId="0">
      <alignment horizontal="left"/>
    </xf>
    <xf numFmtId="174" fontId="150" fillId="0" borderId="37"/>
    <xf numFmtId="268" fontId="39" fillId="73" borderId="0" applyFont="0" applyBorder="0"/>
    <xf numFmtId="197" fontId="30" fillId="0" borderId="0" applyNumberFormat="0" applyFill="0">
      <alignment horizontal="left" vertical="center"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2" fillId="0" borderId="0">
      <alignment vertical="top"/>
    </xf>
    <xf numFmtId="168" fontId="22" fillId="0" borderId="0" applyFont="0" applyFill="0" applyBorder="0" applyAlignment="0" applyProtection="0"/>
    <xf numFmtId="0" fontId="72" fillId="0" borderId="0">
      <alignment vertical="top"/>
    </xf>
    <xf numFmtId="0" fontId="29" fillId="0" borderId="0">
      <alignment vertical="top"/>
    </xf>
    <xf numFmtId="0" fontId="29"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9"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9"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169" fontId="22" fillId="0" borderId="0" applyFont="0" applyFill="0" applyBorder="0" applyAlignment="0" applyProtection="0"/>
    <xf numFmtId="0" fontId="29"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51" fillId="80" borderId="10" applyNumberFormat="0" applyProtection="0">
      <alignment horizontal="center" vertical="center"/>
    </xf>
    <xf numFmtId="0" fontId="29" fillId="0" borderId="0">
      <alignment vertical="top"/>
    </xf>
    <xf numFmtId="0" fontId="41" fillId="80" borderId="10" applyNumberFormat="0" applyProtection="0">
      <alignment horizontal="center" vertical="center"/>
    </xf>
    <xf numFmtId="0" fontId="29" fillId="0" borderId="0">
      <alignment vertical="top"/>
    </xf>
    <xf numFmtId="0" fontId="29" fillId="0" borderId="0">
      <alignment vertical="top"/>
    </xf>
    <xf numFmtId="0" fontId="152" fillId="0" borderId="0" applyNumberFormat="0" applyFill="0" applyBorder="0" applyAlignment="0" applyProtection="0"/>
    <xf numFmtId="0" fontId="22" fillId="38" borderId="10" applyNumberFormat="0" applyProtection="0">
      <alignment horizontal="left" vertical="center"/>
    </xf>
    <xf numFmtId="0" fontId="22" fillId="38" borderId="10" applyNumberFormat="0" applyProtection="0">
      <alignment horizontal="left" vertical="center"/>
    </xf>
    <xf numFmtId="0" fontId="29" fillId="0" borderId="0">
      <alignment vertical="top"/>
    </xf>
    <xf numFmtId="0" fontId="41" fillId="36" borderId="10" applyNumberFormat="0" applyProtection="0">
      <alignment horizontal="left" vertical="center" wrapText="1"/>
    </xf>
    <xf numFmtId="0" fontId="29" fillId="0" borderId="0">
      <alignment vertical="top"/>
    </xf>
    <xf numFmtId="0" fontId="29" fillId="0" borderId="0">
      <alignment vertical="top"/>
    </xf>
    <xf numFmtId="0" fontId="91" fillId="0" borderId="0" applyNumberFormat="0" applyFill="0" applyBorder="0" applyAlignment="0" applyProtection="0"/>
    <xf numFmtId="0" fontId="22" fillId="38" borderId="10" applyNumberFormat="0" applyProtection="0">
      <alignment horizontal="left" vertical="center" wrapText="1"/>
    </xf>
    <xf numFmtId="0" fontId="22" fillId="38" borderId="10" applyNumberFormat="0" applyProtection="0">
      <alignment horizontal="left" vertical="center" wrapText="1"/>
    </xf>
    <xf numFmtId="0" fontId="29" fillId="0" borderId="0">
      <alignment vertical="top"/>
    </xf>
    <xf numFmtId="0" fontId="41" fillId="36" borderId="10" applyNumberFormat="0" applyProtection="0">
      <alignment horizontal="left" vertical="center" wrapText="1"/>
    </xf>
    <xf numFmtId="0" fontId="29" fillId="0" borderId="0">
      <alignment vertical="top"/>
    </xf>
    <xf numFmtId="0" fontId="29" fillId="0" borderId="0">
      <alignment vertical="top"/>
    </xf>
    <xf numFmtId="0" fontId="153" fillId="81" borderId="0" applyNumberFormat="0" applyBorder="0" applyAlignment="0" applyProtection="0"/>
    <xf numFmtId="0" fontId="29" fillId="0" borderId="0">
      <alignment vertical="top"/>
    </xf>
    <xf numFmtId="0" fontId="29" fillId="0" borderId="0">
      <alignment vertical="top"/>
    </xf>
    <xf numFmtId="0" fontId="29" fillId="0" borderId="0">
      <alignment vertical="top"/>
    </xf>
    <xf numFmtId="43" fontId="28" fillId="0" borderId="0" applyFont="0" applyFill="0" applyBorder="0" applyAlignment="0" applyProtection="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181" fontId="22" fillId="0" borderId="0" applyFont="0" applyFill="0" applyBorder="0" applyAlignment="0" applyProtection="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169" fontId="22" fillId="0" borderId="0" applyFont="0" applyFill="0" applyBorder="0" applyAlignment="0" applyProtection="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269" fontId="40" fillId="0" borderId="0" applyFont="0" applyFill="0" applyBorder="0" applyAlignment="0" applyProtection="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269" fontId="40" fillId="0" borderId="0" applyFont="0" applyFill="0" applyBorder="0" applyAlignment="0" applyProtection="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74" fillId="0" borderId="0" applyNumberFormat="0" applyBorder="0" applyAlignment="0"/>
    <xf numFmtId="0" fontId="154" fillId="0" borderId="0" applyNumberFormat="0" applyBorder="0" applyAlignment="0"/>
    <xf numFmtId="0" fontId="155" fillId="0" borderId="0" applyNumberFormat="0" applyBorder="0" applyAlignment="0"/>
    <xf numFmtId="0" fontId="51" fillId="0" borderId="0" applyNumberFormat="0" applyFill="0" applyBorder="0" applyProtection="0">
      <alignment horizontal="left" vertical="center"/>
    </xf>
    <xf numFmtId="0" fontId="51" fillId="0" borderId="11" applyNumberFormat="0" applyFill="0" applyProtection="0">
      <alignment horizontal="left" vertical="center"/>
    </xf>
    <xf numFmtId="270" fontId="39" fillId="82" borderId="0" applyNumberFormat="0" applyFont="0" applyBorder="0">
      <alignment horizontal="center" vertical="center"/>
      <protection locked="0"/>
    </xf>
    <xf numFmtId="9" fontId="22" fillId="0" borderId="0"/>
    <xf numFmtId="0" fontId="52" fillId="0" borderId="0" applyFill="0" applyBorder="0" applyProtection="0">
      <alignment horizontal="center" vertical="center"/>
    </xf>
    <xf numFmtId="0" fontId="156" fillId="0" borderId="0" applyBorder="0" applyProtection="0">
      <alignment vertical="center"/>
    </xf>
    <xf numFmtId="172" fontId="22" fillId="0" borderId="12" applyBorder="0" applyProtection="0">
      <alignment horizontal="right" vertical="center"/>
    </xf>
    <xf numFmtId="0" fontId="157" fillId="83" borderId="0" applyBorder="0" applyProtection="0">
      <alignment horizontal="centerContinuous" vertical="center"/>
    </xf>
    <xf numFmtId="0" fontId="157" fillId="81" borderId="12" applyBorder="0" applyProtection="0">
      <alignment horizontal="centerContinuous" vertical="center"/>
    </xf>
    <xf numFmtId="0" fontId="158" fillId="0" borderId="0"/>
    <xf numFmtId="0" fontId="52" fillId="0" borderId="0" applyFill="0" applyBorder="0" applyProtection="0"/>
    <xf numFmtId="0" fontId="127" fillId="0" borderId="0"/>
    <xf numFmtId="0" fontId="159" fillId="0" borderId="0" applyFill="0" applyBorder="0" applyProtection="0">
      <alignment horizontal="left"/>
    </xf>
    <xf numFmtId="0" fontId="160" fillId="0" borderId="0" applyFill="0" applyBorder="0" applyProtection="0">
      <alignment horizontal="left" vertical="top"/>
    </xf>
    <xf numFmtId="0" fontId="161" fillId="0" borderId="0">
      <alignment horizontal="centerContinuous"/>
    </xf>
    <xf numFmtId="239" fontId="22" fillId="38" borderId="47" applyNumberFormat="0" applyAlignment="0">
      <alignment vertical="center"/>
    </xf>
    <xf numFmtId="239" fontId="162" fillId="84" borderId="48" applyNumberFormat="0" applyBorder="0" applyAlignment="0" applyProtection="0">
      <alignment vertical="center"/>
    </xf>
    <xf numFmtId="239" fontId="22" fillId="38" borderId="47" applyNumberFormat="0" applyProtection="0">
      <alignment horizontal="centerContinuous" vertical="center"/>
    </xf>
    <xf numFmtId="239" fontId="163" fillId="85" borderId="0" applyNumberFormat="0" applyBorder="0" applyAlignment="0" applyProtection="0">
      <alignment vertical="center"/>
    </xf>
    <xf numFmtId="239" fontId="22" fillId="84" borderId="0" applyBorder="0" applyAlignment="0" applyProtection="0">
      <alignment vertical="center"/>
    </xf>
    <xf numFmtId="49" fontId="30" fillId="0" borderId="12">
      <alignment vertical="center"/>
    </xf>
    <xf numFmtId="0" fontId="164" fillId="0" borderId="0"/>
    <xf numFmtId="0" fontId="165" fillId="0" borderId="0"/>
    <xf numFmtId="49" fontId="74" fillId="0" borderId="0" applyFill="0" applyBorder="0" applyAlignment="0"/>
    <xf numFmtId="271" fontId="29" fillId="0" borderId="0" applyFill="0" applyBorder="0" applyAlignment="0"/>
    <xf numFmtId="272" fontId="29" fillId="0" borderId="0" applyFill="0" applyBorder="0" applyAlignment="0"/>
    <xf numFmtId="0" fontId="25" fillId="0" borderId="0" applyNumberFormat="0" applyFont="0" applyFill="0" applyBorder="0" applyProtection="0">
      <alignment horizontal="left" vertical="top" wrapText="1"/>
    </xf>
    <xf numFmtId="18" fontId="71" fillId="0" borderId="0" applyFill="0" applyBorder="0" applyAlignment="0" applyProtection="0"/>
    <xf numFmtId="0" fontId="29" fillId="0" borderId="0" applyNumberFormat="0" applyFill="0" applyBorder="0" applyAlignment="0" applyProtection="0"/>
    <xf numFmtId="0" fontId="31" fillId="0" borderId="0" applyNumberFormat="0" applyFill="0" applyBorder="0" applyAlignment="0" applyProtection="0"/>
    <xf numFmtId="40" fontId="166" fillId="0" borderId="0"/>
    <xf numFmtId="0" fontId="167" fillId="0" borderId="0" applyNumberFormat="0" applyFill="0" applyBorder="0" applyAlignment="0" applyProtection="0"/>
    <xf numFmtId="0" fontId="168" fillId="0" borderId="0" applyNumberFormat="0" applyBorder="0" applyAlignment="0" applyProtection="0"/>
    <xf numFmtId="0" fontId="168" fillId="0" borderId="0" applyNumberFormat="0" applyBorder="0" applyAlignment="0" applyProtection="0"/>
    <xf numFmtId="273" fontId="169" fillId="81" borderId="0" applyNumberFormat="0" applyProtection="0">
      <alignment horizontal="left" vertical="center"/>
    </xf>
    <xf numFmtId="0" fontId="170" fillId="0" borderId="0" applyNumberFormat="0" applyProtection="0">
      <alignment horizontal="left" vertical="center"/>
    </xf>
    <xf numFmtId="0" fontId="171" fillId="0" borderId="0">
      <alignment horizontal="left"/>
    </xf>
    <xf numFmtId="0" fontId="57" fillId="0" borderId="0" applyBorder="0"/>
    <xf numFmtId="1" fontId="29" fillId="69" borderId="0" applyNumberFormat="0" applyFont="0" applyBorder="0" applyProtection="0">
      <alignment horizontal="left"/>
    </xf>
    <xf numFmtId="274" fontId="22" fillId="0" borderId="0" applyNumberFormat="0" applyFill="0" applyBorder="0" applyProtection="0">
      <alignment vertical="top"/>
    </xf>
    <xf numFmtId="0" fontId="172" fillId="0" borderId="49" applyNumberFormat="0" applyFill="0" applyAlignment="0" applyProtection="0"/>
    <xf numFmtId="0" fontId="15" fillId="0" borderId="9" applyNumberFormat="0" applyFill="0" applyAlignment="0" applyProtection="0"/>
    <xf numFmtId="0" fontId="172" fillId="0" borderId="49" applyNumberFormat="0" applyFill="0" applyAlignment="0" applyProtection="0"/>
    <xf numFmtId="0" fontId="173" fillId="0" borderId="9" applyNumberFormat="0" applyFill="0" applyAlignment="0" applyProtection="0"/>
    <xf numFmtId="0" fontId="173" fillId="0" borderId="9" applyNumberFormat="0" applyFill="0" applyAlignment="0" applyProtection="0"/>
    <xf numFmtId="0" fontId="173" fillId="0" borderId="9" applyNumberFormat="0" applyFill="0" applyAlignment="0" applyProtection="0"/>
    <xf numFmtId="0" fontId="173" fillId="0" borderId="9" applyNumberFormat="0" applyFill="0" applyAlignment="0" applyProtection="0"/>
    <xf numFmtId="0" fontId="173" fillId="0" borderId="9" applyNumberFormat="0" applyFill="0" applyAlignment="0" applyProtection="0"/>
    <xf numFmtId="0" fontId="173" fillId="0" borderId="9" applyNumberFormat="0" applyFill="0" applyAlignment="0" applyProtection="0"/>
    <xf numFmtId="0" fontId="173" fillId="0" borderId="9" applyNumberFormat="0" applyFill="0" applyAlignment="0" applyProtection="0"/>
    <xf numFmtId="0" fontId="18" fillId="0" borderId="9" applyNumberFormat="0" applyFill="0" applyAlignment="0" applyProtection="0"/>
    <xf numFmtId="39" fontId="22" fillId="0" borderId="23">
      <protection locked="0"/>
    </xf>
    <xf numFmtId="165" fontId="161" fillId="0" borderId="23" applyFill="0" applyAlignment="0" applyProtection="0"/>
    <xf numFmtId="172" fontId="32" fillId="0" borderId="16"/>
    <xf numFmtId="0" fontId="174" fillId="0" borderId="0">
      <alignment horizontal="fill"/>
    </xf>
    <xf numFmtId="275" fontId="142" fillId="67" borderId="20" applyBorder="0">
      <alignment horizontal="right" vertical="center"/>
      <protection locked="0"/>
    </xf>
    <xf numFmtId="167" fontId="22" fillId="0" borderId="0" applyFont="0" applyFill="0" applyBorder="0" applyAlignment="0" applyProtection="0"/>
    <xf numFmtId="276" fontId="22" fillId="0" borderId="0" applyFont="0" applyFill="0" applyBorder="0" applyAlignment="0" applyProtection="0"/>
    <xf numFmtId="167" fontId="22" fillId="0" borderId="0" applyFont="0" applyFill="0" applyBorder="0" applyAlignment="0" applyProtection="0"/>
    <xf numFmtId="169" fontId="22" fillId="0" borderId="0" applyFont="0" applyFill="0" applyBorder="0" applyAlignment="0" applyProtection="0"/>
    <xf numFmtId="274" fontId="175" fillId="84" borderId="0" applyNumberFormat="0" applyBorder="0" applyProtection="0">
      <alignment horizontal="centerContinuous" vertical="center"/>
    </xf>
    <xf numFmtId="0" fontId="176"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13" fillId="0" borderId="0" applyNumberFormat="0" applyFill="0" applyBorder="0" applyAlignment="0" applyProtection="0"/>
    <xf numFmtId="0" fontId="178" fillId="0" borderId="0"/>
    <xf numFmtId="1" fontId="178" fillId="0" borderId="0"/>
    <xf numFmtId="277" fontId="40" fillId="0" borderId="0" applyFont="0" applyFill="0" applyBorder="0" applyProtection="0">
      <alignment horizontal="right"/>
    </xf>
    <xf numFmtId="278" fontId="22" fillId="0" borderId="0"/>
    <xf numFmtId="279" fontId="129" fillId="0" borderId="0" applyFill="0" applyBorder="0" applyProtection="0"/>
    <xf numFmtId="0" fontId="22" fillId="0" borderId="0">
      <alignment horizontal="center"/>
    </xf>
    <xf numFmtId="280" fontId="30" fillId="0" borderId="12">
      <alignment horizontal="right"/>
    </xf>
    <xf numFmtId="281" fontId="22" fillId="0" borderId="0" applyFont="0" applyFill="0" applyBorder="0" applyAlignment="0" applyProtection="0"/>
    <xf numFmtId="282" fontId="43" fillId="0" borderId="0" applyFont="0" applyFill="0" applyBorder="0" applyProtection="0">
      <alignment horizontal="right"/>
    </xf>
    <xf numFmtId="0" fontId="22" fillId="0" borderId="0"/>
    <xf numFmtId="0" fontId="20" fillId="0" borderId="0"/>
    <xf numFmtId="170" fontId="1" fillId="0" borderId="0" applyFont="0" applyFill="0" applyBorder="0" applyAlignment="0" applyProtection="0"/>
    <xf numFmtId="0" fontId="22" fillId="36" borderId="51" applyNumberFormat="0">
      <alignment horizontal="centerContinuous" vertical="center" wrapText="1"/>
    </xf>
    <xf numFmtId="0" fontId="22" fillId="37" borderId="51" applyNumberFormat="0">
      <alignment horizontal="left" vertical="center"/>
    </xf>
    <xf numFmtId="205" fontId="43" fillId="58" borderId="52"/>
    <xf numFmtId="0" fontId="53" fillId="61" borderId="51" applyNumberFormat="0" applyAlignment="0" applyProtection="0"/>
    <xf numFmtId="0" fontId="53" fillId="61" borderId="51" applyNumberFormat="0" applyAlignment="0" applyProtection="0"/>
    <xf numFmtId="166" fontId="73" fillId="0" borderId="53">
      <protection locked="0"/>
    </xf>
    <xf numFmtId="1" fontId="84" fillId="66" borderId="50" applyNumberFormat="0" applyBorder="0" applyAlignment="0">
      <alignment horizontal="centerContinuous" vertical="center"/>
      <protection locked="0"/>
    </xf>
    <xf numFmtId="0" fontId="107" fillId="44" borderId="51" applyNumberFormat="0" applyAlignment="0" applyProtection="0"/>
    <xf numFmtId="0" fontId="107" fillId="44" borderId="51" applyNumberFormat="0" applyAlignment="0" applyProtection="0"/>
    <xf numFmtId="0" fontId="113" fillId="71" borderId="54">
      <alignment horizontal="left" vertical="center" wrapText="1"/>
    </xf>
    <xf numFmtId="0" fontId="33" fillId="76" borderId="55" applyNumberFormat="0" applyFont="0" applyAlignment="0" applyProtection="0"/>
    <xf numFmtId="0" fontId="33" fillId="76" borderId="55" applyNumberFormat="0" applyFont="0" applyAlignment="0" applyProtection="0"/>
    <xf numFmtId="0" fontId="134" fillId="61" borderId="56" applyNumberFormat="0" applyAlignment="0" applyProtection="0"/>
    <xf numFmtId="0" fontId="134" fillId="61" borderId="56" applyNumberFormat="0" applyAlignment="0" applyProtection="0"/>
    <xf numFmtId="239" fontId="162" fillId="84" borderId="57" applyNumberFormat="0" applyBorder="0" applyAlignment="0" applyProtection="0">
      <alignment vertical="center"/>
    </xf>
    <xf numFmtId="0" fontId="172" fillId="0" borderId="58" applyNumberFormat="0" applyFill="0" applyAlignment="0" applyProtection="0"/>
    <xf numFmtId="0" fontId="172" fillId="0" borderId="58" applyNumberFormat="0" applyFill="0" applyAlignment="0" applyProtection="0"/>
    <xf numFmtId="0" fontId="22" fillId="0" borderId="0"/>
    <xf numFmtId="0" fontId="74" fillId="39" borderId="0" applyNumberFormat="0" applyBorder="0" applyAlignment="0" applyProtection="0"/>
    <xf numFmtId="0" fontId="74" fillId="40" borderId="0" applyNumberFormat="0" applyBorder="0" applyAlignment="0" applyProtection="0"/>
    <xf numFmtId="0" fontId="74" fillId="41" borderId="0" applyNumberFormat="0" applyBorder="0" applyAlignment="0" applyProtection="0"/>
    <xf numFmtId="0" fontId="74" fillId="42" borderId="0" applyNumberFormat="0" applyBorder="0" applyAlignment="0" applyProtection="0"/>
    <xf numFmtId="0" fontId="74" fillId="43" borderId="0" applyNumberFormat="0" applyBorder="0" applyAlignment="0" applyProtection="0"/>
    <xf numFmtId="0" fontId="74" fillId="44" borderId="0" applyNumberFormat="0" applyBorder="0" applyAlignment="0" applyProtection="0"/>
    <xf numFmtId="0" fontId="74" fillId="45" borderId="0" applyNumberFormat="0" applyBorder="0" applyAlignment="0" applyProtection="0"/>
    <xf numFmtId="0" fontId="74" fillId="46" borderId="0" applyNumberFormat="0" applyBorder="0" applyAlignment="0" applyProtection="0"/>
    <xf numFmtId="0" fontId="74" fillId="47" borderId="0" applyNumberFormat="0" applyBorder="0" applyAlignment="0" applyProtection="0"/>
    <xf numFmtId="0" fontId="74" fillId="42" borderId="0" applyNumberFormat="0" applyBorder="0" applyAlignment="0" applyProtection="0"/>
    <xf numFmtId="0" fontId="74" fillId="45" borderId="0" applyNumberFormat="0" applyBorder="0" applyAlignment="0" applyProtection="0"/>
    <xf numFmtId="0" fontId="74" fillId="48" borderId="0" applyNumberFormat="0" applyBorder="0" applyAlignment="0" applyProtection="0"/>
    <xf numFmtId="0" fontId="180" fillId="49" borderId="0" applyNumberFormat="0" applyBorder="0" applyAlignment="0" applyProtection="0"/>
    <xf numFmtId="0" fontId="180" fillId="46" borderId="0" applyNumberFormat="0" applyBorder="0" applyAlignment="0" applyProtection="0"/>
    <xf numFmtId="0" fontId="180" fillId="47" borderId="0" applyNumberFormat="0" applyBorder="0" applyAlignment="0" applyProtection="0"/>
    <xf numFmtId="0" fontId="180" fillId="50" borderId="0" applyNumberFormat="0" applyBorder="0" applyAlignment="0" applyProtection="0"/>
    <xf numFmtId="0" fontId="180" fillId="51" borderId="0" applyNumberFormat="0" applyBorder="0" applyAlignment="0" applyProtection="0"/>
    <xf numFmtId="0" fontId="180" fillId="52" borderId="0" applyNumberFormat="0" applyBorder="0" applyAlignment="0" applyProtection="0"/>
    <xf numFmtId="0" fontId="180" fillId="53" borderId="0" applyNumberFormat="0" applyBorder="0" applyAlignment="0" applyProtection="0"/>
    <xf numFmtId="0" fontId="180" fillId="54" borderId="0" applyNumberFormat="0" applyBorder="0" applyAlignment="0" applyProtection="0"/>
    <xf numFmtId="0" fontId="180" fillId="55" borderId="0" applyNumberFormat="0" applyBorder="0" applyAlignment="0" applyProtection="0"/>
    <xf numFmtId="0" fontId="180" fillId="50" borderId="0" applyNumberFormat="0" applyBorder="0" applyAlignment="0" applyProtection="0"/>
    <xf numFmtId="0" fontId="180" fillId="51" borderId="0" applyNumberFormat="0" applyBorder="0" applyAlignment="0" applyProtection="0"/>
    <xf numFmtId="0" fontId="180" fillId="56" borderId="0" applyNumberFormat="0" applyBorder="0" applyAlignment="0" applyProtection="0"/>
    <xf numFmtId="0" fontId="181" fillId="40" borderId="0" applyNumberFormat="0" applyBorder="0" applyAlignment="0" applyProtection="0"/>
    <xf numFmtId="0" fontId="182" fillId="61" borderId="51" applyNumberFormat="0" applyAlignment="0" applyProtection="0"/>
    <xf numFmtId="0" fontId="153" fillId="63" borderId="27" applyNumberFormat="0" applyAlignment="0" applyProtection="0"/>
    <xf numFmtId="0" fontId="183" fillId="0" borderId="0" applyNumberFormat="0" applyFill="0" applyBorder="0" applyAlignment="0" applyProtection="0"/>
    <xf numFmtId="0" fontId="184" fillId="41" borderId="0" applyNumberFormat="0" applyBorder="0" applyAlignment="0" applyProtection="0"/>
    <xf numFmtId="0" fontId="185" fillId="0" borderId="33" applyNumberFormat="0" applyFill="0" applyAlignment="0" applyProtection="0"/>
    <xf numFmtId="0" fontId="186" fillId="0" borderId="34" applyNumberFormat="0" applyFill="0" applyAlignment="0" applyProtection="0"/>
    <xf numFmtId="0" fontId="187" fillId="0" borderId="35" applyNumberFormat="0" applyFill="0" applyAlignment="0" applyProtection="0"/>
    <xf numFmtId="0" fontId="187" fillId="0" borderId="0" applyNumberFormat="0" applyFill="0" applyBorder="0" applyAlignment="0" applyProtection="0"/>
    <xf numFmtId="0" fontId="188" fillId="44" borderId="51" applyNumberFormat="0" applyAlignment="0" applyProtection="0"/>
    <xf numFmtId="0" fontId="189" fillId="0" borderId="41" applyNumberFormat="0" applyFill="0" applyAlignment="0" applyProtection="0"/>
    <xf numFmtId="0" fontId="190" fillId="70" borderId="0" applyNumberFormat="0" applyBorder="0" applyAlignment="0" applyProtection="0"/>
    <xf numFmtId="0" fontId="22" fillId="76" borderId="55" applyNumberFormat="0" applyFont="0" applyAlignment="0" applyProtection="0"/>
    <xf numFmtId="0" fontId="191" fillId="61" borderId="56" applyNumberFormat="0" applyAlignment="0" applyProtection="0"/>
    <xf numFmtId="0" fontId="154" fillId="0" borderId="58" applyNumberFormat="0" applyFill="0" applyAlignment="0" applyProtection="0"/>
    <xf numFmtId="0" fontId="192" fillId="0" borderId="0" applyNumberFormat="0" applyFill="0" applyBorder="0" applyAlignment="0" applyProtection="0"/>
    <xf numFmtId="170" fontId="1" fillId="0" borderId="0" applyFont="0" applyFill="0" applyBorder="0" applyAlignment="0" applyProtection="0"/>
    <xf numFmtId="0" fontId="196" fillId="0" borderId="0" applyNumberForma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74" fillId="0" borderId="0"/>
    <xf numFmtId="43"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0" fontId="74" fillId="0" borderId="0"/>
    <xf numFmtId="43"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0" fontId="74" fillId="0" borderId="0"/>
    <xf numFmtId="43"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0" fontId="74" fillId="0" borderId="0"/>
    <xf numFmtId="43"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0" fontId="74" fillId="0" borderId="0"/>
    <xf numFmtId="43"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0" fontId="74" fillId="0" borderId="0"/>
    <xf numFmtId="44"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0" fontId="197" fillId="0" borderId="0" applyNumberForma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0" fontId="198" fillId="0" borderId="0" applyNumberFormat="0" applyFill="0" applyBorder="0" applyAlignment="0" applyProtection="0"/>
    <xf numFmtId="0" fontId="1" fillId="0" borderId="0"/>
    <xf numFmtId="9" fontId="22" fillId="0" borderId="0" applyFont="0" applyFill="0" applyBorder="0" applyAlignment="0" applyProtection="0"/>
    <xf numFmtId="0" fontId="1" fillId="0" borderId="0"/>
    <xf numFmtId="0" fontId="74" fillId="0" borderId="0"/>
    <xf numFmtId="0" fontId="1" fillId="0" borderId="0"/>
    <xf numFmtId="9" fontId="22" fillId="0" borderId="0" applyFont="0" applyFill="0" applyBorder="0" applyAlignment="0" applyProtection="0"/>
    <xf numFmtId="0" fontId="1" fillId="0" borderId="0"/>
    <xf numFmtId="0" fontId="74" fillId="0" borderId="0"/>
    <xf numFmtId="9" fontId="22" fillId="0" borderId="0" applyFont="0" applyFill="0" applyBorder="0" applyAlignment="0" applyProtection="0"/>
    <xf numFmtId="0" fontId="1" fillId="0" borderId="0"/>
    <xf numFmtId="0" fontId="74" fillId="0" borderId="0"/>
    <xf numFmtId="9" fontId="22" fillId="0" borderId="0" applyFont="0" applyFill="0" applyBorder="0" applyAlignment="0" applyProtection="0"/>
    <xf numFmtId="0" fontId="1" fillId="0" borderId="0"/>
    <xf numFmtId="0" fontId="74" fillId="0" borderId="0"/>
    <xf numFmtId="9" fontId="22" fillId="0" borderId="0" applyFont="0" applyFill="0" applyBorder="0" applyAlignment="0" applyProtection="0"/>
    <xf numFmtId="0" fontId="1" fillId="0" borderId="0"/>
    <xf numFmtId="0" fontId="74" fillId="0" borderId="0"/>
    <xf numFmtId="9" fontId="22" fillId="0" borderId="0" applyFont="0" applyFill="0" applyBorder="0" applyAlignment="0" applyProtection="0"/>
    <xf numFmtId="0" fontId="1" fillId="0" borderId="0"/>
    <xf numFmtId="0" fontId="74" fillId="0" borderId="0"/>
    <xf numFmtId="9" fontId="22" fillId="0" borderId="0" applyFont="0" applyFill="0" applyBorder="0" applyAlignment="0" applyProtection="0"/>
    <xf numFmtId="0" fontId="1" fillId="0" borderId="0"/>
    <xf numFmtId="0" fontId="74" fillId="0" borderId="0"/>
    <xf numFmtId="9" fontId="22" fillId="0" borderId="0" applyFont="0" applyFill="0" applyBorder="0" applyAlignment="0" applyProtection="0"/>
    <xf numFmtId="0" fontId="74" fillId="0" borderId="0"/>
    <xf numFmtId="9" fontId="22" fillId="0" borderId="0" applyFont="0" applyFill="0" applyBorder="0" applyAlignment="0" applyProtection="0"/>
    <xf numFmtId="0" fontId="22" fillId="0" borderId="0"/>
    <xf numFmtId="0" fontId="22" fillId="0" borderId="0"/>
    <xf numFmtId="0" fontId="22" fillId="0" borderId="0"/>
    <xf numFmtId="0" fontId="107" fillId="44" borderId="51" applyNumberFormat="0" applyAlignment="0" applyProtection="0"/>
    <xf numFmtId="0" fontId="134" fillId="61" borderId="56" applyNumberFormat="0" applyAlignment="0" applyProtection="0"/>
    <xf numFmtId="0" fontId="107" fillId="44" borderId="51" applyNumberFormat="0" applyAlignment="0" applyProtection="0"/>
    <xf numFmtId="0" fontId="134" fillId="61" borderId="56" applyNumberFormat="0" applyAlignment="0" applyProtection="0"/>
    <xf numFmtId="0" fontId="22" fillId="0" borderId="0"/>
    <xf numFmtId="0" fontId="107" fillId="44" borderId="51" applyNumberFormat="0" applyAlignment="0" applyProtection="0"/>
    <xf numFmtId="0" fontId="134" fillId="61" borderId="56" applyNumberFormat="0" applyAlignment="0" applyProtection="0"/>
    <xf numFmtId="0" fontId="107" fillId="44" borderId="51" applyNumberFormat="0" applyAlignment="0" applyProtection="0"/>
    <xf numFmtId="0" fontId="134" fillId="61" borderId="56" applyNumberFormat="0" applyAlignment="0" applyProtection="0"/>
    <xf numFmtId="0" fontId="22" fillId="0" borderId="0"/>
    <xf numFmtId="0" fontId="107" fillId="44" borderId="51" applyNumberFormat="0" applyAlignment="0" applyProtection="0"/>
    <xf numFmtId="0" fontId="134" fillId="61" borderId="56" applyNumberFormat="0" applyAlignment="0" applyProtection="0"/>
    <xf numFmtId="205" fontId="43" fillId="58" borderId="25"/>
    <xf numFmtId="174" fontId="22" fillId="68" borderId="62" applyNumberFormat="0" applyFont="0" applyBorder="0" applyAlignment="0" applyProtection="0"/>
    <xf numFmtId="0" fontId="91" fillId="0" borderId="60">
      <alignment horizontal="left" vertical="center"/>
    </xf>
    <xf numFmtId="10" fontId="71" fillId="60" borderId="62" applyNumberFormat="0" applyBorder="0" applyAlignment="0" applyProtection="0"/>
    <xf numFmtId="257" fontId="131" fillId="0" borderId="60" applyBorder="0"/>
    <xf numFmtId="261" fontId="141" fillId="60" borderId="62" applyFill="0" applyBorder="0" applyAlignment="0" applyProtection="0">
      <alignment horizontal="right"/>
      <protection locked="0"/>
    </xf>
    <xf numFmtId="0" fontId="146" fillId="64" borderId="62">
      <alignment horizontal="center" vertical="center" wrapText="1"/>
      <protection hidden="1"/>
    </xf>
    <xf numFmtId="0" fontId="151" fillId="80" borderId="62" applyNumberFormat="0" applyProtection="0">
      <alignment horizontal="center" vertical="center"/>
    </xf>
    <xf numFmtId="0" fontId="41" fillId="80" borderId="62" applyNumberFormat="0" applyProtection="0">
      <alignment horizontal="center" vertical="center"/>
    </xf>
    <xf numFmtId="0" fontId="22" fillId="38" borderId="62" applyNumberFormat="0" applyProtection="0">
      <alignment horizontal="left" vertical="center"/>
    </xf>
    <xf numFmtId="0" fontId="22" fillId="38" borderId="62" applyNumberFormat="0" applyProtection="0">
      <alignment horizontal="left" vertical="center"/>
    </xf>
    <xf numFmtId="0" fontId="41" fillId="36" borderId="62" applyNumberFormat="0" applyProtection="0">
      <alignment horizontal="left" vertical="center" wrapText="1"/>
    </xf>
    <xf numFmtId="0" fontId="22" fillId="38" borderId="62" applyNumberFormat="0" applyProtection="0">
      <alignment horizontal="left" vertical="center" wrapText="1"/>
    </xf>
    <xf numFmtId="0" fontId="22" fillId="38" borderId="62" applyNumberFormat="0" applyProtection="0">
      <alignment horizontal="left" vertical="center" wrapText="1"/>
    </xf>
    <xf numFmtId="0" fontId="41" fillId="36" borderId="62" applyNumberFormat="0" applyProtection="0">
      <alignment horizontal="left" vertical="center" wrapText="1"/>
    </xf>
    <xf numFmtId="172" fontId="32" fillId="0" borderId="82"/>
    <xf numFmtId="9" fontId="1" fillId="0" borderId="0" applyFont="0" applyFill="0" applyBorder="0" applyAlignment="0" applyProtection="0"/>
    <xf numFmtId="170" fontId="1" fillId="0" borderId="0" applyFont="0" applyFill="0" applyBorder="0" applyAlignment="0" applyProtection="0"/>
    <xf numFmtId="0" fontId="22" fillId="0" borderId="0"/>
    <xf numFmtId="0" fontId="22" fillId="0" borderId="0"/>
    <xf numFmtId="0" fontId="1" fillId="0" borderId="0"/>
    <xf numFmtId="170" fontId="1" fillId="0" borderId="0" applyFont="0" applyFill="0" applyBorder="0" applyAlignment="0" applyProtection="0"/>
    <xf numFmtId="0" fontId="22" fillId="0" borderId="0"/>
    <xf numFmtId="0" fontId="22" fillId="0" borderId="0"/>
    <xf numFmtId="0" fontId="1" fillId="0" borderId="0"/>
    <xf numFmtId="0" fontId="205" fillId="0" borderId="0"/>
    <xf numFmtId="170" fontId="207" fillId="0" borderId="0" applyFont="0" applyFill="0" applyBorder="0" applyAlignment="0" applyProtection="0"/>
    <xf numFmtId="43" fontId="1" fillId="0" borderId="0" applyFont="0" applyFill="0" applyBorder="0" applyAlignment="0" applyProtection="0"/>
    <xf numFmtId="0" fontId="209" fillId="0" borderId="0"/>
    <xf numFmtId="9" fontId="22" fillId="0" borderId="0" applyFont="0" applyFill="0" applyBorder="0" applyAlignment="0" applyProtection="0"/>
    <xf numFmtId="9" fontId="22" fillId="0" borderId="0" applyFont="0" applyFill="0" applyBorder="0" applyAlignment="0" applyProtection="0"/>
    <xf numFmtId="0" fontId="1" fillId="0" borderId="0"/>
    <xf numFmtId="0" fontId="1" fillId="0" borderId="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6" fillId="0" borderId="0" applyFont="0" applyFill="0" applyBorder="0" applyAlignment="0" applyProtection="0"/>
    <xf numFmtId="0" fontId="1" fillId="0" borderId="0"/>
    <xf numFmtId="0" fontId="1" fillId="0" borderId="0"/>
    <xf numFmtId="0" fontId="1"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09" fillId="0" borderId="0"/>
    <xf numFmtId="43" fontId="22" fillId="0" borderId="0" applyFont="0" applyFill="0" applyBorder="0" applyAlignment="0" applyProtection="0"/>
    <xf numFmtId="8" fontId="25" fillId="0" borderId="0" applyFont="0" applyFill="0" applyBorder="0" applyAlignment="0" applyProtection="0"/>
    <xf numFmtId="0" fontId="209" fillId="0" borderId="0"/>
    <xf numFmtId="43" fontId="22" fillId="0" borderId="0" applyFont="0" applyFill="0" applyBorder="0" applyAlignment="0" applyProtection="0"/>
    <xf numFmtId="0" fontId="209" fillId="0" borderId="0"/>
    <xf numFmtId="43" fontId="22" fillId="0" borderId="0" applyFont="0" applyFill="0" applyBorder="0" applyAlignment="0" applyProtection="0"/>
    <xf numFmtId="5" fontId="25" fillId="0" borderId="0" applyFont="0" applyFill="0" applyBorder="0" applyAlignment="0" applyProtection="0"/>
    <xf numFmtId="0" fontId="209" fillId="0" borderId="0"/>
    <xf numFmtId="42" fontId="38" fillId="0" borderId="0" applyFont="0"/>
    <xf numFmtId="42" fontId="38" fillId="0" borderId="23" applyFont="0"/>
    <xf numFmtId="41" fontId="38" fillId="0" borderId="0" applyFont="0"/>
    <xf numFmtId="6" fontId="39" fillId="0" borderId="14" applyNumberFormat="0" applyFont="0" applyBorder="0" applyProtection="0">
      <alignment horizontal="right"/>
    </xf>
    <xf numFmtId="0" fontId="25" fillId="0" borderId="80" applyNumberFormat="0" applyFont="0" applyFill="0" applyAlignment="0" applyProtection="0"/>
    <xf numFmtId="41" fontId="59" fillId="0" borderId="0" applyFont="0" applyBorder="0">
      <alignment horizontal="right"/>
    </xf>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2" fillId="0" borderId="0" applyFont="0" applyFill="0" applyBorder="0" applyAlignment="0" applyProtection="0"/>
    <xf numFmtId="43" fontId="17" fillId="0" borderId="0" applyFont="0" applyFill="0" applyBorder="0" applyAlignment="0" applyProtection="0"/>
    <xf numFmtId="43" fontId="62" fillId="0" borderId="0" applyFont="0" applyFill="0" applyBorder="0" applyAlignment="0" applyProtection="0"/>
    <xf numFmtId="43" fontId="57" fillId="0" borderId="0" applyFont="0" applyFill="0" applyBorder="0" applyAlignment="0" applyProtection="0"/>
    <xf numFmtId="43" fontId="1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8" fontId="73" fillId="0" borderId="53">
      <protection locked="0"/>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4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63" fillId="0" borderId="0" applyFont="0" applyFill="0" applyBorder="0" applyAlignment="0" applyProtection="0"/>
    <xf numFmtId="44" fontId="6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5" fillId="0" borderId="0" applyFont="0" applyFill="0" applyBorder="0" applyAlignment="0" applyProtection="0"/>
    <xf numFmtId="44" fontId="6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3"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6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78" fillId="0" borderId="0"/>
    <xf numFmtId="42" fontId="29" fillId="0" borderId="0"/>
    <xf numFmtId="42" fontId="80" fillId="0" borderId="0" applyFill="0" applyBorder="0" applyAlignment="0" applyProtection="0"/>
    <xf numFmtId="42" fontId="147" fillId="0" borderId="0" applyFill="0" applyBorder="0" applyAlignment="0" applyProtection="0"/>
    <xf numFmtId="41" fontId="148" fillId="0" borderId="0"/>
    <xf numFmtId="41"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70" fontId="206" fillId="0" borderId="0" applyFont="0" applyFill="0" applyBorder="0" applyAlignment="0" applyProtection="0"/>
    <xf numFmtId="0" fontId="208" fillId="0" borderId="0"/>
    <xf numFmtId="6" fontId="161" fillId="0" borderId="23" applyFill="0" applyAlignment="0" applyProtection="0"/>
    <xf numFmtId="0" fontId="22" fillId="0" borderId="0"/>
    <xf numFmtId="0" fontId="22" fillId="0" borderId="0"/>
    <xf numFmtId="0" fontId="74" fillId="0" borderId="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4" borderId="0" applyNumberFormat="0" applyBorder="0" applyAlignment="0" applyProtection="0"/>
    <xf numFmtId="0" fontId="33" fillId="45"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33" fillId="42" borderId="0" applyNumberFormat="0" applyBorder="0" applyAlignment="0" applyProtection="0"/>
    <xf numFmtId="0" fontId="33" fillId="45" borderId="0" applyNumberFormat="0" applyBorder="0" applyAlignment="0" applyProtection="0"/>
    <xf numFmtId="0" fontId="33" fillId="48" borderId="0" applyNumberFormat="0" applyBorder="0" applyAlignment="0" applyProtection="0"/>
    <xf numFmtId="0" fontId="36" fillId="49"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176" fillId="0" borderId="0" applyNumberFormat="0" applyFill="0" applyBorder="0" applyAlignment="0" applyProtection="0"/>
    <xf numFmtId="0" fontId="53" fillId="61" borderId="51" applyNumberFormat="0" applyAlignment="0" applyProtection="0"/>
    <xf numFmtId="0" fontId="53" fillId="61" borderId="51" applyNumberFormat="0" applyAlignment="0" applyProtection="0"/>
    <xf numFmtId="0" fontId="53" fillId="61" borderId="51" applyNumberFormat="0" applyAlignment="0" applyProtection="0"/>
    <xf numFmtId="0" fontId="53" fillId="61" borderId="51" applyNumberFormat="0" applyAlignment="0" applyProtection="0"/>
    <xf numFmtId="0" fontId="53" fillId="61" borderId="51" applyNumberFormat="0" applyAlignment="0" applyProtection="0"/>
    <xf numFmtId="0" fontId="53" fillId="61" borderId="51" applyNumberFormat="0" applyAlignment="0" applyProtection="0"/>
    <xf numFmtId="0" fontId="53" fillId="61" borderId="51" applyNumberFormat="0" applyAlignment="0" applyProtection="0"/>
    <xf numFmtId="0" fontId="53" fillId="61" borderId="51" applyNumberFormat="0" applyAlignment="0" applyProtection="0"/>
    <xf numFmtId="0" fontId="53" fillId="61" borderId="51" applyNumberFormat="0" applyAlignment="0" applyProtection="0"/>
    <xf numFmtId="0" fontId="53" fillId="61" borderId="51" applyNumberFormat="0" applyAlignment="0" applyProtection="0"/>
    <xf numFmtId="0" fontId="53" fillId="61" borderId="51" applyNumberFormat="0" applyAlignment="0" applyProtection="0"/>
    <xf numFmtId="0" fontId="53" fillId="61" borderId="51" applyNumberFormat="0" applyAlignment="0" applyProtection="0"/>
    <xf numFmtId="0" fontId="116" fillId="0" borderId="41" applyNumberFormat="0" applyFill="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 fillId="76" borderId="55" applyNumberFormat="0" applyFont="0" applyAlignment="0" applyProtection="0"/>
    <xf numFmtId="0" fontId="22" fillId="76" borderId="55" applyNumberFormat="0" applyFont="0" applyAlignment="0" applyProtection="0"/>
    <xf numFmtId="0" fontId="22" fillId="76" borderId="55" applyNumberFormat="0" applyFont="0" applyAlignment="0" applyProtection="0"/>
    <xf numFmtId="0" fontId="22" fillId="76" borderId="55" applyNumberFormat="0" applyFont="0" applyAlignment="0" applyProtection="0"/>
    <xf numFmtId="0" fontId="22" fillId="76" borderId="55" applyNumberFormat="0" applyFont="0" applyAlignment="0" applyProtection="0"/>
    <xf numFmtId="0" fontId="22" fillId="76" borderId="55" applyNumberFormat="0" applyFont="0" applyAlignment="0" applyProtection="0"/>
    <xf numFmtId="0" fontId="22" fillId="76" borderId="55" applyNumberFormat="0" applyFont="0" applyAlignment="0" applyProtection="0"/>
    <xf numFmtId="0" fontId="22" fillId="76" borderId="55" applyNumberFormat="0" applyFont="0" applyAlignment="0" applyProtection="0"/>
    <xf numFmtId="0" fontId="107" fillId="44" borderId="51" applyNumberFormat="0" applyAlignment="0" applyProtection="0"/>
    <xf numFmtId="0" fontId="107" fillId="44" borderId="51" applyNumberFormat="0" applyAlignment="0" applyProtection="0"/>
    <xf numFmtId="0" fontId="107" fillId="44" borderId="51" applyNumberFormat="0" applyAlignment="0" applyProtection="0"/>
    <xf numFmtId="0" fontId="107" fillId="44" borderId="51" applyNumberFormat="0" applyAlignment="0" applyProtection="0"/>
    <xf numFmtId="0" fontId="107" fillId="44" borderId="51" applyNumberFormat="0" applyAlignment="0" applyProtection="0"/>
    <xf numFmtId="0" fontId="107" fillId="44" borderId="51" applyNumberFormat="0" applyAlignment="0" applyProtection="0"/>
    <xf numFmtId="0" fontId="107" fillId="44" borderId="51" applyNumberFormat="0" applyAlignment="0" applyProtection="0"/>
    <xf numFmtId="0" fontId="107" fillId="44" borderId="51" applyNumberFormat="0" applyAlignment="0" applyProtection="0"/>
    <xf numFmtId="0" fontId="107" fillId="44" borderId="51" applyNumberFormat="0" applyAlignment="0" applyProtection="0"/>
    <xf numFmtId="0" fontId="107" fillId="44" borderId="51" applyNumberFormat="0" applyAlignment="0" applyProtection="0"/>
    <xf numFmtId="0" fontId="107" fillId="44" borderId="51" applyNumberFormat="0" applyAlignment="0" applyProtection="0"/>
    <xf numFmtId="0" fontId="107" fillId="44" borderId="51" applyNumberFormat="0" applyAlignment="0" applyProtection="0"/>
    <xf numFmtId="0" fontId="22" fillId="0" borderId="62"/>
    <xf numFmtId="0" fontId="22" fillId="0" borderId="62"/>
    <xf numFmtId="0" fontId="22" fillId="0" borderId="62"/>
    <xf numFmtId="0" fontId="22" fillId="0" borderId="62"/>
    <xf numFmtId="0" fontId="22" fillId="0" borderId="62"/>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33" fillId="76" borderId="55" applyNumberFormat="0" applyFont="0" applyAlignment="0" applyProtection="0"/>
    <xf numFmtId="0" fontId="33" fillId="76" borderId="55" applyNumberFormat="0" applyFont="0" applyAlignment="0" applyProtection="0"/>
    <xf numFmtId="0" fontId="33" fillId="76" borderId="55" applyNumberFormat="0" applyFont="0" applyAlignment="0" applyProtection="0"/>
    <xf numFmtId="0" fontId="33" fillId="76" borderId="55" applyNumberFormat="0" applyFont="0" applyAlignment="0" applyProtection="0"/>
    <xf numFmtId="0" fontId="33" fillId="76" borderId="55" applyNumberFormat="0" applyFont="0" applyAlignment="0" applyProtection="0"/>
    <xf numFmtId="0" fontId="33" fillId="76" borderId="55" applyNumberFormat="0" applyFont="0" applyAlignment="0" applyProtection="0"/>
    <xf numFmtId="0" fontId="33" fillId="76" borderId="55" applyNumberFormat="0" applyFont="0" applyAlignment="0" applyProtection="0"/>
    <xf numFmtId="0" fontId="33" fillId="76" borderId="55" applyNumberFormat="0" applyFont="0" applyAlignment="0" applyProtection="0"/>
    <xf numFmtId="0" fontId="33" fillId="76" borderId="55" applyNumberFormat="0" applyFont="0" applyAlignment="0" applyProtection="0"/>
    <xf numFmtId="0" fontId="33" fillId="76" borderId="55" applyNumberFormat="0" applyFont="0" applyAlignment="0" applyProtection="0"/>
    <xf numFmtId="0" fontId="33" fillId="76" borderId="55" applyNumberFormat="0" applyFont="0" applyAlignment="0" applyProtection="0"/>
    <xf numFmtId="0" fontId="33" fillId="76" borderId="55" applyNumberFormat="0" applyFont="0" applyAlignment="0" applyProtection="0"/>
    <xf numFmtId="0" fontId="134" fillId="61" borderId="56" applyNumberFormat="0" applyAlignment="0" applyProtection="0"/>
    <xf numFmtId="0" fontId="134" fillId="61" borderId="56" applyNumberFormat="0" applyAlignment="0" applyProtection="0"/>
    <xf numFmtId="0" fontId="134" fillId="61" borderId="56" applyNumberFormat="0" applyAlignment="0" applyProtection="0"/>
    <xf numFmtId="0" fontId="134" fillId="61" borderId="56" applyNumberFormat="0" applyAlignment="0" applyProtection="0"/>
    <xf numFmtId="0" fontId="134" fillId="61" borderId="56" applyNumberFormat="0" applyAlignment="0" applyProtection="0"/>
    <xf numFmtId="0" fontId="134" fillId="61" borderId="56" applyNumberFormat="0" applyAlignment="0" applyProtection="0"/>
    <xf numFmtId="0" fontId="134" fillId="61" borderId="56"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51" fillId="80" borderId="62" applyNumberFormat="0" applyProtection="0">
      <alignment horizontal="center" vertical="center"/>
    </xf>
    <xf numFmtId="0" fontId="151" fillId="80" borderId="62" applyNumberFormat="0" applyProtection="0">
      <alignment horizontal="center" vertical="center"/>
    </xf>
    <xf numFmtId="0" fontId="151" fillId="80" borderId="62" applyNumberFormat="0" applyProtection="0">
      <alignment horizontal="center" vertical="center"/>
    </xf>
    <xf numFmtId="0" fontId="41" fillId="80" borderId="62" applyNumberFormat="0" applyProtection="0">
      <alignment horizontal="center" vertical="center"/>
    </xf>
    <xf numFmtId="0" fontId="41" fillId="80" borderId="62" applyNumberFormat="0" applyProtection="0">
      <alignment horizontal="center" vertical="center"/>
    </xf>
    <xf numFmtId="0" fontId="41" fillId="80" borderId="62" applyNumberFormat="0" applyProtection="0">
      <alignment horizontal="center" vertical="center"/>
    </xf>
    <xf numFmtId="0" fontId="41" fillId="80" borderId="62" applyNumberFormat="0" applyProtection="0">
      <alignment horizontal="center" vertical="center"/>
    </xf>
    <xf numFmtId="0" fontId="41" fillId="80" borderId="62" applyNumberFormat="0" applyProtection="0">
      <alignment horizontal="center" vertical="center"/>
    </xf>
    <xf numFmtId="0" fontId="41" fillId="80" borderId="62" applyNumberFormat="0" applyProtection="0">
      <alignment horizontal="center" vertical="center" wrapText="1"/>
    </xf>
    <xf numFmtId="0" fontId="41" fillId="80" borderId="62" applyNumberFormat="0" applyProtection="0">
      <alignment horizontal="center" vertical="center" wrapText="1"/>
    </xf>
    <xf numFmtId="0" fontId="41" fillId="80" borderId="62" applyNumberFormat="0" applyProtection="0">
      <alignment horizontal="center" vertical="center" wrapText="1"/>
    </xf>
    <xf numFmtId="0" fontId="41" fillId="80" borderId="62" applyNumberFormat="0" applyProtection="0">
      <alignment horizontal="center" vertical="center" wrapText="1"/>
    </xf>
    <xf numFmtId="0" fontId="41" fillId="80" borderId="62" applyNumberFormat="0" applyProtection="0">
      <alignment horizontal="center" vertical="center" wrapText="1"/>
    </xf>
    <xf numFmtId="0" fontId="41" fillId="80" borderId="62" applyNumberFormat="0" applyProtection="0">
      <alignment horizontal="center" vertical="center" wrapText="1"/>
    </xf>
    <xf numFmtId="0" fontId="41" fillId="80" borderId="62" applyNumberFormat="0" applyProtection="0">
      <alignment horizontal="center" vertical="center" wrapText="1"/>
    </xf>
    <xf numFmtId="0" fontId="41" fillId="80" borderId="62" applyNumberFormat="0" applyProtection="0">
      <alignment horizontal="center" vertical="center" wrapText="1"/>
    </xf>
    <xf numFmtId="0" fontId="22" fillId="38" borderId="62" applyNumberFormat="0" applyProtection="0">
      <alignment horizontal="left" vertical="center"/>
    </xf>
    <xf numFmtId="0" fontId="22" fillId="38" borderId="62" applyNumberFormat="0" applyProtection="0">
      <alignment horizontal="left" vertical="center"/>
    </xf>
    <xf numFmtId="0" fontId="22" fillId="38" borderId="62" applyNumberFormat="0" applyProtection="0">
      <alignment horizontal="left" vertical="center"/>
    </xf>
    <xf numFmtId="0" fontId="22" fillId="38" borderId="62" applyNumberFormat="0" applyProtection="0">
      <alignment horizontal="left" vertical="center"/>
    </xf>
    <xf numFmtId="0" fontId="22" fillId="38" borderId="62" applyNumberFormat="0" applyProtection="0">
      <alignment horizontal="left" vertical="center"/>
    </xf>
    <xf numFmtId="0" fontId="22" fillId="38" borderId="62" applyNumberFormat="0" applyProtection="0">
      <alignment horizontal="left" vertical="center"/>
    </xf>
    <xf numFmtId="0" fontId="22" fillId="38" borderId="62" applyNumberFormat="0" applyProtection="0">
      <alignment horizontal="left" vertical="center"/>
    </xf>
    <xf numFmtId="0" fontId="41" fillId="36" borderId="62" applyNumberFormat="0" applyProtection="0">
      <alignment horizontal="left" vertical="center" wrapText="1"/>
    </xf>
    <xf numFmtId="0" fontId="41" fillId="36" borderId="62" applyNumberFormat="0" applyProtection="0">
      <alignment horizontal="left" vertical="center" wrapText="1"/>
    </xf>
    <xf numFmtId="0" fontId="22" fillId="38" borderId="62" applyNumberFormat="0" applyProtection="0">
      <alignment horizontal="left" vertical="center" wrapText="1"/>
    </xf>
    <xf numFmtId="0" fontId="22" fillId="38" borderId="62" applyNumberFormat="0" applyProtection="0">
      <alignment horizontal="left" vertical="center" wrapText="1"/>
    </xf>
    <xf numFmtId="0" fontId="22" fillId="38" borderId="62" applyNumberFormat="0" applyProtection="0">
      <alignment horizontal="left" vertical="center" wrapText="1"/>
    </xf>
    <xf numFmtId="0" fontId="22" fillId="38" borderId="62" applyNumberFormat="0" applyProtection="0">
      <alignment horizontal="left" vertical="center" wrapText="1"/>
    </xf>
    <xf numFmtId="0" fontId="22" fillId="38" borderId="62" applyNumberFormat="0" applyProtection="0">
      <alignment horizontal="left" vertical="center" wrapText="1"/>
    </xf>
    <xf numFmtId="0" fontId="22" fillId="38" borderId="62" applyNumberFormat="0" applyProtection="0">
      <alignment horizontal="left" vertical="center" wrapText="1"/>
    </xf>
    <xf numFmtId="0" fontId="22" fillId="38" borderId="62" applyNumberFormat="0" applyProtection="0">
      <alignment horizontal="left" vertical="center" wrapText="1"/>
    </xf>
    <xf numFmtId="0" fontId="41" fillId="36" borderId="62" applyNumberFormat="0" applyProtection="0">
      <alignment horizontal="left" vertical="center" wrapText="1"/>
    </xf>
    <xf numFmtId="0" fontId="41" fillId="36" borderId="62" applyNumberFormat="0" applyProtection="0">
      <alignment horizontal="left" vertical="center" wrapText="1"/>
    </xf>
    <xf numFmtId="0" fontId="172" fillId="0" borderId="58" applyNumberFormat="0" applyFill="0" applyAlignment="0" applyProtection="0"/>
    <xf numFmtId="0" fontId="172" fillId="0" borderId="58" applyNumberFormat="0" applyFill="0" applyAlignment="0" applyProtection="0"/>
    <xf numFmtId="0" fontId="172" fillId="0" borderId="58" applyNumberFormat="0" applyFill="0" applyAlignment="0" applyProtection="0"/>
    <xf numFmtId="0" fontId="172" fillId="0" borderId="58" applyNumberFormat="0" applyFill="0" applyAlignment="0" applyProtection="0"/>
    <xf numFmtId="0" fontId="172" fillId="0" borderId="58" applyNumberFormat="0" applyFill="0" applyAlignment="0" applyProtection="0"/>
    <xf numFmtId="0" fontId="172" fillId="0" borderId="58" applyNumberFormat="0" applyFill="0" applyAlignment="0" applyProtection="0"/>
    <xf numFmtId="0" fontId="172" fillId="0" borderId="58" applyNumberFormat="0" applyFill="0" applyAlignment="0" applyProtection="0"/>
    <xf numFmtId="0" fontId="33" fillId="0" borderId="0"/>
    <xf numFmtId="0" fontId="44" fillId="0" borderId="0"/>
    <xf numFmtId="9" fontId="44" fillId="0" borderId="0" applyFont="0" applyFill="0" applyBorder="0" applyAlignment="0" applyProtection="0"/>
    <xf numFmtId="0" fontId="22" fillId="0" borderId="0"/>
    <xf numFmtId="170" fontId="1" fillId="0" borderId="0" applyFont="0" applyFill="0" applyBorder="0" applyAlignment="0" applyProtection="0"/>
    <xf numFmtId="0" fontId="1" fillId="0" borderId="0"/>
  </cellStyleXfs>
  <cellXfs count="974">
    <xf numFmtId="0" fontId="0" fillId="0" borderId="0" xfId="0"/>
    <xf numFmtId="0" fontId="18" fillId="35" borderId="62" xfId="0" applyFont="1" applyFill="1" applyBorder="1" applyAlignment="1">
      <alignment horizontal="center" vertical="center" wrapText="1"/>
    </xf>
    <xf numFmtId="0" fontId="179" fillId="35" borderId="61" xfId="0" applyFont="1" applyFill="1" applyBorder="1" applyAlignment="1">
      <alignment horizontal="center" vertical="center" wrapText="1"/>
    </xf>
    <xf numFmtId="0" fontId="18" fillId="35" borderId="62" xfId="0" applyFont="1" applyFill="1" applyBorder="1" applyAlignment="1">
      <alignment horizontal="center" vertical="center"/>
    </xf>
    <xf numFmtId="0" fontId="0" fillId="0" borderId="78" xfId="0" applyBorder="1"/>
    <xf numFmtId="0" fontId="0" fillId="0" borderId="79" xfId="0" applyBorder="1"/>
    <xf numFmtId="0" fontId="0" fillId="0" borderId="78" xfId="0" applyBorder="1" applyAlignment="1">
      <alignment horizontal="center"/>
    </xf>
    <xf numFmtId="0" fontId="0" fillId="0" borderId="12" xfId="0" applyBorder="1" applyAlignment="1">
      <alignment horizontal="center"/>
    </xf>
    <xf numFmtId="0" fontId="0" fillId="0" borderId="12" xfId="0" applyBorder="1"/>
    <xf numFmtId="0" fontId="0" fillId="0" borderId="20" xfId="0" applyBorder="1"/>
    <xf numFmtId="10" fontId="0" fillId="0" borderId="18" xfId="0" applyNumberFormat="1" applyBorder="1"/>
    <xf numFmtId="3" fontId="0" fillId="0" borderId="20" xfId="0" applyNumberFormat="1" applyBorder="1"/>
    <xf numFmtId="3" fontId="0" fillId="0" borderId="0" xfId="0" applyNumberFormat="1" applyBorder="1"/>
    <xf numFmtId="3" fontId="0" fillId="0" borderId="18" xfId="0" applyNumberFormat="1" applyBorder="1"/>
    <xf numFmtId="10" fontId="0" fillId="87" borderId="18" xfId="0" applyNumberFormat="1" applyFill="1" applyBorder="1"/>
    <xf numFmtId="284" fontId="0" fillId="0" borderId="20" xfId="0" applyNumberFormat="1" applyBorder="1"/>
    <xf numFmtId="284" fontId="0" fillId="0" borderId="0" xfId="0" applyNumberFormat="1" applyBorder="1"/>
    <xf numFmtId="284" fontId="0" fillId="0" borderId="18" xfId="0" applyNumberFormat="1" applyBorder="1"/>
    <xf numFmtId="284" fontId="0" fillId="0" borderId="0" xfId="0" applyNumberFormat="1"/>
    <xf numFmtId="3" fontId="0" fillId="87" borderId="20" xfId="0" applyNumberFormat="1" applyFill="1" applyBorder="1"/>
    <xf numFmtId="3" fontId="0" fillId="87" borderId="18" xfId="0" applyNumberFormat="1" applyFill="1" applyBorder="1"/>
    <xf numFmtId="0" fontId="0" fillId="87" borderId="20" xfId="0" applyFill="1" applyBorder="1"/>
    <xf numFmtId="0" fontId="0" fillId="87" borderId="0" xfId="0" applyFill="1" applyBorder="1"/>
    <xf numFmtId="0" fontId="0" fillId="87" borderId="18" xfId="0" applyFill="1" applyBorder="1"/>
    <xf numFmtId="0" fontId="0" fillId="0" borderId="0" xfId="0" applyBorder="1"/>
    <xf numFmtId="1" fontId="0" fillId="0" borderId="0" xfId="0" applyNumberFormat="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10" fontId="0" fillId="0" borderId="0" xfId="0" applyNumberFormat="1" applyFill="1" applyBorder="1"/>
    <xf numFmtId="0" fontId="195" fillId="0" borderId="0" xfId="0" applyFont="1"/>
    <xf numFmtId="0" fontId="195" fillId="0" borderId="0" xfId="0" applyFont="1" applyFill="1"/>
    <xf numFmtId="0" fontId="44" fillId="0" borderId="0" xfId="0" applyFont="1"/>
    <xf numFmtId="3" fontId="44" fillId="0" borderId="0" xfId="0" applyNumberFormat="1" applyFont="1"/>
    <xf numFmtId="171" fontId="44" fillId="0" borderId="0" xfId="0" applyNumberFormat="1" applyFont="1"/>
    <xf numFmtId="171" fontId="44" fillId="0" borderId="0" xfId="0" applyNumberFormat="1" applyFont="1" applyFill="1"/>
    <xf numFmtId="4" fontId="0" fillId="0" borderId="0" xfId="0" applyNumberFormat="1"/>
    <xf numFmtId="0" fontId="199" fillId="0" borderId="0" xfId="0" applyFont="1"/>
    <xf numFmtId="0" fontId="0" fillId="0" borderId="0" xfId="0" applyNumberFormat="1"/>
    <xf numFmtId="209" fontId="0" fillId="0" borderId="0" xfId="0" applyNumberFormat="1"/>
    <xf numFmtId="0" fontId="0" fillId="0" borderId="0" xfId="0" applyProtection="1"/>
    <xf numFmtId="0" fontId="0" fillId="0" borderId="0" xfId="0" applyBorder="1" applyProtection="1"/>
    <xf numFmtId="0" fontId="0" fillId="0" borderId="0" xfId="0" applyProtection="1">
      <protection locked="0"/>
    </xf>
    <xf numFmtId="0" fontId="0" fillId="0" borderId="0" xfId="0" applyFill="1" applyBorder="1" applyProtection="1">
      <protection locked="0"/>
    </xf>
    <xf numFmtId="0" fontId="22" fillId="0" borderId="0" xfId="1734"/>
    <xf numFmtId="0" fontId="22" fillId="0" borderId="0" xfId="1734" applyFill="1"/>
    <xf numFmtId="0" fontId="0" fillId="0" borderId="0" xfId="0"/>
    <xf numFmtId="0" fontId="0" fillId="0" borderId="0" xfId="0" applyAlignment="1">
      <alignment horizontal="center"/>
    </xf>
    <xf numFmtId="0" fontId="0" fillId="0" borderId="0" xfId="0" applyFill="1"/>
    <xf numFmtId="0" fontId="0" fillId="0" borderId="0" xfId="0" applyFill="1" applyBorder="1"/>
    <xf numFmtId="9" fontId="0" fillId="0" borderId="0" xfId="0" applyNumberFormat="1"/>
    <xf numFmtId="0" fontId="0" fillId="0" borderId="0" xfId="0" applyAlignment="1">
      <alignment horizontal="right"/>
    </xf>
    <xf numFmtId="3" fontId="0" fillId="0" borderId="0" xfId="0" applyNumberFormat="1"/>
    <xf numFmtId="0" fontId="15" fillId="0" borderId="0" xfId="0" applyFont="1"/>
    <xf numFmtId="0" fontId="0" fillId="0" borderId="0" xfId="0" applyAlignment="1">
      <alignment horizontal="left"/>
    </xf>
    <xf numFmtId="3" fontId="0" fillId="0" borderId="0" xfId="0" applyNumberFormat="1" applyBorder="1" applyAlignment="1">
      <alignment horizontal="center"/>
    </xf>
    <xf numFmtId="0" fontId="1" fillId="0" borderId="0" xfId="3306" applyProtection="1">
      <protection locked="0"/>
    </xf>
    <xf numFmtId="0" fontId="1" fillId="0" borderId="0" xfId="3306" applyFont="1" applyProtection="1">
      <protection locked="0"/>
    </xf>
    <xf numFmtId="0" fontId="15" fillId="0" borderId="0" xfId="3306" applyFont="1" applyProtection="1">
      <protection locked="0"/>
    </xf>
    <xf numFmtId="0" fontId="1" fillId="0" borderId="0" xfId="3306" applyBorder="1" applyProtection="1">
      <protection locked="0"/>
    </xf>
    <xf numFmtId="0" fontId="1" fillId="0" borderId="84" xfId="3306" applyBorder="1" applyProtection="1">
      <protection locked="0"/>
    </xf>
    <xf numFmtId="0" fontId="1" fillId="0" borderId="0" xfId="3306" applyFont="1" applyBorder="1" applyProtection="1">
      <protection locked="0"/>
    </xf>
    <xf numFmtId="43" fontId="15" fillId="0" borderId="0" xfId="853" applyNumberFormat="1" applyFont="1" applyBorder="1" applyProtection="1">
      <protection locked="0"/>
    </xf>
    <xf numFmtId="0" fontId="15" fillId="0" borderId="0" xfId="3306" applyFont="1" applyBorder="1" applyProtection="1">
      <protection locked="0"/>
    </xf>
    <xf numFmtId="43" fontId="15" fillId="0" borderId="85" xfId="853" applyNumberFormat="1" applyFont="1" applyBorder="1" applyProtection="1">
      <protection locked="0"/>
    </xf>
    <xf numFmtId="43" fontId="15" fillId="0" borderId="95" xfId="853" applyNumberFormat="1" applyFont="1" applyBorder="1" applyProtection="1">
      <protection locked="0"/>
    </xf>
    <xf numFmtId="43" fontId="15" fillId="0" borderId="17" xfId="853" applyNumberFormat="1" applyFont="1" applyBorder="1" applyProtection="1">
      <protection locked="0"/>
    </xf>
    <xf numFmtId="0" fontId="15" fillId="0" borderId="86" xfId="3306" applyFont="1" applyBorder="1" applyProtection="1">
      <protection locked="0"/>
    </xf>
    <xf numFmtId="43" fontId="201" fillId="0" borderId="96" xfId="853" applyNumberFormat="1" applyFont="1" applyBorder="1" applyProtection="1">
      <protection locked="0"/>
    </xf>
    <xf numFmtId="43" fontId="201" fillId="89" borderId="97" xfId="853" applyNumberFormat="1" applyFont="1" applyFill="1" applyBorder="1" applyProtection="1">
      <protection locked="0"/>
    </xf>
    <xf numFmtId="43" fontId="201" fillId="0" borderId="94" xfId="853" applyNumberFormat="1" applyFont="1" applyBorder="1" applyProtection="1">
      <protection locked="0"/>
    </xf>
    <xf numFmtId="0" fontId="1" fillId="0" borderId="90" xfId="3306" applyFont="1" applyBorder="1" applyProtection="1">
      <protection locked="0"/>
    </xf>
    <xf numFmtId="43" fontId="201" fillId="0" borderId="83" xfId="853" applyNumberFormat="1" applyFont="1" applyBorder="1" applyProtection="1">
      <protection locked="0"/>
    </xf>
    <xf numFmtId="43" fontId="201" fillId="92" borderId="98" xfId="853" applyNumberFormat="1" applyFont="1" applyFill="1" applyBorder="1" applyProtection="1">
      <protection locked="0"/>
    </xf>
    <xf numFmtId="43" fontId="201" fillId="89" borderId="0" xfId="853" applyNumberFormat="1" applyFont="1" applyFill="1" applyBorder="1" applyProtection="1">
      <protection locked="0"/>
    </xf>
    <xf numFmtId="43" fontId="201" fillId="0" borderId="0" xfId="853" applyNumberFormat="1" applyFont="1" applyFill="1" applyBorder="1" applyProtection="1">
      <protection locked="0"/>
    </xf>
    <xf numFmtId="43" fontId="201" fillId="0" borderId="0" xfId="853" applyNumberFormat="1" applyFont="1" applyBorder="1" applyProtection="1">
      <protection locked="0"/>
    </xf>
    <xf numFmtId="0" fontId="1" fillId="0" borderId="84" xfId="3306" applyFont="1" applyBorder="1" applyProtection="1">
      <protection locked="0"/>
    </xf>
    <xf numFmtId="43" fontId="201" fillId="92" borderId="0" xfId="853" applyNumberFormat="1" applyFont="1" applyFill="1" applyBorder="1" applyProtection="1">
      <protection locked="0"/>
    </xf>
    <xf numFmtId="43" fontId="201" fillId="92" borderId="99" xfId="853" applyNumberFormat="1" applyFont="1" applyFill="1" applyBorder="1" applyProtection="1">
      <protection locked="0"/>
    </xf>
    <xf numFmtId="43" fontId="201" fillId="92" borderId="100" xfId="853" applyNumberFormat="1" applyFont="1" applyFill="1" applyBorder="1" applyProtection="1">
      <protection locked="0"/>
    </xf>
    <xf numFmtId="43" fontId="201" fillId="89" borderId="100" xfId="853" applyNumberFormat="1" applyFont="1" applyFill="1" applyBorder="1" applyProtection="1">
      <protection locked="0"/>
    </xf>
    <xf numFmtId="10" fontId="201" fillId="92" borderId="0" xfId="4084" applyNumberFormat="1" applyFont="1" applyFill="1" applyBorder="1" applyProtection="1">
      <protection locked="0"/>
    </xf>
    <xf numFmtId="10" fontId="15" fillId="0" borderId="101" xfId="3306" applyNumberFormat="1" applyFont="1" applyBorder="1" applyProtection="1">
      <protection locked="0"/>
    </xf>
    <xf numFmtId="10" fontId="15" fillId="0" borderId="102" xfId="3306" applyNumberFormat="1" applyFont="1" applyBorder="1" applyProtection="1">
      <protection locked="0"/>
    </xf>
    <xf numFmtId="10" fontId="15" fillId="0" borderId="89" xfId="3306" applyNumberFormat="1" applyFont="1" applyBorder="1" applyProtection="1">
      <protection locked="0"/>
    </xf>
    <xf numFmtId="0" fontId="15" fillId="0" borderId="103" xfId="3306" applyFont="1" applyBorder="1" applyProtection="1">
      <protection locked="0"/>
    </xf>
    <xf numFmtId="10" fontId="201" fillId="0" borderId="96" xfId="4084" applyNumberFormat="1" applyFont="1" applyBorder="1" applyProtection="1">
      <protection locked="0"/>
    </xf>
    <xf numFmtId="0" fontId="1" fillId="0" borderId="94" xfId="3306" applyFont="1" applyBorder="1" applyProtection="1">
      <protection locked="0"/>
    </xf>
    <xf numFmtId="10" fontId="201" fillId="0" borderId="83" xfId="4084" applyNumberFormat="1" applyFont="1" applyBorder="1" applyProtection="1">
      <protection locked="0"/>
    </xf>
    <xf numFmtId="10" fontId="201" fillId="92" borderId="98" xfId="4084" applyNumberFormat="1" applyFont="1" applyFill="1" applyBorder="1" applyProtection="1">
      <protection locked="0"/>
    </xf>
    <xf numFmtId="10" fontId="201" fillId="0" borderId="0" xfId="4084" applyNumberFormat="1" applyFont="1" applyBorder="1" applyProtection="1">
      <protection locked="0"/>
    </xf>
    <xf numFmtId="0" fontId="15" fillId="90" borderId="83" xfId="3306" applyFont="1" applyFill="1" applyBorder="1" applyAlignment="1" applyProtection="1">
      <alignment horizontal="right"/>
      <protection locked="0"/>
    </xf>
    <xf numFmtId="0" fontId="15" fillId="90" borderId="0" xfId="3306" applyFont="1" applyFill="1" applyBorder="1" applyAlignment="1" applyProtection="1">
      <alignment horizontal="right"/>
      <protection locked="0"/>
    </xf>
    <xf numFmtId="0" fontId="15" fillId="90" borderId="84" xfId="3306" applyFont="1" applyFill="1" applyBorder="1" applyAlignment="1" applyProtection="1">
      <alignment horizontal="right"/>
      <protection locked="0"/>
    </xf>
    <xf numFmtId="0" fontId="1" fillId="0" borderId="104" xfId="3306" applyBorder="1" applyProtection="1">
      <protection locked="0"/>
    </xf>
    <xf numFmtId="0" fontId="1" fillId="0" borderId="86" xfId="3306" applyBorder="1" applyProtection="1">
      <protection locked="0"/>
    </xf>
    <xf numFmtId="0" fontId="1" fillId="0" borderId="105" xfId="3306" applyBorder="1" applyProtection="1">
      <protection locked="0"/>
    </xf>
    <xf numFmtId="10" fontId="15" fillId="0" borderId="83" xfId="3306" applyNumberFormat="1" applyFont="1" applyBorder="1" applyProtection="1">
      <protection locked="0"/>
    </xf>
    <xf numFmtId="10" fontId="15" fillId="0" borderId="0" xfId="3306" applyNumberFormat="1" applyFont="1" applyBorder="1" applyProtection="1">
      <protection locked="0"/>
    </xf>
    <xf numFmtId="0" fontId="15" fillId="0" borderId="84" xfId="3306" applyFont="1" applyBorder="1" applyProtection="1">
      <protection locked="0"/>
    </xf>
    <xf numFmtId="9" fontId="1" fillId="0" borderId="0" xfId="3306" applyNumberFormat="1" applyProtection="1">
      <protection locked="0"/>
    </xf>
    <xf numFmtId="9" fontId="1" fillId="34" borderId="0" xfId="3306" applyNumberFormat="1" applyFill="1" applyProtection="1">
      <protection locked="0"/>
    </xf>
    <xf numFmtId="9" fontId="0" fillId="34" borderId="0" xfId="4084" applyFont="1" applyFill="1" applyProtection="1">
      <protection locked="0"/>
    </xf>
    <xf numFmtId="0" fontId="15" fillId="0" borderId="105" xfId="3306" applyFont="1" applyBorder="1" applyProtection="1">
      <protection locked="0"/>
    </xf>
    <xf numFmtId="0" fontId="15" fillId="91" borderId="83" xfId="3306" applyFont="1" applyFill="1" applyBorder="1" applyAlignment="1" applyProtection="1">
      <alignment horizontal="right"/>
      <protection locked="0"/>
    </xf>
    <xf numFmtId="0" fontId="15" fillId="91" borderId="0" xfId="3306" applyFont="1" applyFill="1" applyBorder="1" applyAlignment="1" applyProtection="1">
      <alignment horizontal="right"/>
      <protection locked="0"/>
    </xf>
    <xf numFmtId="0" fontId="15" fillId="91" borderId="84" xfId="3306" applyFont="1" applyFill="1" applyBorder="1" applyAlignment="1" applyProtection="1">
      <alignment horizontal="right"/>
      <protection locked="0"/>
    </xf>
    <xf numFmtId="49" fontId="1" fillId="0" borderId="0" xfId="3306" applyNumberFormat="1" applyFont="1" applyAlignment="1" applyProtection="1">
      <alignment vertical="top" wrapText="1"/>
      <protection locked="0"/>
    </xf>
    <xf numFmtId="49" fontId="212" fillId="0" borderId="0" xfId="853" applyNumberFormat="1" applyFont="1" applyBorder="1" applyAlignment="1" applyProtection="1">
      <alignment vertical="top" wrapText="1"/>
      <protection locked="0"/>
    </xf>
    <xf numFmtId="0" fontId="22" fillId="0" borderId="0" xfId="1795" applyProtection="1">
      <protection locked="0"/>
    </xf>
    <xf numFmtId="0" fontId="22" fillId="0" borderId="0" xfId="1795" applyAlignment="1" applyProtection="1">
      <alignment horizontal="left"/>
      <protection locked="0"/>
    </xf>
    <xf numFmtId="0" fontId="71" fillId="0" borderId="0" xfId="1795" applyFont="1" applyFill="1" applyAlignment="1" applyProtection="1">
      <alignment horizontal="right" vertical="top"/>
      <protection locked="0"/>
    </xf>
    <xf numFmtId="0" fontId="71" fillId="89" borderId="0" xfId="1795" applyFont="1" applyFill="1" applyAlignment="1" applyProtection="1">
      <alignment horizontal="right" vertical="top"/>
      <protection locked="0"/>
    </xf>
    <xf numFmtId="0" fontId="41" fillId="0" borderId="0" xfId="1795" applyFont="1" applyAlignment="1" applyProtection="1">
      <alignment horizontal="left"/>
      <protection locked="0"/>
    </xf>
    <xf numFmtId="0" fontId="71" fillId="0" borderId="0" xfId="1795" applyFont="1" applyAlignment="1" applyProtection="1">
      <alignment horizontal="right" vertical="top"/>
      <protection locked="0"/>
    </xf>
    <xf numFmtId="0" fontId="71" fillId="0" borderId="106" xfId="1795" applyFont="1" applyFill="1" applyBorder="1" applyAlignment="1" applyProtection="1">
      <alignment horizontal="right" vertical="top"/>
      <protection locked="0"/>
    </xf>
    <xf numFmtId="0" fontId="71" fillId="89" borderId="106" xfId="1795" applyFont="1" applyFill="1" applyBorder="1" applyAlignment="1" applyProtection="1">
      <alignment horizontal="right" vertical="top"/>
      <protection locked="0"/>
    </xf>
    <xf numFmtId="0" fontId="217" fillId="0" borderId="0" xfId="0" applyFont="1" applyProtection="1">
      <protection locked="0"/>
    </xf>
    <xf numFmtId="0" fontId="201" fillId="0" borderId="0" xfId="0" applyFont="1" applyBorder="1" applyAlignment="1" applyProtection="1">
      <alignment horizontal="left" wrapText="1"/>
    </xf>
    <xf numFmtId="0" fontId="0" fillId="0" borderId="0" xfId="0" applyBorder="1" applyAlignment="1" applyProtection="1">
      <alignment horizontal="left" wrapText="1"/>
    </xf>
    <xf numFmtId="0" fontId="15" fillId="0" borderId="62" xfId="0" applyFont="1" applyBorder="1" applyAlignment="1" applyProtection="1">
      <alignment horizontal="left" vertical="center"/>
    </xf>
    <xf numFmtId="0" fontId="15" fillId="0" borderId="62" xfId="0" applyFont="1" applyBorder="1" applyAlignment="1" applyProtection="1">
      <alignment horizontal="left" vertical="center" wrapText="1"/>
    </xf>
    <xf numFmtId="0" fontId="0" fillId="0" borderId="20"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0" xfId="0" applyAlignment="1" applyProtection="1">
      <alignment horizontal="left"/>
    </xf>
    <xf numFmtId="0" fontId="218" fillId="0" borderId="59" xfId="0" applyNumberFormat="1" applyFont="1" applyBorder="1" applyProtection="1"/>
    <xf numFmtId="0" fontId="0" fillId="0" borderId="61" xfId="0" applyBorder="1" applyProtection="1"/>
    <xf numFmtId="0" fontId="15" fillId="0" borderId="62" xfId="0" applyFont="1" applyBorder="1" applyAlignment="1" applyProtection="1">
      <alignment horizontal="center" vertical="center" wrapText="1"/>
    </xf>
    <xf numFmtId="0" fontId="20" fillId="75" borderId="62" xfId="5415" applyFont="1" applyFill="1" applyBorder="1" applyAlignment="1" applyProtection="1">
      <alignment vertical="center" wrapText="1"/>
      <protection locked="0"/>
    </xf>
    <xf numFmtId="49" fontId="20" fillId="75" borderId="62" xfId="5415" applyNumberFormat="1" applyFont="1" applyFill="1" applyBorder="1" applyAlignment="1" applyProtection="1">
      <alignment horizontal="center" vertical="center" wrapText="1"/>
      <protection locked="0"/>
    </xf>
    <xf numFmtId="286" fontId="20" fillId="75" borderId="62" xfId="5415" quotePrefix="1" applyNumberFormat="1" applyFont="1" applyFill="1" applyBorder="1" applyAlignment="1" applyProtection="1">
      <alignment horizontal="center" vertical="center" wrapText="1"/>
      <protection locked="0"/>
    </xf>
    <xf numFmtId="0" fontId="20" fillId="75" borderId="61" xfId="5415" applyFont="1" applyFill="1" applyBorder="1" applyAlignment="1" applyProtection="1">
      <alignment vertical="center" wrapText="1"/>
      <protection locked="0"/>
    </xf>
    <xf numFmtId="284" fontId="20" fillId="75" borderId="62" xfId="5415" applyNumberFormat="1" applyFont="1" applyFill="1" applyBorder="1" applyAlignment="1" applyProtection="1">
      <alignment horizontal="center" vertical="center" wrapText="1"/>
      <protection locked="0"/>
    </xf>
    <xf numFmtId="287" fontId="20" fillId="75" borderId="62" xfId="5415" applyNumberFormat="1" applyFont="1" applyFill="1" applyBorder="1" applyAlignment="1" applyProtection="1">
      <alignment horizontal="center" vertical="center" wrapText="1"/>
      <protection locked="0"/>
    </xf>
    <xf numFmtId="284" fontId="220" fillId="2" borderId="62" xfId="4533" applyNumberFormat="1" applyFont="1" applyBorder="1" applyAlignment="1" applyProtection="1">
      <alignment horizontal="center" vertical="center"/>
    </xf>
    <xf numFmtId="3" fontId="221" fillId="93" borderId="62" xfId="5415" applyNumberFormat="1" applyFont="1" applyFill="1" applyBorder="1" applyAlignment="1" applyProtection="1">
      <alignment horizontal="center" vertical="center" wrapText="1"/>
      <protection locked="0"/>
    </xf>
    <xf numFmtId="3" fontId="20" fillId="75" borderId="62" xfId="5415" applyNumberFormat="1" applyFont="1" applyFill="1" applyBorder="1" applyAlignment="1" applyProtection="1">
      <alignment horizontal="center" vertical="center" wrapText="1"/>
      <protection locked="0"/>
    </xf>
    <xf numFmtId="286" fontId="20" fillId="75" borderId="62" xfId="5415" applyNumberFormat="1" applyFont="1" applyFill="1" applyBorder="1" applyAlignment="1" applyProtection="1">
      <alignment horizontal="center" vertical="center" wrapText="1"/>
      <protection locked="0"/>
    </xf>
    <xf numFmtId="287" fontId="221" fillId="75" borderId="62" xfId="5415" applyNumberFormat="1" applyFont="1" applyFill="1" applyBorder="1" applyAlignment="1" applyProtection="1">
      <alignment horizontal="center" vertical="center" wrapText="1"/>
      <protection locked="0"/>
    </xf>
    <xf numFmtId="0" fontId="15" fillId="0" borderId="59" xfId="0" applyFont="1" applyBorder="1" applyAlignment="1" applyProtection="1">
      <alignment vertical="center"/>
    </xf>
    <xf numFmtId="0" fontId="15" fillId="0" borderId="60" xfId="0" applyFont="1" applyBorder="1" applyAlignment="1" applyProtection="1">
      <alignment vertical="center"/>
      <protection locked="0"/>
    </xf>
    <xf numFmtId="0" fontId="15" fillId="0" borderId="61" xfId="0" applyFont="1" applyBorder="1" applyAlignment="1" applyProtection="1">
      <alignment vertical="center"/>
      <protection locked="0"/>
    </xf>
    <xf numFmtId="287" fontId="220" fillId="2" borderId="62" xfId="4533" applyNumberFormat="1" applyFont="1" applyBorder="1" applyAlignment="1" applyProtection="1">
      <alignment horizontal="center" vertical="center"/>
    </xf>
    <xf numFmtId="0" fontId="15" fillId="0" borderId="80" xfId="0" applyFont="1" applyBorder="1" applyAlignment="1" applyProtection="1">
      <alignment vertical="center"/>
    </xf>
    <xf numFmtId="172" fontId="220" fillId="0" borderId="60" xfId="4533" applyNumberFormat="1" applyFont="1" applyFill="1" applyBorder="1" applyAlignment="1" applyProtection="1">
      <alignment horizontal="center" vertical="center"/>
    </xf>
    <xf numFmtId="0" fontId="0" fillId="0" borderId="0" xfId="0" applyBorder="1" applyProtection="1">
      <protection locked="0"/>
    </xf>
    <xf numFmtId="0" fontId="15" fillId="0" borderId="80" xfId="0" applyFont="1" applyBorder="1" applyAlignment="1" applyProtection="1">
      <alignment vertical="center"/>
      <protection locked="0"/>
    </xf>
    <xf numFmtId="0" fontId="20" fillId="0" borderId="62" xfId="5415" applyFont="1" applyFill="1" applyBorder="1" applyAlignment="1" applyProtection="1">
      <alignment horizontal="center" vertical="center" wrapText="1"/>
      <protection locked="0"/>
    </xf>
    <xf numFmtId="3" fontId="221" fillId="93" borderId="61" xfId="5415" applyNumberFormat="1" applyFont="1" applyFill="1" applyBorder="1" applyAlignment="1" applyProtection="1">
      <alignment horizontal="center" vertical="center" wrapText="1"/>
      <protection locked="0"/>
    </xf>
    <xf numFmtId="0" fontId="221" fillId="0" borderId="62" xfId="5415" applyFont="1" applyFill="1" applyBorder="1" applyAlignment="1" applyProtection="1">
      <alignment horizontal="center" vertical="center" wrapText="1"/>
      <protection locked="0"/>
    </xf>
    <xf numFmtId="172" fontId="220" fillId="2" borderId="62" xfId="4533" applyNumberFormat="1" applyFont="1" applyBorder="1" applyAlignment="1" applyProtection="1">
      <alignment horizontal="center" vertical="center"/>
    </xf>
    <xf numFmtId="0" fontId="15" fillId="0" borderId="60" xfId="0" applyFont="1" applyBorder="1" applyAlignment="1" applyProtection="1">
      <alignment horizontal="left" vertical="center"/>
      <protection locked="0"/>
    </xf>
    <xf numFmtId="0" fontId="20" fillId="75" borderId="62" xfId="5415" applyFont="1" applyFill="1" applyBorder="1" applyAlignment="1" applyProtection="1">
      <alignment horizontal="center" vertical="center" wrapText="1"/>
      <protection locked="0"/>
    </xf>
    <xf numFmtId="0" fontId="15" fillId="0" borderId="60" xfId="0" applyFont="1" applyFill="1" applyBorder="1" applyAlignment="1" applyProtection="1">
      <alignment horizontal="left" vertical="center"/>
      <protection locked="0"/>
    </xf>
    <xf numFmtId="0" fontId="0" fillId="0" borderId="60" xfId="0" applyFill="1" applyBorder="1" applyProtection="1">
      <protection locked="0"/>
    </xf>
    <xf numFmtId="0" fontId="0" fillId="0" borderId="60" xfId="0" applyFill="1" applyBorder="1" applyAlignment="1" applyProtection="1">
      <alignment horizontal="center" vertical="top" wrapText="1"/>
      <protection locked="0"/>
    </xf>
    <xf numFmtId="172" fontId="0" fillId="0" borderId="60" xfId="0" applyNumberFormat="1" applyFill="1" applyBorder="1" applyProtection="1">
      <protection hidden="1"/>
    </xf>
    <xf numFmtId="2" fontId="220" fillId="2" borderId="62" xfId="4533" applyNumberFormat="1" applyFont="1" applyBorder="1" applyAlignment="1" applyProtection="1">
      <alignment horizontal="center" vertical="center"/>
    </xf>
    <xf numFmtId="0" fontId="201" fillId="0" borderId="0" xfId="0" applyFont="1" applyFill="1" applyProtection="1">
      <protection locked="0"/>
    </xf>
    <xf numFmtId="0" fontId="23" fillId="0" borderId="0" xfId="0" applyFont="1" applyBorder="1" applyAlignment="1">
      <alignment wrapText="1"/>
    </xf>
    <xf numFmtId="0" fontId="15" fillId="0" borderId="0" xfId="0" applyFont="1" applyProtection="1">
      <protection locked="0"/>
    </xf>
    <xf numFmtId="0" fontId="0" fillId="0" borderId="0" xfId="0" applyFill="1" applyProtection="1">
      <protection locked="0"/>
    </xf>
    <xf numFmtId="0" fontId="23" fillId="0" borderId="0" xfId="0" applyFont="1" applyBorder="1"/>
    <xf numFmtId="43" fontId="1" fillId="0" borderId="84" xfId="3306" applyNumberFormat="1" applyBorder="1" applyProtection="1">
      <protection locked="0"/>
    </xf>
    <xf numFmtId="43" fontId="1" fillId="0" borderId="105" xfId="3306" applyNumberFormat="1" applyBorder="1" applyProtection="1">
      <protection locked="0"/>
    </xf>
    <xf numFmtId="43" fontId="1" fillId="89" borderId="84" xfId="3306" applyNumberFormat="1" applyFill="1" applyBorder="1" applyProtection="1">
      <protection locked="0"/>
    </xf>
    <xf numFmtId="0" fontId="0" fillId="0" borderId="0" xfId="0" applyAlignment="1"/>
    <xf numFmtId="0" fontId="222" fillId="0" borderId="0" xfId="0" applyFont="1" applyFill="1" applyBorder="1"/>
    <xf numFmtId="288" fontId="0" fillId="0" borderId="0" xfId="0" applyNumberFormat="1"/>
    <xf numFmtId="0" fontId="13" fillId="0" borderId="0" xfId="0" applyFont="1"/>
    <xf numFmtId="0" fontId="212" fillId="0" borderId="0" xfId="0" applyNumberFormat="1" applyFont="1" applyAlignment="1">
      <alignment vertical="top"/>
    </xf>
    <xf numFmtId="9" fontId="212" fillId="0" borderId="0" xfId="4666" applyFont="1" applyAlignment="1">
      <alignment horizontal="center" vertical="top"/>
    </xf>
    <xf numFmtId="0" fontId="0" fillId="0" borderId="0" xfId="0" applyBorder="1" applyAlignment="1">
      <alignment horizontal="center" vertical="center"/>
    </xf>
    <xf numFmtId="0" fontId="212" fillId="0" borderId="0" xfId="0" applyNumberFormat="1" applyFont="1" applyFill="1" applyAlignment="1">
      <alignment horizontal="center" vertical="top"/>
    </xf>
    <xf numFmtId="0" fontId="212" fillId="0" borderId="0" xfId="0" applyNumberFormat="1" applyFont="1" applyFill="1" applyAlignment="1">
      <alignment vertical="top"/>
    </xf>
    <xf numFmtId="0" fontId="224" fillId="0" borderId="0" xfId="0" applyNumberFormat="1" applyFont="1" applyFill="1" applyAlignment="1"/>
    <xf numFmtId="174" fontId="215" fillId="34" borderId="62" xfId="4666" applyNumberFormat="1" applyFont="1" applyFill="1" applyBorder="1" applyAlignment="1">
      <alignment horizontal="center" vertical="center"/>
    </xf>
    <xf numFmtId="0" fontId="0" fillId="0" borderId="0" xfId="0" applyFont="1" applyBorder="1" applyAlignment="1">
      <alignment horizontal="center" vertical="center"/>
    </xf>
    <xf numFmtId="0" fontId="225" fillId="0" borderId="0" xfId="0" applyFont="1" applyFill="1" applyAlignment="1">
      <alignment vertical="top" wrapText="1"/>
    </xf>
    <xf numFmtId="3" fontId="215" fillId="95" borderId="62" xfId="0" applyNumberFormat="1" applyFont="1" applyFill="1" applyBorder="1" applyAlignment="1">
      <alignment horizontal="center" vertical="center"/>
    </xf>
    <xf numFmtId="0" fontId="212" fillId="0" borderId="0" xfId="0" applyNumberFormat="1" applyFont="1" applyAlignment="1">
      <alignment horizontal="center" vertical="top"/>
    </xf>
    <xf numFmtId="0" fontId="201" fillId="0" borderId="0" xfId="0" applyNumberFormat="1" applyFont="1" applyFill="1" applyBorder="1" applyAlignment="1">
      <alignment horizontal="left" vertical="center"/>
    </xf>
    <xf numFmtId="0" fontId="201" fillId="0" borderId="0" xfId="0" applyNumberFormat="1" applyFont="1" applyAlignment="1">
      <alignment vertical="center"/>
    </xf>
    <xf numFmtId="3" fontId="227" fillId="95" borderId="62" xfId="0" applyNumberFormat="1" applyFont="1" applyFill="1" applyBorder="1" applyAlignment="1">
      <alignment horizontal="center" vertical="center"/>
    </xf>
    <xf numFmtId="3" fontId="202" fillId="0" borderId="0" xfId="0" applyNumberFormat="1" applyFont="1" applyBorder="1" applyAlignment="1">
      <alignment horizontal="center" vertical="center"/>
    </xf>
    <xf numFmtId="3" fontId="212" fillId="0" borderId="0" xfId="0" applyNumberFormat="1" applyFont="1" applyFill="1" applyBorder="1" applyAlignment="1">
      <alignment horizontal="left" vertical="center"/>
    </xf>
    <xf numFmtId="3" fontId="227" fillId="95" borderId="61" xfId="0" applyNumberFormat="1" applyFont="1" applyFill="1" applyBorder="1" applyAlignment="1">
      <alignment horizontal="left" vertical="center"/>
    </xf>
    <xf numFmtId="3" fontId="227" fillId="95" borderId="60" xfId="0" applyNumberFormat="1" applyFont="1" applyFill="1" applyBorder="1" applyAlignment="1">
      <alignment horizontal="left" vertical="center"/>
    </xf>
    <xf numFmtId="3" fontId="227" fillId="95" borderId="59" xfId="0" applyNumberFormat="1" applyFont="1" applyFill="1" applyBorder="1" applyAlignment="1">
      <alignment horizontal="left" vertical="center"/>
    </xf>
    <xf numFmtId="3" fontId="215" fillId="95" borderId="61" xfId="0" applyNumberFormat="1" applyFont="1" applyFill="1" applyBorder="1" applyAlignment="1">
      <alignment vertical="center"/>
    </xf>
    <xf numFmtId="3" fontId="215" fillId="95" borderId="59" xfId="0" applyNumberFormat="1" applyFont="1" applyFill="1" applyBorder="1" applyAlignment="1">
      <alignment vertical="center"/>
    </xf>
    <xf numFmtId="3" fontId="202" fillId="0" borderId="0" xfId="0" applyNumberFormat="1" applyFont="1" applyFill="1" applyBorder="1" applyAlignment="1">
      <alignment horizontal="center" vertical="center"/>
    </xf>
    <xf numFmtId="3" fontId="212" fillId="0" borderId="0" xfId="0" applyNumberFormat="1" applyFont="1" applyFill="1" applyBorder="1" applyAlignment="1">
      <alignment horizontal="center" vertical="center"/>
    </xf>
    <xf numFmtId="3" fontId="212" fillId="0" borderId="0" xfId="4677" applyNumberFormat="1" applyFont="1" applyFill="1" applyAlignment="1">
      <alignment horizontal="center" vertical="center"/>
    </xf>
    <xf numFmtId="3" fontId="212" fillId="0" borderId="0" xfId="0" applyNumberFormat="1" applyFont="1" applyFill="1" applyAlignment="1">
      <alignment horizontal="center" vertical="center"/>
    </xf>
    <xf numFmtId="3" fontId="212" fillId="0" borderId="60" xfId="0" applyNumberFormat="1" applyFont="1" applyFill="1" applyBorder="1" applyAlignment="1">
      <alignment vertical="center"/>
    </xf>
    <xf numFmtId="0" fontId="212" fillId="0" borderId="0" xfId="0" applyNumberFormat="1" applyFont="1" applyFill="1" applyAlignment="1">
      <alignment vertical="center"/>
    </xf>
    <xf numFmtId="3" fontId="212" fillId="0" borderId="0" xfId="0" applyNumberFormat="1" applyFont="1" applyFill="1" applyAlignment="1">
      <alignment vertical="center"/>
    </xf>
    <xf numFmtId="0" fontId="13" fillId="0" borderId="0" xfId="0" applyNumberFormat="1" applyFont="1" applyAlignment="1">
      <alignment vertical="top"/>
    </xf>
    <xf numFmtId="3" fontId="227" fillId="96" borderId="62" xfId="0" applyNumberFormat="1" applyFont="1" applyFill="1" applyBorder="1" applyAlignment="1">
      <alignment horizontal="center" vertical="center"/>
    </xf>
    <xf numFmtId="3" fontId="212" fillId="97" borderId="0" xfId="0" applyNumberFormat="1" applyFont="1" applyFill="1" applyBorder="1" applyAlignment="1">
      <alignment horizontal="center" vertical="center"/>
    </xf>
    <xf numFmtId="3" fontId="227" fillId="96" borderId="62" xfId="0" quotePrefix="1" applyNumberFormat="1" applyFont="1" applyFill="1" applyBorder="1" applyAlignment="1">
      <alignment horizontal="center" vertical="center"/>
    </xf>
    <xf numFmtId="3" fontId="203" fillId="96" borderId="62" xfId="0" applyNumberFormat="1" applyFont="1" applyFill="1" applyBorder="1" applyAlignment="1">
      <alignment horizontal="center" vertical="center"/>
    </xf>
    <xf numFmtId="3" fontId="228" fillId="0" borderId="0" xfId="0" applyNumberFormat="1" applyFont="1" applyFill="1" applyBorder="1" applyAlignment="1">
      <alignment horizontal="left" vertical="center"/>
    </xf>
    <xf numFmtId="0" fontId="13" fillId="0" borderId="0" xfId="0" applyNumberFormat="1" applyFont="1" applyFill="1" applyBorder="1" applyAlignment="1">
      <alignment horizontal="left" vertical="center"/>
    </xf>
    <xf numFmtId="3" fontId="223" fillId="96" borderId="61" xfId="0" applyNumberFormat="1" applyFont="1" applyFill="1" applyBorder="1" applyAlignment="1">
      <alignment vertical="center"/>
    </xf>
    <xf numFmtId="3" fontId="215" fillId="96" borderId="59" xfId="0" applyNumberFormat="1" applyFont="1" applyFill="1" applyBorder="1" applyAlignment="1">
      <alignment vertical="center"/>
    </xf>
    <xf numFmtId="0" fontId="201" fillId="0" borderId="0" xfId="0" applyNumberFormat="1" applyFont="1" applyAlignment="1">
      <alignment vertical="top"/>
    </xf>
    <xf numFmtId="3" fontId="227" fillId="95" borderId="61" xfId="0" applyNumberFormat="1" applyFont="1" applyFill="1" applyBorder="1" applyAlignment="1">
      <alignment vertical="center"/>
    </xf>
    <xf numFmtId="3" fontId="227" fillId="95" borderId="60" xfId="0" applyNumberFormat="1" applyFont="1" applyFill="1" applyBorder="1" applyAlignment="1">
      <alignment vertical="center"/>
    </xf>
    <xf numFmtId="3" fontId="227" fillId="95" borderId="108" xfId="0" applyNumberFormat="1" applyFont="1" applyFill="1" applyBorder="1" applyAlignment="1">
      <alignment vertical="center"/>
    </xf>
    <xf numFmtId="3" fontId="215" fillId="95" borderId="109" xfId="0" applyNumberFormat="1" applyFont="1" applyFill="1" applyBorder="1" applyAlignment="1">
      <alignment vertical="center"/>
    </xf>
    <xf numFmtId="3" fontId="215" fillId="95" borderId="110" xfId="0" applyNumberFormat="1" applyFont="1" applyFill="1" applyBorder="1" applyAlignment="1">
      <alignment vertical="center"/>
    </xf>
    <xf numFmtId="3" fontId="212" fillId="33" borderId="111" xfId="0" applyNumberFormat="1" applyFont="1" applyFill="1" applyBorder="1" applyAlignment="1">
      <alignment horizontal="center" vertical="center"/>
    </xf>
    <xf numFmtId="3" fontId="212" fillId="33" borderId="76" xfId="0" applyNumberFormat="1" applyFont="1" applyFill="1" applyBorder="1" applyAlignment="1">
      <alignment horizontal="center" vertical="center"/>
    </xf>
    <xf numFmtId="3" fontId="212" fillId="33" borderId="112" xfId="0" applyNumberFormat="1" applyFont="1" applyFill="1" applyBorder="1" applyAlignment="1">
      <alignment horizontal="center" vertical="center"/>
    </xf>
    <xf numFmtId="3" fontId="212" fillId="33" borderId="113" xfId="0" applyNumberFormat="1" applyFont="1" applyFill="1" applyBorder="1" applyAlignment="1">
      <alignment horizontal="center" vertical="center"/>
    </xf>
    <xf numFmtId="3" fontId="212" fillId="33" borderId="72" xfId="0" applyNumberFormat="1" applyFont="1" applyFill="1" applyBorder="1" applyAlignment="1">
      <alignment horizontal="center" vertical="center"/>
    </xf>
    <xf numFmtId="3" fontId="212" fillId="33" borderId="71" xfId="0" applyNumberFormat="1" applyFont="1" applyFill="1" applyBorder="1" applyAlignment="1">
      <alignment horizontal="center" vertical="center"/>
    </xf>
    <xf numFmtId="3" fontId="212" fillId="33" borderId="70" xfId="0" applyNumberFormat="1" applyFont="1" applyFill="1" applyBorder="1" applyAlignment="1">
      <alignment horizontal="center" vertical="center"/>
    </xf>
    <xf numFmtId="3" fontId="212" fillId="33" borderId="114" xfId="0" applyNumberFormat="1" applyFont="1" applyFill="1" applyBorder="1" applyAlignment="1">
      <alignment vertical="center"/>
    </xf>
    <xf numFmtId="3" fontId="212" fillId="33" borderId="69" xfId="0" applyNumberFormat="1" applyFont="1" applyFill="1" applyBorder="1" applyAlignment="1">
      <alignment vertical="center" wrapText="1"/>
    </xf>
    <xf numFmtId="3" fontId="212" fillId="33" borderId="69" xfId="0" applyNumberFormat="1" applyFont="1" applyFill="1" applyBorder="1" applyAlignment="1">
      <alignment horizontal="center" vertical="center"/>
    </xf>
    <xf numFmtId="3" fontId="212" fillId="33" borderId="68" xfId="0" applyNumberFormat="1" applyFont="1" applyFill="1" applyBorder="1" applyAlignment="1">
      <alignment horizontal="center" vertical="center"/>
    </xf>
    <xf numFmtId="3" fontId="212" fillId="33" borderId="67" xfId="0" applyNumberFormat="1" applyFont="1" applyFill="1" applyBorder="1" applyAlignment="1">
      <alignment horizontal="center" vertical="center"/>
    </xf>
    <xf numFmtId="3" fontId="212" fillId="33" borderId="66" xfId="0" applyNumberFormat="1" applyFont="1" applyFill="1" applyBorder="1" applyAlignment="1">
      <alignment horizontal="center" vertical="center"/>
    </xf>
    <xf numFmtId="3" fontId="212" fillId="33" borderId="65" xfId="0" applyNumberFormat="1" applyFont="1" applyFill="1" applyBorder="1" applyAlignment="1">
      <alignment horizontal="center" vertical="center"/>
    </xf>
    <xf numFmtId="3" fontId="212" fillId="33" borderId="64" xfId="0" applyNumberFormat="1" applyFont="1" applyFill="1" applyBorder="1" applyAlignment="1">
      <alignment horizontal="center" vertical="center"/>
    </xf>
    <xf numFmtId="3" fontId="212" fillId="33" borderId="115" xfId="0" applyNumberFormat="1" applyFont="1" applyFill="1" applyBorder="1" applyAlignment="1">
      <alignment vertical="center"/>
    </xf>
    <xf numFmtId="3" fontId="212" fillId="33" borderId="111" xfId="0" applyNumberFormat="1" applyFont="1" applyFill="1" applyBorder="1" applyAlignment="1">
      <alignment vertical="center" wrapText="1"/>
    </xf>
    <xf numFmtId="0" fontId="212" fillId="0" borderId="0" xfId="0" applyNumberFormat="1" applyFont="1" applyAlignment="1">
      <alignment vertical="center"/>
    </xf>
    <xf numFmtId="3" fontId="204" fillId="35" borderId="109" xfId="0" applyNumberFormat="1" applyFont="1" applyFill="1" applyBorder="1" applyAlignment="1">
      <alignment vertical="center"/>
    </xf>
    <xf numFmtId="3" fontId="204" fillId="35" borderId="110" xfId="0" applyNumberFormat="1" applyFont="1" applyFill="1" applyBorder="1" applyAlignment="1">
      <alignment vertical="center"/>
    </xf>
    <xf numFmtId="3" fontId="204" fillId="35" borderId="116" xfId="0" applyNumberFormat="1" applyFont="1" applyFill="1" applyBorder="1" applyAlignment="1">
      <alignment vertical="center"/>
    </xf>
    <xf numFmtId="3" fontId="204" fillId="35" borderId="117" xfId="0" applyNumberFormat="1" applyFont="1" applyFill="1" applyBorder="1" applyAlignment="1">
      <alignment vertical="center"/>
    </xf>
    <xf numFmtId="3" fontId="204" fillId="35" borderId="61" xfId="0" applyNumberFormat="1" applyFont="1" applyFill="1" applyBorder="1" applyAlignment="1">
      <alignment vertical="center"/>
    </xf>
    <xf numFmtId="3" fontId="204" fillId="35" borderId="60" xfId="0" applyNumberFormat="1" applyFont="1" applyFill="1" applyBorder="1" applyAlignment="1">
      <alignment vertical="center"/>
    </xf>
    <xf numFmtId="3" fontId="204" fillId="35" borderId="108" xfId="0" applyNumberFormat="1" applyFont="1" applyFill="1" applyBorder="1" applyAlignment="1">
      <alignment vertical="center"/>
    </xf>
    <xf numFmtId="3" fontId="227" fillId="95" borderId="59" xfId="0" applyNumberFormat="1" applyFont="1" applyFill="1" applyBorder="1" applyAlignment="1">
      <alignment vertical="center"/>
    </xf>
    <xf numFmtId="3" fontId="215" fillId="95" borderId="118" xfId="0" applyNumberFormat="1" applyFont="1" applyFill="1" applyBorder="1" applyAlignment="1">
      <alignment vertical="center"/>
    </xf>
    <xf numFmtId="3" fontId="215" fillId="95" borderId="119" xfId="0" applyNumberFormat="1" applyFont="1" applyFill="1" applyBorder="1" applyAlignment="1">
      <alignment vertical="center"/>
    </xf>
    <xf numFmtId="3" fontId="212" fillId="33" borderId="120" xfId="0" applyNumberFormat="1" applyFont="1" applyFill="1" applyBorder="1" applyAlignment="1">
      <alignment horizontal="center" vertical="center"/>
    </xf>
    <xf numFmtId="3" fontId="212" fillId="33" borderId="14" xfId="0" applyNumberFormat="1" applyFont="1" applyFill="1" applyBorder="1" applyAlignment="1">
      <alignment vertical="center"/>
    </xf>
    <xf numFmtId="3" fontId="212" fillId="33" borderId="14" xfId="0" applyNumberFormat="1" applyFont="1" applyFill="1" applyBorder="1" applyAlignment="1">
      <alignment vertical="center" wrapText="1"/>
    </xf>
    <xf numFmtId="3" fontId="212" fillId="33" borderId="114" xfId="0" applyNumberFormat="1" applyFont="1" applyFill="1" applyBorder="1" applyAlignment="1">
      <alignment vertical="center" wrapText="1"/>
    </xf>
    <xf numFmtId="3" fontId="212" fillId="33" borderId="115" xfId="0" applyNumberFormat="1" applyFont="1" applyFill="1" applyBorder="1" applyAlignment="1">
      <alignment vertical="center" wrapText="1"/>
    </xf>
    <xf numFmtId="3" fontId="204" fillId="35" borderId="121" xfId="0" applyNumberFormat="1" applyFont="1" applyFill="1" applyBorder="1" applyAlignment="1">
      <alignment vertical="center"/>
    </xf>
    <xf numFmtId="3" fontId="204" fillId="35" borderId="122" xfId="0" applyNumberFormat="1" applyFont="1" applyFill="1" applyBorder="1" applyAlignment="1">
      <alignment vertical="center"/>
    </xf>
    <xf numFmtId="3" fontId="204" fillId="35" borderId="123" xfId="0" applyNumberFormat="1" applyFont="1" applyFill="1" applyBorder="1" applyAlignment="1">
      <alignment vertical="center"/>
    </xf>
    <xf numFmtId="3" fontId="204" fillId="35" borderId="59" xfId="0" applyNumberFormat="1" applyFont="1" applyFill="1" applyBorder="1" applyAlignment="1">
      <alignment vertical="center"/>
    </xf>
    <xf numFmtId="3" fontId="212" fillId="0" borderId="0" xfId="0" applyNumberFormat="1" applyFont="1" applyAlignment="1">
      <alignment horizontal="center" vertical="center"/>
    </xf>
    <xf numFmtId="3" fontId="212" fillId="33" borderId="0" xfId="0" applyNumberFormat="1" applyFont="1" applyFill="1" applyBorder="1" applyAlignment="1">
      <alignment horizontal="center" vertical="center"/>
    </xf>
    <xf numFmtId="3" fontId="212" fillId="33" borderId="0" xfId="0" applyNumberFormat="1" applyFont="1" applyFill="1" applyAlignment="1">
      <alignment horizontal="center" vertical="center"/>
    </xf>
    <xf numFmtId="3" fontId="212" fillId="33" borderId="0" xfId="0" applyNumberFormat="1" applyFont="1" applyFill="1" applyAlignment="1">
      <alignment vertical="center"/>
    </xf>
    <xf numFmtId="3" fontId="212" fillId="33" borderId="0" xfId="0" applyNumberFormat="1" applyFont="1" applyFill="1" applyAlignment="1">
      <alignment vertical="center" wrapText="1"/>
    </xf>
    <xf numFmtId="3" fontId="227" fillId="95" borderId="79" xfId="0" applyNumberFormat="1" applyFont="1" applyFill="1" applyBorder="1" applyAlignment="1">
      <alignment vertical="center"/>
    </xf>
    <xf numFmtId="3" fontId="227" fillId="95" borderId="12" xfId="0" applyNumberFormat="1" applyFont="1" applyFill="1" applyBorder="1" applyAlignment="1">
      <alignment vertical="center"/>
    </xf>
    <xf numFmtId="3" fontId="227" fillId="95" borderId="78" xfId="0" applyNumberFormat="1" applyFont="1" applyFill="1" applyBorder="1" applyAlignment="1">
      <alignment vertical="center"/>
    </xf>
    <xf numFmtId="3" fontId="212" fillId="33" borderId="124" xfId="0" applyNumberFormat="1" applyFont="1" applyFill="1" applyBorder="1" applyAlignment="1">
      <alignment horizontal="center" vertical="center"/>
    </xf>
    <xf numFmtId="3" fontId="212" fillId="33" borderId="125" xfId="0" applyNumberFormat="1" applyFont="1" applyFill="1" applyBorder="1" applyAlignment="1">
      <alignment horizontal="center" vertical="center"/>
    </xf>
    <xf numFmtId="3" fontId="212" fillId="33" borderId="126" xfId="0" applyNumberFormat="1" applyFont="1" applyFill="1" applyBorder="1" applyAlignment="1">
      <alignment horizontal="center" vertical="center"/>
    </xf>
    <xf numFmtId="3" fontId="212" fillId="33" borderId="79" xfId="0" applyNumberFormat="1" applyFont="1" applyFill="1" applyBorder="1" applyAlignment="1">
      <alignment horizontal="center" vertical="center"/>
    </xf>
    <xf numFmtId="3" fontId="212" fillId="33" borderId="127" xfId="0" applyNumberFormat="1" applyFont="1" applyFill="1" applyBorder="1" applyAlignment="1">
      <alignment horizontal="center" vertical="center"/>
    </xf>
    <xf numFmtId="3" fontId="212" fillId="33" borderId="128" xfId="0" applyNumberFormat="1" applyFont="1" applyFill="1" applyBorder="1" applyAlignment="1">
      <alignment horizontal="center" vertical="center"/>
    </xf>
    <xf numFmtId="3" fontId="212" fillId="33" borderId="0" xfId="0" applyNumberFormat="1" applyFont="1" applyFill="1" applyBorder="1" applyAlignment="1">
      <alignment vertical="center"/>
    </xf>
    <xf numFmtId="3" fontId="201" fillId="33" borderId="0" xfId="0" applyNumberFormat="1" applyFont="1" applyFill="1" applyBorder="1" applyAlignment="1">
      <alignment vertical="center"/>
    </xf>
    <xf numFmtId="3" fontId="201" fillId="33" borderId="0" xfId="0" applyNumberFormat="1" applyFont="1" applyFill="1" applyBorder="1" applyAlignment="1">
      <alignment vertical="center" wrapText="1"/>
    </xf>
    <xf numFmtId="3" fontId="212" fillId="94" borderId="111" xfId="0" applyNumberFormat="1" applyFont="1" applyFill="1" applyBorder="1" applyAlignment="1">
      <alignment horizontal="center" vertical="center"/>
    </xf>
    <xf numFmtId="3" fontId="212" fillId="94" borderId="76" xfId="0" applyNumberFormat="1" applyFont="1" applyFill="1" applyBorder="1" applyAlignment="1">
      <alignment horizontal="center" vertical="center"/>
    </xf>
    <xf numFmtId="0" fontId="0" fillId="0" borderId="129" xfId="0" applyBorder="1" applyAlignment="1">
      <alignment horizontal="center" vertical="center"/>
    </xf>
    <xf numFmtId="3" fontId="212" fillId="94" borderId="112" xfId="0" applyNumberFormat="1" applyFont="1" applyFill="1" applyBorder="1" applyAlignment="1">
      <alignment horizontal="center" vertical="center"/>
    </xf>
    <xf numFmtId="3" fontId="212" fillId="94" borderId="113" xfId="0" applyNumberFormat="1" applyFont="1" applyFill="1" applyBorder="1" applyAlignment="1">
      <alignment horizontal="center" vertical="center"/>
    </xf>
    <xf numFmtId="3" fontId="212" fillId="94" borderId="120" xfId="0" applyNumberFormat="1" applyFont="1" applyFill="1" applyBorder="1" applyAlignment="1">
      <alignment horizontal="center" vertical="center"/>
    </xf>
    <xf numFmtId="3" fontId="212" fillId="94" borderId="114" xfId="0" applyNumberFormat="1" applyFont="1" applyFill="1" applyBorder="1" applyAlignment="1">
      <alignment vertical="center"/>
    </xf>
    <xf numFmtId="3" fontId="212" fillId="94" borderId="114" xfId="0" applyNumberFormat="1" applyFont="1" applyFill="1" applyBorder="1" applyAlignment="1">
      <alignment vertical="center" wrapText="1"/>
    </xf>
    <xf numFmtId="0" fontId="212" fillId="33" borderId="114" xfId="0" applyNumberFormat="1" applyFont="1" applyFill="1" applyBorder="1" applyAlignment="1">
      <alignment vertical="top"/>
    </xf>
    <xf numFmtId="0" fontId="212" fillId="33" borderId="0" xfId="0" applyNumberFormat="1" applyFont="1" applyFill="1" applyAlignment="1">
      <alignment vertical="top"/>
    </xf>
    <xf numFmtId="3" fontId="227" fillId="33" borderId="0" xfId="0" applyNumberFormat="1" applyFont="1" applyFill="1" applyBorder="1" applyAlignment="1">
      <alignment horizontal="center" vertical="center"/>
    </xf>
    <xf numFmtId="3" fontId="227" fillId="33" borderId="0" xfId="0" applyNumberFormat="1" applyFont="1" applyFill="1" applyBorder="1" applyAlignment="1">
      <alignment vertical="center"/>
    </xf>
    <xf numFmtId="3" fontId="227" fillId="33" borderId="0" xfId="0" applyNumberFormat="1" applyFont="1" applyFill="1" applyBorder="1" applyAlignment="1">
      <alignment vertical="center" wrapText="1"/>
    </xf>
    <xf numFmtId="3" fontId="212" fillId="94" borderId="114" xfId="0" applyNumberFormat="1" applyFont="1" applyFill="1" applyBorder="1" applyAlignment="1">
      <alignment horizontal="left" vertical="center"/>
    </xf>
    <xf numFmtId="3" fontId="212" fillId="0" borderId="112" xfId="0" applyNumberFormat="1" applyFont="1" applyFill="1" applyBorder="1" applyAlignment="1">
      <alignment horizontal="center" vertical="center"/>
    </xf>
    <xf numFmtId="3" fontId="212" fillId="0" borderId="76" xfId="0" applyNumberFormat="1" applyFont="1" applyFill="1" applyBorder="1" applyAlignment="1">
      <alignment horizontal="center" vertical="center"/>
    </xf>
    <xf numFmtId="3" fontId="212" fillId="0" borderId="113" xfId="0" applyNumberFormat="1" applyFont="1" applyFill="1" applyBorder="1" applyAlignment="1">
      <alignment horizontal="center" vertical="center"/>
    </xf>
    <xf numFmtId="3" fontId="212" fillId="0" borderId="114" xfId="0" applyNumberFormat="1" applyFont="1" applyFill="1" applyBorder="1" applyAlignment="1">
      <alignment horizontal="left" vertical="center"/>
    </xf>
    <xf numFmtId="3" fontId="212" fillId="0" borderId="130" xfId="0" applyNumberFormat="1" applyFont="1" applyFill="1" applyBorder="1" applyAlignment="1">
      <alignment horizontal="left" vertical="center"/>
    </xf>
    <xf numFmtId="3" fontId="212" fillId="33" borderId="131" xfId="0" applyNumberFormat="1" applyFont="1" applyFill="1" applyBorder="1" applyAlignment="1">
      <alignment horizontal="left" vertical="center"/>
    </xf>
    <xf numFmtId="3" fontId="212" fillId="0" borderId="132" xfId="0" applyNumberFormat="1" applyFont="1" applyFill="1" applyBorder="1" applyAlignment="1">
      <alignment vertical="center" wrapText="1"/>
    </xf>
    <xf numFmtId="3" fontId="212" fillId="33" borderId="132" xfId="0" applyNumberFormat="1" applyFont="1" applyFill="1" applyBorder="1" applyAlignment="1">
      <alignment vertical="center" wrapText="1"/>
    </xf>
    <xf numFmtId="9" fontId="212" fillId="0" borderId="0" xfId="4666" applyFont="1" applyAlignment="1">
      <alignment vertical="top"/>
    </xf>
    <xf numFmtId="3" fontId="212" fillId="33" borderId="112" xfId="0" applyNumberFormat="1" applyFont="1" applyFill="1" applyBorder="1" applyAlignment="1">
      <alignment horizontal="left" vertical="center"/>
    </xf>
    <xf numFmtId="0" fontId="212" fillId="33" borderId="133" xfId="0" applyNumberFormat="1" applyFont="1" applyFill="1" applyBorder="1" applyAlignment="1">
      <alignment vertical="top"/>
    </xf>
    <xf numFmtId="3" fontId="212" fillId="33" borderId="0" xfId="0" applyNumberFormat="1" applyFont="1" applyFill="1" applyBorder="1" applyAlignment="1">
      <alignment vertical="center" wrapText="1"/>
    </xf>
    <xf numFmtId="3" fontId="212" fillId="33" borderId="134" xfId="0" applyNumberFormat="1" applyFont="1" applyFill="1" applyBorder="1" applyAlignment="1">
      <alignment vertical="center"/>
    </xf>
    <xf numFmtId="3" fontId="212" fillId="33" borderId="134" xfId="0" applyNumberFormat="1" applyFont="1" applyFill="1" applyBorder="1" applyAlignment="1">
      <alignment vertical="center" wrapText="1"/>
    </xf>
    <xf numFmtId="0" fontId="212" fillId="0" borderId="0" xfId="0" applyNumberFormat="1" applyFont="1" applyBorder="1" applyAlignment="1">
      <alignment vertical="top"/>
    </xf>
    <xf numFmtId="0" fontId="227" fillId="95" borderId="135" xfId="0" applyNumberFormat="1" applyFont="1" applyFill="1" applyBorder="1" applyAlignment="1">
      <alignment horizontal="center" vertical="center" wrapText="1"/>
    </xf>
    <xf numFmtId="0" fontId="227" fillId="95" borderId="136" xfId="0" applyNumberFormat="1" applyFont="1" applyFill="1" applyBorder="1" applyAlignment="1">
      <alignment horizontal="center" vertical="center" wrapText="1"/>
    </xf>
    <xf numFmtId="0" fontId="227" fillId="95" borderId="137" xfId="0" applyNumberFormat="1" applyFont="1" applyFill="1" applyBorder="1" applyAlignment="1">
      <alignment horizontal="center" vertical="center" wrapText="1"/>
    </xf>
    <xf numFmtId="0" fontId="227" fillId="95" borderId="138" xfId="0" applyNumberFormat="1" applyFont="1" applyFill="1" applyBorder="1" applyAlignment="1">
      <alignment horizontal="center" vertical="center" wrapText="1"/>
    </xf>
    <xf numFmtId="0" fontId="227" fillId="95" borderId="139" xfId="0" applyNumberFormat="1" applyFont="1" applyFill="1" applyBorder="1" applyAlignment="1">
      <alignment horizontal="center" vertical="center" wrapText="1"/>
    </xf>
    <xf numFmtId="3" fontId="227" fillId="95" borderId="140" xfId="0" applyNumberFormat="1" applyFont="1" applyFill="1" applyBorder="1" applyAlignment="1">
      <alignment horizontal="center" vertical="center" wrapText="1"/>
    </xf>
    <xf numFmtId="3" fontId="227" fillId="95" borderId="141" xfId="0" applyNumberFormat="1" applyFont="1" applyFill="1" applyBorder="1" applyAlignment="1">
      <alignment horizontal="center" vertical="center" wrapText="1"/>
    </xf>
    <xf numFmtId="0" fontId="0" fillId="0" borderId="0" xfId="0" applyAlignment="1">
      <alignment vertical="center"/>
    </xf>
    <xf numFmtId="0" fontId="201" fillId="0" borderId="0" xfId="0" applyFont="1" applyBorder="1" applyAlignment="1">
      <alignment horizontal="center" vertical="center"/>
    </xf>
    <xf numFmtId="4" fontId="212" fillId="33" borderId="72" xfId="0" applyNumberFormat="1" applyFont="1" applyFill="1" applyBorder="1" applyAlignment="1">
      <alignment horizontal="center" vertical="center"/>
    </xf>
    <xf numFmtId="4" fontId="212" fillId="33" borderId="71" xfId="0" applyNumberFormat="1" applyFont="1" applyFill="1" applyBorder="1" applyAlignment="1">
      <alignment horizontal="center" vertical="center"/>
    </xf>
    <xf numFmtId="4" fontId="212" fillId="33" borderId="70" xfId="0" applyNumberFormat="1" applyFont="1" applyFill="1" applyBorder="1" applyAlignment="1">
      <alignment horizontal="center" vertical="center"/>
    </xf>
    <xf numFmtId="3" fontId="212" fillId="33" borderId="150" xfId="0" applyNumberFormat="1" applyFont="1" applyFill="1" applyBorder="1" applyAlignment="1">
      <alignment vertical="center" wrapText="1"/>
    </xf>
    <xf numFmtId="4" fontId="212" fillId="33" borderId="69" xfId="0" applyNumberFormat="1" applyFont="1" applyFill="1" applyBorder="1" applyAlignment="1">
      <alignment horizontal="center" vertical="center"/>
    </xf>
    <xf numFmtId="4" fontId="212" fillId="33" borderId="68" xfId="0" applyNumberFormat="1" applyFont="1" applyFill="1" applyBorder="1" applyAlignment="1">
      <alignment horizontal="center" vertical="center"/>
    </xf>
    <xf numFmtId="4" fontId="212" fillId="33" borderId="67" xfId="0" applyNumberFormat="1" applyFont="1" applyFill="1" applyBorder="1" applyAlignment="1">
      <alignment horizontal="center" vertical="center"/>
    </xf>
    <xf numFmtId="4" fontId="212" fillId="33" borderId="112" xfId="0" applyNumberFormat="1" applyFont="1" applyFill="1" applyBorder="1" applyAlignment="1">
      <alignment horizontal="center" vertical="center"/>
    </xf>
    <xf numFmtId="4" fontId="212" fillId="33" borderId="113" xfId="0" applyNumberFormat="1" applyFont="1" applyFill="1" applyBorder="1" applyAlignment="1">
      <alignment horizontal="center" vertical="center"/>
    </xf>
    <xf numFmtId="4" fontId="212" fillId="33" borderId="76" xfId="0" applyNumberFormat="1" applyFont="1" applyFill="1" applyBorder="1" applyAlignment="1">
      <alignment horizontal="center" vertical="center"/>
    </xf>
    <xf numFmtId="4" fontId="204" fillId="35" borderId="123" xfId="0" applyNumberFormat="1" applyFont="1" applyFill="1" applyBorder="1" applyAlignment="1">
      <alignment vertical="center"/>
    </xf>
    <xf numFmtId="4" fontId="204" fillId="35" borderId="122" xfId="0" applyNumberFormat="1" applyFont="1" applyFill="1" applyBorder="1" applyAlignment="1">
      <alignment vertical="center"/>
    </xf>
    <xf numFmtId="4" fontId="204" fillId="35" borderId="121" xfId="0" applyNumberFormat="1" applyFont="1" applyFill="1" applyBorder="1" applyAlignment="1">
      <alignment vertical="center"/>
    </xf>
    <xf numFmtId="4" fontId="204" fillId="35" borderId="151" xfId="0" applyNumberFormat="1" applyFont="1" applyFill="1" applyBorder="1" applyAlignment="1">
      <alignment vertical="center"/>
    </xf>
    <xf numFmtId="4" fontId="204" fillId="35" borderId="60" xfId="0" applyNumberFormat="1" applyFont="1" applyFill="1" applyBorder="1" applyAlignment="1">
      <alignment vertical="center"/>
    </xf>
    <xf numFmtId="3" fontId="204" fillId="35" borderId="152" xfId="0" applyNumberFormat="1" applyFont="1" applyFill="1" applyBorder="1" applyAlignment="1">
      <alignment vertical="center"/>
    </xf>
    <xf numFmtId="3" fontId="228" fillId="0" borderId="0" xfId="0" applyNumberFormat="1" applyFont="1" applyFill="1" applyBorder="1" applyAlignment="1">
      <alignment vertical="center"/>
    </xf>
    <xf numFmtId="4" fontId="228" fillId="0" borderId="0" xfId="0" applyNumberFormat="1" applyFont="1" applyFill="1" applyBorder="1" applyAlignment="1">
      <alignment vertical="center"/>
    </xf>
    <xf numFmtId="4" fontId="228" fillId="0" borderId="0" xfId="0" applyNumberFormat="1" applyFont="1" applyFill="1" applyBorder="1" applyAlignment="1">
      <alignment horizontal="left" vertical="center"/>
    </xf>
    <xf numFmtId="4" fontId="212" fillId="33" borderId="153" xfId="0" applyNumberFormat="1" applyFont="1" applyFill="1" applyBorder="1" applyAlignment="1">
      <alignment horizontal="center" vertical="center"/>
    </xf>
    <xf numFmtId="4" fontId="212" fillId="33" borderId="79" xfId="0" applyNumberFormat="1" applyFont="1" applyFill="1" applyBorder="1" applyAlignment="1">
      <alignment horizontal="center" vertical="center"/>
    </xf>
    <xf numFmtId="4" fontId="212" fillId="33" borderId="127" xfId="0" applyNumberFormat="1" applyFont="1" applyFill="1" applyBorder="1" applyAlignment="1">
      <alignment horizontal="center" vertical="center"/>
    </xf>
    <xf numFmtId="3" fontId="212" fillId="33" borderId="15" xfId="0" applyNumberFormat="1" applyFont="1" applyFill="1" applyBorder="1" applyAlignment="1">
      <alignment vertical="center" wrapText="1"/>
    </xf>
    <xf numFmtId="4" fontId="212" fillId="33" borderId="154" xfId="0" applyNumberFormat="1" applyFont="1" applyFill="1" applyBorder="1" applyAlignment="1">
      <alignment horizontal="center" vertical="center"/>
    </xf>
    <xf numFmtId="4" fontId="212" fillId="33" borderId="64" xfId="0" applyNumberFormat="1" applyFont="1" applyFill="1" applyBorder="1" applyAlignment="1">
      <alignment horizontal="center" vertical="center"/>
    </xf>
    <xf numFmtId="3" fontId="212" fillId="33" borderId="155" xfId="0" applyNumberFormat="1" applyFont="1" applyFill="1" applyBorder="1" applyAlignment="1">
      <alignment vertical="center" wrapText="1"/>
    </xf>
    <xf numFmtId="3" fontId="228" fillId="33" borderId="0" xfId="0" applyNumberFormat="1" applyFont="1" applyFill="1" applyAlignment="1">
      <alignment vertical="center"/>
    </xf>
    <xf numFmtId="4" fontId="212" fillId="33" borderId="0" xfId="0" applyNumberFormat="1" applyFont="1" applyFill="1" applyAlignment="1">
      <alignment vertical="center"/>
    </xf>
    <xf numFmtId="4" fontId="228" fillId="33" borderId="0" xfId="0" applyNumberFormat="1" applyFont="1" applyFill="1" applyAlignment="1">
      <alignment vertical="center"/>
    </xf>
    <xf numFmtId="287" fontId="212" fillId="33" borderId="0" xfId="0" applyNumberFormat="1" applyFont="1" applyFill="1" applyAlignment="1">
      <alignment vertical="center"/>
    </xf>
    <xf numFmtId="4" fontId="212" fillId="33" borderId="120" xfId="0" applyNumberFormat="1" applyFont="1" applyFill="1" applyBorder="1" applyAlignment="1">
      <alignment horizontal="center" vertical="center"/>
    </xf>
    <xf numFmtId="3" fontId="212" fillId="33" borderId="72" xfId="0" applyNumberFormat="1" applyFont="1" applyFill="1" applyBorder="1" applyAlignment="1">
      <alignment vertical="center" wrapText="1"/>
    </xf>
    <xf numFmtId="4" fontId="212" fillId="33" borderId="61" xfId="0" applyNumberFormat="1" applyFont="1" applyFill="1" applyBorder="1" applyAlignment="1">
      <alignment horizontal="center" vertical="center"/>
    </xf>
    <xf numFmtId="4" fontId="212" fillId="33" borderId="156" xfId="0" applyNumberFormat="1" applyFont="1" applyFill="1" applyBorder="1" applyAlignment="1">
      <alignment horizontal="center" vertical="center"/>
    </xf>
    <xf numFmtId="4" fontId="212" fillId="33" borderId="128" xfId="0" applyNumberFormat="1" applyFont="1" applyFill="1" applyBorder="1" applyAlignment="1">
      <alignment horizontal="center" vertical="center"/>
    </xf>
    <xf numFmtId="3" fontId="212" fillId="33" borderId="62" xfId="0" applyNumberFormat="1" applyFont="1" applyFill="1" applyBorder="1" applyAlignment="1">
      <alignment vertical="center" wrapText="1"/>
    </xf>
    <xf numFmtId="3" fontId="228" fillId="33" borderId="0" xfId="0" applyNumberFormat="1" applyFont="1" applyFill="1" applyBorder="1" applyAlignment="1">
      <alignment vertical="center"/>
    </xf>
    <xf numFmtId="4" fontId="212" fillId="33" borderId="0" xfId="0" applyNumberFormat="1" applyFont="1" applyFill="1" applyBorder="1" applyAlignment="1">
      <alignment vertical="center"/>
    </xf>
    <xf numFmtId="4" fontId="228" fillId="33" borderId="0" xfId="0" applyNumberFormat="1" applyFont="1" applyFill="1" applyBorder="1" applyAlignment="1">
      <alignment vertical="center"/>
    </xf>
    <xf numFmtId="287" fontId="212" fillId="33" borderId="0" xfId="0" applyNumberFormat="1" applyFont="1" applyFill="1" applyBorder="1" applyAlignment="1">
      <alignment vertical="center"/>
    </xf>
    <xf numFmtId="4" fontId="212" fillId="0" borderId="79" xfId="0" applyNumberFormat="1" applyFont="1" applyFill="1" applyBorder="1" applyAlignment="1">
      <alignment horizontal="center" vertical="center"/>
    </xf>
    <xf numFmtId="4" fontId="212" fillId="0" borderId="127" xfId="0" applyNumberFormat="1" applyFont="1" applyFill="1" applyBorder="1" applyAlignment="1">
      <alignment horizontal="center" vertical="center"/>
    </xf>
    <xf numFmtId="4" fontId="212" fillId="0" borderId="120" xfId="0" applyNumberFormat="1" applyFont="1" applyFill="1" applyBorder="1" applyAlignment="1">
      <alignment horizontal="center" vertical="center"/>
    </xf>
    <xf numFmtId="3" fontId="212" fillId="0" borderId="150" xfId="0" applyNumberFormat="1" applyFont="1" applyFill="1" applyBorder="1" applyAlignment="1">
      <alignment vertical="center" wrapText="1"/>
    </xf>
    <xf numFmtId="4" fontId="212" fillId="91" borderId="131" xfId="0" applyNumberFormat="1" applyFont="1" applyFill="1" applyBorder="1" applyAlignment="1">
      <alignment horizontal="center" vertical="center"/>
    </xf>
    <xf numFmtId="4" fontId="212" fillId="91" borderId="157" xfId="0" applyNumberFormat="1" applyFont="1" applyFill="1" applyBorder="1" applyAlignment="1">
      <alignment horizontal="center" vertical="center"/>
    </xf>
    <xf numFmtId="4" fontId="212" fillId="91" borderId="67" xfId="0" applyNumberFormat="1" applyFont="1" applyFill="1" applyBorder="1" applyAlignment="1">
      <alignment horizontal="center" vertical="center"/>
    </xf>
    <xf numFmtId="4" fontId="212" fillId="33" borderId="157" xfId="0" applyNumberFormat="1" applyFont="1" applyFill="1" applyBorder="1" applyAlignment="1">
      <alignment horizontal="center" vertical="center"/>
    </xf>
    <xf numFmtId="4" fontId="228" fillId="0" borderId="0" xfId="0" applyNumberFormat="1" applyFont="1" applyFill="1" applyBorder="1" applyAlignment="1">
      <alignment vertical="top"/>
    </xf>
    <xf numFmtId="3" fontId="229" fillId="33" borderId="0" xfId="0" applyNumberFormat="1" applyFont="1" applyFill="1" applyBorder="1" applyAlignment="1">
      <alignment vertical="center"/>
    </xf>
    <xf numFmtId="4" fontId="227" fillId="33" borderId="0" xfId="0" applyNumberFormat="1" applyFont="1" applyFill="1" applyBorder="1" applyAlignment="1">
      <alignment vertical="center"/>
    </xf>
    <xf numFmtId="4" fontId="229" fillId="33" borderId="0" xfId="0" applyNumberFormat="1" applyFont="1" applyFill="1" applyBorder="1" applyAlignment="1">
      <alignment vertical="center"/>
    </xf>
    <xf numFmtId="287" fontId="227" fillId="33" borderId="0" xfId="0" applyNumberFormat="1" applyFont="1" applyFill="1" applyBorder="1" applyAlignment="1">
      <alignment vertical="center"/>
    </xf>
    <xf numFmtId="4" fontId="212" fillId="0" borderId="112" xfId="0" applyNumberFormat="1" applyFont="1" applyFill="1" applyBorder="1" applyAlignment="1">
      <alignment horizontal="center" vertical="center"/>
    </xf>
    <xf numFmtId="4" fontId="212" fillId="0" borderId="113" xfId="0" applyNumberFormat="1" applyFont="1" applyFill="1" applyBorder="1" applyAlignment="1">
      <alignment horizontal="center" vertical="center"/>
    </xf>
    <xf numFmtId="4" fontId="212" fillId="0" borderId="67" xfId="0" applyNumberFormat="1" applyFont="1" applyFill="1" applyBorder="1" applyAlignment="1">
      <alignment horizontal="center" vertical="center"/>
    </xf>
    <xf numFmtId="4" fontId="212" fillId="0" borderId="157" xfId="0" applyNumberFormat="1" applyFont="1" applyFill="1" applyBorder="1" applyAlignment="1">
      <alignment horizontal="center" vertical="center"/>
    </xf>
    <xf numFmtId="3" fontId="212" fillId="0" borderId="114" xfId="0" applyNumberFormat="1" applyFont="1" applyFill="1" applyBorder="1" applyAlignment="1">
      <alignment vertical="center" wrapText="1"/>
    </xf>
    <xf numFmtId="4" fontId="212" fillId="0" borderId="76" xfId="0" applyNumberFormat="1" applyFont="1" applyFill="1" applyBorder="1" applyAlignment="1">
      <alignment horizontal="center" vertical="center"/>
    </xf>
    <xf numFmtId="0" fontId="212" fillId="33" borderId="155" xfId="0" applyNumberFormat="1" applyFont="1" applyFill="1" applyBorder="1" applyAlignment="1">
      <alignment vertical="top"/>
    </xf>
    <xf numFmtId="4" fontId="212" fillId="33" borderId="125" xfId="0" applyNumberFormat="1" applyFont="1" applyFill="1" applyBorder="1" applyAlignment="1">
      <alignment horizontal="center" vertical="center"/>
    </xf>
    <xf numFmtId="4" fontId="212" fillId="33" borderId="73" xfId="0" applyNumberFormat="1" applyFont="1" applyFill="1" applyBorder="1" applyAlignment="1">
      <alignment horizontal="center" vertical="center"/>
    </xf>
    <xf numFmtId="4" fontId="212" fillId="33" borderId="158" xfId="0" applyNumberFormat="1" applyFont="1" applyFill="1" applyBorder="1" applyAlignment="1">
      <alignment horizontal="center" vertical="center"/>
    </xf>
    <xf numFmtId="4" fontId="228" fillId="0" borderId="0" xfId="0" applyNumberFormat="1" applyFont="1" applyFill="1" applyAlignment="1">
      <alignment vertical="top"/>
    </xf>
    <xf numFmtId="4" fontId="204" fillId="35" borderId="107" xfId="0" applyNumberFormat="1" applyFont="1" applyFill="1" applyBorder="1" applyAlignment="1">
      <alignment vertical="center"/>
    </xf>
    <xf numFmtId="0" fontId="227" fillId="95" borderId="62" xfId="0" applyNumberFormat="1" applyFont="1" applyFill="1" applyBorder="1" applyAlignment="1">
      <alignment horizontal="center" vertical="center" wrapText="1"/>
    </xf>
    <xf numFmtId="0" fontId="215" fillId="0" borderId="0" xfId="0" applyNumberFormat="1" applyFont="1" applyFill="1" applyBorder="1" applyAlignment="1">
      <alignment horizontal="left" vertical="center"/>
    </xf>
    <xf numFmtId="0" fontId="211" fillId="0" borderId="0" xfId="0" applyFont="1" applyAlignment="1"/>
    <xf numFmtId="10" fontId="221" fillId="33" borderId="0" xfId="0" applyNumberFormat="1" applyFont="1" applyFill="1" applyBorder="1" applyAlignment="1">
      <alignment horizontal="center" vertical="top"/>
    </xf>
    <xf numFmtId="0" fontId="221" fillId="33" borderId="0" xfId="0" applyFont="1" applyFill="1" applyBorder="1" applyAlignment="1">
      <alignment horizontal="right" vertical="top"/>
    </xf>
    <xf numFmtId="174" fontId="230" fillId="0" borderId="62" xfId="0" applyNumberFormat="1" applyFont="1" applyBorder="1" applyAlignment="1">
      <alignment horizontal="center" vertical="top"/>
    </xf>
    <xf numFmtId="287" fontId="230" fillId="0" borderId="62" xfId="0" applyNumberFormat="1" applyFont="1" applyBorder="1" applyAlignment="1">
      <alignment horizontal="center" vertical="top"/>
    </xf>
    <xf numFmtId="172" fontId="23" fillId="0" borderId="62" xfId="0" applyNumberFormat="1" applyFont="1" applyBorder="1" applyAlignment="1">
      <alignment horizontal="center" vertical="top"/>
    </xf>
    <xf numFmtId="172" fontId="23" fillId="0" borderId="62" xfId="0" applyNumberFormat="1" applyFont="1" applyFill="1" applyBorder="1" applyAlignment="1">
      <alignment horizontal="center" vertical="top"/>
    </xf>
    <xf numFmtId="2" fontId="23" fillId="0" borderId="62" xfId="0" applyNumberFormat="1" applyFont="1" applyFill="1" applyBorder="1" applyAlignment="1">
      <alignment horizontal="center" vertical="top"/>
    </xf>
    <xf numFmtId="0" fontId="230" fillId="0" borderId="62" xfId="0" applyFont="1" applyBorder="1" applyAlignment="1">
      <alignment horizontal="center" vertical="top"/>
    </xf>
    <xf numFmtId="0" fontId="215" fillId="0" borderId="62" xfId="0" applyFont="1" applyBorder="1" applyAlignment="1">
      <alignment horizontal="center" vertical="top"/>
    </xf>
    <xf numFmtId="0" fontId="230" fillId="99" borderId="62" xfId="0" applyFont="1" applyFill="1" applyBorder="1" applyAlignment="1">
      <alignment horizontal="center" wrapText="1"/>
    </xf>
    <xf numFmtId="172" fontId="230" fillId="0" borderId="62" xfId="0" applyNumberFormat="1" applyFont="1" applyBorder="1" applyAlignment="1">
      <alignment horizontal="center" vertical="top"/>
    </xf>
    <xf numFmtId="2" fontId="0" fillId="0" borderId="0" xfId="762" applyNumberFormat="1" applyFont="1" applyFill="1" applyAlignment="1">
      <alignment horizontal="center"/>
    </xf>
    <xf numFmtId="9" fontId="0" fillId="0" borderId="0" xfId="3982" applyFont="1" applyFill="1"/>
    <xf numFmtId="209" fontId="0" fillId="0" borderId="0" xfId="3982" applyNumberFormat="1" applyFont="1" applyFill="1"/>
    <xf numFmtId="0" fontId="22" fillId="0" borderId="0" xfId="1773" applyNumberFormat="1" applyFont="1" applyFill="1" applyAlignment="1">
      <alignment horizontal="center"/>
    </xf>
    <xf numFmtId="0" fontId="22" fillId="0" borderId="0" xfId="1773" applyNumberFormat="1" applyFont="1" applyFill="1"/>
    <xf numFmtId="1" fontId="200" fillId="0" borderId="12" xfId="1773" applyNumberFormat="1" applyFont="1" applyFill="1" applyBorder="1" applyAlignment="1">
      <alignment vertical="center" wrapText="1"/>
    </xf>
    <xf numFmtId="0" fontId="231" fillId="101" borderId="81" xfId="1773" applyNumberFormat="1" applyFont="1" applyFill="1" applyBorder="1" applyAlignment="1">
      <alignment horizontal="center" vertical="center" wrapText="1"/>
    </xf>
    <xf numFmtId="0" fontId="231" fillId="101" borderId="81" xfId="1768" applyNumberFormat="1" applyFont="1" applyFill="1" applyBorder="1" applyAlignment="1">
      <alignment horizontal="center" vertical="center" wrapText="1"/>
    </xf>
    <xf numFmtId="1" fontId="41" fillId="102" borderId="81" xfId="1773" applyNumberFormat="1" applyFont="1" applyFill="1" applyBorder="1" applyAlignment="1">
      <alignment horizontal="center" vertical="center" wrapText="1"/>
    </xf>
    <xf numFmtId="3" fontId="41" fillId="102" borderId="81" xfId="1773" applyNumberFormat="1" applyFont="1" applyFill="1" applyBorder="1" applyAlignment="1">
      <alignment horizontal="center" vertical="center" wrapText="1"/>
    </xf>
    <xf numFmtId="169" fontId="41" fillId="102" borderId="50" xfId="1773" applyNumberFormat="1" applyFont="1" applyFill="1" applyBorder="1" applyAlignment="1">
      <alignment horizontal="center" vertical="center" wrapText="1"/>
    </xf>
    <xf numFmtId="283" fontId="231" fillId="101" borderId="81" xfId="1768" applyNumberFormat="1" applyFont="1" applyFill="1" applyBorder="1" applyAlignment="1">
      <alignment horizontal="center" vertical="center" wrapText="1"/>
    </xf>
    <xf numFmtId="283" fontId="231" fillId="101" borderId="62" xfId="1768" applyNumberFormat="1" applyFont="1" applyFill="1" applyBorder="1" applyAlignment="1">
      <alignment horizontal="center" vertical="center" wrapText="1"/>
    </xf>
    <xf numFmtId="9" fontId="231" fillId="101" borderId="81" xfId="3982" applyFont="1" applyFill="1" applyBorder="1" applyAlignment="1">
      <alignment horizontal="center" vertical="center" wrapText="1"/>
    </xf>
    <xf numFmtId="209" fontId="231" fillId="101" borderId="63" xfId="3982" applyNumberFormat="1" applyFont="1" applyFill="1" applyBorder="1" applyAlignment="1">
      <alignment horizontal="center" vertical="center" wrapText="1"/>
    </xf>
    <xf numFmtId="44" fontId="231" fillId="101" borderId="63" xfId="1079" applyFont="1" applyFill="1" applyBorder="1" applyAlignment="1">
      <alignment horizontal="center" vertical="center" wrapText="1"/>
    </xf>
    <xf numFmtId="44" fontId="231" fillId="101" borderId="81" xfId="1079" applyFont="1" applyFill="1" applyBorder="1" applyAlignment="1">
      <alignment horizontal="center" vertical="center" wrapText="1"/>
    </xf>
    <xf numFmtId="2" fontId="231" fillId="101" borderId="81" xfId="762" applyNumberFormat="1" applyFont="1" applyFill="1" applyBorder="1" applyAlignment="1">
      <alignment horizontal="center" vertical="center" wrapText="1"/>
    </xf>
    <xf numFmtId="0" fontId="22" fillId="0" borderId="62" xfId="1773" applyNumberFormat="1" applyFont="1" applyFill="1" applyBorder="1"/>
    <xf numFmtId="1" fontId="22" fillId="0" borderId="62" xfId="1773" applyNumberFormat="1" applyFont="1" applyFill="1" applyBorder="1" applyAlignment="1" applyProtection="1">
      <alignment horizontal="center"/>
      <protection locked="0"/>
    </xf>
    <xf numFmtId="3" fontId="22" fillId="0" borderId="62" xfId="1773" applyNumberFormat="1" applyFont="1" applyFill="1" applyBorder="1" applyAlignment="1" applyProtection="1">
      <alignment horizontal="center"/>
      <protection locked="0"/>
    </xf>
    <xf numFmtId="169" fontId="22" fillId="0" borderId="62" xfId="1773" applyNumberFormat="1" applyFont="1" applyFill="1" applyBorder="1" applyProtection="1">
      <protection locked="0"/>
    </xf>
    <xf numFmtId="0" fontId="22" fillId="0" borderId="62" xfId="1773" applyNumberFormat="1" applyFont="1" applyFill="1" applyBorder="1" applyAlignment="1">
      <alignment horizontal="center"/>
    </xf>
    <xf numFmtId="9" fontId="0" fillId="0" borderId="62" xfId="3982" applyFont="1" applyFill="1" applyBorder="1"/>
    <xf numFmtId="209" fontId="0" fillId="0" borderId="62" xfId="3982" applyNumberFormat="1" applyFont="1" applyFill="1" applyBorder="1"/>
    <xf numFmtId="44" fontId="0" fillId="0" borderId="62" xfId="1079" applyFont="1" applyFill="1" applyBorder="1"/>
    <xf numFmtId="2" fontId="0" fillId="0" borderId="62" xfId="762" applyNumberFormat="1" applyFont="1" applyFill="1" applyBorder="1" applyAlignment="1">
      <alignment horizontal="center"/>
    </xf>
    <xf numFmtId="4" fontId="22" fillId="0" borderId="62" xfId="1773" applyNumberFormat="1" applyFont="1" applyFill="1" applyBorder="1"/>
    <xf numFmtId="2" fontId="22" fillId="0" borderId="0" xfId="1773" applyNumberFormat="1" applyFont="1" applyFill="1" applyAlignment="1">
      <alignment horizontal="center"/>
    </xf>
    <xf numFmtId="9" fontId="22" fillId="0" borderId="0" xfId="1773" applyNumberFormat="1" applyFont="1" applyFill="1"/>
    <xf numFmtId="0" fontId="231" fillId="101" borderId="159" xfId="1773" applyNumberFormat="1" applyFont="1" applyFill="1" applyBorder="1" applyAlignment="1">
      <alignment horizontal="center" vertical="center" wrapText="1"/>
    </xf>
    <xf numFmtId="283" fontId="231" fillId="101" borderId="159" xfId="1768" applyNumberFormat="1" applyFont="1" applyFill="1" applyBorder="1" applyAlignment="1">
      <alignment horizontal="center" vertical="center" wrapText="1"/>
    </xf>
    <xf numFmtId="2" fontId="231" fillId="101" borderId="159" xfId="762" applyNumberFormat="1" applyFont="1" applyFill="1" applyBorder="1" applyAlignment="1">
      <alignment horizontal="center" vertical="center" wrapText="1"/>
    </xf>
    <xf numFmtId="2" fontId="231" fillId="101" borderId="159" xfId="1773" applyNumberFormat="1" applyFont="1" applyFill="1" applyBorder="1" applyAlignment="1">
      <alignment horizontal="center" vertical="center" wrapText="1"/>
    </xf>
    <xf numFmtId="9" fontId="231" fillId="101" borderId="159" xfId="1773" applyNumberFormat="1" applyFont="1" applyFill="1" applyBorder="1" applyAlignment="1">
      <alignment horizontal="center" vertical="center" wrapText="1"/>
    </xf>
    <xf numFmtId="0" fontId="233" fillId="101" borderId="159" xfId="1768" applyNumberFormat="1" applyFont="1" applyFill="1" applyBorder="1" applyAlignment="1">
      <alignment horizontal="center" vertical="center" wrapText="1"/>
    </xf>
    <xf numFmtId="1" fontId="231" fillId="103" borderId="159" xfId="1773" applyNumberFormat="1" applyFont="1" applyFill="1" applyBorder="1" applyAlignment="1">
      <alignment horizontal="center" vertical="center"/>
    </xf>
    <xf numFmtId="0" fontId="22" fillId="33" borderId="159" xfId="1773" applyNumberFormat="1" applyFont="1" applyFill="1" applyBorder="1"/>
    <xf numFmtId="0" fontId="22" fillId="33" borderId="159" xfId="1773" applyNumberFormat="1" applyFont="1" applyFill="1" applyBorder="1" applyAlignment="1">
      <alignment horizontal="center"/>
    </xf>
    <xf numFmtId="2" fontId="0" fillId="33" borderId="159" xfId="762" applyNumberFormat="1" applyFont="1" applyFill="1" applyBorder="1" applyAlignment="1">
      <alignment horizontal="center"/>
    </xf>
    <xf numFmtId="2" fontId="22" fillId="33" borderId="159" xfId="1773" applyNumberFormat="1" applyFont="1" applyFill="1" applyBorder="1" applyAlignment="1">
      <alignment horizontal="center"/>
    </xf>
    <xf numFmtId="9" fontId="22" fillId="33" borderId="159" xfId="1773" applyNumberFormat="1" applyFont="1" applyFill="1" applyBorder="1" applyAlignment="1">
      <alignment horizontal="center"/>
    </xf>
    <xf numFmtId="283" fontId="22" fillId="88" borderId="78" xfId="1773" applyNumberFormat="1" applyFont="1" applyFill="1" applyBorder="1"/>
    <xf numFmtId="283" fontId="22" fillId="88" borderId="12" xfId="1773" applyNumberFormat="1" applyFont="1" applyFill="1" applyBorder="1"/>
    <xf numFmtId="283" fontId="22" fillId="88" borderId="79" xfId="1773" applyNumberFormat="1" applyFont="1" applyFill="1" applyBorder="1"/>
    <xf numFmtId="3" fontId="1" fillId="0" borderId="0" xfId="3306" applyNumberFormat="1" applyProtection="1">
      <protection locked="0"/>
    </xf>
    <xf numFmtId="43" fontId="1" fillId="0" borderId="0" xfId="3306" applyNumberFormat="1" applyProtection="1">
      <protection locked="0"/>
    </xf>
    <xf numFmtId="10" fontId="1" fillId="0" borderId="0" xfId="3306" applyNumberFormat="1" applyProtection="1">
      <protection locked="0"/>
    </xf>
    <xf numFmtId="171" fontId="195" fillId="0" borderId="0" xfId="0" applyNumberFormat="1" applyFont="1"/>
    <xf numFmtId="172" fontId="0" fillId="0" borderId="0" xfId="0" applyNumberFormat="1" applyFill="1"/>
    <xf numFmtId="3" fontId="0" fillId="0" borderId="0" xfId="0" applyNumberFormat="1" applyFill="1"/>
    <xf numFmtId="209" fontId="0" fillId="0" borderId="0" xfId="0" applyNumberFormat="1" applyFill="1"/>
    <xf numFmtId="0" fontId="0" fillId="0" borderId="0" xfId="0" applyFill="1" applyAlignment="1"/>
    <xf numFmtId="0" fontId="0" fillId="0" borderId="0" xfId="0" applyAlignment="1">
      <alignment vertical="top" wrapText="1"/>
    </xf>
    <xf numFmtId="0" fontId="0" fillId="0" borderId="163" xfId="0" applyBorder="1" applyAlignment="1">
      <alignment horizontal="center"/>
    </xf>
    <xf numFmtId="0" fontId="0" fillId="0" borderId="164" xfId="0" applyBorder="1" applyAlignment="1">
      <alignment horizontal="center"/>
    </xf>
    <xf numFmtId="0" fontId="0" fillId="0" borderId="13" xfId="0" applyBorder="1" applyAlignment="1">
      <alignment horizontal="center"/>
    </xf>
    <xf numFmtId="10" fontId="0" fillId="0" borderId="164" xfId="0" applyNumberFormat="1" applyBorder="1" applyAlignment="1">
      <alignment horizontal="center"/>
    </xf>
    <xf numFmtId="3" fontId="0" fillId="87" borderId="163" xfId="0" applyNumberFormat="1" applyFill="1" applyBorder="1"/>
    <xf numFmtId="3" fontId="0" fillId="87" borderId="164" xfId="0" applyNumberFormat="1" applyFill="1" applyBorder="1"/>
    <xf numFmtId="3" fontId="0" fillId="0" borderId="164" xfId="0" applyNumberFormat="1" applyBorder="1"/>
    <xf numFmtId="0" fontId="0" fillId="87" borderId="163" xfId="0" applyFill="1" applyBorder="1"/>
    <xf numFmtId="0" fontId="0" fillId="87" borderId="13" xfId="0" applyFill="1" applyBorder="1"/>
    <xf numFmtId="0" fontId="0" fillId="87" borderId="164" xfId="0" applyFill="1" applyBorder="1"/>
    <xf numFmtId="284" fontId="0" fillId="0" borderId="163" xfId="0" applyNumberFormat="1" applyBorder="1"/>
    <xf numFmtId="284" fontId="0" fillId="0" borderId="13" xfId="0" applyNumberFormat="1" applyBorder="1"/>
    <xf numFmtId="284" fontId="0" fillId="0" borderId="164" xfId="0" applyNumberFormat="1" applyBorder="1"/>
    <xf numFmtId="0" fontId="0" fillId="0" borderId="13" xfId="0" applyBorder="1"/>
    <xf numFmtId="3" fontId="0" fillId="0" borderId="13" xfId="0" applyNumberFormat="1" applyBorder="1"/>
    <xf numFmtId="3" fontId="0" fillId="0" borderId="163" xfId="0" applyNumberFormat="1" applyBorder="1"/>
    <xf numFmtId="0" fontId="0" fillId="0" borderId="163" xfId="0" applyBorder="1"/>
    <xf numFmtId="10" fontId="0" fillId="87" borderId="164" xfId="0" applyNumberFormat="1" applyFill="1" applyBorder="1"/>
    <xf numFmtId="0" fontId="1" fillId="0" borderId="0" xfId="3306" applyFont="1" applyAlignment="1" applyProtection="1">
      <alignment horizontal="left" vertical="top" wrapText="1"/>
      <protection locked="0"/>
    </xf>
    <xf numFmtId="0" fontId="0" fillId="0" borderId="0" xfId="3306" applyFont="1" applyAlignment="1" applyProtection="1">
      <alignment horizontal="left" vertical="top" wrapText="1"/>
      <protection locked="0"/>
    </xf>
    <xf numFmtId="0" fontId="232" fillId="103" borderId="78" xfId="1773" applyNumberFormat="1" applyFont="1" applyFill="1" applyBorder="1" applyAlignment="1"/>
    <xf numFmtId="0" fontId="232" fillId="103" borderId="165" xfId="1773" applyNumberFormat="1" applyFont="1" applyFill="1" applyBorder="1" applyAlignment="1"/>
    <xf numFmtId="0" fontId="195" fillId="34" borderId="0" xfId="0" applyFont="1" applyFill="1"/>
    <xf numFmtId="0" fontId="234" fillId="0" borderId="0" xfId="0" applyFont="1" applyAlignment="1">
      <alignment horizontal="center"/>
    </xf>
    <xf numFmtId="0" fontId="234" fillId="0" borderId="0" xfId="0" applyFont="1"/>
    <xf numFmtId="0" fontId="0" fillId="0" borderId="165" xfId="0" applyBorder="1"/>
    <xf numFmtId="172" fontId="0" fillId="0" borderId="0" xfId="0" applyNumberFormat="1"/>
    <xf numFmtId="0" fontId="235" fillId="0" borderId="0" xfId="1734" applyFont="1" applyAlignment="1">
      <alignment vertical="top"/>
    </xf>
    <xf numFmtId="0" fontId="22" fillId="0" borderId="0" xfId="1734" applyAlignment="1">
      <alignment vertical="top"/>
    </xf>
    <xf numFmtId="0" fontId="22" fillId="0" borderId="0" xfId="1734" applyFill="1" applyBorder="1" applyAlignment="1">
      <alignment vertical="top"/>
    </xf>
    <xf numFmtId="0" fontId="22" fillId="0" borderId="0" xfId="1734" applyBorder="1" applyAlignment="1">
      <alignment vertical="top"/>
    </xf>
    <xf numFmtId="0" fontId="22" fillId="0" borderId="0" xfId="1734" applyFill="1" applyAlignment="1">
      <alignment vertical="top"/>
    </xf>
    <xf numFmtId="0" fontId="236" fillId="0" borderId="0" xfId="1734" applyFont="1" applyAlignment="1">
      <alignment vertical="top"/>
    </xf>
    <xf numFmtId="0" fontId="22" fillId="0" borderId="0" xfId="1734" applyFill="1" applyBorder="1"/>
    <xf numFmtId="0" fontId="180" fillId="0" borderId="0" xfId="1734" applyFont="1"/>
    <xf numFmtId="0" fontId="236" fillId="0" borderId="0" xfId="1734" applyFont="1" applyFill="1" applyBorder="1" applyAlignment="1">
      <alignment vertical="top"/>
    </xf>
    <xf numFmtId="0" fontId="91" fillId="0" borderId="0" xfId="1734" applyFont="1" applyFill="1" applyBorder="1" applyAlignment="1">
      <alignment vertical="top"/>
    </xf>
    <xf numFmtId="0" fontId="41" fillId="67" borderId="159" xfId="1734" applyFont="1" applyFill="1" applyBorder="1" applyAlignment="1">
      <alignment vertical="top"/>
    </xf>
    <xf numFmtId="0" fontId="41" fillId="67" borderId="159" xfId="1734" applyFont="1" applyFill="1" applyBorder="1" applyAlignment="1">
      <alignment vertical="top" wrapText="1"/>
    </xf>
    <xf numFmtId="0" fontId="180" fillId="0" borderId="0" xfId="1734" applyNumberFormat="1" applyFont="1" applyAlignment="1">
      <alignment vertical="top"/>
    </xf>
    <xf numFmtId="0" fontId="22" fillId="0" borderId="64" xfId="1734" applyFill="1" applyBorder="1"/>
    <xf numFmtId="0" fontId="22" fillId="0" borderId="65" xfId="1734" applyFill="1" applyBorder="1"/>
    <xf numFmtId="0" fontId="22" fillId="0" borderId="66" xfId="1734" applyFill="1" applyBorder="1"/>
    <xf numFmtId="171" fontId="22" fillId="0" borderId="64" xfId="1734" applyNumberFormat="1" applyFont="1" applyFill="1" applyBorder="1" applyAlignment="1">
      <alignment vertical="top"/>
    </xf>
    <xf numFmtId="171" fontId="22" fillId="0" borderId="65" xfId="1734" applyNumberFormat="1" applyFont="1" applyFill="1" applyBorder="1" applyAlignment="1">
      <alignment vertical="top"/>
    </xf>
    <xf numFmtId="283" fontId="22" fillId="0" borderId="65" xfId="1734" applyNumberFormat="1" applyFont="1" applyFill="1" applyBorder="1" applyAlignment="1">
      <alignment vertical="top"/>
    </xf>
    <xf numFmtId="283" fontId="22" fillId="0" borderId="66" xfId="1734" applyNumberFormat="1" applyFont="1" applyFill="1" applyBorder="1" applyAlignment="1">
      <alignment vertical="top"/>
    </xf>
    <xf numFmtId="0" fontId="22" fillId="86" borderId="67" xfId="1734" applyFill="1" applyBorder="1"/>
    <xf numFmtId="0" fontId="22" fillId="86" borderId="68" xfId="1734" applyFill="1" applyBorder="1"/>
    <xf numFmtId="0" fontId="22" fillId="86" borderId="69" xfId="1734" applyFill="1" applyBorder="1"/>
    <xf numFmtId="171" fontId="22" fillId="86" borderId="67" xfId="1734" applyNumberFormat="1" applyFont="1" applyFill="1" applyBorder="1" applyAlignment="1">
      <alignment vertical="top"/>
    </xf>
    <xf numFmtId="171" fontId="22" fillId="86" borderId="68" xfId="1734" applyNumberFormat="1" applyFont="1" applyFill="1" applyBorder="1" applyAlignment="1">
      <alignment vertical="top"/>
    </xf>
    <xf numFmtId="283" fontId="22" fillId="86" borderId="68" xfId="1734" applyNumberFormat="1" applyFont="1" applyFill="1" applyBorder="1" applyAlignment="1">
      <alignment vertical="top"/>
    </xf>
    <xf numFmtId="283" fontId="22" fillId="86" borderId="69" xfId="1734" applyNumberFormat="1" applyFont="1" applyFill="1" applyBorder="1" applyAlignment="1">
      <alignment vertical="top"/>
    </xf>
    <xf numFmtId="0" fontId="22" fillId="0" borderId="67" xfId="1734" applyFill="1" applyBorder="1"/>
    <xf numFmtId="0" fontId="22" fillId="0" borderId="68" xfId="1734" applyFill="1" applyBorder="1"/>
    <xf numFmtId="0" fontId="22" fillId="0" borderId="69" xfId="1734" applyFill="1" applyBorder="1"/>
    <xf numFmtId="171" fontId="22" fillId="0" borderId="67" xfId="1734" applyNumberFormat="1" applyFont="1" applyFill="1" applyBorder="1" applyAlignment="1">
      <alignment vertical="top"/>
    </xf>
    <xf numFmtId="171" fontId="22" fillId="0" borderId="68" xfId="1734" applyNumberFormat="1" applyFont="1" applyFill="1" applyBorder="1" applyAlignment="1">
      <alignment vertical="top"/>
    </xf>
    <xf numFmtId="283" fontId="22" fillId="0" borderId="68" xfId="1734" applyNumberFormat="1" applyFont="1" applyFill="1" applyBorder="1" applyAlignment="1">
      <alignment vertical="top"/>
    </xf>
    <xf numFmtId="283" fontId="22" fillId="0" borderId="69" xfId="1734" applyNumberFormat="1" applyFont="1" applyFill="1" applyBorder="1" applyAlignment="1">
      <alignment vertical="top"/>
    </xf>
    <xf numFmtId="0" fontId="22" fillId="0" borderId="70" xfId="1734" applyFill="1" applyBorder="1"/>
    <xf numFmtId="0" fontId="22" fillId="0" borderId="71" xfId="1734" applyFill="1" applyBorder="1"/>
    <xf numFmtId="0" fontId="22" fillId="0" borderId="72" xfId="1734" applyFill="1" applyBorder="1"/>
    <xf numFmtId="171" fontId="22" fillId="0" borderId="70" xfId="1734" applyNumberFormat="1" applyFont="1" applyFill="1" applyBorder="1" applyAlignment="1">
      <alignment vertical="top"/>
    </xf>
    <xf numFmtId="171" fontId="22" fillId="0" borderId="71" xfId="1734" applyNumberFormat="1" applyFont="1" applyFill="1" applyBorder="1" applyAlignment="1">
      <alignment vertical="top"/>
    </xf>
    <xf numFmtId="283" fontId="22" fillId="0" borderId="71" xfId="1734" applyNumberFormat="1" applyFont="1" applyFill="1" applyBorder="1" applyAlignment="1">
      <alignment vertical="top"/>
    </xf>
    <xf numFmtId="283" fontId="22" fillId="0" borderId="72" xfId="1734" applyNumberFormat="1" applyFont="1" applyFill="1" applyBorder="1" applyAlignment="1">
      <alignment vertical="top"/>
    </xf>
    <xf numFmtId="0" fontId="22" fillId="86" borderId="64" xfId="1734" applyFill="1" applyBorder="1"/>
    <xf numFmtId="0" fontId="22" fillId="86" borderId="65" xfId="1734" applyFill="1" applyBorder="1"/>
    <xf numFmtId="0" fontId="22" fillId="86" borderId="66" xfId="1734" applyFill="1" applyBorder="1"/>
    <xf numFmtId="171" fontId="22" fillId="86" borderId="64" xfId="1734" applyNumberFormat="1" applyFont="1" applyFill="1" applyBorder="1" applyAlignment="1">
      <alignment vertical="top"/>
    </xf>
    <xf numFmtId="171" fontId="22" fillId="86" borderId="65" xfId="1734" applyNumberFormat="1" applyFont="1" applyFill="1" applyBorder="1" applyAlignment="1">
      <alignment vertical="top"/>
    </xf>
    <xf numFmtId="283" fontId="22" fillId="86" borderId="65" xfId="1734" applyNumberFormat="1" applyFont="1" applyFill="1" applyBorder="1" applyAlignment="1">
      <alignment vertical="top"/>
    </xf>
    <xf numFmtId="283" fontId="22" fillId="86" borderId="66" xfId="1734" applyNumberFormat="1" applyFont="1" applyFill="1" applyBorder="1" applyAlignment="1">
      <alignment vertical="top"/>
    </xf>
    <xf numFmtId="0" fontId="237" fillId="0" borderId="68" xfId="1734" applyFont="1" applyFill="1" applyBorder="1"/>
    <xf numFmtId="0" fontId="22" fillId="86" borderId="70" xfId="1734" applyFill="1" applyBorder="1"/>
    <xf numFmtId="0" fontId="22" fillId="86" borderId="71" xfId="1734" applyFill="1" applyBorder="1"/>
    <xf numFmtId="0" fontId="22" fillId="86" borderId="72" xfId="1734" applyFill="1" applyBorder="1"/>
    <xf numFmtId="171" fontId="22" fillId="86" borderId="70" xfId="1734" applyNumberFormat="1" applyFont="1" applyFill="1" applyBorder="1" applyAlignment="1">
      <alignment vertical="top"/>
    </xf>
    <xf numFmtId="171" fontId="22" fillId="86" borderId="71" xfId="1734" applyNumberFormat="1" applyFont="1" applyFill="1" applyBorder="1" applyAlignment="1">
      <alignment vertical="top"/>
    </xf>
    <xf numFmtId="283" fontId="22" fillId="86" borderId="71" xfId="1734" applyNumberFormat="1" applyFont="1" applyFill="1" applyBorder="1" applyAlignment="1">
      <alignment vertical="top"/>
    </xf>
    <xf numFmtId="283" fontId="22" fillId="86" borderId="72" xfId="1734" applyNumberFormat="1" applyFont="1" applyFill="1" applyBorder="1" applyAlignment="1">
      <alignment vertical="top"/>
    </xf>
    <xf numFmtId="0" fontId="237" fillId="86" borderId="68" xfId="1734" applyFont="1" applyFill="1" applyBorder="1"/>
    <xf numFmtId="0" fontId="22" fillId="0" borderId="73" xfId="1734" applyFill="1" applyBorder="1"/>
    <xf numFmtId="0" fontId="22" fillId="0" borderId="74" xfId="1734" applyFill="1" applyBorder="1"/>
    <xf numFmtId="0" fontId="22" fillId="0" borderId="75" xfId="1734" applyFill="1" applyBorder="1"/>
    <xf numFmtId="171" fontId="22" fillId="0" borderId="76" xfId="1734" applyNumberFormat="1" applyFont="1" applyFill="1" applyBorder="1" applyAlignment="1">
      <alignment vertical="top"/>
    </xf>
    <xf numFmtId="171" fontId="22" fillId="0" borderId="77" xfId="1734" applyNumberFormat="1" applyFont="1" applyFill="1" applyBorder="1" applyAlignment="1">
      <alignment vertical="top"/>
    </xf>
    <xf numFmtId="283" fontId="22" fillId="0" borderId="77" xfId="1734" applyNumberFormat="1" applyFont="1" applyFill="1" applyBorder="1" applyAlignment="1">
      <alignment vertical="top"/>
    </xf>
    <xf numFmtId="283" fontId="22" fillId="0" borderId="111" xfId="1734" applyNumberFormat="1" applyFont="1" applyFill="1" applyBorder="1" applyAlignment="1">
      <alignment vertical="top"/>
    </xf>
    <xf numFmtId="0" fontId="41" fillId="67" borderId="160" xfId="1734" applyFont="1" applyFill="1" applyBorder="1" applyAlignment="1">
      <alignment vertical="top"/>
    </xf>
    <xf numFmtId="0" fontId="41" fillId="67" borderId="162" xfId="1734" applyFont="1" applyFill="1" applyBorder="1" applyAlignment="1">
      <alignment vertical="top"/>
    </xf>
    <xf numFmtId="0" fontId="41" fillId="67" borderId="161" xfId="1734" applyFont="1" applyFill="1" applyBorder="1" applyAlignment="1">
      <alignment vertical="top"/>
    </xf>
    <xf numFmtId="4" fontId="41" fillId="67" borderId="159" xfId="1734" applyNumberFormat="1" applyFont="1" applyFill="1" applyBorder="1" applyAlignment="1">
      <alignment vertical="top"/>
    </xf>
    <xf numFmtId="0" fontId="41" fillId="0" borderId="0" xfId="1734" applyFont="1" applyFill="1" applyBorder="1" applyAlignment="1">
      <alignment vertical="top"/>
    </xf>
    <xf numFmtId="4" fontId="41" fillId="0" borderId="0" xfId="1734" applyNumberFormat="1" applyFont="1" applyFill="1" applyBorder="1" applyAlignment="1">
      <alignment vertical="top"/>
    </xf>
    <xf numFmtId="0" fontId="22" fillId="67" borderId="162" xfId="1734" applyFill="1" applyBorder="1" applyAlignment="1">
      <alignment vertical="top"/>
    </xf>
    <xf numFmtId="0" fontId="22" fillId="67" borderId="161" xfId="1734" applyFill="1" applyBorder="1" applyAlignment="1">
      <alignment vertical="top"/>
    </xf>
    <xf numFmtId="0" fontId="238" fillId="0" borderId="0" xfId="1734" applyFont="1" applyAlignment="1">
      <alignment vertical="top"/>
    </xf>
    <xf numFmtId="0" fontId="238" fillId="0" borderId="0" xfId="1734" applyFont="1" applyFill="1" applyBorder="1" applyAlignment="1">
      <alignment vertical="top"/>
    </xf>
    <xf numFmtId="0" fontId="238" fillId="0" borderId="0" xfId="1734" applyFont="1" applyBorder="1" applyAlignment="1">
      <alignment vertical="top"/>
    </xf>
    <xf numFmtId="0" fontId="238" fillId="0" borderId="0" xfId="1734" applyFont="1" applyFill="1" applyAlignment="1">
      <alignment vertical="top"/>
    </xf>
    <xf numFmtId="3" fontId="22" fillId="0" borderId="64" xfId="1734" applyNumberFormat="1" applyFont="1" applyFill="1" applyBorder="1" applyAlignment="1">
      <alignment vertical="top"/>
    </xf>
    <xf numFmtId="3" fontId="22" fillId="0" borderId="65" xfId="1734" quotePrefix="1" applyNumberFormat="1" applyFont="1" applyFill="1" applyBorder="1" applyAlignment="1">
      <alignment vertical="top"/>
    </xf>
    <xf numFmtId="3" fontId="22" fillId="0" borderId="65" xfId="1734" applyNumberFormat="1" applyFont="1" applyFill="1" applyBorder="1" applyAlignment="1">
      <alignment vertical="top"/>
    </xf>
    <xf numFmtId="3" fontId="22" fillId="0" borderId="66" xfId="1734" applyNumberFormat="1" applyFont="1" applyFill="1" applyBorder="1" applyAlignment="1">
      <alignment vertical="top"/>
    </xf>
    <xf numFmtId="3" fontId="22" fillId="86" borderId="67" xfId="1734" applyNumberFormat="1" applyFont="1" applyFill="1" applyBorder="1" applyAlignment="1">
      <alignment vertical="top"/>
    </xf>
    <xf numFmtId="3" fontId="22" fillId="86" borderId="68" xfId="1734" applyNumberFormat="1" applyFont="1" applyFill="1" applyBorder="1" applyAlignment="1">
      <alignment vertical="top"/>
    </xf>
    <xf numFmtId="3" fontId="22" fillId="86" borderId="69" xfId="1734" applyNumberFormat="1" applyFont="1" applyFill="1" applyBorder="1" applyAlignment="1">
      <alignment vertical="top"/>
    </xf>
    <xf numFmtId="3" fontId="22" fillId="0" borderId="67" xfId="1734" applyNumberFormat="1" applyFont="1" applyFill="1" applyBorder="1" applyAlignment="1">
      <alignment vertical="top"/>
    </xf>
    <xf numFmtId="3" fontId="22" fillId="0" borderId="68" xfId="1734" applyNumberFormat="1" applyFont="1" applyFill="1" applyBorder="1" applyAlignment="1">
      <alignment vertical="top"/>
    </xf>
    <xf numFmtId="3" fontId="22" fillId="0" borderId="69" xfId="1734" applyNumberFormat="1" applyFont="1" applyFill="1" applyBorder="1" applyAlignment="1">
      <alignment vertical="top"/>
    </xf>
    <xf numFmtId="3" fontId="22" fillId="0" borderId="70" xfId="1734" applyNumberFormat="1" applyFont="1" applyFill="1" applyBorder="1" applyAlignment="1">
      <alignment vertical="top"/>
    </xf>
    <xf numFmtId="3" fontId="22" fillId="0" borderId="71" xfId="1734" applyNumberFormat="1" applyFont="1" applyFill="1" applyBorder="1" applyAlignment="1">
      <alignment vertical="top"/>
    </xf>
    <xf numFmtId="3" fontId="22" fillId="0" borderId="72" xfId="1734" applyNumberFormat="1" applyFont="1" applyFill="1" applyBorder="1" applyAlignment="1">
      <alignment vertical="top"/>
    </xf>
    <xf numFmtId="3" fontId="22" fillId="86" borderId="64" xfId="1734" applyNumberFormat="1" applyFont="1" applyFill="1" applyBorder="1" applyAlignment="1">
      <alignment vertical="top"/>
    </xf>
    <xf numFmtId="3" fontId="22" fillId="86" borderId="65" xfId="1734" applyNumberFormat="1" applyFont="1" applyFill="1" applyBorder="1" applyAlignment="1">
      <alignment vertical="top"/>
    </xf>
    <xf numFmtId="3" fontId="22" fillId="86" borderId="66" xfId="1734" applyNumberFormat="1" applyFont="1" applyFill="1" applyBorder="1" applyAlignment="1">
      <alignment vertical="top"/>
    </xf>
    <xf numFmtId="3" fontId="22" fillId="86" borderId="70" xfId="1734" applyNumberFormat="1" applyFont="1" applyFill="1" applyBorder="1" applyAlignment="1">
      <alignment vertical="top"/>
    </xf>
    <xf numFmtId="3" fontId="22" fillId="86" borderId="71" xfId="1734" applyNumberFormat="1" applyFont="1" applyFill="1" applyBorder="1" applyAlignment="1">
      <alignment vertical="top"/>
    </xf>
    <xf numFmtId="3" fontId="22" fillId="86" borderId="72" xfId="1734" applyNumberFormat="1" applyFont="1" applyFill="1" applyBorder="1" applyAlignment="1">
      <alignment vertical="top"/>
    </xf>
    <xf numFmtId="3" fontId="22" fillId="0" borderId="73" xfId="1734" applyNumberFormat="1" applyFont="1" applyFill="1" applyBorder="1" applyAlignment="1">
      <alignment vertical="top"/>
    </xf>
    <xf numFmtId="3" fontId="22" fillId="0" borderId="74" xfId="1734" applyNumberFormat="1" applyFont="1" applyFill="1" applyBorder="1" applyAlignment="1">
      <alignment vertical="top"/>
    </xf>
    <xf numFmtId="3" fontId="22" fillId="0" borderId="75" xfId="1734" applyNumberFormat="1" applyFont="1" applyFill="1" applyBorder="1" applyAlignment="1">
      <alignment vertical="top"/>
    </xf>
    <xf numFmtId="3" fontId="41" fillId="67" borderId="159" xfId="1734" applyNumberFormat="1" applyFont="1" applyFill="1" applyBorder="1" applyAlignment="1">
      <alignment vertical="top"/>
    </xf>
    <xf numFmtId="3" fontId="22" fillId="0" borderId="0" xfId="1734" applyNumberFormat="1" applyBorder="1" applyAlignment="1">
      <alignment vertical="top"/>
    </xf>
    <xf numFmtId="3" fontId="41" fillId="0" borderId="0" xfId="1734" applyNumberFormat="1" applyFont="1" applyFill="1" applyBorder="1" applyAlignment="1">
      <alignment vertical="top"/>
    </xf>
    <xf numFmtId="283" fontId="22" fillId="0" borderId="64" xfId="1734" applyNumberFormat="1" applyFont="1" applyFill="1" applyBorder="1" applyAlignment="1">
      <alignment vertical="top"/>
    </xf>
    <xf numFmtId="283" fontId="22" fillId="0" borderId="65" xfId="1734" quotePrefix="1" applyNumberFormat="1" applyFont="1" applyFill="1" applyBorder="1" applyAlignment="1">
      <alignment vertical="top"/>
    </xf>
    <xf numFmtId="283" fontId="22" fillId="86" borderId="67" xfId="1734" applyNumberFormat="1" applyFont="1" applyFill="1" applyBorder="1" applyAlignment="1">
      <alignment vertical="top"/>
    </xf>
    <xf numFmtId="283" fontId="22" fillId="0" borderId="67" xfId="1734" applyNumberFormat="1" applyFont="1" applyFill="1" applyBorder="1" applyAlignment="1">
      <alignment vertical="top"/>
    </xf>
    <xf numFmtId="283" fontId="22" fillId="0" borderId="70" xfId="1734" applyNumberFormat="1" applyFont="1" applyFill="1" applyBorder="1" applyAlignment="1">
      <alignment vertical="top"/>
    </xf>
    <xf numFmtId="283" fontId="22" fillId="86" borderId="64" xfId="1734" applyNumberFormat="1" applyFont="1" applyFill="1" applyBorder="1" applyAlignment="1">
      <alignment vertical="top"/>
    </xf>
    <xf numFmtId="283" fontId="22" fillId="86" borderId="70" xfId="1734" applyNumberFormat="1" applyFont="1" applyFill="1" applyBorder="1" applyAlignment="1">
      <alignment vertical="top"/>
    </xf>
    <xf numFmtId="283" fontId="22" fillId="0" borderId="73" xfId="1734" applyNumberFormat="1" applyFont="1" applyFill="1" applyBorder="1" applyAlignment="1">
      <alignment vertical="top"/>
    </xf>
    <xf numFmtId="283" fontId="22" fillId="0" borderId="74" xfId="1734" applyNumberFormat="1" applyFont="1" applyFill="1" applyBorder="1" applyAlignment="1">
      <alignment vertical="top"/>
    </xf>
    <xf numFmtId="283" fontId="22" fillId="0" borderId="75" xfId="1734" applyNumberFormat="1" applyFont="1" applyFill="1" applyBorder="1" applyAlignment="1">
      <alignment vertical="top"/>
    </xf>
    <xf numFmtId="0" fontId="180" fillId="0" borderId="165" xfId="1734" applyNumberFormat="1" applyFont="1" applyBorder="1" applyAlignment="1">
      <alignment vertical="top"/>
    </xf>
    <xf numFmtId="0" fontId="234" fillId="91" borderId="0" xfId="0" applyFont="1" applyFill="1" applyAlignment="1">
      <alignment horizontal="center"/>
    </xf>
    <xf numFmtId="0" fontId="0" fillId="91" borderId="0" xfId="0" applyFill="1"/>
    <xf numFmtId="9" fontId="0" fillId="91" borderId="0" xfId="0" applyNumberFormat="1" applyFill="1"/>
    <xf numFmtId="0" fontId="0" fillId="91" borderId="0" xfId="0" applyFill="1" applyAlignment="1">
      <alignment horizontal="center"/>
    </xf>
    <xf numFmtId="288" fontId="0" fillId="91" borderId="0" xfId="0" applyNumberFormat="1" applyFill="1"/>
    <xf numFmtId="0" fontId="0" fillId="0" borderId="0" xfId="0" pivotButton="1"/>
    <xf numFmtId="0" fontId="15" fillId="0" borderId="0" xfId="0" applyFont="1" applyAlignment="1">
      <alignment horizontal="center"/>
    </xf>
    <xf numFmtId="0" fontId="0" fillId="0" borderId="0" xfId="0" applyFill="1" applyBorder="1" applyAlignment="1">
      <alignment horizontal="left"/>
    </xf>
    <xf numFmtId="0" fontId="0" fillId="0" borderId="0" xfId="0" applyFont="1" applyAlignment="1">
      <alignment horizontal="left"/>
    </xf>
    <xf numFmtId="0" fontId="0" fillId="0" borderId="0" xfId="0" applyFill="1" applyAlignment="1">
      <alignment horizontal="left"/>
    </xf>
    <xf numFmtId="0" fontId="15" fillId="0" borderId="0" xfId="0" applyFont="1" applyAlignment="1">
      <alignment horizontal="center"/>
    </xf>
    <xf numFmtId="0" fontId="0" fillId="92" borderId="0" xfId="0" applyFill="1" applyAlignment="1">
      <alignment horizontal="center"/>
    </xf>
    <xf numFmtId="0" fontId="0" fillId="92" borderId="0" xfId="0" applyFill="1" applyAlignment="1">
      <alignment horizontal="right"/>
    </xf>
    <xf numFmtId="0" fontId="0" fillId="90" borderId="0" xfId="0" applyFill="1" applyAlignment="1">
      <alignment horizontal="right"/>
    </xf>
    <xf numFmtId="0" fontId="0" fillId="92" borderId="0" xfId="0" applyFill="1"/>
    <xf numFmtId="4" fontId="0" fillId="0" borderId="0" xfId="0" applyNumberFormat="1" applyAlignment="1">
      <alignment horizontal="center"/>
    </xf>
    <xf numFmtId="4" fontId="0" fillId="92" borderId="0" xfId="0" applyNumberFormat="1" applyFill="1"/>
    <xf numFmtId="4" fontId="15" fillId="0" borderId="0" xfId="0" applyNumberFormat="1" applyFont="1" applyAlignment="1">
      <alignment horizontal="center"/>
    </xf>
    <xf numFmtId="4" fontId="0" fillId="0" borderId="0" xfId="0" applyNumberFormat="1" applyFont="1" applyAlignment="1">
      <alignment horizontal="center"/>
    </xf>
    <xf numFmtId="4" fontId="0" fillId="0" borderId="0" xfId="0" applyNumberFormat="1" applyFill="1"/>
    <xf numFmtId="0" fontId="1" fillId="0" borderId="0" xfId="3306" applyAlignment="1" applyProtection="1">
      <alignment wrapText="1"/>
      <protection locked="0"/>
    </xf>
    <xf numFmtId="175" fontId="200" fillId="0" borderId="0" xfId="7" applyNumberFormat="1" applyFont="1" applyAlignment="1">
      <alignment horizontal="right"/>
    </xf>
    <xf numFmtId="170" fontId="200" fillId="0" borderId="0" xfId="761" applyFont="1" applyAlignment="1">
      <alignment horizontal="right"/>
    </xf>
    <xf numFmtId="0" fontId="200" fillId="0" borderId="0" xfId="7" applyFont="1" applyAlignment="1">
      <alignment wrapText="1"/>
    </xf>
    <xf numFmtId="289" fontId="200" fillId="0" borderId="0" xfId="7" applyNumberFormat="1" applyFont="1" applyAlignment="1">
      <alignment horizontal="center"/>
    </xf>
    <xf numFmtId="0" fontId="200" fillId="0" borderId="0" xfId="7" applyFont="1"/>
    <xf numFmtId="175" fontId="41" fillId="0" borderId="0" xfId="7" applyNumberFormat="1" applyFont="1" applyAlignment="1">
      <alignment horizontal="right"/>
    </xf>
    <xf numFmtId="170" fontId="41" fillId="0" borderId="0" xfId="761" applyFont="1" applyAlignment="1">
      <alignment horizontal="right"/>
    </xf>
    <xf numFmtId="0" fontId="22" fillId="0" borderId="0" xfId="7" applyAlignment="1">
      <alignment wrapText="1"/>
    </xf>
    <xf numFmtId="289" fontId="22" fillId="0" borderId="0" xfId="7" applyNumberFormat="1" applyFont="1" applyAlignment="1">
      <alignment horizontal="center"/>
    </xf>
    <xf numFmtId="0" fontId="22" fillId="0" borderId="0" xfId="7"/>
    <xf numFmtId="170" fontId="41" fillId="0" borderId="0" xfId="761" applyFont="1"/>
    <xf numFmtId="0" fontId="22" fillId="0" borderId="0" xfId="7" applyFill="1"/>
    <xf numFmtId="0" fontId="153" fillId="104" borderId="0" xfId="5602" applyFont="1" applyFill="1" applyAlignment="1">
      <alignment horizontal="center" vertical="center" wrapText="1"/>
    </xf>
    <xf numFmtId="43" fontId="153" fillId="104" borderId="0" xfId="4788" applyFont="1" applyFill="1" applyAlignment="1">
      <alignment horizontal="center" vertical="center" wrapText="1"/>
    </xf>
    <xf numFmtId="175" fontId="22" fillId="105" borderId="0" xfId="7" applyNumberFormat="1" applyFill="1"/>
    <xf numFmtId="2" fontId="41" fillId="105" borderId="0" xfId="7" applyNumberFormat="1" applyFont="1" applyFill="1"/>
    <xf numFmtId="0" fontId="0" fillId="105" borderId="0" xfId="0" applyFill="1"/>
    <xf numFmtId="0" fontId="15" fillId="105" borderId="0" xfId="0" applyFont="1" applyFill="1" applyAlignment="1">
      <alignment horizontal="center"/>
    </xf>
    <xf numFmtId="0" fontId="22" fillId="105" borderId="0" xfId="7" applyFill="1" applyAlignment="1">
      <alignment horizontal="center" wrapText="1"/>
    </xf>
    <xf numFmtId="17" fontId="15" fillId="105" borderId="0" xfId="0" applyNumberFormat="1" applyFont="1" applyFill="1"/>
    <xf numFmtId="2" fontId="22" fillId="0" borderId="0" xfId="7" applyNumberFormat="1" applyAlignment="1">
      <alignment horizontal="right"/>
    </xf>
    <xf numFmtId="43" fontId="41" fillId="0" borderId="0" xfId="4788" applyFont="1" applyAlignment="1">
      <alignment horizontal="right"/>
    </xf>
    <xf numFmtId="0" fontId="41" fillId="0" borderId="0" xfId="0" applyFont="1"/>
    <xf numFmtId="175" fontId="41" fillId="0" borderId="0" xfId="7" applyNumberFormat="1" applyFont="1" applyAlignment="1">
      <alignment horizontal="right" vertical="center"/>
    </xf>
    <xf numFmtId="43" fontId="41" fillId="0" borderId="0" xfId="4788" applyFont="1" applyAlignment="1">
      <alignment horizontal="right" vertical="center"/>
    </xf>
    <xf numFmtId="0" fontId="22" fillId="0" borderId="0" xfId="7" applyAlignment="1">
      <alignment vertical="center" wrapText="1"/>
    </xf>
    <xf numFmtId="289" fontId="22" fillId="0" borderId="0" xfId="7" applyNumberFormat="1" applyFont="1" applyAlignment="1">
      <alignment horizontal="center" vertical="center"/>
    </xf>
    <xf numFmtId="0" fontId="22" fillId="0" borderId="0" xfId="7" applyAlignment="1">
      <alignment vertical="center"/>
    </xf>
    <xf numFmtId="175" fontId="200" fillId="0" borderId="0" xfId="7" applyNumberFormat="1" applyFont="1" applyAlignment="1">
      <alignment horizontal="right" vertical="center"/>
    </xf>
    <xf numFmtId="170" fontId="200" fillId="0" borderId="0" xfId="761" applyFont="1" applyAlignment="1">
      <alignment horizontal="right" vertical="center"/>
    </xf>
    <xf numFmtId="0" fontId="200" fillId="0" borderId="0" xfId="7" applyFont="1" applyAlignment="1">
      <alignment vertical="center" wrapText="1"/>
    </xf>
    <xf numFmtId="289" fontId="200" fillId="0" borderId="0" xfId="7" applyNumberFormat="1" applyFont="1" applyAlignment="1">
      <alignment horizontal="center" vertical="center"/>
    </xf>
    <xf numFmtId="0" fontId="200" fillId="0" borderId="0" xfId="7" applyFont="1" applyAlignment="1">
      <alignment vertical="center"/>
    </xf>
    <xf numFmtId="170" fontId="41" fillId="0" borderId="0" xfId="761" applyFont="1" applyAlignment="1">
      <alignment horizontal="right" vertical="center"/>
    </xf>
    <xf numFmtId="2" fontId="22" fillId="105" borderId="0" xfId="7" applyNumberFormat="1" applyFill="1"/>
    <xf numFmtId="175" fontId="200" fillId="0" borderId="0" xfId="7" applyNumberFormat="1" applyFont="1"/>
    <xf numFmtId="170" fontId="200" fillId="0" borderId="0" xfId="761" applyFont="1"/>
    <xf numFmtId="175" fontId="41" fillId="0" borderId="0" xfId="7" applyNumberFormat="1" applyFont="1"/>
    <xf numFmtId="175" fontId="41" fillId="0" borderId="0" xfId="1795" applyNumberFormat="1" applyFont="1"/>
    <xf numFmtId="0" fontId="22" fillId="0" borderId="0" xfId="1795" applyAlignment="1">
      <alignment wrapText="1"/>
    </xf>
    <xf numFmtId="0" fontId="22" fillId="0" borderId="0" xfId="1795"/>
    <xf numFmtId="0" fontId="153" fillId="104" borderId="0" xfId="5602" applyFont="1" applyFill="1" applyAlignment="1">
      <alignment horizontal="center" vertical="center"/>
    </xf>
    <xf numFmtId="0" fontId="22" fillId="105" borderId="0" xfId="7" applyFill="1" applyAlignment="1">
      <alignment wrapText="1"/>
    </xf>
    <xf numFmtId="0" fontId="0" fillId="105" borderId="0" xfId="0" applyFill="1" applyAlignment="1">
      <alignment horizontal="center"/>
    </xf>
    <xf numFmtId="2" fontId="22" fillId="0" borderId="0" xfId="7" applyNumberFormat="1"/>
    <xf numFmtId="0" fontId="15" fillId="105" borderId="0" xfId="0" applyFont="1" applyFill="1"/>
    <xf numFmtId="0" fontId="15" fillId="0" borderId="0" xfId="0" applyFont="1" applyFill="1" applyAlignment="1">
      <alignment horizontal="center"/>
    </xf>
    <xf numFmtId="0" fontId="0" fillId="0" borderId="0" xfId="0" applyFill="1" applyAlignment="1">
      <alignment horizontal="center"/>
    </xf>
    <xf numFmtId="0" fontId="15" fillId="0" borderId="0" xfId="0" applyFont="1" applyFill="1" applyBorder="1"/>
    <xf numFmtId="0" fontId="0" fillId="106" borderId="0" xfId="0" applyFill="1"/>
    <xf numFmtId="0" fontId="215" fillId="0" borderId="0" xfId="0" applyFont="1" applyFill="1"/>
    <xf numFmtId="170" fontId="1" fillId="0" borderId="0" xfId="761" applyFont="1" applyAlignment="1">
      <alignment horizontal="right"/>
    </xf>
    <xf numFmtId="170" fontId="1" fillId="0" borderId="0" xfId="761" applyFont="1" applyBorder="1" applyAlignment="1">
      <alignment horizontal="right"/>
    </xf>
    <xf numFmtId="170" fontId="1" fillId="0" borderId="82" xfId="761" applyFont="1" applyBorder="1" applyAlignment="1">
      <alignment horizontal="right"/>
    </xf>
    <xf numFmtId="0" fontId="44" fillId="0" borderId="0" xfId="5603" applyFill="1" applyProtection="1"/>
    <xf numFmtId="0" fontId="44" fillId="0" borderId="0" xfId="5603" applyProtection="1"/>
    <xf numFmtId="10" fontId="44" fillId="0" borderId="0" xfId="5604" applyNumberFormat="1" applyFont="1" applyProtection="1"/>
    <xf numFmtId="0" fontId="0" fillId="34" borderId="159" xfId="0" applyFill="1" applyBorder="1" applyAlignment="1">
      <alignment horizontal="center"/>
    </xf>
    <xf numFmtId="0" fontId="0" fillId="34" borderId="0" xfId="0" applyFill="1"/>
    <xf numFmtId="0" fontId="216" fillId="0" borderId="0" xfId="0" applyFont="1" applyAlignment="1">
      <alignment horizontal="left"/>
    </xf>
    <xf numFmtId="209" fontId="15" fillId="0" borderId="0" xfId="0" applyNumberFormat="1" applyFont="1"/>
    <xf numFmtId="15" fontId="71" fillId="89" borderId="0" xfId="1795" applyNumberFormat="1" applyFont="1" applyFill="1" applyAlignment="1" applyProtection="1">
      <alignment horizontal="right" vertical="top"/>
      <protection locked="0"/>
    </xf>
    <xf numFmtId="0" fontId="71" fillId="0" borderId="0" xfId="5605" applyFont="1" applyAlignment="1">
      <alignment horizontal="right" vertical="top"/>
    </xf>
    <xf numFmtId="0" fontId="15" fillId="0" borderId="0" xfId="0" applyFont="1" applyAlignment="1">
      <alignment horizontal="center"/>
    </xf>
    <xf numFmtId="170" fontId="15" fillId="0" borderId="0" xfId="761" applyFont="1" applyAlignment="1">
      <alignment horizontal="right"/>
    </xf>
    <xf numFmtId="170" fontId="15" fillId="0" borderId="0" xfId="0" applyNumberFormat="1" applyFont="1" applyAlignment="1">
      <alignment horizontal="right"/>
    </xf>
    <xf numFmtId="170" fontId="0" fillId="0" borderId="0" xfId="761" applyFont="1" applyAlignment="1">
      <alignment horizontal="right"/>
    </xf>
    <xf numFmtId="170" fontId="0" fillId="0" borderId="0" xfId="0" applyNumberFormat="1" applyAlignment="1">
      <alignment horizontal="right"/>
    </xf>
    <xf numFmtId="170" fontId="0" fillId="0" borderId="0" xfId="761" applyFont="1" applyAlignment="1">
      <alignment horizontal="left"/>
    </xf>
    <xf numFmtId="170" fontId="0" fillId="0" borderId="0" xfId="0" applyNumberFormat="1" applyAlignment="1">
      <alignment horizontal="left"/>
    </xf>
    <xf numFmtId="170" fontId="15" fillId="0" borderId="0" xfId="761" applyFont="1" applyAlignment="1">
      <alignment horizontal="center"/>
    </xf>
    <xf numFmtId="170" fontId="15" fillId="0" borderId="0" xfId="0" applyNumberFormat="1" applyFont="1" applyAlignment="1">
      <alignment horizontal="center"/>
    </xf>
    <xf numFmtId="170" fontId="0" fillId="0" borderId="0" xfId="761" applyFont="1" applyAlignment="1">
      <alignment horizontal="center"/>
    </xf>
    <xf numFmtId="170" fontId="0" fillId="0" borderId="0" xfId="0" applyNumberFormat="1" applyAlignment="1">
      <alignment horizontal="center"/>
    </xf>
    <xf numFmtId="170" fontId="1" fillId="0" borderId="0" xfId="761" applyNumberFormat="1" applyFont="1" applyAlignment="1">
      <alignment horizontal="right"/>
    </xf>
    <xf numFmtId="170" fontId="15" fillId="0" borderId="0" xfId="761" applyFont="1" applyAlignment="1">
      <alignment horizontal="left"/>
    </xf>
    <xf numFmtId="170" fontId="15" fillId="0" borderId="0" xfId="0" applyNumberFormat="1" applyFont="1" applyAlignment="1">
      <alignment horizontal="left"/>
    </xf>
    <xf numFmtId="43" fontId="15" fillId="0" borderId="0" xfId="4677" applyFont="1" applyAlignment="1">
      <alignment horizontal="center"/>
    </xf>
    <xf numFmtId="43" fontId="15" fillId="0" borderId="0" xfId="0" applyNumberFormat="1" applyFont="1" applyAlignment="1">
      <alignment horizontal="center"/>
    </xf>
    <xf numFmtId="0" fontId="15" fillId="0" borderId="0" xfId="0" applyFont="1" applyAlignment="1">
      <alignment horizontal="right"/>
    </xf>
    <xf numFmtId="0" fontId="15" fillId="0" borderId="0" xfId="0" applyFont="1" applyAlignment="1">
      <alignment horizontal="left"/>
    </xf>
    <xf numFmtId="0" fontId="0" fillId="0" borderId="165" xfId="0" applyBorder="1" applyAlignment="1">
      <alignment horizontal="center" vertical="center"/>
    </xf>
    <xf numFmtId="0" fontId="15" fillId="0" borderId="165" xfId="0" applyFont="1" applyBorder="1" applyAlignment="1">
      <alignment horizontal="center" vertical="center"/>
    </xf>
    <xf numFmtId="0" fontId="0" fillId="34" borderId="165" xfId="0" applyFill="1" applyBorder="1" applyAlignment="1">
      <alignment horizontal="center" vertical="center"/>
    </xf>
    <xf numFmtId="0" fontId="0" fillId="34" borderId="165" xfId="0" applyFill="1" applyBorder="1" applyAlignment="1">
      <alignment horizontal="center" vertical="center" wrapText="1"/>
    </xf>
    <xf numFmtId="0" fontId="15" fillId="0" borderId="165" xfId="0" applyFont="1" applyFill="1" applyBorder="1" applyAlignment="1">
      <alignment horizontal="center" vertical="center"/>
    </xf>
    <xf numFmtId="173" fontId="0" fillId="0" borderId="0" xfId="5606" applyNumberFormat="1" applyFont="1" applyBorder="1"/>
    <xf numFmtId="173" fontId="15" fillId="0" borderId="0" xfId="5606" applyNumberFormat="1" applyFont="1"/>
    <xf numFmtId="173" fontId="0" fillId="34" borderId="0" xfId="5606" applyNumberFormat="1" applyFont="1" applyFill="1"/>
    <xf numFmtId="173" fontId="0" fillId="34" borderId="0" xfId="761" applyNumberFormat="1" applyFont="1" applyFill="1"/>
    <xf numFmtId="173" fontId="15" fillId="0" borderId="0" xfId="0" applyNumberFormat="1" applyFont="1"/>
    <xf numFmtId="173" fontId="0" fillId="0" borderId="0" xfId="0" applyNumberFormat="1"/>
    <xf numFmtId="0" fontId="0" fillId="0" borderId="80" xfId="0" applyBorder="1"/>
    <xf numFmtId="173" fontId="0" fillId="0" borderId="80" xfId="5606" applyNumberFormat="1" applyFont="1" applyBorder="1"/>
    <xf numFmtId="173" fontId="15" fillId="0" borderId="80" xfId="5606" applyNumberFormat="1" applyFont="1" applyBorder="1"/>
    <xf numFmtId="173" fontId="0" fillId="34" borderId="80" xfId="5606" applyNumberFormat="1" applyFont="1" applyFill="1" applyBorder="1"/>
    <xf numFmtId="0" fontId="0" fillId="0" borderId="68" xfId="0" applyFill="1" applyBorder="1" applyAlignment="1">
      <alignment horizontal="left"/>
    </xf>
    <xf numFmtId="290" fontId="0" fillId="0" borderId="68" xfId="853" applyNumberFormat="1" applyFont="1" applyFill="1" applyBorder="1" applyAlignment="1">
      <alignment horizontal="left"/>
    </xf>
    <xf numFmtId="1" fontId="0" fillId="0" borderId="68" xfId="0" applyNumberFormat="1" applyFont="1" applyFill="1" applyBorder="1" applyAlignment="1">
      <alignment horizontal="left"/>
    </xf>
    <xf numFmtId="2" fontId="0" fillId="0" borderId="68" xfId="0" applyNumberFormat="1" applyFont="1" applyFill="1" applyBorder="1" applyAlignment="1">
      <alignment horizontal="left"/>
    </xf>
    <xf numFmtId="2" fontId="0" fillId="0" borderId="68" xfId="4666" quotePrefix="1" applyNumberFormat="1" applyFont="1" applyFill="1" applyBorder="1" applyAlignment="1">
      <alignment horizontal="left"/>
    </xf>
    <xf numFmtId="9" fontId="0" fillId="0" borderId="68" xfId="0" applyNumberFormat="1" applyFont="1" applyFill="1" applyBorder="1" applyAlignment="1">
      <alignment horizontal="left"/>
    </xf>
    <xf numFmtId="291" fontId="0" fillId="0" borderId="68" xfId="0" applyNumberFormat="1" applyFont="1" applyFill="1" applyBorder="1" applyAlignment="1">
      <alignment horizontal="left"/>
    </xf>
    <xf numFmtId="267" fontId="0" fillId="0" borderId="68" xfId="0" applyNumberFormat="1" applyFill="1" applyBorder="1" applyAlignment="1">
      <alignment horizontal="left"/>
    </xf>
    <xf numFmtId="169" fontId="0" fillId="0" borderId="68" xfId="986" applyFont="1" applyFill="1" applyBorder="1" applyAlignment="1">
      <alignment horizontal="left"/>
    </xf>
    <xf numFmtId="2" fontId="0" fillId="0" borderId="68" xfId="0" applyNumberFormat="1" applyFill="1" applyBorder="1" applyAlignment="1">
      <alignment horizontal="left"/>
    </xf>
    <xf numFmtId="4" fontId="0" fillId="0" borderId="68" xfId="0" applyNumberFormat="1" applyFill="1" applyBorder="1" applyAlignment="1">
      <alignment horizontal="left"/>
    </xf>
    <xf numFmtId="14" fontId="0" fillId="0" borderId="68" xfId="0" applyNumberFormat="1" applyFill="1" applyBorder="1" applyAlignment="1">
      <alignment horizontal="left"/>
    </xf>
    <xf numFmtId="0" fontId="1" fillId="0" borderId="68" xfId="1" applyFill="1" applyBorder="1" applyAlignment="1">
      <alignment horizontal="left"/>
    </xf>
    <xf numFmtId="173" fontId="1" fillId="0" borderId="68" xfId="761" quotePrefix="1" applyNumberFormat="1" applyFont="1" applyFill="1" applyBorder="1" applyAlignment="1">
      <alignment horizontal="left"/>
    </xf>
    <xf numFmtId="177" fontId="1" fillId="0" borderId="68" xfId="761" quotePrefix="1" applyNumberFormat="1" applyFont="1" applyFill="1" applyBorder="1" applyAlignment="1">
      <alignment horizontal="left"/>
    </xf>
    <xf numFmtId="0" fontId="1" fillId="0" borderId="68" xfId="5607" applyFill="1" applyBorder="1" applyAlignment="1">
      <alignment horizontal="left"/>
    </xf>
    <xf numFmtId="170" fontId="1" fillId="0" borderId="68" xfId="761" quotePrefix="1" applyFont="1" applyFill="1" applyBorder="1" applyAlignment="1">
      <alignment horizontal="left"/>
    </xf>
    <xf numFmtId="169" fontId="0" fillId="0" borderId="68" xfId="5607" applyNumberFormat="1" applyFont="1" applyFill="1" applyBorder="1" applyAlignment="1">
      <alignment horizontal="left"/>
    </xf>
    <xf numFmtId="169" fontId="0" fillId="0" borderId="68" xfId="986" quotePrefix="1" applyFont="1" applyFill="1" applyBorder="1" applyAlignment="1">
      <alignment horizontal="left"/>
    </xf>
    <xf numFmtId="0" fontId="0" fillId="0" borderId="68" xfId="5607" applyFont="1" applyFill="1" applyBorder="1" applyAlignment="1">
      <alignment horizontal="left"/>
    </xf>
    <xf numFmtId="174" fontId="1" fillId="0" borderId="68" xfId="4666" quotePrefix="1" applyNumberFormat="1" applyFont="1" applyFill="1" applyBorder="1" applyAlignment="1">
      <alignment horizontal="left"/>
    </xf>
    <xf numFmtId="174" fontId="0" fillId="0" borderId="68" xfId="5607" applyNumberFormat="1" applyFont="1" applyFill="1" applyBorder="1" applyAlignment="1">
      <alignment horizontal="left"/>
    </xf>
    <xf numFmtId="174" fontId="0" fillId="0" borderId="68" xfId="4666" quotePrefix="1" applyNumberFormat="1" applyFont="1" applyFill="1" applyBorder="1" applyAlignment="1">
      <alignment horizontal="left"/>
    </xf>
    <xf numFmtId="174" fontId="1" fillId="0" borderId="68" xfId="4666" applyNumberFormat="1" applyFill="1" applyBorder="1" applyAlignment="1">
      <alignment horizontal="left"/>
    </xf>
    <xf numFmtId="2" fontId="1" fillId="0" borderId="68" xfId="5607" applyNumberFormat="1" applyFill="1" applyBorder="1" applyAlignment="1">
      <alignment horizontal="left"/>
    </xf>
    <xf numFmtId="177" fontId="1" fillId="0" borderId="68" xfId="761" applyNumberFormat="1" applyFont="1" applyFill="1" applyBorder="1" applyAlignment="1">
      <alignment horizontal="left"/>
    </xf>
    <xf numFmtId="2" fontId="1" fillId="0" borderId="68" xfId="5607" quotePrefix="1" applyNumberFormat="1" applyFill="1" applyBorder="1" applyAlignment="1">
      <alignment horizontal="left"/>
    </xf>
    <xf numFmtId="0" fontId="1" fillId="0" borderId="68" xfId="5607" quotePrefix="1" applyFill="1" applyBorder="1" applyAlignment="1">
      <alignment horizontal="left"/>
    </xf>
    <xf numFmtId="0" fontId="0" fillId="0" borderId="68" xfId="5607" quotePrefix="1" applyFont="1" applyFill="1" applyBorder="1" applyAlignment="1">
      <alignment horizontal="left"/>
    </xf>
    <xf numFmtId="14" fontId="1" fillId="0" borderId="68" xfId="5607" quotePrefix="1" applyNumberFormat="1" applyFill="1" applyBorder="1" applyAlignment="1">
      <alignment horizontal="left"/>
    </xf>
    <xf numFmtId="0" fontId="1" fillId="0" borderId="68" xfId="5501" applyFill="1" applyBorder="1" applyAlignment="1">
      <alignment horizontal="left"/>
    </xf>
    <xf numFmtId="174" fontId="1" fillId="0" borderId="68" xfId="4666" applyNumberFormat="1" applyFont="1" applyFill="1" applyBorder="1" applyAlignment="1">
      <alignment horizontal="left"/>
    </xf>
    <xf numFmtId="0" fontId="0" fillId="0" borderId="68" xfId="5501" applyFont="1" applyFill="1" applyBorder="1" applyAlignment="1">
      <alignment horizontal="left"/>
    </xf>
    <xf numFmtId="2" fontId="1" fillId="0" borderId="68" xfId="5501" applyNumberFormat="1" applyFont="1" applyFill="1" applyBorder="1" applyAlignment="1">
      <alignment horizontal="left"/>
    </xf>
    <xf numFmtId="2" fontId="1" fillId="0" borderId="68" xfId="5501" applyNumberFormat="1" applyFill="1" applyBorder="1" applyAlignment="1">
      <alignment horizontal="left"/>
    </xf>
    <xf numFmtId="14" fontId="0" fillId="0" borderId="68" xfId="5501" applyNumberFormat="1" applyFont="1" applyFill="1" applyBorder="1" applyAlignment="1">
      <alignment horizontal="left"/>
    </xf>
    <xf numFmtId="0" fontId="1" fillId="0" borderId="68" xfId="5501" applyFont="1" applyFill="1" applyBorder="1" applyAlignment="1">
      <alignment horizontal="left"/>
    </xf>
    <xf numFmtId="14" fontId="1" fillId="0" borderId="68" xfId="5501" applyNumberFormat="1" applyFill="1" applyBorder="1" applyAlignment="1">
      <alignment horizontal="left"/>
    </xf>
    <xf numFmtId="172" fontId="1" fillId="0" borderId="68" xfId="5501" applyNumberFormat="1" applyFill="1" applyBorder="1" applyAlignment="1">
      <alignment horizontal="left"/>
    </xf>
    <xf numFmtId="169" fontId="1" fillId="0" borderId="68" xfId="1" applyNumberFormat="1" applyFill="1" applyBorder="1" applyAlignment="1">
      <alignment horizontal="left"/>
    </xf>
    <xf numFmtId="169" fontId="201" fillId="0" borderId="68" xfId="1" applyNumberFormat="1" applyFont="1" applyFill="1" applyBorder="1" applyAlignment="1">
      <alignment horizontal="left" vertical="center" wrapText="1"/>
    </xf>
    <xf numFmtId="9" fontId="1" fillId="0" borderId="68" xfId="4666" quotePrefix="1" applyNumberFormat="1" applyFont="1" applyFill="1" applyBorder="1" applyAlignment="1">
      <alignment horizontal="left"/>
    </xf>
    <xf numFmtId="9" fontId="201" fillId="0" borderId="68" xfId="4666" applyNumberFormat="1" applyFont="1" applyFill="1" applyBorder="1" applyAlignment="1">
      <alignment horizontal="left"/>
    </xf>
    <xf numFmtId="9" fontId="201" fillId="0" borderId="68" xfId="4666" applyFont="1" applyFill="1" applyBorder="1" applyAlignment="1">
      <alignment horizontal="left"/>
    </xf>
    <xf numFmtId="2" fontId="1" fillId="0" borderId="68" xfId="1" applyNumberFormat="1" applyFill="1" applyBorder="1" applyAlignment="1">
      <alignment horizontal="left"/>
    </xf>
    <xf numFmtId="3" fontId="1" fillId="0" borderId="68" xfId="761" quotePrefix="1" applyNumberFormat="1" applyFont="1" applyFill="1" applyBorder="1" applyAlignment="1">
      <alignment horizontal="left" vertical="center"/>
    </xf>
    <xf numFmtId="3" fontId="1" fillId="0" borderId="68" xfId="761" quotePrefix="1" applyNumberFormat="1" applyFont="1" applyFill="1" applyBorder="1" applyAlignment="1">
      <alignment horizontal="left"/>
    </xf>
    <xf numFmtId="171" fontId="0" fillId="0" borderId="68" xfId="0" applyNumberFormat="1" applyFill="1" applyBorder="1" applyAlignment="1">
      <alignment horizontal="left" vertical="center"/>
    </xf>
    <xf numFmtId="4" fontId="1" fillId="0" borderId="68" xfId="1" applyNumberFormat="1" applyFill="1" applyBorder="1" applyAlignment="1">
      <alignment horizontal="left"/>
    </xf>
    <xf numFmtId="0" fontId="1" fillId="0" borderId="68" xfId="1" quotePrefix="1" applyFill="1" applyBorder="1" applyAlignment="1">
      <alignment horizontal="left"/>
    </xf>
    <xf numFmtId="49" fontId="22" fillId="0" borderId="68" xfId="0" applyNumberFormat="1" applyFont="1" applyFill="1" applyBorder="1" applyAlignment="1">
      <alignment horizontal="left"/>
    </xf>
    <xf numFmtId="0" fontId="0" fillId="0" borderId="68" xfId="1" quotePrefix="1" applyFont="1" applyFill="1" applyBorder="1" applyAlignment="1">
      <alignment horizontal="left"/>
    </xf>
    <xf numFmtId="0" fontId="0" fillId="0" borderId="68" xfId="1" applyFont="1" applyFill="1" applyBorder="1" applyAlignment="1">
      <alignment horizontal="left"/>
    </xf>
    <xf numFmtId="169" fontId="1" fillId="0" borderId="68" xfId="986" quotePrefix="1" applyFont="1" applyFill="1" applyBorder="1" applyAlignment="1">
      <alignment horizontal="left"/>
    </xf>
    <xf numFmtId="174" fontId="1" fillId="0" borderId="68" xfId="1" applyNumberFormat="1" applyFill="1" applyBorder="1" applyAlignment="1">
      <alignment horizontal="left"/>
    </xf>
    <xf numFmtId="3" fontId="0" fillId="0" borderId="68" xfId="0" applyNumberFormat="1" applyFill="1" applyBorder="1" applyAlignment="1">
      <alignment horizontal="left" vertical="center"/>
    </xf>
    <xf numFmtId="3" fontId="201" fillId="0" borderId="68" xfId="0" applyNumberFormat="1" applyFont="1" applyFill="1" applyBorder="1" applyAlignment="1">
      <alignment horizontal="left"/>
    </xf>
    <xf numFmtId="0" fontId="201" fillId="0" borderId="68" xfId="0" applyFont="1" applyFill="1" applyBorder="1" applyAlignment="1">
      <alignment horizontal="left"/>
    </xf>
    <xf numFmtId="14" fontId="1" fillId="0" borderId="68" xfId="1" quotePrefix="1" applyNumberFormat="1" applyFill="1" applyBorder="1" applyAlignment="1">
      <alignment horizontal="left"/>
    </xf>
    <xf numFmtId="0" fontId="201" fillId="0" borderId="68" xfId="0" applyFont="1" applyFill="1" applyBorder="1" applyAlignment="1" applyProtection="1">
      <alignment horizontal="left"/>
      <protection locked="0"/>
    </xf>
    <xf numFmtId="3" fontId="0" fillId="0" borderId="68" xfId="0" applyNumberFormat="1" applyFill="1" applyBorder="1" applyAlignment="1">
      <alignment horizontal="left"/>
    </xf>
    <xf numFmtId="0" fontId="1" fillId="0" borderId="68" xfId="2435" applyFill="1" applyBorder="1" applyAlignment="1">
      <alignment horizontal="left"/>
    </xf>
    <xf numFmtId="169" fontId="1" fillId="0" borderId="68" xfId="2435" applyNumberFormat="1" applyFill="1" applyBorder="1" applyAlignment="1">
      <alignment horizontal="left"/>
    </xf>
    <xf numFmtId="174" fontId="1" fillId="0" borderId="68" xfId="2435" applyNumberFormat="1" applyFill="1" applyBorder="1" applyAlignment="1">
      <alignment horizontal="left"/>
    </xf>
    <xf numFmtId="2" fontId="1" fillId="0" borderId="68" xfId="2435" applyNumberFormat="1" applyFill="1" applyBorder="1" applyAlignment="1">
      <alignment horizontal="left"/>
    </xf>
    <xf numFmtId="171" fontId="201" fillId="0" borderId="68" xfId="0" applyNumberFormat="1" applyFont="1" applyFill="1" applyBorder="1" applyAlignment="1">
      <alignment horizontal="left"/>
    </xf>
    <xf numFmtId="0" fontId="1" fillId="0" borderId="68" xfId="2435" quotePrefix="1" applyFill="1" applyBorder="1" applyAlignment="1">
      <alignment horizontal="left"/>
    </xf>
    <xf numFmtId="14" fontId="1" fillId="0" borderId="68" xfId="2435" quotePrefix="1" applyNumberFormat="1" applyFill="1" applyBorder="1" applyAlignment="1">
      <alignment horizontal="left"/>
    </xf>
    <xf numFmtId="172" fontId="1" fillId="0" borderId="68" xfId="986" quotePrefix="1" applyNumberFormat="1" applyFont="1" applyFill="1" applyBorder="1" applyAlignment="1">
      <alignment horizontal="left"/>
    </xf>
    <xf numFmtId="283" fontId="1" fillId="0" borderId="68" xfId="986" quotePrefix="1" applyNumberFormat="1" applyFont="1" applyFill="1" applyBorder="1" applyAlignment="1">
      <alignment horizontal="left"/>
    </xf>
    <xf numFmtId="2" fontId="1" fillId="0" borderId="68" xfId="4666" quotePrefix="1" applyNumberFormat="1" applyFont="1" applyFill="1" applyBorder="1" applyAlignment="1">
      <alignment horizontal="left"/>
    </xf>
    <xf numFmtId="1" fontId="1" fillId="0" borderId="68" xfId="5607" quotePrefix="1" applyNumberFormat="1" applyFont="1" applyFill="1" applyBorder="1" applyAlignment="1">
      <alignment horizontal="left"/>
    </xf>
    <xf numFmtId="1" fontId="1" fillId="0" borderId="68" xfId="5607" quotePrefix="1" applyNumberFormat="1" applyFill="1" applyBorder="1" applyAlignment="1">
      <alignment horizontal="left"/>
    </xf>
    <xf numFmtId="1" fontId="1" fillId="0" borderId="68" xfId="1" applyNumberFormat="1" applyFill="1" applyBorder="1" applyAlignment="1">
      <alignment horizontal="left"/>
    </xf>
    <xf numFmtId="284" fontId="1" fillId="0" borderId="68" xfId="1104" quotePrefix="1" applyNumberFormat="1" applyFont="1" applyFill="1" applyBorder="1" applyAlignment="1">
      <alignment horizontal="left"/>
    </xf>
    <xf numFmtId="9" fontId="1" fillId="0" borderId="68" xfId="3983" quotePrefix="1" applyFont="1" applyFill="1" applyBorder="1" applyAlignment="1">
      <alignment horizontal="left"/>
    </xf>
    <xf numFmtId="174" fontId="1" fillId="0" borderId="68" xfId="3983" quotePrefix="1" applyNumberFormat="1" applyFont="1" applyFill="1" applyBorder="1" applyAlignment="1">
      <alignment horizontal="left"/>
    </xf>
    <xf numFmtId="1" fontId="1" fillId="0" borderId="68" xfId="1" quotePrefix="1" applyNumberFormat="1" applyFont="1" applyFill="1" applyBorder="1" applyAlignment="1">
      <alignment horizontal="left"/>
    </xf>
    <xf numFmtId="14" fontId="1" fillId="0" borderId="68" xfId="1" quotePrefix="1" applyNumberFormat="1" applyFont="1" applyFill="1" applyBorder="1" applyAlignment="1">
      <alignment horizontal="left"/>
    </xf>
    <xf numFmtId="0" fontId="1" fillId="0" borderId="68" xfId="1" applyFont="1" applyFill="1" applyBorder="1" applyAlignment="1">
      <alignment horizontal="left"/>
    </xf>
    <xf numFmtId="0" fontId="1" fillId="0" borderId="68" xfId="1" quotePrefix="1" applyFont="1" applyFill="1" applyBorder="1" applyAlignment="1">
      <alignment horizontal="left"/>
    </xf>
    <xf numFmtId="1" fontId="1" fillId="0" borderId="68" xfId="3983" quotePrefix="1" applyNumberFormat="1" applyFont="1" applyFill="1" applyBorder="1" applyAlignment="1">
      <alignment horizontal="left"/>
    </xf>
    <xf numFmtId="0" fontId="1" fillId="0" borderId="68" xfId="1" quotePrefix="1" applyNumberFormat="1" applyFont="1" applyFill="1" applyBorder="1" applyAlignment="1">
      <alignment horizontal="left"/>
    </xf>
    <xf numFmtId="287" fontId="201" fillId="0" borderId="68" xfId="0" applyNumberFormat="1" applyFont="1" applyFill="1" applyBorder="1"/>
    <xf numFmtId="173" fontId="201" fillId="0" borderId="68" xfId="761" applyNumberFormat="1" applyFont="1" applyFill="1" applyBorder="1"/>
    <xf numFmtId="172" fontId="201" fillId="0" borderId="68" xfId="0" applyNumberFormat="1" applyFont="1" applyFill="1" applyBorder="1"/>
    <xf numFmtId="2" fontId="201" fillId="0" borderId="68" xfId="0" applyNumberFormat="1" applyFont="1" applyFill="1" applyBorder="1"/>
    <xf numFmtId="0" fontId="201" fillId="0" borderId="68" xfId="0" applyFont="1" applyFill="1" applyBorder="1"/>
    <xf numFmtId="221" fontId="201" fillId="0" borderId="68" xfId="0" applyNumberFormat="1" applyFont="1" applyFill="1" applyBorder="1"/>
    <xf numFmtId="169" fontId="201" fillId="0" borderId="68" xfId="986" applyFont="1" applyFill="1" applyBorder="1"/>
    <xf numFmtId="3" fontId="201" fillId="0" borderId="68" xfId="0" applyNumberFormat="1" applyFont="1" applyFill="1" applyBorder="1"/>
    <xf numFmtId="3" fontId="201" fillId="0" borderId="68" xfId="0" applyNumberFormat="1" applyFont="1" applyFill="1" applyBorder="1" applyAlignment="1"/>
    <xf numFmtId="267" fontId="201" fillId="0" borderId="68" xfId="0" applyNumberFormat="1" applyFont="1" applyFill="1" applyBorder="1" applyAlignment="1">
      <alignment horizontal="right"/>
    </xf>
    <xf numFmtId="3" fontId="201" fillId="0" borderId="68" xfId="0" applyNumberFormat="1" applyFont="1" applyFill="1" applyBorder="1" applyAlignment="1">
      <alignment horizontal="right"/>
    </xf>
    <xf numFmtId="0" fontId="201" fillId="0" borderId="68" xfId="0" applyFont="1" applyFill="1" applyBorder="1" applyAlignment="1">
      <alignment horizontal="center"/>
    </xf>
    <xf numFmtId="0" fontId="239" fillId="0" borderId="68" xfId="0" applyFont="1" applyFill="1" applyBorder="1" applyAlignment="1">
      <alignment horizontal="center"/>
    </xf>
    <xf numFmtId="9" fontId="201" fillId="0" borderId="68" xfId="4666" applyFont="1" applyFill="1" applyBorder="1"/>
    <xf numFmtId="170" fontId="1" fillId="0" borderId="68" xfId="1" applyNumberFormat="1" applyFill="1" applyBorder="1" applyAlignment="1">
      <alignment horizontal="left"/>
    </xf>
    <xf numFmtId="9" fontId="1" fillId="0" borderId="68" xfId="4666" applyFill="1" applyBorder="1" applyAlignment="1">
      <alignment horizontal="left"/>
    </xf>
    <xf numFmtId="2" fontId="1" fillId="0" borderId="68" xfId="1" quotePrefix="1" applyNumberFormat="1" applyFill="1" applyBorder="1" applyAlignment="1">
      <alignment horizontal="left"/>
    </xf>
    <xf numFmtId="14" fontId="1" fillId="0" borderId="68" xfId="1" applyNumberFormat="1" applyFill="1" applyBorder="1" applyAlignment="1">
      <alignment horizontal="left"/>
    </xf>
    <xf numFmtId="172" fontId="1" fillId="0" borderId="68" xfId="1" applyNumberFormat="1" applyFill="1" applyBorder="1" applyAlignment="1">
      <alignment horizontal="left"/>
    </xf>
    <xf numFmtId="172" fontId="0" fillId="0" borderId="68" xfId="0" applyNumberFormat="1" applyFill="1" applyBorder="1" applyAlignment="1">
      <alignment horizontal="left"/>
    </xf>
    <xf numFmtId="283" fontId="0" fillId="0" borderId="68" xfId="0" applyNumberFormat="1" applyFill="1" applyBorder="1" applyAlignment="1">
      <alignment horizontal="left"/>
    </xf>
    <xf numFmtId="169" fontId="0" fillId="0" borderId="68" xfId="0" applyNumberFormat="1" applyFill="1" applyBorder="1" applyAlignment="1">
      <alignment horizontal="left"/>
    </xf>
    <xf numFmtId="9" fontId="0" fillId="0" borderId="68" xfId="0" applyNumberFormat="1" applyFill="1" applyBorder="1" applyAlignment="1">
      <alignment horizontal="left"/>
    </xf>
    <xf numFmtId="174" fontId="0" fillId="0" borderId="68" xfId="4666" applyNumberFormat="1" applyFont="1" applyFill="1" applyBorder="1" applyAlignment="1">
      <alignment horizontal="left"/>
    </xf>
    <xf numFmtId="9" fontId="0" fillId="0" borderId="68" xfId="4666" applyFont="1" applyFill="1" applyBorder="1" applyAlignment="1">
      <alignment horizontal="left"/>
    </xf>
    <xf numFmtId="177" fontId="1" fillId="0" borderId="68" xfId="768" quotePrefix="1" applyNumberFormat="1" applyFont="1" applyFill="1" applyBorder="1" applyAlignment="1">
      <alignment horizontal="left"/>
    </xf>
    <xf numFmtId="170" fontId="1" fillId="0" borderId="68" xfId="768" quotePrefix="1" applyFont="1" applyFill="1" applyBorder="1" applyAlignment="1">
      <alignment horizontal="left"/>
    </xf>
    <xf numFmtId="169" fontId="1" fillId="0" borderId="68" xfId="1104" quotePrefix="1" applyFont="1" applyFill="1" applyBorder="1" applyAlignment="1">
      <alignment horizontal="left"/>
    </xf>
    <xf numFmtId="177" fontId="1" fillId="0" borderId="68" xfId="768" applyNumberFormat="1" applyFont="1" applyFill="1" applyBorder="1" applyAlignment="1">
      <alignment horizontal="left"/>
    </xf>
    <xf numFmtId="0" fontId="15" fillId="35" borderId="68" xfId="1" applyFont="1" applyFill="1" applyBorder="1" applyAlignment="1">
      <alignment horizontal="center" vertical="center" wrapText="1"/>
    </xf>
    <xf numFmtId="0" fontId="215" fillId="35" borderId="68" xfId="1" applyFont="1" applyFill="1" applyBorder="1" applyAlignment="1">
      <alignment horizontal="center" vertical="center" wrapText="1"/>
    </xf>
    <xf numFmtId="0" fontId="15" fillId="35" borderId="68" xfId="1742" applyFont="1" applyFill="1" applyBorder="1" applyAlignment="1">
      <alignment horizontal="center" vertical="center" wrapText="1"/>
    </xf>
    <xf numFmtId="0" fontId="44" fillId="0" borderId="0" xfId="0" applyFont="1" applyFill="1"/>
    <xf numFmtId="0" fontId="15" fillId="90" borderId="93" xfId="3306" applyFont="1" applyFill="1" applyBorder="1" applyAlignment="1" applyProtection="1">
      <alignment horizontal="center" vertical="top"/>
      <protection locked="0"/>
    </xf>
    <xf numFmtId="0" fontId="15" fillId="90" borderId="92" xfId="3306" applyFont="1" applyFill="1" applyBorder="1" applyAlignment="1" applyProtection="1">
      <alignment horizontal="center" vertical="top"/>
      <protection locked="0"/>
    </xf>
    <xf numFmtId="0" fontId="15" fillId="90" borderId="91" xfId="3306" applyFont="1" applyFill="1" applyBorder="1" applyAlignment="1" applyProtection="1">
      <alignment horizontal="center" vertical="top"/>
      <protection locked="0"/>
    </xf>
    <xf numFmtId="285" fontId="201" fillId="89" borderId="84" xfId="853" applyNumberFormat="1" applyFont="1" applyFill="1" applyBorder="1" applyAlignment="1" applyProtection="1">
      <alignment horizontal="center" vertical="top"/>
      <protection locked="0"/>
    </xf>
    <xf numFmtId="285" fontId="201" fillId="89" borderId="0" xfId="853" applyNumberFormat="1" applyFont="1" applyFill="1" applyBorder="1" applyAlignment="1" applyProtection="1">
      <alignment horizontal="center" vertical="top"/>
      <protection locked="0"/>
    </xf>
    <xf numFmtId="285" fontId="201" fillId="89" borderId="83" xfId="853" applyNumberFormat="1" applyFont="1" applyFill="1" applyBorder="1" applyAlignment="1" applyProtection="1">
      <alignment horizontal="center" vertical="top"/>
      <protection locked="0"/>
    </xf>
    <xf numFmtId="0" fontId="15" fillId="91" borderId="84" xfId="3306" applyFont="1" applyFill="1" applyBorder="1" applyAlignment="1" applyProtection="1">
      <alignment horizontal="center" vertical="top"/>
      <protection locked="0"/>
    </xf>
    <xf numFmtId="0" fontId="15" fillId="91" borderId="0" xfId="3306" applyFont="1" applyFill="1" applyBorder="1" applyAlignment="1" applyProtection="1">
      <alignment horizontal="center" vertical="top"/>
      <protection locked="0"/>
    </xf>
    <xf numFmtId="0" fontId="15" fillId="91" borderId="83" xfId="3306" applyFont="1" applyFill="1" applyBorder="1" applyAlignment="1" applyProtection="1">
      <alignment horizontal="center" vertical="top"/>
      <protection locked="0"/>
    </xf>
    <xf numFmtId="0" fontId="15" fillId="91" borderId="88" xfId="3306" applyFont="1" applyFill="1" applyBorder="1" applyAlignment="1" applyProtection="1">
      <alignment horizontal="center" vertical="center"/>
      <protection locked="0"/>
    </xf>
    <xf numFmtId="0" fontId="15" fillId="91" borderId="60" xfId="3306" applyFont="1" applyFill="1" applyBorder="1" applyAlignment="1" applyProtection="1">
      <alignment horizontal="center" vertical="center"/>
      <protection locked="0"/>
    </xf>
    <xf numFmtId="0" fontId="15" fillId="91" borderId="87" xfId="3306" applyFont="1" applyFill="1" applyBorder="1" applyAlignment="1" applyProtection="1">
      <alignment horizontal="center" vertical="center"/>
      <protection locked="0"/>
    </xf>
    <xf numFmtId="0" fontId="152" fillId="0" borderId="0" xfId="1795" applyFont="1" applyAlignment="1" applyProtection="1">
      <alignment horizontal="center"/>
      <protection locked="0"/>
    </xf>
    <xf numFmtId="0" fontId="0" fillId="0" borderId="0" xfId="3306" applyFont="1" applyAlignment="1" applyProtection="1">
      <alignment horizontal="left" vertical="top" wrapText="1"/>
      <protection locked="0"/>
    </xf>
    <xf numFmtId="0" fontId="1" fillId="0" borderId="0" xfId="3306" applyFont="1" applyAlignment="1" applyProtection="1">
      <alignment horizontal="left" vertical="top" wrapText="1"/>
      <protection locked="0"/>
    </xf>
    <xf numFmtId="0" fontId="0" fillId="0" borderId="0" xfId="3306" applyFont="1" applyFill="1" applyAlignment="1" applyProtection="1">
      <alignment horizontal="left" vertical="top" wrapText="1"/>
      <protection locked="0"/>
    </xf>
    <xf numFmtId="0" fontId="1" fillId="0" borderId="0" xfId="3306" applyFont="1" applyFill="1" applyAlignment="1" applyProtection="1">
      <alignment horizontal="left" vertical="top" wrapText="1"/>
      <protection locked="0"/>
    </xf>
    <xf numFmtId="0" fontId="0" fillId="0" borderId="0" xfId="3306" applyFont="1" applyAlignment="1" applyProtection="1">
      <alignment horizontal="left" wrapText="1"/>
      <protection locked="0"/>
    </xf>
    <xf numFmtId="0" fontId="1" fillId="0" borderId="0" xfId="3306" applyAlignment="1" applyProtection="1">
      <alignment horizontal="left" wrapText="1"/>
      <protection locked="0"/>
    </xf>
    <xf numFmtId="0" fontId="216" fillId="0" borderId="0" xfId="3306" applyFont="1" applyAlignment="1" applyProtection="1">
      <alignment horizontal="center" vertical="top"/>
      <protection locked="0"/>
    </xf>
    <xf numFmtId="0" fontId="0" fillId="0" borderId="0" xfId="3306" applyFont="1" applyAlignment="1" applyProtection="1">
      <alignment horizontal="left" vertical="top"/>
      <protection locked="0"/>
    </xf>
    <xf numFmtId="0" fontId="1" fillId="0" borderId="0" xfId="3306" applyFont="1" applyAlignment="1" applyProtection="1">
      <alignment horizontal="left" vertical="top"/>
      <protection locked="0"/>
    </xf>
    <xf numFmtId="49" fontId="201" fillId="0" borderId="0" xfId="853" applyNumberFormat="1" applyFont="1" applyBorder="1" applyAlignment="1" applyProtection="1">
      <alignment horizontal="left" vertical="top" wrapText="1"/>
      <protection locked="0"/>
    </xf>
    <xf numFmtId="0" fontId="213" fillId="0" borderId="0" xfId="3306" applyFont="1" applyBorder="1" applyAlignment="1" applyProtection="1">
      <alignment horizontal="center"/>
      <protection locked="0"/>
    </xf>
    <xf numFmtId="0" fontId="15" fillId="91" borderId="93" xfId="3306" applyFont="1" applyFill="1" applyBorder="1" applyAlignment="1" applyProtection="1">
      <alignment horizontal="center"/>
      <protection locked="0"/>
    </xf>
    <xf numFmtId="0" fontId="15" fillId="91" borderId="92" xfId="3306" applyFont="1" applyFill="1" applyBorder="1" applyAlignment="1" applyProtection="1">
      <alignment horizontal="center"/>
      <protection locked="0"/>
    </xf>
    <xf numFmtId="0" fontId="15" fillId="91" borderId="91" xfId="3306" applyFont="1" applyFill="1" applyBorder="1" applyAlignment="1" applyProtection="1">
      <alignment horizontal="center"/>
      <protection locked="0"/>
    </xf>
    <xf numFmtId="0" fontId="15" fillId="91" borderId="93" xfId="3306" applyFont="1" applyFill="1" applyBorder="1" applyAlignment="1" applyProtection="1">
      <alignment horizontal="center" wrapText="1"/>
      <protection locked="0"/>
    </xf>
    <xf numFmtId="0" fontId="15" fillId="91" borderId="91" xfId="3306" applyFont="1" applyFill="1" applyBorder="1" applyAlignment="1" applyProtection="1">
      <alignment horizontal="center" wrapText="1"/>
      <protection locked="0"/>
    </xf>
    <xf numFmtId="0" fontId="15" fillId="91" borderId="84" xfId="3306" applyFont="1" applyFill="1" applyBorder="1" applyAlignment="1" applyProtection="1">
      <alignment horizontal="center" wrapText="1"/>
      <protection locked="0"/>
    </xf>
    <xf numFmtId="0" fontId="15" fillId="91" borderId="83" xfId="3306" applyFont="1" applyFill="1" applyBorder="1" applyAlignment="1" applyProtection="1">
      <alignment horizontal="center" wrapText="1"/>
      <protection locked="0"/>
    </xf>
    <xf numFmtId="285" fontId="201" fillId="89" borderId="84" xfId="853" applyNumberFormat="1" applyFont="1" applyFill="1" applyBorder="1" applyAlignment="1" applyProtection="1">
      <alignment horizontal="center"/>
      <protection locked="0"/>
    </xf>
    <xf numFmtId="285" fontId="201" fillId="89" borderId="0" xfId="853" applyNumberFormat="1" applyFont="1" applyFill="1" applyBorder="1" applyAlignment="1" applyProtection="1">
      <alignment horizontal="center"/>
      <protection locked="0"/>
    </xf>
    <xf numFmtId="285" fontId="201" fillId="89" borderId="83" xfId="853" applyNumberFormat="1" applyFont="1" applyFill="1" applyBorder="1" applyAlignment="1" applyProtection="1">
      <alignment horizontal="center"/>
      <protection locked="0"/>
    </xf>
    <xf numFmtId="0" fontId="0" fillId="0" borderId="0" xfId="3306" applyFont="1" applyBorder="1" applyAlignment="1" applyProtection="1">
      <alignment horizontal="left" vertical="top" wrapText="1"/>
      <protection locked="0"/>
    </xf>
    <xf numFmtId="0" fontId="1" fillId="0" borderId="0" xfId="3306" applyFont="1" applyBorder="1" applyAlignment="1" applyProtection="1">
      <alignment horizontal="left" vertical="top" wrapText="1"/>
      <protection locked="0"/>
    </xf>
    <xf numFmtId="0" fontId="0" fillId="0" borderId="0" xfId="0" applyAlignment="1">
      <alignment horizontal="center"/>
    </xf>
    <xf numFmtId="0" fontId="15" fillId="0" borderId="0" xfId="0" applyFont="1" applyAlignment="1">
      <alignment horizontal="center"/>
    </xf>
    <xf numFmtId="0" fontId="0" fillId="0" borderId="0" xfId="0" applyFont="1" applyAlignment="1">
      <alignment horizontal="center"/>
    </xf>
    <xf numFmtId="0" fontId="0" fillId="0" borderId="0" xfId="0" applyAlignment="1">
      <alignment horizontal="center" vertical="top" wrapText="1"/>
    </xf>
    <xf numFmtId="3" fontId="0" fillId="0" borderId="0" xfId="0" applyNumberFormat="1" applyBorder="1" applyAlignment="1">
      <alignment horizontal="center"/>
    </xf>
    <xf numFmtId="0" fontId="0" fillId="0" borderId="160" xfId="0" applyBorder="1" applyAlignment="1">
      <alignment horizontal="center"/>
    </xf>
    <xf numFmtId="0" fontId="0" fillId="0" borderId="162" xfId="0" applyBorder="1" applyAlignment="1">
      <alignment horizontal="center"/>
    </xf>
    <xf numFmtId="0" fontId="0" fillId="0" borderId="161" xfId="0" applyBorder="1" applyAlignment="1">
      <alignment horizontal="center"/>
    </xf>
    <xf numFmtId="284" fontId="0" fillId="0" borderId="0" xfId="0" applyNumberFormat="1" applyBorder="1" applyAlignment="1">
      <alignment horizontal="left" vertical="top" wrapText="1"/>
    </xf>
    <xf numFmtId="284" fontId="0" fillId="0" borderId="0" xfId="0" applyNumberFormat="1" applyBorder="1" applyAlignment="1">
      <alignment horizontal="center" vertical="top" wrapText="1"/>
    </xf>
    <xf numFmtId="0" fontId="0" fillId="0" borderId="0" xfId="0" applyAlignment="1">
      <alignment horizontal="left" wrapText="1"/>
    </xf>
    <xf numFmtId="0" fontId="210" fillId="35" borderId="0" xfId="0" applyFont="1" applyFill="1" applyBorder="1" applyAlignment="1">
      <alignment horizontal="center"/>
    </xf>
    <xf numFmtId="0" fontId="230" fillId="99" borderId="81" xfId="0" applyFont="1" applyFill="1" applyBorder="1" applyAlignment="1">
      <alignment horizontal="center" vertical="center"/>
    </xf>
    <xf numFmtId="0" fontId="0" fillId="0" borderId="15" xfId="0" applyFont="1" applyBorder="1" applyAlignment="1">
      <alignment vertical="center"/>
    </xf>
    <xf numFmtId="0" fontId="230" fillId="99" borderId="62" xfId="0" applyFont="1" applyFill="1" applyBorder="1" applyAlignment="1">
      <alignment horizontal="center"/>
    </xf>
    <xf numFmtId="0" fontId="0" fillId="0" borderId="62" xfId="0" applyFont="1" applyBorder="1"/>
    <xf numFmtId="0" fontId="230" fillId="98" borderId="62" xfId="0" applyFont="1" applyFill="1" applyBorder="1" applyAlignment="1">
      <alignment horizontal="right" vertical="top"/>
    </xf>
    <xf numFmtId="0" fontId="0" fillId="0" borderId="0" xfId="0" applyAlignment="1">
      <alignment horizontal="left" vertical="center" wrapText="1"/>
    </xf>
    <xf numFmtId="0" fontId="0" fillId="33" borderId="12" xfId="0" applyFill="1" applyBorder="1" applyAlignment="1">
      <alignment horizontal="center"/>
    </xf>
    <xf numFmtId="0" fontId="230" fillId="98" borderId="59" xfId="0" applyFont="1" applyFill="1" applyBorder="1" applyAlignment="1">
      <alignment horizontal="right" vertical="top"/>
    </xf>
    <xf numFmtId="0" fontId="230" fillId="98" borderId="60" xfId="0" applyFont="1" applyFill="1" applyBorder="1" applyAlignment="1">
      <alignment horizontal="right" vertical="top"/>
    </xf>
    <xf numFmtId="0" fontId="230" fillId="98" borderId="61" xfId="0" applyFont="1" applyFill="1" applyBorder="1" applyAlignment="1">
      <alignment horizontal="right" vertical="top"/>
    </xf>
    <xf numFmtId="0" fontId="230" fillId="99" borderId="15" xfId="0" applyFont="1" applyFill="1" applyBorder="1" applyAlignment="1">
      <alignment horizontal="center" vertical="center"/>
    </xf>
    <xf numFmtId="0" fontId="0" fillId="33" borderId="0" xfId="0" applyFill="1" applyAlignment="1">
      <alignment horizontal="center"/>
    </xf>
    <xf numFmtId="3" fontId="229" fillId="96" borderId="108" xfId="0" applyNumberFormat="1" applyFont="1" applyFill="1" applyBorder="1" applyAlignment="1">
      <alignment horizontal="center" vertical="center"/>
    </xf>
    <xf numFmtId="3" fontId="229" fillId="96" borderId="60" xfId="0" applyNumberFormat="1" applyFont="1" applyFill="1" applyBorder="1" applyAlignment="1">
      <alignment horizontal="center" vertical="center"/>
    </xf>
    <xf numFmtId="3" fontId="229" fillId="96" borderId="107" xfId="0" applyNumberFormat="1" applyFont="1" applyFill="1" applyBorder="1" applyAlignment="1">
      <alignment horizontal="center" vertical="center"/>
    </xf>
    <xf numFmtId="0" fontId="227" fillId="95" borderId="147" xfId="0" applyNumberFormat="1" applyFont="1" applyFill="1" applyBorder="1" applyAlignment="1">
      <alignment horizontal="center" vertical="center" wrapText="1"/>
    </xf>
    <xf numFmtId="0" fontId="227" fillId="95" borderId="146" xfId="0" applyNumberFormat="1" applyFont="1" applyFill="1" applyBorder="1" applyAlignment="1">
      <alignment horizontal="center" vertical="center" wrapText="1"/>
    </xf>
    <xf numFmtId="0" fontId="227" fillId="95" borderId="62" xfId="0" applyNumberFormat="1" applyFont="1" applyFill="1" applyBorder="1" applyAlignment="1">
      <alignment horizontal="center" vertical="center"/>
    </xf>
    <xf numFmtId="0" fontId="227" fillId="95" borderId="62" xfId="0" applyFont="1" applyFill="1" applyBorder="1" applyAlignment="1">
      <alignment horizontal="center" vertical="center"/>
    </xf>
    <xf numFmtId="0" fontId="227" fillId="95" borderId="149" xfId="0" applyNumberFormat="1" applyFont="1" applyFill="1" applyBorder="1" applyAlignment="1">
      <alignment horizontal="center" vertical="center" wrapText="1"/>
    </xf>
    <xf numFmtId="0" fontId="227" fillId="95" borderId="80" xfId="0" applyNumberFormat="1" applyFont="1" applyFill="1" applyBorder="1" applyAlignment="1">
      <alignment horizontal="center" vertical="center" wrapText="1"/>
    </xf>
    <xf numFmtId="0" fontId="227" fillId="95" borderId="148" xfId="0" applyNumberFormat="1" applyFont="1" applyFill="1" applyBorder="1" applyAlignment="1">
      <alignment horizontal="center" vertical="center" wrapText="1"/>
    </xf>
    <xf numFmtId="0" fontId="227" fillId="95" borderId="145" xfId="0" applyNumberFormat="1" applyFont="1" applyFill="1" applyBorder="1" applyAlignment="1">
      <alignment horizontal="center" vertical="center" wrapText="1"/>
    </xf>
    <xf numFmtId="0" fontId="227" fillId="95" borderId="106" xfId="0" applyNumberFormat="1" applyFont="1" applyFill="1" applyBorder="1" applyAlignment="1">
      <alignment horizontal="center" vertical="center" wrapText="1"/>
    </xf>
    <xf numFmtId="0" fontId="227" fillId="95" borderId="144" xfId="0" applyNumberFormat="1" applyFont="1" applyFill="1" applyBorder="1" applyAlignment="1">
      <alignment horizontal="center" vertical="center" wrapText="1"/>
    </xf>
    <xf numFmtId="0" fontId="227" fillId="95" borderId="50" xfId="0" applyNumberFormat="1" applyFont="1" applyFill="1" applyBorder="1" applyAlignment="1">
      <alignment horizontal="center" vertical="center" wrapText="1"/>
    </xf>
    <xf numFmtId="0" fontId="227" fillId="95" borderId="143" xfId="0" applyNumberFormat="1" applyFont="1" applyFill="1" applyBorder="1" applyAlignment="1">
      <alignment horizontal="center" vertical="center" wrapText="1"/>
    </xf>
    <xf numFmtId="3" fontId="227" fillId="95" borderId="50" xfId="0" applyNumberFormat="1" applyFont="1" applyFill="1" applyBorder="1" applyAlignment="1">
      <alignment horizontal="center" vertical="center" wrapText="1"/>
    </xf>
    <xf numFmtId="3" fontId="227" fillId="95" borderId="80" xfId="0" applyNumberFormat="1" applyFont="1" applyFill="1" applyBorder="1" applyAlignment="1">
      <alignment horizontal="center" vertical="center" wrapText="1"/>
    </xf>
    <xf numFmtId="3" fontId="227" fillId="95" borderId="63" xfId="0" applyNumberFormat="1" applyFont="1" applyFill="1" applyBorder="1" applyAlignment="1">
      <alignment horizontal="center" vertical="center" wrapText="1"/>
    </xf>
    <xf numFmtId="3" fontId="227" fillId="95" borderId="143" xfId="0" applyNumberFormat="1" applyFont="1" applyFill="1" applyBorder="1" applyAlignment="1">
      <alignment horizontal="center" vertical="center" wrapText="1"/>
    </xf>
    <xf numFmtId="3" fontId="227" fillId="95" borderId="106" xfId="0" applyNumberFormat="1" applyFont="1" applyFill="1" applyBorder="1" applyAlignment="1">
      <alignment horizontal="center" vertical="center" wrapText="1"/>
    </xf>
    <xf numFmtId="3" fontId="227" fillId="95" borderId="142" xfId="0" applyNumberFormat="1" applyFont="1" applyFill="1" applyBorder="1" applyAlignment="1">
      <alignment horizontal="center" vertical="center" wrapText="1"/>
    </xf>
    <xf numFmtId="0" fontId="203" fillId="0" borderId="0" xfId="0" applyFont="1" applyAlignment="1">
      <alignment horizontal="right" vertical="center"/>
    </xf>
    <xf numFmtId="0" fontId="226" fillId="94" borderId="0" xfId="0" applyFont="1" applyFill="1" applyAlignment="1">
      <alignment horizontal="left" vertical="top" wrapText="1"/>
    </xf>
    <xf numFmtId="0" fontId="225" fillId="94" borderId="0" xfId="0" applyFont="1" applyFill="1" applyAlignment="1">
      <alignment horizontal="left" vertical="top" wrapText="1"/>
    </xf>
    <xf numFmtId="0" fontId="226" fillId="0" borderId="0" xfId="0" applyFont="1" applyAlignment="1">
      <alignment horizontal="left" vertical="top" wrapText="1"/>
    </xf>
    <xf numFmtId="0" fontId="227" fillId="95" borderId="62" xfId="0" applyNumberFormat="1" applyFont="1" applyFill="1" applyBorder="1" applyAlignment="1">
      <alignment horizontal="center" vertical="center" wrapText="1"/>
    </xf>
    <xf numFmtId="0" fontId="15" fillId="0" borderId="59" xfId="0" applyFont="1" applyBorder="1" applyAlignment="1" applyProtection="1">
      <alignment horizontal="left"/>
    </xf>
    <xf numFmtId="0" fontId="15" fillId="0" borderId="60" xfId="0" applyFont="1" applyBorder="1" applyAlignment="1" applyProtection="1">
      <alignment horizontal="left"/>
    </xf>
    <xf numFmtId="0" fontId="15" fillId="0" borderId="61" xfId="0" applyFont="1" applyBorder="1" applyAlignment="1" applyProtection="1">
      <alignment horizontal="left"/>
    </xf>
    <xf numFmtId="0" fontId="0" fillId="0" borderId="50" xfId="0" applyBorder="1" applyAlignment="1" applyProtection="1">
      <alignment horizontal="center" textRotation="90"/>
    </xf>
    <xf numFmtId="0" fontId="0" fillId="0" borderId="78" xfId="0" applyBorder="1" applyAlignment="1" applyProtection="1">
      <alignment horizontal="center" textRotation="90"/>
    </xf>
    <xf numFmtId="0" fontId="15" fillId="0" borderId="81" xfId="0" applyFont="1" applyBorder="1" applyAlignment="1" applyProtection="1">
      <alignment horizontal="left" vertical="center" wrapText="1"/>
    </xf>
    <xf numFmtId="0" fontId="15" fillId="0" borderId="14" xfId="0" applyFont="1" applyBorder="1" applyAlignment="1" applyProtection="1">
      <alignment horizontal="left" vertical="center" wrapText="1"/>
    </xf>
    <xf numFmtId="0" fontId="15" fillId="0" borderId="15" xfId="0" applyFont="1" applyBorder="1" applyAlignment="1" applyProtection="1">
      <alignment horizontal="left" vertical="center" wrapText="1"/>
    </xf>
    <xf numFmtId="0" fontId="15" fillId="0" borderId="59" xfId="0" applyFont="1" applyBorder="1" applyAlignment="1" applyProtection="1">
      <alignment horizontal="left" vertical="center"/>
      <protection locked="0"/>
    </xf>
    <xf numFmtId="0" fontId="15" fillId="0" borderId="60" xfId="0" applyFont="1" applyBorder="1" applyAlignment="1" applyProtection="1">
      <alignment horizontal="left" vertical="center"/>
      <protection locked="0"/>
    </xf>
    <xf numFmtId="0" fontId="15" fillId="0" borderId="61" xfId="0" applyFont="1" applyBorder="1" applyAlignment="1" applyProtection="1">
      <alignment horizontal="left" vertical="center"/>
      <protection locked="0"/>
    </xf>
    <xf numFmtId="0" fontId="15" fillId="0" borderId="81" xfId="0" applyFont="1" applyBorder="1" applyAlignment="1" applyProtection="1">
      <alignment horizontal="center" vertical="center" wrapText="1"/>
    </xf>
    <xf numFmtId="0" fontId="15" fillId="0" borderId="14" xfId="0" applyFont="1" applyBorder="1" applyAlignment="1" applyProtection="1">
      <alignment horizontal="center" vertical="center" wrapText="1"/>
    </xf>
    <xf numFmtId="0" fontId="15" fillId="0" borderId="15" xfId="0" applyFont="1" applyBorder="1" applyAlignment="1" applyProtection="1">
      <alignment horizontal="center" vertical="center" wrapText="1"/>
    </xf>
    <xf numFmtId="0" fontId="15" fillId="0" borderId="50" xfId="0" applyFont="1" applyBorder="1" applyAlignment="1" applyProtection="1">
      <alignment horizontal="center" vertical="center"/>
      <protection locked="0"/>
    </xf>
    <xf numFmtId="0" fontId="15" fillId="0" borderId="80" xfId="0" applyFont="1" applyBorder="1" applyAlignment="1" applyProtection="1">
      <alignment horizontal="center" vertical="center"/>
      <protection locked="0"/>
    </xf>
    <xf numFmtId="0" fontId="15" fillId="0" borderId="63" xfId="0" applyFont="1" applyBorder="1" applyAlignment="1" applyProtection="1">
      <alignment horizontal="center" vertical="center"/>
      <protection locked="0"/>
    </xf>
    <xf numFmtId="0" fontId="15" fillId="0" borderId="20" xfId="0" applyFont="1" applyBorder="1" applyAlignment="1" applyProtection="1">
      <alignment horizontal="center" vertical="center"/>
      <protection locked="0"/>
    </xf>
    <xf numFmtId="0" fontId="15" fillId="0" borderId="0" xfId="0" applyFont="1" applyBorder="1" applyAlignment="1" applyProtection="1">
      <alignment horizontal="center" vertical="center"/>
      <protection locked="0"/>
    </xf>
    <xf numFmtId="0" fontId="15" fillId="0" borderId="18" xfId="0" applyFont="1" applyBorder="1" applyAlignment="1" applyProtection="1">
      <alignment horizontal="center" vertical="center"/>
      <protection locked="0"/>
    </xf>
    <xf numFmtId="0" fontId="15" fillId="0" borderId="78" xfId="0" applyFont="1" applyBorder="1" applyAlignment="1" applyProtection="1">
      <alignment horizontal="center" vertical="center"/>
      <protection locked="0"/>
    </xf>
    <xf numFmtId="0" fontId="15" fillId="0" borderId="12" xfId="0" applyFont="1" applyBorder="1" applyAlignment="1" applyProtection="1">
      <alignment horizontal="center" vertical="center"/>
      <protection locked="0"/>
    </xf>
    <xf numFmtId="0" fontId="15" fillId="0" borderId="79" xfId="0" applyFont="1" applyBorder="1" applyAlignment="1" applyProtection="1">
      <alignment horizontal="center" vertical="center"/>
      <protection locked="0"/>
    </xf>
    <xf numFmtId="0" fontId="0" fillId="0" borderId="81" xfId="0" applyBorder="1" applyAlignment="1" applyProtection="1">
      <alignment horizontal="center" textRotation="90"/>
    </xf>
    <xf numFmtId="0" fontId="0" fillId="0" borderId="15" xfId="0" applyBorder="1" applyAlignment="1" applyProtection="1">
      <alignment horizontal="center" textRotation="90"/>
    </xf>
    <xf numFmtId="0" fontId="0" fillId="0" borderId="63" xfId="0" applyBorder="1" applyAlignment="1" applyProtection="1">
      <alignment horizontal="center" textRotation="90"/>
    </xf>
    <xf numFmtId="0" fontId="0" fillId="0" borderId="79" xfId="0" applyBorder="1" applyAlignment="1" applyProtection="1">
      <alignment horizontal="center" textRotation="90"/>
    </xf>
    <xf numFmtId="0" fontId="216" fillId="0" borderId="50" xfId="0" applyFont="1" applyBorder="1" applyAlignment="1" applyProtection="1">
      <alignment horizontal="center" vertical="center" readingOrder="1"/>
    </xf>
    <xf numFmtId="0" fontId="216" fillId="0" borderId="63" xfId="0" applyFont="1" applyBorder="1" applyAlignment="1" applyProtection="1">
      <alignment horizontal="center" vertical="center" readingOrder="1"/>
    </xf>
    <xf numFmtId="0" fontId="216" fillId="0" borderId="78" xfId="0" applyFont="1" applyBorder="1" applyAlignment="1" applyProtection="1">
      <alignment horizontal="center" vertical="center" readingOrder="1"/>
    </xf>
    <xf numFmtId="0" fontId="216" fillId="0" borderId="79" xfId="0" applyFont="1" applyBorder="1" applyAlignment="1" applyProtection="1">
      <alignment horizontal="center" vertical="center" readingOrder="1"/>
    </xf>
    <xf numFmtId="0" fontId="216" fillId="0" borderId="50" xfId="0" applyFont="1" applyBorder="1" applyAlignment="1" applyProtection="1">
      <alignment horizontal="center" vertical="center" wrapText="1"/>
    </xf>
    <xf numFmtId="0" fontId="216" fillId="0" borderId="63" xfId="0" applyFont="1" applyBorder="1" applyAlignment="1" applyProtection="1">
      <alignment horizontal="center" vertical="center" wrapText="1"/>
    </xf>
    <xf numFmtId="0" fontId="216" fillId="0" borderId="78" xfId="0" applyFont="1" applyBorder="1" applyAlignment="1" applyProtection="1">
      <alignment horizontal="center" vertical="center" wrapText="1"/>
    </xf>
    <xf numFmtId="0" fontId="216" fillId="0" borderId="79" xfId="0" applyFont="1" applyBorder="1" applyAlignment="1" applyProtection="1">
      <alignment horizontal="center" vertical="center" wrapText="1"/>
    </xf>
    <xf numFmtId="0" fontId="15" fillId="0" borderId="59" xfId="0" applyFont="1" applyBorder="1" applyAlignment="1" applyProtection="1">
      <alignment horizontal="left" vertical="center"/>
    </xf>
    <xf numFmtId="0" fontId="15" fillId="0" borderId="60" xfId="0" applyFont="1" applyBorder="1" applyAlignment="1" applyProtection="1">
      <alignment horizontal="left" vertical="center"/>
    </xf>
    <xf numFmtId="0" fontId="15" fillId="0" borderId="61" xfId="0" applyFont="1" applyBorder="1" applyAlignment="1" applyProtection="1">
      <alignment horizontal="left" vertical="center"/>
    </xf>
    <xf numFmtId="0" fontId="0" fillId="0" borderId="59" xfId="0" applyFill="1" applyBorder="1" applyAlignment="1" applyProtection="1">
      <alignment horizontal="left" vertical="center" wrapText="1"/>
    </xf>
    <xf numFmtId="0" fontId="0" fillId="0" borderId="60" xfId="0" applyFill="1" applyBorder="1" applyAlignment="1" applyProtection="1">
      <alignment horizontal="left" vertical="center" wrapText="1"/>
    </xf>
    <xf numFmtId="0" fontId="0" fillId="0" borderId="61" xfId="0" applyFill="1" applyBorder="1" applyAlignment="1" applyProtection="1">
      <alignment horizontal="left" vertical="center" wrapText="1"/>
    </xf>
    <xf numFmtId="0" fontId="0" fillId="0" borderId="20" xfId="0" applyBorder="1" applyAlignment="1" applyProtection="1">
      <alignment horizontal="left" vertical="center" wrapText="1"/>
    </xf>
    <xf numFmtId="0" fontId="0" fillId="0" borderId="0" xfId="0" applyBorder="1" applyAlignment="1" applyProtection="1">
      <alignment horizontal="left" vertical="center" wrapText="1"/>
    </xf>
    <xf numFmtId="0" fontId="201" fillId="0" borderId="59" xfId="0" applyFont="1" applyFill="1" applyBorder="1" applyAlignment="1" applyProtection="1">
      <alignment horizontal="left" vertical="center" wrapText="1"/>
    </xf>
    <xf numFmtId="0" fontId="201" fillId="0" borderId="60" xfId="0" applyFont="1" applyFill="1" applyBorder="1" applyAlignment="1" applyProtection="1">
      <alignment horizontal="left" vertical="center" wrapText="1"/>
    </xf>
    <xf numFmtId="0" fontId="201" fillId="0" borderId="61" xfId="0" applyFont="1" applyFill="1" applyBorder="1" applyAlignment="1" applyProtection="1">
      <alignment horizontal="left" vertical="center" wrapText="1"/>
    </xf>
    <xf numFmtId="0" fontId="216" fillId="90" borderId="50" xfId="0" applyFont="1" applyFill="1" applyBorder="1" applyAlignment="1" applyProtection="1">
      <alignment horizontal="center" vertical="center"/>
    </xf>
    <xf numFmtId="0" fontId="216" fillId="90" borderId="80" xfId="0" applyFont="1" applyFill="1" applyBorder="1" applyAlignment="1" applyProtection="1">
      <alignment horizontal="center" vertical="center"/>
    </xf>
    <xf numFmtId="0" fontId="210" fillId="0" borderId="50" xfId="0" applyFont="1" applyBorder="1" applyAlignment="1" applyProtection="1">
      <alignment horizontal="center" vertical="center" wrapText="1"/>
    </xf>
    <xf numFmtId="0" fontId="210" fillId="0" borderId="20" xfId="0" applyFont="1" applyBorder="1" applyAlignment="1" applyProtection="1">
      <alignment horizontal="center" vertical="center" wrapText="1"/>
    </xf>
    <xf numFmtId="0" fontId="210" fillId="0" borderId="78" xfId="0" applyFont="1" applyBorder="1" applyAlignment="1" applyProtection="1">
      <alignment horizontal="center" vertical="center" wrapText="1"/>
    </xf>
    <xf numFmtId="0" fontId="210" fillId="0" borderId="81" xfId="0" applyFont="1" applyBorder="1" applyAlignment="1" applyProtection="1">
      <alignment horizontal="center" vertical="center" wrapText="1"/>
    </xf>
    <xf numFmtId="0" fontId="210" fillId="0" borderId="14" xfId="0" applyFont="1" applyBorder="1" applyAlignment="1" applyProtection="1">
      <alignment horizontal="center" vertical="center" wrapText="1"/>
    </xf>
    <xf numFmtId="0" fontId="210" fillId="0" borderId="15" xfId="0" applyFont="1" applyBorder="1" applyAlignment="1" applyProtection="1">
      <alignment horizontal="center" vertical="center" wrapText="1"/>
    </xf>
    <xf numFmtId="0" fontId="210" fillId="0" borderId="80" xfId="0" applyFont="1" applyBorder="1" applyAlignment="1" applyProtection="1">
      <alignment horizontal="center" vertical="center" wrapText="1"/>
    </xf>
    <xf numFmtId="0" fontId="210" fillId="0" borderId="63" xfId="0" applyFont="1" applyBorder="1" applyAlignment="1" applyProtection="1">
      <alignment horizontal="center" vertical="center" wrapText="1"/>
    </xf>
    <xf numFmtId="0" fontId="210" fillId="0" borderId="12" xfId="0" applyFont="1" applyBorder="1" applyAlignment="1" applyProtection="1">
      <alignment horizontal="center" vertical="center" wrapText="1"/>
    </xf>
    <xf numFmtId="0" fontId="210" fillId="0" borderId="79" xfId="0" applyFont="1" applyBorder="1" applyAlignment="1" applyProtection="1">
      <alignment horizontal="center" vertical="center" wrapText="1"/>
    </xf>
    <xf numFmtId="0" fontId="219" fillId="0" borderId="50" xfId="0" applyFont="1" applyBorder="1" applyAlignment="1" applyProtection="1">
      <alignment horizontal="center" vertical="center" wrapText="1"/>
    </xf>
    <xf numFmtId="0" fontId="219" fillId="0" borderId="80" xfId="0" applyFont="1" applyBorder="1" applyAlignment="1" applyProtection="1">
      <alignment horizontal="center" vertical="center" wrapText="1"/>
    </xf>
    <xf numFmtId="0" fontId="216" fillId="0" borderId="80" xfId="0" applyFont="1" applyBorder="1" applyAlignment="1" applyProtection="1">
      <alignment horizontal="center" vertical="center" readingOrder="1"/>
    </xf>
    <xf numFmtId="0" fontId="216" fillId="0" borderId="12" xfId="0" applyFont="1" applyBorder="1" applyAlignment="1" applyProtection="1">
      <alignment horizontal="center" vertical="center" readingOrder="1"/>
    </xf>
    <xf numFmtId="0" fontId="201" fillId="0" borderId="12" xfId="0" applyFont="1" applyBorder="1" applyAlignment="1" applyProtection="1">
      <alignment horizontal="left" wrapText="1"/>
    </xf>
    <xf numFmtId="0" fontId="216" fillId="90" borderId="59" xfId="0" applyFont="1" applyFill="1" applyBorder="1" applyAlignment="1" applyProtection="1">
      <alignment horizontal="center" vertical="center"/>
    </xf>
    <xf numFmtId="0" fontId="216" fillId="90" borderId="60" xfId="0" applyFont="1" applyFill="1" applyBorder="1" applyAlignment="1" applyProtection="1">
      <alignment horizontal="center" vertical="center"/>
    </xf>
    <xf numFmtId="0" fontId="216" fillId="90" borderId="61" xfId="0" applyFont="1" applyFill="1" applyBorder="1" applyAlignment="1" applyProtection="1">
      <alignment horizontal="center" vertical="center"/>
    </xf>
    <xf numFmtId="0" fontId="0" fillId="0" borderId="59" xfId="0" applyBorder="1" applyAlignment="1" applyProtection="1">
      <alignment horizontal="left" vertical="center" wrapText="1"/>
    </xf>
    <xf numFmtId="0" fontId="0" fillId="0" borderId="60" xfId="0" applyBorder="1" applyAlignment="1" applyProtection="1">
      <alignment horizontal="left" vertical="center" wrapText="1"/>
    </xf>
    <xf numFmtId="0" fontId="0" fillId="0" borderId="61" xfId="0" applyBorder="1" applyAlignment="1" applyProtection="1">
      <alignment horizontal="left" vertical="center" wrapText="1"/>
    </xf>
    <xf numFmtId="0" fontId="0" fillId="0" borderId="20" xfId="0" applyBorder="1" applyAlignment="1" applyProtection="1">
      <alignment horizontal="left" wrapText="1"/>
    </xf>
    <xf numFmtId="0" fontId="0" fillId="0" borderId="0" xfId="0" applyBorder="1" applyAlignment="1" applyProtection="1">
      <alignment horizontal="left" wrapText="1"/>
    </xf>
    <xf numFmtId="0" fontId="232" fillId="103" borderId="0" xfId="1773" applyNumberFormat="1" applyFont="1" applyFill="1" applyBorder="1"/>
    <xf numFmtId="0" fontId="231" fillId="100" borderId="62" xfId="1773" applyNumberFormat="1" applyFont="1" applyFill="1" applyBorder="1" applyAlignment="1">
      <alignment horizontal="center" vertical="center" wrapText="1"/>
    </xf>
    <xf numFmtId="44" fontId="231" fillId="101" borderId="59" xfId="1079" applyFont="1" applyFill="1" applyBorder="1" applyAlignment="1">
      <alignment horizontal="center" vertical="center" wrapText="1"/>
    </xf>
    <xf numFmtId="44" fontId="231" fillId="101" borderId="60" xfId="1079" applyFont="1" applyFill="1" applyBorder="1" applyAlignment="1">
      <alignment horizontal="center" vertical="center" wrapText="1"/>
    </xf>
    <xf numFmtId="44" fontId="231" fillId="101" borderId="61" xfId="1079" applyFont="1" applyFill="1" applyBorder="1" applyAlignment="1">
      <alignment horizontal="center" vertical="center" wrapText="1"/>
    </xf>
    <xf numFmtId="0" fontId="0" fillId="95" borderId="0" xfId="0" applyFill="1"/>
    <xf numFmtId="4" fontId="0" fillId="95" borderId="0" xfId="0" applyNumberFormat="1" applyFill="1"/>
  </cellXfs>
  <cellStyles count="5608">
    <cellStyle name="-" xfId="8"/>
    <cellStyle name=" 3]_x000d__x000a_Zoomed=1_x000d__x000a_Row=0_x000d__x000a_Column=0_x000d__x000a_Height=300_x000d__x000a_Width=300_x000d__x000a_FontName=細明體_x000d__x000a_FontStyle=0_x000d__x000a_FontSize=9_x000d__x000a_PrtFontName=Co" xfId="5416"/>
    <cellStyle name="$" xfId="9"/>
    <cellStyle name="$ &amp; ¢" xfId="10"/>
    <cellStyle name="$ &amp; ¢ 2" xfId="4699"/>
    <cellStyle name="$ 2" xfId="4704"/>
    <cellStyle name="%" xfId="11"/>
    <cellStyle name="%.00" xfId="12"/>
    <cellStyle name="(Heading)" xfId="13"/>
    <cellStyle name="(Heading) 2" xfId="4469"/>
    <cellStyle name="(Lefting)" xfId="14"/>
    <cellStyle name="(Lefting) 2" xfId="4470"/>
    <cellStyle name="(z*¯_x000f_°(”,¯?À(¢,¯?Ð(°,¯?à(Â,¯?ð(Ô,¯?" xfId="15"/>
    <cellStyle name="(z*¯_x000f_°(”,¯?À(¢,¯?Ð(°,¯?à(Â,¯?ð(Ô,¯? 2" xfId="4690"/>
    <cellStyle name="******************************************" xfId="16"/>
    <cellStyle name="_CNMD_Valuation Model_20081212_v2" xfId="17"/>
    <cellStyle name="_Comma" xfId="18"/>
    <cellStyle name="_Comps 4" xfId="19"/>
    <cellStyle name="_Cont Analysis" xfId="20"/>
    <cellStyle name="_Currency" xfId="21"/>
    <cellStyle name="_Currency_Analysis" xfId="22"/>
    <cellStyle name="_Currency_Smartportfolio model" xfId="23"/>
    <cellStyle name="_Currency_Smartportfolio model_DB-merged files" xfId="24"/>
    <cellStyle name="_CurrencySpace" xfId="25"/>
    <cellStyle name="_Gamma Valuation - 8" xfId="26"/>
    <cellStyle name="_ITRN" xfId="27"/>
    <cellStyle name="-_Merger Model 17 Nov 04" xfId="28"/>
    <cellStyle name="_Merger Model_KN&amp;Fzio_v2.30 - Street" xfId="29"/>
    <cellStyle name="_Multiple" xfId="30"/>
    <cellStyle name="_Multiple_Analysis" xfId="31"/>
    <cellStyle name="_Multiple_Analysis_DB-merged files" xfId="32"/>
    <cellStyle name="_Multiple_Smartportfolio model" xfId="33"/>
    <cellStyle name="_Multiple_Smartportfolio model_DB-merged files" xfId="34"/>
    <cellStyle name="_MultipleSpace" xfId="35"/>
    <cellStyle name="_MultipleSpace_Analysis" xfId="36"/>
    <cellStyle name="_MultipleSpace_csc" xfId="37"/>
    <cellStyle name="_MultipleSpace_Smartportfolio model" xfId="38"/>
    <cellStyle name="_MultipleSpace_Smartportfolio model_DB-merged files" xfId="39"/>
    <cellStyle name="_Percent" xfId="40"/>
    <cellStyle name="_Percent_Analysis" xfId="41"/>
    <cellStyle name="_Percent_Smartportfolio model" xfId="42"/>
    <cellStyle name="_Percent_Smartportfolio model_DB-merged files" xfId="43"/>
    <cellStyle name="_PercentSpace" xfId="44"/>
    <cellStyle name="_PercentSpace_Analysis" xfId="45"/>
    <cellStyle name="_PercentSpace_Smartportfolio model" xfId="46"/>
    <cellStyle name="_Sepracor Riders_Clean" xfId="47"/>
    <cellStyle name="_SIAL_Model_5.22.09 v71" xfId="48"/>
    <cellStyle name="£ BP" xfId="49"/>
    <cellStyle name="¥ JY" xfId="50"/>
    <cellStyle name="&lt;9#_x000f_¾Èƒé1ƒÃ_x0002_;M_x0014_}$‹E_x0010_‹_x0004_ˆ…Àt_x001b_Pÿ_x0015_ x¦" xfId="51"/>
    <cellStyle name="=C:\WINNT\SYSTEM32\COMMAND.COM" xfId="5417"/>
    <cellStyle name="=C:\WINNT35\SYSTEM32\COMMAND.COM" xfId="52"/>
    <cellStyle name="0752-93035" xfId="53"/>
    <cellStyle name="1,comma" xfId="54"/>
    <cellStyle name="10Q" xfId="55"/>
    <cellStyle name="20 % - Accent1" xfId="5418"/>
    <cellStyle name="20 % - Accent2" xfId="5419"/>
    <cellStyle name="20 % - Accent3" xfId="5420"/>
    <cellStyle name="20 % - Accent4" xfId="5421"/>
    <cellStyle name="20 % - Accent5" xfId="5422"/>
    <cellStyle name="20 % - Accent6" xfId="5423"/>
    <cellStyle name="20% - Accent1" xfId="4545" builtinId="30" customBuiltin="1"/>
    <cellStyle name="20% - Accent1 2" xfId="56"/>
    <cellStyle name="20% - Accent1 2 10" xfId="57"/>
    <cellStyle name="20% - Accent1 2 11" xfId="4487"/>
    <cellStyle name="20% - Accent1 2 2" xfId="58"/>
    <cellStyle name="20% - Accent1 2 2 2" xfId="59"/>
    <cellStyle name="20% - Accent1 2 2 3" xfId="60"/>
    <cellStyle name="20% - Accent1 2 3" xfId="61"/>
    <cellStyle name="20% - Accent1 2 3 2" xfId="62"/>
    <cellStyle name="20% - Accent1 2 4" xfId="63"/>
    <cellStyle name="20% - Accent1 2 5" xfId="64"/>
    <cellStyle name="20% - Accent1 2 6" xfId="65"/>
    <cellStyle name="20% - Accent1 2 7" xfId="66"/>
    <cellStyle name="20% - Accent1 2 8" xfId="67"/>
    <cellStyle name="20% - Accent1 2 9" xfId="68"/>
    <cellStyle name="20% - Accent1 3" xfId="69"/>
    <cellStyle name="20% - Accent1 3 2" xfId="70"/>
    <cellStyle name="20% - Accent1 3 2 2" xfId="71"/>
    <cellStyle name="20% - Accent1 3 2 2 2" xfId="72"/>
    <cellStyle name="20% - Accent1 3 2 2 2 2" xfId="73"/>
    <cellStyle name="20% - Accent1 3 2 2 3" xfId="74"/>
    <cellStyle name="20% - Accent1 3 2 3" xfId="75"/>
    <cellStyle name="20% - Accent1 3 2 3 2" xfId="76"/>
    <cellStyle name="20% - Accent1 3 2 4" xfId="77"/>
    <cellStyle name="20% - Accent1 3 3" xfId="78"/>
    <cellStyle name="20% - Accent1 3 3 2" xfId="79"/>
    <cellStyle name="20% - Accent1 3 3 2 2" xfId="80"/>
    <cellStyle name="20% - Accent1 3 3 2 2 2" xfId="81"/>
    <cellStyle name="20% - Accent1 3 3 2 3" xfId="82"/>
    <cellStyle name="20% - Accent1 3 3 3" xfId="83"/>
    <cellStyle name="20% - Accent1 3 3 3 2" xfId="84"/>
    <cellStyle name="20% - Accent1 3 3 4" xfId="85"/>
    <cellStyle name="20% - Accent1 3 4" xfId="86"/>
    <cellStyle name="20% - Accent1 3 4 2" xfId="87"/>
    <cellStyle name="20% - Accent1 3 4 2 2" xfId="88"/>
    <cellStyle name="20% - Accent1 3 4 3" xfId="89"/>
    <cellStyle name="20% - Accent1 3 5" xfId="90"/>
    <cellStyle name="20% - Accent1 3 5 2" xfId="91"/>
    <cellStyle name="20% - Accent1 3 6" xfId="92"/>
    <cellStyle name="20% - Accent1 4" xfId="93"/>
    <cellStyle name="20% - Accent1 5" xfId="94"/>
    <cellStyle name="20% - Accent1 6" xfId="95"/>
    <cellStyle name="20% - Accent1 7" xfId="96"/>
    <cellStyle name="20% - Accent1 8" xfId="97"/>
    <cellStyle name="20% - Accent2" xfId="4549" builtinId="34" customBuiltin="1"/>
    <cellStyle name="20% - Accent2 2" xfId="98"/>
    <cellStyle name="20% - Accent2 2 10" xfId="99"/>
    <cellStyle name="20% - Accent2 2 11" xfId="4488"/>
    <cellStyle name="20% - Accent2 2 2" xfId="100"/>
    <cellStyle name="20% - Accent2 2 2 2" xfId="101"/>
    <cellStyle name="20% - Accent2 2 2 3" xfId="102"/>
    <cellStyle name="20% - Accent2 2 3" xfId="103"/>
    <cellStyle name="20% - Accent2 2 3 2" xfId="104"/>
    <cellStyle name="20% - Accent2 2 4" xfId="105"/>
    <cellStyle name="20% - Accent2 2 5" xfId="106"/>
    <cellStyle name="20% - Accent2 2 6" xfId="107"/>
    <cellStyle name="20% - Accent2 2 7" xfId="108"/>
    <cellStyle name="20% - Accent2 2 8" xfId="109"/>
    <cellStyle name="20% - Accent2 2 9" xfId="110"/>
    <cellStyle name="20% - Accent2 3" xfId="111"/>
    <cellStyle name="20% - Accent2 3 2" xfId="112"/>
    <cellStyle name="20% - Accent2 3 2 2" xfId="113"/>
    <cellStyle name="20% - Accent2 3 2 2 2" xfId="114"/>
    <cellStyle name="20% - Accent2 3 2 2 2 2" xfId="115"/>
    <cellStyle name="20% - Accent2 3 2 2 3" xfId="116"/>
    <cellStyle name="20% - Accent2 3 2 3" xfId="117"/>
    <cellStyle name="20% - Accent2 3 2 3 2" xfId="118"/>
    <cellStyle name="20% - Accent2 3 2 4" xfId="119"/>
    <cellStyle name="20% - Accent2 3 3" xfId="120"/>
    <cellStyle name="20% - Accent2 3 3 2" xfId="121"/>
    <cellStyle name="20% - Accent2 3 3 2 2" xfId="122"/>
    <cellStyle name="20% - Accent2 3 3 2 2 2" xfId="123"/>
    <cellStyle name="20% - Accent2 3 3 2 3" xfId="124"/>
    <cellStyle name="20% - Accent2 3 3 3" xfId="125"/>
    <cellStyle name="20% - Accent2 3 3 3 2" xfId="126"/>
    <cellStyle name="20% - Accent2 3 3 4" xfId="127"/>
    <cellStyle name="20% - Accent2 3 4" xfId="128"/>
    <cellStyle name="20% - Accent2 3 4 2" xfId="129"/>
    <cellStyle name="20% - Accent2 3 4 2 2" xfId="130"/>
    <cellStyle name="20% - Accent2 3 4 3" xfId="131"/>
    <cellStyle name="20% - Accent2 3 5" xfId="132"/>
    <cellStyle name="20% - Accent2 3 5 2" xfId="133"/>
    <cellStyle name="20% - Accent2 3 6" xfId="134"/>
    <cellStyle name="20% - Accent2 4" xfId="135"/>
    <cellStyle name="20% - Accent2 5" xfId="136"/>
    <cellStyle name="20% - Accent2 6" xfId="137"/>
    <cellStyle name="20% - Accent2 7" xfId="138"/>
    <cellStyle name="20% - Accent2 8" xfId="139"/>
    <cellStyle name="20% - Accent3" xfId="4553" builtinId="38" customBuiltin="1"/>
    <cellStyle name="20% - Accent3 2" xfId="140"/>
    <cellStyle name="20% - Accent3 2 10" xfId="141"/>
    <cellStyle name="20% - Accent3 2 11" xfId="4489"/>
    <cellStyle name="20% - Accent3 2 2" xfId="142"/>
    <cellStyle name="20% - Accent3 2 2 2" xfId="143"/>
    <cellStyle name="20% - Accent3 2 2 3" xfId="144"/>
    <cellStyle name="20% - Accent3 2 3" xfId="145"/>
    <cellStyle name="20% - Accent3 2 3 2" xfId="146"/>
    <cellStyle name="20% - Accent3 2 4" xfId="147"/>
    <cellStyle name="20% - Accent3 2 5" xfId="148"/>
    <cellStyle name="20% - Accent3 2 6" xfId="149"/>
    <cellStyle name="20% - Accent3 2 7" xfId="150"/>
    <cellStyle name="20% - Accent3 2 8" xfId="151"/>
    <cellStyle name="20% - Accent3 2 9" xfId="152"/>
    <cellStyle name="20% - Accent3 3" xfId="153"/>
    <cellStyle name="20% - Accent3 3 2" xfId="154"/>
    <cellStyle name="20% - Accent3 3 2 2" xfId="155"/>
    <cellStyle name="20% - Accent3 3 2 2 2" xfId="156"/>
    <cellStyle name="20% - Accent3 3 2 2 2 2" xfId="157"/>
    <cellStyle name="20% - Accent3 3 2 2 3" xfId="158"/>
    <cellStyle name="20% - Accent3 3 2 3" xfId="159"/>
    <cellStyle name="20% - Accent3 3 2 3 2" xfId="160"/>
    <cellStyle name="20% - Accent3 3 2 4" xfId="161"/>
    <cellStyle name="20% - Accent3 3 3" xfId="162"/>
    <cellStyle name="20% - Accent3 3 3 2" xfId="163"/>
    <cellStyle name="20% - Accent3 3 3 2 2" xfId="164"/>
    <cellStyle name="20% - Accent3 3 3 2 2 2" xfId="165"/>
    <cellStyle name="20% - Accent3 3 3 2 3" xfId="166"/>
    <cellStyle name="20% - Accent3 3 3 3" xfId="167"/>
    <cellStyle name="20% - Accent3 3 3 3 2" xfId="168"/>
    <cellStyle name="20% - Accent3 3 3 4" xfId="169"/>
    <cellStyle name="20% - Accent3 3 4" xfId="170"/>
    <cellStyle name="20% - Accent3 3 4 2" xfId="171"/>
    <cellStyle name="20% - Accent3 3 4 2 2" xfId="172"/>
    <cellStyle name="20% - Accent3 3 4 3" xfId="173"/>
    <cellStyle name="20% - Accent3 3 5" xfId="174"/>
    <cellStyle name="20% - Accent3 3 5 2" xfId="175"/>
    <cellStyle name="20% - Accent3 3 6" xfId="176"/>
    <cellStyle name="20% - Accent3 4" xfId="177"/>
    <cellStyle name="20% - Accent3 5" xfId="178"/>
    <cellStyle name="20% - Accent3 6" xfId="179"/>
    <cellStyle name="20% - Accent3 7" xfId="180"/>
    <cellStyle name="20% - Accent3 8" xfId="181"/>
    <cellStyle name="20% - Accent4" xfId="4557" builtinId="42" customBuiltin="1"/>
    <cellStyle name="20% - Accent4 2" xfId="182"/>
    <cellStyle name="20% - Accent4 2 10" xfId="183"/>
    <cellStyle name="20% - Accent4 2 11" xfId="4490"/>
    <cellStyle name="20% - Accent4 2 2" xfId="184"/>
    <cellStyle name="20% - Accent4 2 2 2" xfId="185"/>
    <cellStyle name="20% - Accent4 2 2 3" xfId="186"/>
    <cellStyle name="20% - Accent4 2 3" xfId="187"/>
    <cellStyle name="20% - Accent4 2 3 2" xfId="188"/>
    <cellStyle name="20% - Accent4 2 4" xfId="189"/>
    <cellStyle name="20% - Accent4 2 5" xfId="190"/>
    <cellStyle name="20% - Accent4 2 6" xfId="191"/>
    <cellStyle name="20% - Accent4 2 7" xfId="192"/>
    <cellStyle name="20% - Accent4 2 8" xfId="193"/>
    <cellStyle name="20% - Accent4 2 9" xfId="194"/>
    <cellStyle name="20% - Accent4 3" xfId="195"/>
    <cellStyle name="20% - Accent4 3 2" xfId="196"/>
    <cellStyle name="20% - Accent4 3 2 2" xfId="197"/>
    <cellStyle name="20% - Accent4 3 2 2 2" xfId="198"/>
    <cellStyle name="20% - Accent4 3 2 2 2 2" xfId="199"/>
    <cellStyle name="20% - Accent4 3 2 2 3" xfId="200"/>
    <cellStyle name="20% - Accent4 3 2 3" xfId="201"/>
    <cellStyle name="20% - Accent4 3 2 3 2" xfId="202"/>
    <cellStyle name="20% - Accent4 3 2 4" xfId="203"/>
    <cellStyle name="20% - Accent4 3 3" xfId="204"/>
    <cellStyle name="20% - Accent4 3 3 2" xfId="205"/>
    <cellStyle name="20% - Accent4 3 3 2 2" xfId="206"/>
    <cellStyle name="20% - Accent4 3 3 2 2 2" xfId="207"/>
    <cellStyle name="20% - Accent4 3 3 2 3" xfId="208"/>
    <cellStyle name="20% - Accent4 3 3 3" xfId="209"/>
    <cellStyle name="20% - Accent4 3 3 3 2" xfId="210"/>
    <cellStyle name="20% - Accent4 3 3 4" xfId="211"/>
    <cellStyle name="20% - Accent4 3 4" xfId="212"/>
    <cellStyle name="20% - Accent4 3 4 2" xfId="213"/>
    <cellStyle name="20% - Accent4 3 4 2 2" xfId="214"/>
    <cellStyle name="20% - Accent4 3 4 3" xfId="215"/>
    <cellStyle name="20% - Accent4 3 5" xfId="216"/>
    <cellStyle name="20% - Accent4 3 5 2" xfId="217"/>
    <cellStyle name="20% - Accent4 3 6" xfId="218"/>
    <cellStyle name="20% - Accent4 4" xfId="219"/>
    <cellStyle name="20% - Accent4 5" xfId="220"/>
    <cellStyle name="20% - Accent4 6" xfId="221"/>
    <cellStyle name="20% - Accent4 7" xfId="222"/>
    <cellStyle name="20% - Accent4 8" xfId="223"/>
    <cellStyle name="20% - Accent5" xfId="4561" builtinId="46" customBuiltin="1"/>
    <cellStyle name="20% - Accent5 2" xfId="224"/>
    <cellStyle name="20% - Accent5 2 10" xfId="225"/>
    <cellStyle name="20% - Accent5 2 11" xfId="4491"/>
    <cellStyle name="20% - Accent5 2 2" xfId="226"/>
    <cellStyle name="20% - Accent5 2 2 2" xfId="227"/>
    <cellStyle name="20% - Accent5 2 2 3" xfId="228"/>
    <cellStyle name="20% - Accent5 2 3" xfId="229"/>
    <cellStyle name="20% - Accent5 2 3 2" xfId="230"/>
    <cellStyle name="20% - Accent5 2 4" xfId="231"/>
    <cellStyle name="20% - Accent5 2 5" xfId="232"/>
    <cellStyle name="20% - Accent5 2 6" xfId="233"/>
    <cellStyle name="20% - Accent5 2 7" xfId="234"/>
    <cellStyle name="20% - Accent5 2 8" xfId="235"/>
    <cellStyle name="20% - Accent5 2 9" xfId="236"/>
    <cellStyle name="20% - Accent5 3" xfId="237"/>
    <cellStyle name="20% - Accent5 3 2" xfId="238"/>
    <cellStyle name="20% - Accent5 3 2 2" xfId="239"/>
    <cellStyle name="20% - Accent5 3 2 2 2" xfId="240"/>
    <cellStyle name="20% - Accent5 3 2 2 2 2" xfId="241"/>
    <cellStyle name="20% - Accent5 3 2 2 3" xfId="242"/>
    <cellStyle name="20% - Accent5 3 2 3" xfId="243"/>
    <cellStyle name="20% - Accent5 3 2 3 2" xfId="244"/>
    <cellStyle name="20% - Accent5 3 2 4" xfId="245"/>
    <cellStyle name="20% - Accent5 3 3" xfId="246"/>
    <cellStyle name="20% - Accent5 3 3 2" xfId="247"/>
    <cellStyle name="20% - Accent5 3 3 2 2" xfId="248"/>
    <cellStyle name="20% - Accent5 3 3 2 2 2" xfId="249"/>
    <cellStyle name="20% - Accent5 3 3 2 3" xfId="250"/>
    <cellStyle name="20% - Accent5 3 3 3" xfId="251"/>
    <cellStyle name="20% - Accent5 3 3 3 2" xfId="252"/>
    <cellStyle name="20% - Accent5 3 3 4" xfId="253"/>
    <cellStyle name="20% - Accent5 3 4" xfId="254"/>
    <cellStyle name="20% - Accent5 3 4 2" xfId="255"/>
    <cellStyle name="20% - Accent5 3 4 2 2" xfId="256"/>
    <cellStyle name="20% - Accent5 3 4 3" xfId="257"/>
    <cellStyle name="20% - Accent5 3 5" xfId="258"/>
    <cellStyle name="20% - Accent5 3 5 2" xfId="259"/>
    <cellStyle name="20% - Accent5 3 6" xfId="260"/>
    <cellStyle name="20% - Accent5 4" xfId="261"/>
    <cellStyle name="20% - Accent5 5" xfId="262"/>
    <cellStyle name="20% - Accent5 6" xfId="263"/>
    <cellStyle name="20% - Accent5 7" xfId="264"/>
    <cellStyle name="20% - Accent5 8" xfId="265"/>
    <cellStyle name="20% - Accent6" xfId="4565" builtinId="50" customBuiltin="1"/>
    <cellStyle name="20% - Accent6 2" xfId="266"/>
    <cellStyle name="20% - Accent6 2 10" xfId="267"/>
    <cellStyle name="20% - Accent6 2 11" xfId="4492"/>
    <cellStyle name="20% - Accent6 2 2" xfId="268"/>
    <cellStyle name="20% - Accent6 2 2 2" xfId="269"/>
    <cellStyle name="20% - Accent6 2 2 3" xfId="270"/>
    <cellStyle name="20% - Accent6 2 3" xfId="271"/>
    <cellStyle name="20% - Accent6 2 3 2" xfId="272"/>
    <cellStyle name="20% - Accent6 2 4" xfId="273"/>
    <cellStyle name="20% - Accent6 2 5" xfId="274"/>
    <cellStyle name="20% - Accent6 2 6" xfId="275"/>
    <cellStyle name="20% - Accent6 2 7" xfId="276"/>
    <cellStyle name="20% - Accent6 2 8" xfId="277"/>
    <cellStyle name="20% - Accent6 2 9" xfId="278"/>
    <cellStyle name="20% - Accent6 3" xfId="279"/>
    <cellStyle name="20% - Accent6 3 2" xfId="280"/>
    <cellStyle name="20% - Accent6 3 2 2" xfId="281"/>
    <cellStyle name="20% - Accent6 3 2 2 2" xfId="282"/>
    <cellStyle name="20% - Accent6 3 2 2 2 2" xfId="283"/>
    <cellStyle name="20% - Accent6 3 2 2 3" xfId="284"/>
    <cellStyle name="20% - Accent6 3 2 3" xfId="285"/>
    <cellStyle name="20% - Accent6 3 2 3 2" xfId="286"/>
    <cellStyle name="20% - Accent6 3 2 4" xfId="287"/>
    <cellStyle name="20% - Accent6 3 3" xfId="288"/>
    <cellStyle name="20% - Accent6 3 3 2" xfId="289"/>
    <cellStyle name="20% - Accent6 3 3 2 2" xfId="290"/>
    <cellStyle name="20% - Accent6 3 3 2 2 2" xfId="291"/>
    <cellStyle name="20% - Accent6 3 3 2 3" xfId="292"/>
    <cellStyle name="20% - Accent6 3 3 3" xfId="293"/>
    <cellStyle name="20% - Accent6 3 3 3 2" xfId="294"/>
    <cellStyle name="20% - Accent6 3 3 4" xfId="295"/>
    <cellStyle name="20% - Accent6 3 4" xfId="296"/>
    <cellStyle name="20% - Accent6 3 4 2" xfId="297"/>
    <cellStyle name="20% - Accent6 3 4 2 2" xfId="298"/>
    <cellStyle name="20% - Accent6 3 4 3" xfId="299"/>
    <cellStyle name="20% - Accent6 3 5" xfId="300"/>
    <cellStyle name="20% - Accent6 3 5 2" xfId="301"/>
    <cellStyle name="20% - Accent6 3 6" xfId="302"/>
    <cellStyle name="20% - Accent6 4" xfId="303"/>
    <cellStyle name="20% - Accent6 5" xfId="304"/>
    <cellStyle name="20% - Accent6 6" xfId="305"/>
    <cellStyle name="20% - Accent6 7" xfId="306"/>
    <cellStyle name="20% - Accent6 8" xfId="307"/>
    <cellStyle name="40 % - Accent1" xfId="5424"/>
    <cellStyle name="40 % - Accent2" xfId="5425"/>
    <cellStyle name="40 % - Accent3" xfId="5426"/>
    <cellStyle name="40 % - Accent4" xfId="5427"/>
    <cellStyle name="40 % - Accent5" xfId="5428"/>
    <cellStyle name="40 % - Accent6" xfId="5429"/>
    <cellStyle name="40% - Accent1" xfId="4546" builtinId="31" customBuiltin="1"/>
    <cellStyle name="40% - Accent1 2" xfId="308"/>
    <cellStyle name="40% - Accent1 2 10" xfId="309"/>
    <cellStyle name="40% - Accent1 2 11" xfId="4493"/>
    <cellStyle name="40% - Accent1 2 2" xfId="310"/>
    <cellStyle name="40% - Accent1 2 2 2" xfId="311"/>
    <cellStyle name="40% - Accent1 2 2 3" xfId="312"/>
    <cellStyle name="40% - Accent1 2 3" xfId="313"/>
    <cellStyle name="40% - Accent1 2 3 2" xfId="314"/>
    <cellStyle name="40% - Accent1 2 4" xfId="315"/>
    <cellStyle name="40% - Accent1 2 5" xfId="316"/>
    <cellStyle name="40% - Accent1 2 6" xfId="317"/>
    <cellStyle name="40% - Accent1 2 7" xfId="318"/>
    <cellStyle name="40% - Accent1 2 8" xfId="319"/>
    <cellStyle name="40% - Accent1 2 9" xfId="320"/>
    <cellStyle name="40% - Accent1 3" xfId="321"/>
    <cellStyle name="40% - Accent1 3 2" xfId="322"/>
    <cellStyle name="40% - Accent1 3 2 2" xfId="323"/>
    <cellStyle name="40% - Accent1 3 2 2 2" xfId="324"/>
    <cellStyle name="40% - Accent1 3 2 2 2 2" xfId="325"/>
    <cellStyle name="40% - Accent1 3 2 2 3" xfId="326"/>
    <cellStyle name="40% - Accent1 3 2 3" xfId="327"/>
    <cellStyle name="40% - Accent1 3 2 3 2" xfId="328"/>
    <cellStyle name="40% - Accent1 3 2 4" xfId="329"/>
    <cellStyle name="40% - Accent1 3 3" xfId="330"/>
    <cellStyle name="40% - Accent1 3 3 2" xfId="331"/>
    <cellStyle name="40% - Accent1 3 3 2 2" xfId="332"/>
    <cellStyle name="40% - Accent1 3 3 2 2 2" xfId="333"/>
    <cellStyle name="40% - Accent1 3 3 2 3" xfId="334"/>
    <cellStyle name="40% - Accent1 3 3 3" xfId="335"/>
    <cellStyle name="40% - Accent1 3 3 3 2" xfId="336"/>
    <cellStyle name="40% - Accent1 3 3 4" xfId="337"/>
    <cellStyle name="40% - Accent1 3 4" xfId="338"/>
    <cellStyle name="40% - Accent1 3 4 2" xfId="339"/>
    <cellStyle name="40% - Accent1 3 4 2 2" xfId="340"/>
    <cellStyle name="40% - Accent1 3 4 3" xfId="341"/>
    <cellStyle name="40% - Accent1 3 5" xfId="342"/>
    <cellStyle name="40% - Accent1 3 5 2" xfId="343"/>
    <cellStyle name="40% - Accent1 3 6" xfId="344"/>
    <cellStyle name="40% - Accent1 4" xfId="345"/>
    <cellStyle name="40% - Accent1 5" xfId="346"/>
    <cellStyle name="40% - Accent1 6" xfId="347"/>
    <cellStyle name="40% - Accent1 7" xfId="348"/>
    <cellStyle name="40% - Accent1 8" xfId="349"/>
    <cellStyle name="40% - Accent2" xfId="4550" builtinId="35" customBuiltin="1"/>
    <cellStyle name="40% - Accent2 2" xfId="350"/>
    <cellStyle name="40% - Accent2 2 10" xfId="351"/>
    <cellStyle name="40% - Accent2 2 11" xfId="4494"/>
    <cellStyle name="40% - Accent2 2 2" xfId="352"/>
    <cellStyle name="40% - Accent2 2 2 2" xfId="353"/>
    <cellStyle name="40% - Accent2 2 2 3" xfId="354"/>
    <cellStyle name="40% - Accent2 2 3" xfId="355"/>
    <cellStyle name="40% - Accent2 2 3 2" xfId="356"/>
    <cellStyle name="40% - Accent2 2 4" xfId="357"/>
    <cellStyle name="40% - Accent2 2 5" xfId="358"/>
    <cellStyle name="40% - Accent2 2 6" xfId="359"/>
    <cellStyle name="40% - Accent2 2 7" xfId="360"/>
    <cellStyle name="40% - Accent2 2 8" xfId="361"/>
    <cellStyle name="40% - Accent2 2 9" xfId="362"/>
    <cellStyle name="40% - Accent2 3" xfId="363"/>
    <cellStyle name="40% - Accent2 3 2" xfId="364"/>
    <cellStyle name="40% - Accent2 3 2 2" xfId="365"/>
    <cellStyle name="40% - Accent2 3 2 2 2" xfId="366"/>
    <cellStyle name="40% - Accent2 3 2 2 2 2" xfId="367"/>
    <cellStyle name="40% - Accent2 3 2 2 3" xfId="368"/>
    <cellStyle name="40% - Accent2 3 2 3" xfId="369"/>
    <cellStyle name="40% - Accent2 3 2 3 2" xfId="370"/>
    <cellStyle name="40% - Accent2 3 2 4" xfId="371"/>
    <cellStyle name="40% - Accent2 3 3" xfId="372"/>
    <cellStyle name="40% - Accent2 3 3 2" xfId="373"/>
    <cellStyle name="40% - Accent2 3 3 2 2" xfId="374"/>
    <cellStyle name="40% - Accent2 3 3 2 2 2" xfId="375"/>
    <cellStyle name="40% - Accent2 3 3 2 3" xfId="376"/>
    <cellStyle name="40% - Accent2 3 3 3" xfId="377"/>
    <cellStyle name="40% - Accent2 3 3 3 2" xfId="378"/>
    <cellStyle name="40% - Accent2 3 3 4" xfId="379"/>
    <cellStyle name="40% - Accent2 3 4" xfId="380"/>
    <cellStyle name="40% - Accent2 3 4 2" xfId="381"/>
    <cellStyle name="40% - Accent2 3 4 2 2" xfId="382"/>
    <cellStyle name="40% - Accent2 3 4 3" xfId="383"/>
    <cellStyle name="40% - Accent2 3 5" xfId="384"/>
    <cellStyle name="40% - Accent2 3 5 2" xfId="385"/>
    <cellStyle name="40% - Accent2 3 6" xfId="386"/>
    <cellStyle name="40% - Accent2 4" xfId="387"/>
    <cellStyle name="40% - Accent2 5" xfId="388"/>
    <cellStyle name="40% - Accent2 6" xfId="389"/>
    <cellStyle name="40% - Accent2 7" xfId="390"/>
    <cellStyle name="40% - Accent2 8" xfId="391"/>
    <cellStyle name="40% - Accent3" xfId="4554" builtinId="39" customBuiltin="1"/>
    <cellStyle name="40% - Accent3 2" xfId="392"/>
    <cellStyle name="40% - Accent3 2 10" xfId="393"/>
    <cellStyle name="40% - Accent3 2 11" xfId="4495"/>
    <cellStyle name="40% - Accent3 2 2" xfId="394"/>
    <cellStyle name="40% - Accent3 2 2 2" xfId="395"/>
    <cellStyle name="40% - Accent3 2 2 3" xfId="396"/>
    <cellStyle name="40% - Accent3 2 3" xfId="397"/>
    <cellStyle name="40% - Accent3 2 3 2" xfId="398"/>
    <cellStyle name="40% - Accent3 2 4" xfId="399"/>
    <cellStyle name="40% - Accent3 2 5" xfId="400"/>
    <cellStyle name="40% - Accent3 2 6" xfId="401"/>
    <cellStyle name="40% - Accent3 2 7" xfId="402"/>
    <cellStyle name="40% - Accent3 2 8" xfId="403"/>
    <cellStyle name="40% - Accent3 2 9" xfId="404"/>
    <cellStyle name="40% - Accent3 3" xfId="405"/>
    <cellStyle name="40% - Accent3 3 2" xfId="406"/>
    <cellStyle name="40% - Accent3 3 2 2" xfId="407"/>
    <cellStyle name="40% - Accent3 3 2 2 2" xfId="408"/>
    <cellStyle name="40% - Accent3 3 2 2 2 2" xfId="409"/>
    <cellStyle name="40% - Accent3 3 2 2 3" xfId="410"/>
    <cellStyle name="40% - Accent3 3 2 3" xfId="411"/>
    <cellStyle name="40% - Accent3 3 2 3 2" xfId="412"/>
    <cellStyle name="40% - Accent3 3 2 4" xfId="413"/>
    <cellStyle name="40% - Accent3 3 3" xfId="414"/>
    <cellStyle name="40% - Accent3 3 3 2" xfId="415"/>
    <cellStyle name="40% - Accent3 3 3 2 2" xfId="416"/>
    <cellStyle name="40% - Accent3 3 3 2 2 2" xfId="417"/>
    <cellStyle name="40% - Accent3 3 3 2 3" xfId="418"/>
    <cellStyle name="40% - Accent3 3 3 3" xfId="419"/>
    <cellStyle name="40% - Accent3 3 3 3 2" xfId="420"/>
    <cellStyle name="40% - Accent3 3 3 4" xfId="421"/>
    <cellStyle name="40% - Accent3 3 4" xfId="422"/>
    <cellStyle name="40% - Accent3 3 4 2" xfId="423"/>
    <cellStyle name="40% - Accent3 3 4 2 2" xfId="424"/>
    <cellStyle name="40% - Accent3 3 4 3" xfId="425"/>
    <cellStyle name="40% - Accent3 3 5" xfId="426"/>
    <cellStyle name="40% - Accent3 3 5 2" xfId="427"/>
    <cellStyle name="40% - Accent3 3 6" xfId="428"/>
    <cellStyle name="40% - Accent3 4" xfId="429"/>
    <cellStyle name="40% - Accent3 5" xfId="430"/>
    <cellStyle name="40% - Accent3 6" xfId="431"/>
    <cellStyle name="40% - Accent3 7" xfId="432"/>
    <cellStyle name="40% - Accent3 8" xfId="433"/>
    <cellStyle name="40% - Accent4" xfId="4558" builtinId="43" customBuiltin="1"/>
    <cellStyle name="40% - Accent4 2" xfId="434"/>
    <cellStyle name="40% - Accent4 2 10" xfId="435"/>
    <cellStyle name="40% - Accent4 2 11" xfId="4496"/>
    <cellStyle name="40% - Accent4 2 2" xfId="436"/>
    <cellStyle name="40% - Accent4 2 2 2" xfId="437"/>
    <cellStyle name="40% - Accent4 2 2 3" xfId="438"/>
    <cellStyle name="40% - Accent4 2 3" xfId="439"/>
    <cellStyle name="40% - Accent4 2 3 2" xfId="440"/>
    <cellStyle name="40% - Accent4 2 4" xfId="441"/>
    <cellStyle name="40% - Accent4 2 5" xfId="442"/>
    <cellStyle name="40% - Accent4 2 6" xfId="443"/>
    <cellStyle name="40% - Accent4 2 7" xfId="444"/>
    <cellStyle name="40% - Accent4 2 8" xfId="445"/>
    <cellStyle name="40% - Accent4 2 9" xfId="446"/>
    <cellStyle name="40% - Accent4 3" xfId="447"/>
    <cellStyle name="40% - Accent4 3 2" xfId="448"/>
    <cellStyle name="40% - Accent4 3 2 2" xfId="449"/>
    <cellStyle name="40% - Accent4 3 2 2 2" xfId="450"/>
    <cellStyle name="40% - Accent4 3 2 2 2 2" xfId="451"/>
    <cellStyle name="40% - Accent4 3 2 2 3" xfId="452"/>
    <cellStyle name="40% - Accent4 3 2 3" xfId="453"/>
    <cellStyle name="40% - Accent4 3 2 3 2" xfId="454"/>
    <cellStyle name="40% - Accent4 3 2 4" xfId="455"/>
    <cellStyle name="40% - Accent4 3 3" xfId="456"/>
    <cellStyle name="40% - Accent4 3 3 2" xfId="457"/>
    <cellStyle name="40% - Accent4 3 3 2 2" xfId="458"/>
    <cellStyle name="40% - Accent4 3 3 2 2 2" xfId="459"/>
    <cellStyle name="40% - Accent4 3 3 2 3" xfId="460"/>
    <cellStyle name="40% - Accent4 3 3 3" xfId="461"/>
    <cellStyle name="40% - Accent4 3 3 3 2" xfId="462"/>
    <cellStyle name="40% - Accent4 3 3 4" xfId="463"/>
    <cellStyle name="40% - Accent4 3 4" xfId="464"/>
    <cellStyle name="40% - Accent4 3 4 2" xfId="465"/>
    <cellStyle name="40% - Accent4 3 4 2 2" xfId="466"/>
    <cellStyle name="40% - Accent4 3 4 3" xfId="467"/>
    <cellStyle name="40% - Accent4 3 5" xfId="468"/>
    <cellStyle name="40% - Accent4 3 5 2" xfId="469"/>
    <cellStyle name="40% - Accent4 3 6" xfId="470"/>
    <cellStyle name="40% - Accent4 4" xfId="471"/>
    <cellStyle name="40% - Accent4 5" xfId="472"/>
    <cellStyle name="40% - Accent4 6" xfId="473"/>
    <cellStyle name="40% - Accent4 7" xfId="474"/>
    <cellStyle name="40% - Accent4 8" xfId="475"/>
    <cellStyle name="40% - Accent5" xfId="4562" builtinId="47" customBuiltin="1"/>
    <cellStyle name="40% - Accent5 2" xfId="476"/>
    <cellStyle name="40% - Accent5 2 10" xfId="477"/>
    <cellStyle name="40% - Accent5 2 11" xfId="4497"/>
    <cellStyle name="40% - Accent5 2 2" xfId="478"/>
    <cellStyle name="40% - Accent5 2 2 2" xfId="479"/>
    <cellStyle name="40% - Accent5 2 2 3" xfId="480"/>
    <cellStyle name="40% - Accent5 2 3" xfId="481"/>
    <cellStyle name="40% - Accent5 2 3 2" xfId="482"/>
    <cellStyle name="40% - Accent5 2 4" xfId="483"/>
    <cellStyle name="40% - Accent5 2 5" xfId="484"/>
    <cellStyle name="40% - Accent5 2 6" xfId="485"/>
    <cellStyle name="40% - Accent5 2 7" xfId="486"/>
    <cellStyle name="40% - Accent5 2 8" xfId="487"/>
    <cellStyle name="40% - Accent5 2 9" xfId="488"/>
    <cellStyle name="40% - Accent5 3" xfId="489"/>
    <cellStyle name="40% - Accent5 3 2" xfId="490"/>
    <cellStyle name="40% - Accent5 3 2 2" xfId="491"/>
    <cellStyle name="40% - Accent5 3 2 2 2" xfId="492"/>
    <cellStyle name="40% - Accent5 3 2 2 2 2" xfId="493"/>
    <cellStyle name="40% - Accent5 3 2 2 3" xfId="494"/>
    <cellStyle name="40% - Accent5 3 2 3" xfId="495"/>
    <cellStyle name="40% - Accent5 3 2 3 2" xfId="496"/>
    <cellStyle name="40% - Accent5 3 2 4" xfId="497"/>
    <cellStyle name="40% - Accent5 3 3" xfId="498"/>
    <cellStyle name="40% - Accent5 3 3 2" xfId="499"/>
    <cellStyle name="40% - Accent5 3 3 2 2" xfId="500"/>
    <cellStyle name="40% - Accent5 3 3 2 2 2" xfId="501"/>
    <cellStyle name="40% - Accent5 3 3 2 3" xfId="502"/>
    <cellStyle name="40% - Accent5 3 3 3" xfId="503"/>
    <cellStyle name="40% - Accent5 3 3 3 2" xfId="504"/>
    <cellStyle name="40% - Accent5 3 3 4" xfId="505"/>
    <cellStyle name="40% - Accent5 3 4" xfId="506"/>
    <cellStyle name="40% - Accent5 3 4 2" xfId="507"/>
    <cellStyle name="40% - Accent5 3 4 2 2" xfId="508"/>
    <cellStyle name="40% - Accent5 3 4 3" xfId="509"/>
    <cellStyle name="40% - Accent5 3 5" xfId="510"/>
    <cellStyle name="40% - Accent5 3 5 2" xfId="511"/>
    <cellStyle name="40% - Accent5 3 6" xfId="512"/>
    <cellStyle name="40% - Accent5 4" xfId="513"/>
    <cellStyle name="40% - Accent5 5" xfId="514"/>
    <cellStyle name="40% - Accent5 6" xfId="515"/>
    <cellStyle name="40% - Accent5 7" xfId="516"/>
    <cellStyle name="40% - Accent5 8" xfId="517"/>
    <cellStyle name="40% - Accent6" xfId="4566" builtinId="51" customBuiltin="1"/>
    <cellStyle name="40% - Accent6 2" xfId="518"/>
    <cellStyle name="40% - Accent6 2 10" xfId="519"/>
    <cellStyle name="40% - Accent6 2 11" xfId="4498"/>
    <cellStyle name="40% - Accent6 2 2" xfId="520"/>
    <cellStyle name="40% - Accent6 2 2 2" xfId="521"/>
    <cellStyle name="40% - Accent6 2 2 3" xfId="522"/>
    <cellStyle name="40% - Accent6 2 3" xfId="523"/>
    <cellStyle name="40% - Accent6 2 3 2" xfId="524"/>
    <cellStyle name="40% - Accent6 2 4" xfId="525"/>
    <cellStyle name="40% - Accent6 2 5" xfId="526"/>
    <cellStyle name="40% - Accent6 2 6" xfId="527"/>
    <cellStyle name="40% - Accent6 2 7" xfId="528"/>
    <cellStyle name="40% - Accent6 2 8" xfId="529"/>
    <cellStyle name="40% - Accent6 2 9" xfId="530"/>
    <cellStyle name="40% - Accent6 3" xfId="531"/>
    <cellStyle name="40% - Accent6 3 2" xfId="532"/>
    <cellStyle name="40% - Accent6 3 2 2" xfId="533"/>
    <cellStyle name="40% - Accent6 3 2 2 2" xfId="534"/>
    <cellStyle name="40% - Accent6 3 2 2 2 2" xfId="535"/>
    <cellStyle name="40% - Accent6 3 2 2 3" xfId="536"/>
    <cellStyle name="40% - Accent6 3 2 3" xfId="537"/>
    <cellStyle name="40% - Accent6 3 2 3 2" xfId="538"/>
    <cellStyle name="40% - Accent6 3 2 4" xfId="539"/>
    <cellStyle name="40% - Accent6 3 3" xfId="540"/>
    <cellStyle name="40% - Accent6 3 3 2" xfId="541"/>
    <cellStyle name="40% - Accent6 3 3 2 2" xfId="542"/>
    <cellStyle name="40% - Accent6 3 3 2 2 2" xfId="543"/>
    <cellStyle name="40% - Accent6 3 3 2 3" xfId="544"/>
    <cellStyle name="40% - Accent6 3 3 3" xfId="545"/>
    <cellStyle name="40% - Accent6 3 3 3 2" xfId="546"/>
    <cellStyle name="40% - Accent6 3 3 4" xfId="547"/>
    <cellStyle name="40% - Accent6 3 4" xfId="548"/>
    <cellStyle name="40% - Accent6 3 4 2" xfId="549"/>
    <cellStyle name="40% - Accent6 3 4 2 2" xfId="550"/>
    <cellStyle name="40% - Accent6 3 4 3" xfId="551"/>
    <cellStyle name="40% - Accent6 3 5" xfId="552"/>
    <cellStyle name="40% - Accent6 3 5 2" xfId="553"/>
    <cellStyle name="40% - Accent6 3 6" xfId="554"/>
    <cellStyle name="40% - Accent6 4" xfId="555"/>
    <cellStyle name="40% - Accent6 5" xfId="556"/>
    <cellStyle name="40% - Accent6 6" xfId="557"/>
    <cellStyle name="40% - Accent6 7" xfId="558"/>
    <cellStyle name="40% - Accent6 8" xfId="559"/>
    <cellStyle name="60 % - Accent1" xfId="5430"/>
    <cellStyle name="60 % - Accent2" xfId="5431"/>
    <cellStyle name="60 % - Accent3" xfId="5432"/>
    <cellStyle name="60 % - Accent4" xfId="5433"/>
    <cellStyle name="60 % - Accent5" xfId="5434"/>
    <cellStyle name="60 % - Accent6" xfId="5435"/>
    <cellStyle name="60% - Accent1" xfId="4547" builtinId="32" customBuiltin="1"/>
    <cellStyle name="60% - Accent1 2" xfId="560"/>
    <cellStyle name="60% - Accent1 2 10" xfId="4499"/>
    <cellStyle name="60% - Accent1 2 2" xfId="561"/>
    <cellStyle name="60% - Accent1 2 3" xfId="562"/>
    <cellStyle name="60% - Accent1 2 4" xfId="563"/>
    <cellStyle name="60% - Accent1 2 5" xfId="564"/>
    <cellStyle name="60% - Accent1 2 6" xfId="565"/>
    <cellStyle name="60% - Accent1 2 7" xfId="566"/>
    <cellStyle name="60% - Accent1 2 8" xfId="567"/>
    <cellStyle name="60% - Accent1 2 9" xfId="568"/>
    <cellStyle name="60% - Accent2" xfId="4551" builtinId="36" customBuiltin="1"/>
    <cellStyle name="60% - Accent2 2" xfId="569"/>
    <cellStyle name="60% - Accent2 2 10" xfId="4500"/>
    <cellStyle name="60% - Accent2 2 2" xfId="570"/>
    <cellStyle name="60% - Accent2 2 3" xfId="571"/>
    <cellStyle name="60% - Accent2 2 4" xfId="572"/>
    <cellStyle name="60% - Accent2 2 5" xfId="573"/>
    <cellStyle name="60% - Accent2 2 6" xfId="574"/>
    <cellStyle name="60% - Accent2 2 7" xfId="575"/>
    <cellStyle name="60% - Accent2 2 8" xfId="576"/>
    <cellStyle name="60% - Accent2 2 9" xfId="577"/>
    <cellStyle name="60% - Accent3" xfId="4555" builtinId="40" customBuiltin="1"/>
    <cellStyle name="60% - Accent3 2" xfId="578"/>
    <cellStyle name="60% - Accent3 2 10" xfId="4501"/>
    <cellStyle name="60% - Accent3 2 2" xfId="579"/>
    <cellStyle name="60% - Accent3 2 3" xfId="580"/>
    <cellStyle name="60% - Accent3 2 4" xfId="581"/>
    <cellStyle name="60% - Accent3 2 5" xfId="582"/>
    <cellStyle name="60% - Accent3 2 6" xfId="583"/>
    <cellStyle name="60% - Accent3 2 7" xfId="584"/>
    <cellStyle name="60% - Accent3 2 8" xfId="585"/>
    <cellStyle name="60% - Accent3 2 9" xfId="586"/>
    <cellStyle name="60% - Accent4" xfId="4559" builtinId="44" customBuiltin="1"/>
    <cellStyle name="60% - Accent4 2" xfId="587"/>
    <cellStyle name="60% - Accent4 2 10" xfId="4502"/>
    <cellStyle name="60% - Accent4 2 2" xfId="588"/>
    <cellStyle name="60% - Accent4 2 3" xfId="589"/>
    <cellStyle name="60% - Accent4 2 4" xfId="590"/>
    <cellStyle name="60% - Accent4 2 5" xfId="591"/>
    <cellStyle name="60% - Accent4 2 6" xfId="592"/>
    <cellStyle name="60% - Accent4 2 7" xfId="593"/>
    <cellStyle name="60% - Accent4 2 8" xfId="594"/>
    <cellStyle name="60% - Accent4 2 9" xfId="595"/>
    <cellStyle name="60% - Accent5" xfId="4563" builtinId="48" customBuiltin="1"/>
    <cellStyle name="60% - Accent5 2" xfId="596"/>
    <cellStyle name="60% - Accent5 2 10" xfId="4503"/>
    <cellStyle name="60% - Accent5 2 2" xfId="597"/>
    <cellStyle name="60% - Accent5 2 3" xfId="598"/>
    <cellStyle name="60% - Accent5 2 4" xfId="599"/>
    <cellStyle name="60% - Accent5 2 5" xfId="600"/>
    <cellStyle name="60% - Accent5 2 6" xfId="601"/>
    <cellStyle name="60% - Accent5 2 7" xfId="602"/>
    <cellStyle name="60% - Accent5 2 8" xfId="603"/>
    <cellStyle name="60% - Accent5 2 9" xfId="604"/>
    <cellStyle name="60% - Accent6" xfId="4567" builtinId="52" customBuiltin="1"/>
    <cellStyle name="60% - Accent6 2" xfId="605"/>
    <cellStyle name="60% - Accent6 2 10" xfId="4504"/>
    <cellStyle name="60% - Accent6 2 2" xfId="606"/>
    <cellStyle name="60% - Accent6 2 3" xfId="607"/>
    <cellStyle name="60% - Accent6 2 4" xfId="608"/>
    <cellStyle name="60% - Accent6 2 5" xfId="609"/>
    <cellStyle name="60% - Accent6 2 6" xfId="610"/>
    <cellStyle name="60% - Accent6 2 7" xfId="611"/>
    <cellStyle name="60% - Accent6 2 8" xfId="612"/>
    <cellStyle name="60% - Accent6 2 9" xfId="613"/>
    <cellStyle name="A%" xfId="614"/>
    <cellStyle name="Accent1" xfId="4544" builtinId="29" customBuiltin="1"/>
    <cellStyle name="Accent1 2" xfId="615"/>
    <cellStyle name="Accent1 2 10" xfId="4505"/>
    <cellStyle name="Accent1 2 2" xfId="616"/>
    <cellStyle name="Accent1 2 3" xfId="617"/>
    <cellStyle name="Accent1 2 4" xfId="618"/>
    <cellStyle name="Accent1 2 5" xfId="619"/>
    <cellStyle name="Accent1 2 6" xfId="620"/>
    <cellStyle name="Accent1 2 7" xfId="621"/>
    <cellStyle name="Accent1 2 8" xfId="622"/>
    <cellStyle name="Accent1 2 9" xfId="623"/>
    <cellStyle name="Accent2" xfId="4548" builtinId="33" customBuiltin="1"/>
    <cellStyle name="Accent2 2" xfId="624"/>
    <cellStyle name="Accent2 2 10" xfId="4506"/>
    <cellStyle name="Accent2 2 2" xfId="625"/>
    <cellStyle name="Accent2 2 3" xfId="626"/>
    <cellStyle name="Accent2 2 4" xfId="627"/>
    <cellStyle name="Accent2 2 5" xfId="628"/>
    <cellStyle name="Accent2 2 6" xfId="629"/>
    <cellStyle name="Accent2 2 7" xfId="630"/>
    <cellStyle name="Accent2 2 8" xfId="631"/>
    <cellStyle name="Accent2 2 9" xfId="632"/>
    <cellStyle name="Accent3" xfId="4552" builtinId="37" customBuiltin="1"/>
    <cellStyle name="Accent3 2" xfId="633"/>
    <cellStyle name="Accent3 2 10" xfId="4507"/>
    <cellStyle name="Accent3 2 2" xfId="634"/>
    <cellStyle name="Accent3 2 3" xfId="635"/>
    <cellStyle name="Accent3 2 4" xfId="636"/>
    <cellStyle name="Accent3 2 5" xfId="637"/>
    <cellStyle name="Accent3 2 6" xfId="638"/>
    <cellStyle name="Accent3 2 7" xfId="639"/>
    <cellStyle name="Accent3 2 8" xfId="640"/>
    <cellStyle name="Accent3 2 9" xfId="641"/>
    <cellStyle name="Accent4" xfId="4556" builtinId="41" customBuiltin="1"/>
    <cellStyle name="Accent4 2" xfId="642"/>
    <cellStyle name="Accent4 2 10" xfId="4508"/>
    <cellStyle name="Accent4 2 2" xfId="643"/>
    <cellStyle name="Accent4 2 3" xfId="644"/>
    <cellStyle name="Accent4 2 4" xfId="645"/>
    <cellStyle name="Accent4 2 5" xfId="646"/>
    <cellStyle name="Accent4 2 6" xfId="647"/>
    <cellStyle name="Accent4 2 7" xfId="648"/>
    <cellStyle name="Accent4 2 8" xfId="649"/>
    <cellStyle name="Accent4 2 9" xfId="650"/>
    <cellStyle name="Accent5" xfId="4560" builtinId="45" customBuiltin="1"/>
    <cellStyle name="Accent5 2" xfId="651"/>
    <cellStyle name="Accent5 2 10" xfId="4509"/>
    <cellStyle name="Accent5 2 2" xfId="652"/>
    <cellStyle name="Accent5 2 3" xfId="653"/>
    <cellStyle name="Accent5 2 4" xfId="654"/>
    <cellStyle name="Accent5 2 5" xfId="655"/>
    <cellStyle name="Accent5 2 6" xfId="656"/>
    <cellStyle name="Accent5 2 7" xfId="657"/>
    <cellStyle name="Accent5 2 8" xfId="658"/>
    <cellStyle name="Accent5 2 9" xfId="659"/>
    <cellStyle name="Accent6" xfId="4564" builtinId="49" customBuiltin="1"/>
    <cellStyle name="Accent6 2" xfId="660"/>
    <cellStyle name="Accent6 2 10" xfId="4510"/>
    <cellStyle name="Accent6 2 2" xfId="661"/>
    <cellStyle name="Accent6 2 3" xfId="662"/>
    <cellStyle name="Accent6 2 4" xfId="663"/>
    <cellStyle name="Accent6 2 5" xfId="664"/>
    <cellStyle name="Accent6 2 6" xfId="665"/>
    <cellStyle name="Accent6 2 7" xfId="666"/>
    <cellStyle name="Accent6 2 8" xfId="667"/>
    <cellStyle name="Accent6 2 9" xfId="668"/>
    <cellStyle name="Accounting w/$" xfId="669"/>
    <cellStyle name="Accounting w/$ 2" xfId="4706"/>
    <cellStyle name="Accounting w/$ Total" xfId="670"/>
    <cellStyle name="Accounting w/$ Total 2" xfId="4707"/>
    <cellStyle name="Accounting w/o $" xfId="671"/>
    <cellStyle name="Accounting w/o $ 2" xfId="4708"/>
    <cellStyle name="Acinput" xfId="672"/>
    <cellStyle name="Acinput,," xfId="673"/>
    <cellStyle name="Acinput_Merger Model_KN&amp;Fzio_v2.30 - Street" xfId="674"/>
    <cellStyle name="Acoutput" xfId="675"/>
    <cellStyle name="Acoutput,," xfId="676"/>
    <cellStyle name="Acoutput_CAScomps02" xfId="677"/>
    <cellStyle name="Actual Date" xfId="678"/>
    <cellStyle name="AFE" xfId="679"/>
    <cellStyle name="al" xfId="680"/>
    <cellStyle name="Amount_EQU_RIGH.XLS_Equity market_Preferred Securities " xfId="681"/>
    <cellStyle name="Apershare" xfId="682"/>
    <cellStyle name="Aprice" xfId="683"/>
    <cellStyle name="Aprice 2" xfId="4709"/>
    <cellStyle name="ar" xfId="684"/>
    <cellStyle name="ar 2" xfId="4471"/>
    <cellStyle name="ar 2 2" xfId="4650"/>
    <cellStyle name="Arial 10" xfId="685"/>
    <cellStyle name="Arial 12" xfId="686"/>
    <cellStyle name="Availability" xfId="687"/>
    <cellStyle name="Avertissement" xfId="5436"/>
    <cellStyle name="Bad" xfId="4534" builtinId="27" customBuiltin="1"/>
    <cellStyle name="Bad 2" xfId="688"/>
    <cellStyle name="Bad 2 10" xfId="4511"/>
    <cellStyle name="Bad 2 2" xfId="689"/>
    <cellStyle name="Bad 2 3" xfId="690"/>
    <cellStyle name="Bad 2 4" xfId="691"/>
    <cellStyle name="Bad 2 5" xfId="692"/>
    <cellStyle name="Bad 2 6" xfId="693"/>
    <cellStyle name="Bad 2 7" xfId="694"/>
    <cellStyle name="Bad 2 8" xfId="695"/>
    <cellStyle name="Bad 2 9" xfId="696"/>
    <cellStyle name="Band 2" xfId="697"/>
    <cellStyle name="Blank" xfId="698"/>
    <cellStyle name="Blue" xfId="699"/>
    <cellStyle name="Bold/Border" xfId="700"/>
    <cellStyle name="Border Heavy" xfId="701"/>
    <cellStyle name="Border Thin" xfId="702"/>
    <cellStyle name="Border, Bottom" xfId="703"/>
    <cellStyle name="Border, Left" xfId="704"/>
    <cellStyle name="Border, Right" xfId="705"/>
    <cellStyle name="Border, Top" xfId="706"/>
    <cellStyle name="Border, Top 2" xfId="4710"/>
    <cellStyle name="British Pound" xfId="707"/>
    <cellStyle name="BritPound" xfId="708"/>
    <cellStyle name="Bullet" xfId="709"/>
    <cellStyle name="Calc Currency (0)" xfId="710"/>
    <cellStyle name="Calc Currency (2)" xfId="711"/>
    <cellStyle name="Calc Percent (0)" xfId="712"/>
    <cellStyle name="Calc Percent (1)" xfId="713"/>
    <cellStyle name="Calc Percent (2)" xfId="714"/>
    <cellStyle name="Calc Units (0)" xfId="715"/>
    <cellStyle name="Calc Units (1)" xfId="716"/>
    <cellStyle name="Calc Units (2)" xfId="717"/>
    <cellStyle name="Calcul" xfId="5437"/>
    <cellStyle name="Calcul 2" xfId="5438"/>
    <cellStyle name="Calcul 3" xfId="5439"/>
    <cellStyle name="Calcul 3 2" xfId="5440"/>
    <cellStyle name="Calcul 4" xfId="5441"/>
    <cellStyle name="Calculation" xfId="4538" builtinId="22" customBuiltin="1"/>
    <cellStyle name="Calculation 2" xfId="718"/>
    <cellStyle name="Calculation 2 10" xfId="4472"/>
    <cellStyle name="Calculation 2 11" xfId="4512"/>
    <cellStyle name="Calculation 2 2" xfId="719"/>
    <cellStyle name="Calculation 2 2 2" xfId="720"/>
    <cellStyle name="Calculation 2 2 3" xfId="4473"/>
    <cellStyle name="Calculation 2 2 3 2" xfId="5442"/>
    <cellStyle name="Calculation 2 2 4" xfId="5443"/>
    <cellStyle name="Calculation 2 3" xfId="721"/>
    <cellStyle name="Calculation 2 3 2" xfId="5444"/>
    <cellStyle name="Calculation 2 3 3" xfId="5445"/>
    <cellStyle name="Calculation 2 3 3 2" xfId="5446"/>
    <cellStyle name="Calculation 2 3 4" xfId="5447"/>
    <cellStyle name="Calculation 2 4" xfId="722"/>
    <cellStyle name="Calculation 2 5" xfId="723"/>
    <cellStyle name="Calculation 2 5 2" xfId="5448"/>
    <cellStyle name="Calculation 2 6" xfId="724"/>
    <cellStyle name="Calculation 2 7" xfId="725"/>
    <cellStyle name="Calculation 2 8" xfId="726"/>
    <cellStyle name="Calculation 2 9" xfId="727"/>
    <cellStyle name="Case" xfId="728"/>
    <cellStyle name="Cellule liée" xfId="5449"/>
    <cellStyle name="Check" xfId="729"/>
    <cellStyle name="Check Cell" xfId="4540" builtinId="23" customBuiltin="1"/>
    <cellStyle name="Check Cell 2" xfId="730"/>
    <cellStyle name="Check Cell 2 10" xfId="4513"/>
    <cellStyle name="Check Cell 2 2" xfId="731"/>
    <cellStyle name="Check Cell 2 3" xfId="732"/>
    <cellStyle name="Check Cell 2 4" xfId="733"/>
    <cellStyle name="Check Cell 2 5" xfId="734"/>
    <cellStyle name="Check Cell 2 6" xfId="735"/>
    <cellStyle name="Check Cell 2 7" xfId="736"/>
    <cellStyle name="Check Cell 2 8" xfId="737"/>
    <cellStyle name="Check Cell 2 9" xfId="738"/>
    <cellStyle name="Chiffre" xfId="739"/>
    <cellStyle name="Colhead_left" xfId="740"/>
    <cellStyle name="ColHeading" xfId="741"/>
    <cellStyle name="Column Title" xfId="742"/>
    <cellStyle name="ColumnHeadings" xfId="743"/>
    <cellStyle name="ColumnHeadings2" xfId="744"/>
    <cellStyle name="Comma" xfId="4677" builtinId="3"/>
    <cellStyle name="Comma  - Style1" xfId="745"/>
    <cellStyle name="Comma  - Style2" xfId="746"/>
    <cellStyle name="Comma  - Style3" xfId="747"/>
    <cellStyle name="Comma  - Style4" xfId="748"/>
    <cellStyle name="Comma  - Style5" xfId="749"/>
    <cellStyle name="Comma  - Style6" xfId="750"/>
    <cellStyle name="Comma  - Style7" xfId="751"/>
    <cellStyle name="Comma  - Style8" xfId="752"/>
    <cellStyle name="Comma ," xfId="753"/>
    <cellStyle name="Comma , 2" xfId="4711"/>
    <cellStyle name="Comma [00]" xfId="754"/>
    <cellStyle name="Comma [1]" xfId="755"/>
    <cellStyle name="Comma [2]" xfId="756"/>
    <cellStyle name="Comma [3]" xfId="757"/>
    <cellStyle name="Comma 0" xfId="758"/>
    <cellStyle name="Comma 0*" xfId="759"/>
    <cellStyle name="Comma 0_Merger Model_KN&amp;Fzio_v2.30 - Street" xfId="760"/>
    <cellStyle name="Comma 10" xfId="761"/>
    <cellStyle name="Comma 10 2" xfId="762"/>
    <cellStyle name="Comma 10 2 2" xfId="4713"/>
    <cellStyle name="Comma 10 3" xfId="763"/>
    <cellStyle name="Comma 10 3 2" xfId="4714"/>
    <cellStyle name="Comma 10 4" xfId="764"/>
    <cellStyle name="Comma 10 4 2" xfId="4715"/>
    <cellStyle name="Comma 10 5" xfId="765"/>
    <cellStyle name="Comma 10 5 2" xfId="4716"/>
    <cellStyle name="Comma 10 6" xfId="4712"/>
    <cellStyle name="Comma 11" xfId="766"/>
    <cellStyle name="Comma 11 2" xfId="4717"/>
    <cellStyle name="Comma 12" xfId="767"/>
    <cellStyle name="Comma 12 2" xfId="4718"/>
    <cellStyle name="Comma 13" xfId="2"/>
    <cellStyle name="Comma 14" xfId="4468"/>
    <cellStyle name="Comma 15" xfId="4527"/>
    <cellStyle name="Comma 16" xfId="4569"/>
    <cellStyle name="Comma 17" xfId="4573"/>
    <cellStyle name="Comma 18" xfId="4577"/>
    <cellStyle name="Comma 19" xfId="4581"/>
    <cellStyle name="Comma 2" xfId="768"/>
    <cellStyle name="Comma 2 10" xfId="769"/>
    <cellStyle name="Comma 2 10 2" xfId="4719"/>
    <cellStyle name="Comma 2 11" xfId="770"/>
    <cellStyle name="Comma 2 11 2" xfId="771"/>
    <cellStyle name="Comma 2 11 2 2" xfId="772"/>
    <cellStyle name="Comma 2 11 2 2 2" xfId="4722"/>
    <cellStyle name="Comma 2 11 2 3" xfId="4721"/>
    <cellStyle name="Comma 2 11 3" xfId="773"/>
    <cellStyle name="Comma 2 11 3 2" xfId="4723"/>
    <cellStyle name="Comma 2 11 4" xfId="4720"/>
    <cellStyle name="Comma 2 12" xfId="774"/>
    <cellStyle name="Comma 2 12 2" xfId="775"/>
    <cellStyle name="Comma 2 12 2 2" xfId="4725"/>
    <cellStyle name="Comma 2 12 3" xfId="4724"/>
    <cellStyle name="Comma 2 13" xfId="776"/>
    <cellStyle name="Comma 2 13 2" xfId="4726"/>
    <cellStyle name="Comma 2 14" xfId="777"/>
    <cellStyle name="Comma 2 14 2" xfId="4727"/>
    <cellStyle name="Comma 2 15" xfId="778"/>
    <cellStyle name="Comma 2 15 2" xfId="4728"/>
    <cellStyle name="Comma 2 16" xfId="779"/>
    <cellStyle name="Comma 2 16 2" xfId="4729"/>
    <cellStyle name="Comma 2 17" xfId="780"/>
    <cellStyle name="Comma 2 17 2" xfId="4730"/>
    <cellStyle name="Comma 2 18" xfId="781"/>
    <cellStyle name="Comma 2 18 2" xfId="4731"/>
    <cellStyle name="Comma 2 19" xfId="782"/>
    <cellStyle name="Comma 2 2" xfId="783"/>
    <cellStyle name="Comma 2 2 10" xfId="784"/>
    <cellStyle name="Comma 2 2 11" xfId="785"/>
    <cellStyle name="Comma 2 2 2" xfId="786"/>
    <cellStyle name="Comma 2 2 2 2" xfId="787"/>
    <cellStyle name="Comma 2 2 2 2 2" xfId="4732"/>
    <cellStyle name="Comma 2 2 3" xfId="788"/>
    <cellStyle name="Comma 2 2 3 2" xfId="4733"/>
    <cellStyle name="Comma 2 2 4" xfId="789"/>
    <cellStyle name="Comma 2 2 5" xfId="790"/>
    <cellStyle name="Comma 2 2 6" xfId="791"/>
    <cellStyle name="Comma 2 2 7" xfId="792"/>
    <cellStyle name="Comma 2 2 8" xfId="793"/>
    <cellStyle name="Comma 2 2 8 2" xfId="4734"/>
    <cellStyle name="Comma 2 2 9" xfId="794"/>
    <cellStyle name="Comma 2 2 9 2" xfId="4735"/>
    <cellStyle name="Comma 2 3" xfId="795"/>
    <cellStyle name="Comma 2 3 2" xfId="796"/>
    <cellStyle name="Comma 2 3 3" xfId="797"/>
    <cellStyle name="Comma 2 3 4" xfId="798"/>
    <cellStyle name="Comma 2 3 5" xfId="799"/>
    <cellStyle name="Comma 2 3 6" xfId="800"/>
    <cellStyle name="Comma 2 3 6 2" xfId="4737"/>
    <cellStyle name="Comma 2 3 7" xfId="801"/>
    <cellStyle name="Comma 2 3 7 2" xfId="4738"/>
    <cellStyle name="Comma 2 3 8" xfId="802"/>
    <cellStyle name="Comma 2 3 8 2" xfId="4739"/>
    <cellStyle name="Comma 2 3 9" xfId="4736"/>
    <cellStyle name="Comma 2 4" xfId="803"/>
    <cellStyle name="Comma 2 4 2" xfId="804"/>
    <cellStyle name="Comma 2 4 2 2" xfId="4741"/>
    <cellStyle name="Comma 2 4 3" xfId="805"/>
    <cellStyle name="Comma 2 4 3 2" xfId="4742"/>
    <cellStyle name="Comma 2 4 4" xfId="4740"/>
    <cellStyle name="Comma 2 5" xfId="806"/>
    <cellStyle name="Comma 2 5 2" xfId="807"/>
    <cellStyle name="Comma 2 5 2 2" xfId="808"/>
    <cellStyle name="Comma 2 5 2 2 2" xfId="809"/>
    <cellStyle name="Comma 2 5 2 2 2 2" xfId="810"/>
    <cellStyle name="Comma 2 5 2 2 2 2 2" xfId="4747"/>
    <cellStyle name="Comma 2 5 2 2 2 3" xfId="4746"/>
    <cellStyle name="Comma 2 5 2 2 3" xfId="811"/>
    <cellStyle name="Comma 2 5 2 2 3 2" xfId="4748"/>
    <cellStyle name="Comma 2 5 2 2 4" xfId="4745"/>
    <cellStyle name="Comma 2 5 2 3" xfId="812"/>
    <cellStyle name="Comma 2 5 2 3 2" xfId="813"/>
    <cellStyle name="Comma 2 5 2 3 2 2" xfId="4750"/>
    <cellStyle name="Comma 2 5 2 3 3" xfId="4749"/>
    <cellStyle name="Comma 2 5 2 4" xfId="814"/>
    <cellStyle name="Comma 2 5 2 4 2" xfId="4751"/>
    <cellStyle name="Comma 2 5 2 5" xfId="4744"/>
    <cellStyle name="Comma 2 5 3" xfId="815"/>
    <cellStyle name="Comma 2 5 3 2" xfId="816"/>
    <cellStyle name="Comma 2 5 3 2 2" xfId="817"/>
    <cellStyle name="Comma 2 5 3 2 2 2" xfId="818"/>
    <cellStyle name="Comma 2 5 3 2 2 2 2" xfId="4755"/>
    <cellStyle name="Comma 2 5 3 2 2 3" xfId="4754"/>
    <cellStyle name="Comma 2 5 3 2 3" xfId="819"/>
    <cellStyle name="Comma 2 5 3 2 3 2" xfId="4756"/>
    <cellStyle name="Comma 2 5 3 2 4" xfId="4753"/>
    <cellStyle name="Comma 2 5 3 3" xfId="820"/>
    <cellStyle name="Comma 2 5 3 3 2" xfId="821"/>
    <cellStyle name="Comma 2 5 3 3 2 2" xfId="4758"/>
    <cellStyle name="Comma 2 5 3 3 3" xfId="4757"/>
    <cellStyle name="Comma 2 5 3 4" xfId="822"/>
    <cellStyle name="Comma 2 5 3 4 2" xfId="4759"/>
    <cellStyle name="Comma 2 5 3 5" xfId="4752"/>
    <cellStyle name="Comma 2 5 4" xfId="823"/>
    <cellStyle name="Comma 2 5 4 2" xfId="824"/>
    <cellStyle name="Comma 2 5 4 2 2" xfId="825"/>
    <cellStyle name="Comma 2 5 4 2 2 2" xfId="4762"/>
    <cellStyle name="Comma 2 5 4 2 3" xfId="4761"/>
    <cellStyle name="Comma 2 5 4 3" xfId="826"/>
    <cellStyle name="Comma 2 5 4 3 2" xfId="4763"/>
    <cellStyle name="Comma 2 5 4 4" xfId="4760"/>
    <cellStyle name="Comma 2 5 5" xfId="827"/>
    <cellStyle name="Comma 2 5 5 2" xfId="828"/>
    <cellStyle name="Comma 2 5 5 2 2" xfId="4765"/>
    <cellStyle name="Comma 2 5 5 3" xfId="4764"/>
    <cellStyle name="Comma 2 5 6" xfId="829"/>
    <cellStyle name="Comma 2 5 6 2" xfId="4766"/>
    <cellStyle name="Comma 2 5 7" xfId="4743"/>
    <cellStyle name="Comma 2 6" xfId="830"/>
    <cellStyle name="Comma 2 6 2" xfId="831"/>
    <cellStyle name="Comma 2 6 2 2" xfId="832"/>
    <cellStyle name="Comma 2 6 2 2 2" xfId="833"/>
    <cellStyle name="Comma 2 6 2 2 2 2" xfId="4770"/>
    <cellStyle name="Comma 2 6 2 2 3" xfId="4769"/>
    <cellStyle name="Comma 2 6 2 3" xfId="834"/>
    <cellStyle name="Comma 2 6 2 3 2" xfId="4771"/>
    <cellStyle name="Comma 2 6 2 4" xfId="4768"/>
    <cellStyle name="Comma 2 6 3" xfId="835"/>
    <cellStyle name="Comma 2 6 3 2" xfId="836"/>
    <cellStyle name="Comma 2 6 3 2 2" xfId="4773"/>
    <cellStyle name="Comma 2 6 3 3" xfId="4772"/>
    <cellStyle name="Comma 2 6 4" xfId="837"/>
    <cellStyle name="Comma 2 6 4 2" xfId="4774"/>
    <cellStyle name="Comma 2 6 5" xfId="4767"/>
    <cellStyle name="Comma 2 7" xfId="838"/>
    <cellStyle name="Comma 2 7 2" xfId="839"/>
    <cellStyle name="Comma 2 7 2 2" xfId="840"/>
    <cellStyle name="Comma 2 7 2 2 2" xfId="841"/>
    <cellStyle name="Comma 2 7 2 2 2 2" xfId="4778"/>
    <cellStyle name="Comma 2 7 2 2 3" xfId="4777"/>
    <cellStyle name="Comma 2 7 2 3" xfId="842"/>
    <cellStyle name="Comma 2 7 2 3 2" xfId="4779"/>
    <cellStyle name="Comma 2 7 2 4" xfId="4776"/>
    <cellStyle name="Comma 2 7 3" xfId="843"/>
    <cellStyle name="Comma 2 7 3 2" xfId="844"/>
    <cellStyle name="Comma 2 7 3 2 2" xfId="4781"/>
    <cellStyle name="Comma 2 7 3 3" xfId="4780"/>
    <cellStyle name="Comma 2 7 4" xfId="845"/>
    <cellStyle name="Comma 2 7 4 2" xfId="4782"/>
    <cellStyle name="Comma 2 7 5" xfId="4775"/>
    <cellStyle name="Comma 2 8" xfId="846"/>
    <cellStyle name="Comma 2 8 2" xfId="4783"/>
    <cellStyle name="Comma 2 9" xfId="847"/>
    <cellStyle name="Comma 2 9 2" xfId="848"/>
    <cellStyle name="Comma 2 9 2 2" xfId="849"/>
    <cellStyle name="Comma 2 9 2 2 2" xfId="4786"/>
    <cellStyle name="Comma 2 9 2 3" xfId="4785"/>
    <cellStyle name="Comma 2 9 3" xfId="850"/>
    <cellStyle name="Comma 2 9 3 2" xfId="4787"/>
    <cellStyle name="Comma 2 9 4" xfId="4784"/>
    <cellStyle name="Comma 2*" xfId="851"/>
    <cellStyle name="Comma 20" xfId="4585"/>
    <cellStyle name="Comma 21" xfId="4599"/>
    <cellStyle name="Comma 22" xfId="4596"/>
    <cellStyle name="Comma 23" xfId="4597"/>
    <cellStyle name="Comma 24" xfId="4594"/>
    <cellStyle name="Comma 25" xfId="4601"/>
    <cellStyle name="Comma 26" xfId="4592"/>
    <cellStyle name="Comma 27" xfId="4604"/>
    <cellStyle name="Comma 28" xfId="4590"/>
    <cellStyle name="Comma 29" xfId="4606"/>
    <cellStyle name="Comma 3" xfId="852"/>
    <cellStyle name="Comma 3 10" xfId="4788"/>
    <cellStyle name="Comma 3 2" xfId="853"/>
    <cellStyle name="Comma 3 2 2" xfId="854"/>
    <cellStyle name="Comma 3 2 2 2" xfId="4789"/>
    <cellStyle name="Comma 3 2 3" xfId="5450"/>
    <cellStyle name="Comma 3 2 4" xfId="5451"/>
    <cellStyle name="Comma 3 3" xfId="855"/>
    <cellStyle name="Comma 3 3 2" xfId="856"/>
    <cellStyle name="Comma 3 3 2 2" xfId="857"/>
    <cellStyle name="Comma 3 3 2 2 2" xfId="4791"/>
    <cellStyle name="Comma 3 3 2 3" xfId="4790"/>
    <cellStyle name="Comma 3 3 3" xfId="858"/>
    <cellStyle name="Comma 3 3 3 2" xfId="4792"/>
    <cellStyle name="Comma 3 3 4" xfId="859"/>
    <cellStyle name="Comma 3 3 4 2" xfId="4793"/>
    <cellStyle name="Comma 3 4" xfId="860"/>
    <cellStyle name="Comma 3 4 2" xfId="861"/>
    <cellStyle name="Comma 3 4 2 2" xfId="5452"/>
    <cellStyle name="Comma 3 4 2 2 2" xfId="5453"/>
    <cellStyle name="Comma 3 4 2 3" xfId="5454"/>
    <cellStyle name="Comma 3 4 2 4" xfId="5455"/>
    <cellStyle name="Comma 3 4 3" xfId="862"/>
    <cellStyle name="Comma 3 4 3 2" xfId="4795"/>
    <cellStyle name="Comma 3 4 4" xfId="4794"/>
    <cellStyle name="Comma 3 5" xfId="863"/>
    <cellStyle name="Comma 3 5 2" xfId="4796"/>
    <cellStyle name="Comma 3 6" xfId="864"/>
    <cellStyle name="Comma 3 6 2" xfId="4797"/>
    <cellStyle name="Comma 3 7" xfId="865"/>
    <cellStyle name="Comma 3 7 2" xfId="4798"/>
    <cellStyle name="Comma 3 8" xfId="866"/>
    <cellStyle name="Comma 3 8 2" xfId="4799"/>
    <cellStyle name="Comma 3 9" xfId="867"/>
    <cellStyle name="Comma 3 9 2" xfId="4800"/>
    <cellStyle name="Comma 30" xfId="4667"/>
    <cellStyle name="Comma 31" xfId="4671"/>
    <cellStyle name="Comma 32" xfId="4676"/>
    <cellStyle name="Comma 32 2" xfId="5412"/>
    <cellStyle name="Comma 33" xfId="4686"/>
    <cellStyle name="Comma 34" xfId="4685"/>
    <cellStyle name="Comma 35" xfId="4698"/>
    <cellStyle name="Comma 36" xfId="4701"/>
    <cellStyle name="Comma 37" xfId="4703"/>
    <cellStyle name="Comma 4" xfId="868"/>
    <cellStyle name="Comma 4 10" xfId="869"/>
    <cellStyle name="Comma 4 10 2" xfId="4802"/>
    <cellStyle name="Comma 4 11" xfId="870"/>
    <cellStyle name="Comma 4 11 2" xfId="4803"/>
    <cellStyle name="Comma 4 12" xfId="871"/>
    <cellStyle name="Comma 4 12 2" xfId="4804"/>
    <cellStyle name="Comma 4 13" xfId="872"/>
    <cellStyle name="Comma 4 13 2" xfId="4805"/>
    <cellStyle name="Comma 4 14" xfId="873"/>
    <cellStyle name="Comma 4 14 2" xfId="4806"/>
    <cellStyle name="Comma 4 15" xfId="4801"/>
    <cellStyle name="Comma 4 2" xfId="874"/>
    <cellStyle name="Comma 4 2 2" xfId="875"/>
    <cellStyle name="Comma 4 2 2 2" xfId="876"/>
    <cellStyle name="Comma 4 2 2 2 2" xfId="877"/>
    <cellStyle name="Comma 4 2 2 2 2 2" xfId="4810"/>
    <cellStyle name="Comma 4 2 2 2 3" xfId="4809"/>
    <cellStyle name="Comma 4 2 2 3" xfId="878"/>
    <cellStyle name="Comma 4 2 2 3 2" xfId="4811"/>
    <cellStyle name="Comma 4 2 2 4" xfId="4808"/>
    <cellStyle name="Comma 4 2 3" xfId="879"/>
    <cellStyle name="Comma 4 2 3 2" xfId="880"/>
    <cellStyle name="Comma 4 2 3 2 2" xfId="4813"/>
    <cellStyle name="Comma 4 2 3 3" xfId="4812"/>
    <cellStyle name="Comma 4 2 4" xfId="881"/>
    <cellStyle name="Comma 4 2 4 2" xfId="4814"/>
    <cellStyle name="Comma 4 2 5" xfId="882"/>
    <cellStyle name="Comma 4 2 5 2" xfId="4815"/>
    <cellStyle name="Comma 4 2 6" xfId="4807"/>
    <cellStyle name="Comma 4 3" xfId="883"/>
    <cellStyle name="Comma 4 3 2" xfId="884"/>
    <cellStyle name="Comma 4 3 2 2" xfId="885"/>
    <cellStyle name="Comma 4 3 2 2 2" xfId="886"/>
    <cellStyle name="Comma 4 3 2 2 2 2" xfId="4819"/>
    <cellStyle name="Comma 4 3 2 2 3" xfId="4818"/>
    <cellStyle name="Comma 4 3 2 3" xfId="887"/>
    <cellStyle name="Comma 4 3 2 3 2" xfId="4820"/>
    <cellStyle name="Comma 4 3 2 4" xfId="4817"/>
    <cellStyle name="Comma 4 3 3" xfId="888"/>
    <cellStyle name="Comma 4 3 3 2" xfId="889"/>
    <cellStyle name="Comma 4 3 3 2 2" xfId="4822"/>
    <cellStyle name="Comma 4 3 3 3" xfId="4821"/>
    <cellStyle name="Comma 4 3 4" xfId="890"/>
    <cellStyle name="Comma 4 3 4 2" xfId="4823"/>
    <cellStyle name="Comma 4 3 5" xfId="4816"/>
    <cellStyle name="Comma 4 4" xfId="891"/>
    <cellStyle name="Comma 4 4 2" xfId="892"/>
    <cellStyle name="Comma 4 4 2 2" xfId="893"/>
    <cellStyle name="Comma 4 4 2 2 2" xfId="894"/>
    <cellStyle name="Comma 4 4 2 2 2 2" xfId="4827"/>
    <cellStyle name="Comma 4 4 2 2 3" xfId="4826"/>
    <cellStyle name="Comma 4 4 2 3" xfId="895"/>
    <cellStyle name="Comma 4 4 2 3 2" xfId="4828"/>
    <cellStyle name="Comma 4 4 2 4" xfId="4825"/>
    <cellStyle name="Comma 4 4 3" xfId="896"/>
    <cellStyle name="Comma 4 4 3 2" xfId="897"/>
    <cellStyle name="Comma 4 4 3 2 2" xfId="4830"/>
    <cellStyle name="Comma 4 4 3 3" xfId="4829"/>
    <cellStyle name="Comma 4 4 4" xfId="898"/>
    <cellStyle name="Comma 4 4 4 2" xfId="4831"/>
    <cellStyle name="Comma 4 4 5" xfId="4824"/>
    <cellStyle name="Comma 4 5" xfId="899"/>
    <cellStyle name="Comma 4 5 2" xfId="900"/>
    <cellStyle name="Comma 4 5 2 2" xfId="901"/>
    <cellStyle name="Comma 4 5 2 2 2" xfId="4834"/>
    <cellStyle name="Comma 4 5 2 3" xfId="4833"/>
    <cellStyle name="Comma 4 5 3" xfId="902"/>
    <cellStyle name="Comma 4 5 3 2" xfId="4835"/>
    <cellStyle name="Comma 4 5 4" xfId="4832"/>
    <cellStyle name="Comma 4 6" xfId="903"/>
    <cellStyle name="Comma 4 6 2" xfId="904"/>
    <cellStyle name="Comma 4 6 2 2" xfId="905"/>
    <cellStyle name="Comma 4 6 2 2 2" xfId="4838"/>
    <cellStyle name="Comma 4 6 2 3" xfId="4837"/>
    <cellStyle name="Comma 4 6 3" xfId="906"/>
    <cellStyle name="Comma 4 6 3 2" xfId="4839"/>
    <cellStyle name="Comma 4 6 4" xfId="4836"/>
    <cellStyle name="Comma 4 7" xfId="907"/>
    <cellStyle name="Comma 4 7 2" xfId="908"/>
    <cellStyle name="Comma 4 7 2 2" xfId="4841"/>
    <cellStyle name="Comma 4 7 3" xfId="4840"/>
    <cellStyle name="Comma 4 8" xfId="909"/>
    <cellStyle name="Comma 4 8 2" xfId="4842"/>
    <cellStyle name="Comma 4 9" xfId="910"/>
    <cellStyle name="Comma 4 9 2" xfId="4843"/>
    <cellStyle name="Comma 40" xfId="5606"/>
    <cellStyle name="Comma 5" xfId="911"/>
    <cellStyle name="Comma 5 10" xfId="912"/>
    <cellStyle name="Comma 5 10 2" xfId="4845"/>
    <cellStyle name="Comma 5 11" xfId="913"/>
    <cellStyle name="Comma 5 11 2" xfId="4846"/>
    <cellStyle name="Comma 5 12" xfId="914"/>
    <cellStyle name="Comma 5 12 2" xfId="4847"/>
    <cellStyle name="Comma 5 13" xfId="4844"/>
    <cellStyle name="Comma 5 2" xfId="915"/>
    <cellStyle name="Comma 5 2 2" xfId="916"/>
    <cellStyle name="Comma 5 2 2 2" xfId="917"/>
    <cellStyle name="Comma 5 2 2 2 2" xfId="918"/>
    <cellStyle name="Comma 5 2 2 2 2 2" xfId="4851"/>
    <cellStyle name="Comma 5 2 2 2 3" xfId="4850"/>
    <cellStyle name="Comma 5 2 2 3" xfId="919"/>
    <cellStyle name="Comma 5 2 2 3 2" xfId="4852"/>
    <cellStyle name="Comma 5 2 2 4" xfId="4849"/>
    <cellStyle name="Comma 5 2 3" xfId="920"/>
    <cellStyle name="Comma 5 2 3 2" xfId="921"/>
    <cellStyle name="Comma 5 2 3 2 2" xfId="4854"/>
    <cellStyle name="Comma 5 2 3 3" xfId="4853"/>
    <cellStyle name="Comma 5 2 4" xfId="922"/>
    <cellStyle name="Comma 5 2 4 2" xfId="4855"/>
    <cellStyle name="Comma 5 2 5" xfId="4848"/>
    <cellStyle name="Comma 5 3" xfId="923"/>
    <cellStyle name="Comma 5 3 2" xfId="924"/>
    <cellStyle name="Comma 5 3 2 2" xfId="925"/>
    <cellStyle name="Comma 5 3 2 2 2" xfId="926"/>
    <cellStyle name="Comma 5 3 2 2 2 2" xfId="4859"/>
    <cellStyle name="Comma 5 3 2 2 3" xfId="4858"/>
    <cellStyle name="Comma 5 3 2 3" xfId="927"/>
    <cellStyle name="Comma 5 3 2 3 2" xfId="4860"/>
    <cellStyle name="Comma 5 3 2 4" xfId="4857"/>
    <cellStyle name="Comma 5 3 3" xfId="928"/>
    <cellStyle name="Comma 5 3 3 2" xfId="929"/>
    <cellStyle name="Comma 5 3 3 2 2" xfId="4862"/>
    <cellStyle name="Comma 5 3 3 3" xfId="4861"/>
    <cellStyle name="Comma 5 3 4" xfId="930"/>
    <cellStyle name="Comma 5 3 4 2" xfId="4863"/>
    <cellStyle name="Comma 5 3 5" xfId="4856"/>
    <cellStyle name="Comma 5 4" xfId="931"/>
    <cellStyle name="Comma 5 4 2" xfId="932"/>
    <cellStyle name="Comma 5 4 2 2" xfId="933"/>
    <cellStyle name="Comma 5 4 2 2 2" xfId="4866"/>
    <cellStyle name="Comma 5 4 2 3" xfId="4865"/>
    <cellStyle name="Comma 5 4 3" xfId="934"/>
    <cellStyle name="Comma 5 4 3 2" xfId="4867"/>
    <cellStyle name="Comma 5 4 4" xfId="4864"/>
    <cellStyle name="Comma 5 5" xfId="935"/>
    <cellStyle name="Comma 5 5 2" xfId="936"/>
    <cellStyle name="Comma 5 5 2 2" xfId="937"/>
    <cellStyle name="Comma 5 5 2 2 2" xfId="4870"/>
    <cellStyle name="Comma 5 5 2 3" xfId="4869"/>
    <cellStyle name="Comma 5 5 3" xfId="938"/>
    <cellStyle name="Comma 5 5 3 2" xfId="4871"/>
    <cellStyle name="Comma 5 5 4" xfId="4868"/>
    <cellStyle name="Comma 5 6" xfId="939"/>
    <cellStyle name="Comma 5 6 2" xfId="940"/>
    <cellStyle name="Comma 5 6 2 2" xfId="4873"/>
    <cellStyle name="Comma 5 6 3" xfId="4872"/>
    <cellStyle name="Comma 5 7" xfId="941"/>
    <cellStyle name="Comma 5 7 2" xfId="4874"/>
    <cellStyle name="Comma 5 8" xfId="942"/>
    <cellStyle name="Comma 5 8 2" xfId="4875"/>
    <cellStyle name="Comma 5 9" xfId="943"/>
    <cellStyle name="Comma 5 9 2" xfId="4876"/>
    <cellStyle name="Comma 6" xfId="944"/>
    <cellStyle name="Comma 6 2" xfId="945"/>
    <cellStyle name="Comma 6 2 2" xfId="4878"/>
    <cellStyle name="Comma 6 3" xfId="946"/>
    <cellStyle name="Comma 6 3 2" xfId="4879"/>
    <cellStyle name="Comma 6 4" xfId="947"/>
    <cellStyle name="Comma 6 4 2" xfId="4880"/>
    <cellStyle name="Comma 6 5" xfId="948"/>
    <cellStyle name="Comma 6 5 2" xfId="4881"/>
    <cellStyle name="Comma 6 6" xfId="949"/>
    <cellStyle name="Comma 6 6 2" xfId="4882"/>
    <cellStyle name="Comma 6 7" xfId="4877"/>
    <cellStyle name="Comma 7" xfId="950"/>
    <cellStyle name="Comma 7 2" xfId="951"/>
    <cellStyle name="Comma 7 2 2" xfId="952"/>
    <cellStyle name="Comma 7 2 2 2" xfId="953"/>
    <cellStyle name="Comma 7 2 2 2 2" xfId="4886"/>
    <cellStyle name="Comma 7 2 2 3" xfId="4885"/>
    <cellStyle name="Comma 7 2 3" xfId="954"/>
    <cellStyle name="Comma 7 2 3 2" xfId="4887"/>
    <cellStyle name="Comma 7 2 4" xfId="4884"/>
    <cellStyle name="Comma 7 3" xfId="955"/>
    <cellStyle name="Comma 7 3 2" xfId="956"/>
    <cellStyle name="Comma 7 3 2 2" xfId="4889"/>
    <cellStyle name="Comma 7 3 3" xfId="4888"/>
    <cellStyle name="Comma 7 4" xfId="957"/>
    <cellStyle name="Comma 7 4 2" xfId="4890"/>
    <cellStyle name="Comma 7 5" xfId="958"/>
    <cellStyle name="Comma 7 5 2" xfId="4891"/>
    <cellStyle name="Comma 7 6" xfId="959"/>
    <cellStyle name="Comma 7 6 2" xfId="4892"/>
    <cellStyle name="Comma 7 7" xfId="960"/>
    <cellStyle name="Comma 7 7 2" xfId="4893"/>
    <cellStyle name="Comma 7 8" xfId="961"/>
    <cellStyle name="Comma 7 8 2" xfId="4894"/>
    <cellStyle name="Comma 7 9" xfId="4883"/>
    <cellStyle name="Comma 8" xfId="962"/>
    <cellStyle name="Comma 8 2" xfId="963"/>
    <cellStyle name="Comma 8 2 2" xfId="964"/>
    <cellStyle name="Comma 8 2 2 2" xfId="4897"/>
    <cellStyle name="Comma 8 2 3" xfId="4896"/>
    <cellStyle name="Comma 8 3" xfId="965"/>
    <cellStyle name="Comma 8 3 2" xfId="4898"/>
    <cellStyle name="Comma 8 4" xfId="966"/>
    <cellStyle name="Comma 8 4 2" xfId="4899"/>
    <cellStyle name="Comma 8 5" xfId="967"/>
    <cellStyle name="Comma 8 5 2" xfId="4900"/>
    <cellStyle name="Comma 8 6" xfId="968"/>
    <cellStyle name="Comma 8 6 2" xfId="4901"/>
    <cellStyle name="Comma 8 7" xfId="969"/>
    <cellStyle name="Comma 8 7 2" xfId="4902"/>
    <cellStyle name="Comma 8 8" xfId="4895"/>
    <cellStyle name="Comma 9" xfId="970"/>
    <cellStyle name="Comma 9 2" xfId="971"/>
    <cellStyle name="Comma 9 2 2" xfId="4904"/>
    <cellStyle name="Comma 9 3" xfId="972"/>
    <cellStyle name="Comma 9 3 2" xfId="4905"/>
    <cellStyle name="Comma 9 4" xfId="973"/>
    <cellStyle name="Comma 9 4 2" xfId="4906"/>
    <cellStyle name="Comma 9 5" xfId="974"/>
    <cellStyle name="Comma 9 5 2" xfId="4907"/>
    <cellStyle name="Comma 9 6" xfId="4903"/>
    <cellStyle name="Comma0" xfId="975"/>
    <cellStyle name="Comma2 (0)" xfId="976"/>
    <cellStyle name="Comment" xfId="977"/>
    <cellStyle name="Commentaire" xfId="5456"/>
    <cellStyle name="Commentaire 2" xfId="5457"/>
    <cellStyle name="Commentaire 2 2" xfId="5458"/>
    <cellStyle name="Commentaire 2 2 2" xfId="5459"/>
    <cellStyle name="Commentaire 2 3" xfId="5460"/>
    <cellStyle name="Commentaire 3" xfId="5461"/>
    <cellStyle name="Commentaire 3 2" xfId="5462"/>
    <cellStyle name="Commentaire 4" xfId="5463"/>
    <cellStyle name="Company" xfId="978"/>
    <cellStyle name="CurRatio" xfId="979"/>
    <cellStyle name="Currency--" xfId="980"/>
    <cellStyle name="Currency [00]" xfId="981"/>
    <cellStyle name="Currency [1]" xfId="982"/>
    <cellStyle name="Currency [2]" xfId="983"/>
    <cellStyle name="Currency [2] 2" xfId="4474"/>
    <cellStyle name="Currency [2] 3" xfId="4908"/>
    <cellStyle name="Currency [3]" xfId="984"/>
    <cellStyle name="Currency 0" xfId="985"/>
    <cellStyle name="Currency 10" xfId="986"/>
    <cellStyle name="Currency 10 2" xfId="987"/>
    <cellStyle name="Currency 10 2 2" xfId="988"/>
    <cellStyle name="Currency 10 2 2 2" xfId="989"/>
    <cellStyle name="Currency 10 2 2 2 2" xfId="990"/>
    <cellStyle name="Currency 10 2 2 2 2 2" xfId="4913"/>
    <cellStyle name="Currency 10 2 2 2 3" xfId="4912"/>
    <cellStyle name="Currency 10 2 2 3" xfId="991"/>
    <cellStyle name="Currency 10 2 2 3 2" xfId="4914"/>
    <cellStyle name="Currency 10 2 2 4" xfId="4911"/>
    <cellStyle name="Currency 10 2 3" xfId="992"/>
    <cellStyle name="Currency 10 2 3 2" xfId="993"/>
    <cellStyle name="Currency 10 2 3 2 2" xfId="4916"/>
    <cellStyle name="Currency 10 2 3 3" xfId="4915"/>
    <cellStyle name="Currency 10 2 4" xfId="994"/>
    <cellStyle name="Currency 10 2 4 2" xfId="4917"/>
    <cellStyle name="Currency 10 2 5" xfId="4910"/>
    <cellStyle name="Currency 10 3" xfId="995"/>
    <cellStyle name="Currency 10 3 2" xfId="996"/>
    <cellStyle name="Currency 10 3 2 2" xfId="997"/>
    <cellStyle name="Currency 10 3 2 2 2" xfId="998"/>
    <cellStyle name="Currency 10 3 2 2 2 2" xfId="4921"/>
    <cellStyle name="Currency 10 3 2 2 3" xfId="4920"/>
    <cellStyle name="Currency 10 3 2 3" xfId="999"/>
    <cellStyle name="Currency 10 3 2 3 2" xfId="4922"/>
    <cellStyle name="Currency 10 3 2 4" xfId="4919"/>
    <cellStyle name="Currency 10 3 3" xfId="1000"/>
    <cellStyle name="Currency 10 3 3 2" xfId="1001"/>
    <cellStyle name="Currency 10 3 3 2 2" xfId="4924"/>
    <cellStyle name="Currency 10 3 3 3" xfId="4923"/>
    <cellStyle name="Currency 10 3 4" xfId="1002"/>
    <cellStyle name="Currency 10 3 4 2" xfId="4925"/>
    <cellStyle name="Currency 10 3 5" xfId="4918"/>
    <cellStyle name="Currency 10 4" xfId="1003"/>
    <cellStyle name="Currency 10 4 2" xfId="1004"/>
    <cellStyle name="Currency 10 4 2 2" xfId="1005"/>
    <cellStyle name="Currency 10 4 2 2 2" xfId="4928"/>
    <cellStyle name="Currency 10 4 2 3" xfId="4927"/>
    <cellStyle name="Currency 10 4 3" xfId="1006"/>
    <cellStyle name="Currency 10 4 3 2" xfId="4929"/>
    <cellStyle name="Currency 10 4 4" xfId="4926"/>
    <cellStyle name="Currency 10 5" xfId="1007"/>
    <cellStyle name="Currency 10 5 2" xfId="1008"/>
    <cellStyle name="Currency 10 5 2 2" xfId="4931"/>
    <cellStyle name="Currency 10 5 3" xfId="4930"/>
    <cellStyle name="Currency 10 6" xfId="1009"/>
    <cellStyle name="Currency 10 6 2" xfId="4932"/>
    <cellStyle name="Currency 10 7" xfId="4909"/>
    <cellStyle name="Currency 11" xfId="1010"/>
    <cellStyle name="Currency 11 2" xfId="1011"/>
    <cellStyle name="Currency 11 2 2" xfId="1012"/>
    <cellStyle name="Currency 11 2 2 2" xfId="1013"/>
    <cellStyle name="Currency 11 2 2 2 2" xfId="1014"/>
    <cellStyle name="Currency 11 2 2 2 2 2" xfId="4937"/>
    <cellStyle name="Currency 11 2 2 2 3" xfId="4936"/>
    <cellStyle name="Currency 11 2 2 3" xfId="1015"/>
    <cellStyle name="Currency 11 2 2 3 2" xfId="4938"/>
    <cellStyle name="Currency 11 2 2 4" xfId="4935"/>
    <cellStyle name="Currency 11 2 3" xfId="1016"/>
    <cellStyle name="Currency 11 2 3 2" xfId="1017"/>
    <cellStyle name="Currency 11 2 3 2 2" xfId="4940"/>
    <cellStyle name="Currency 11 2 3 3" xfId="4939"/>
    <cellStyle name="Currency 11 2 4" xfId="1018"/>
    <cellStyle name="Currency 11 2 4 2" xfId="4941"/>
    <cellStyle name="Currency 11 2 5" xfId="4934"/>
    <cellStyle name="Currency 11 3" xfId="1019"/>
    <cellStyle name="Currency 11 3 2" xfId="1020"/>
    <cellStyle name="Currency 11 3 2 2" xfId="1021"/>
    <cellStyle name="Currency 11 3 2 2 2" xfId="1022"/>
    <cellStyle name="Currency 11 3 2 2 2 2" xfId="4945"/>
    <cellStyle name="Currency 11 3 2 2 3" xfId="4944"/>
    <cellStyle name="Currency 11 3 2 3" xfId="1023"/>
    <cellStyle name="Currency 11 3 2 3 2" xfId="4946"/>
    <cellStyle name="Currency 11 3 2 4" xfId="4943"/>
    <cellStyle name="Currency 11 3 3" xfId="1024"/>
    <cellStyle name="Currency 11 3 3 2" xfId="1025"/>
    <cellStyle name="Currency 11 3 3 2 2" xfId="4948"/>
    <cellStyle name="Currency 11 3 3 3" xfId="4947"/>
    <cellStyle name="Currency 11 3 4" xfId="1026"/>
    <cellStyle name="Currency 11 3 4 2" xfId="4949"/>
    <cellStyle name="Currency 11 3 5" xfId="4942"/>
    <cellStyle name="Currency 11 4" xfId="1027"/>
    <cellStyle name="Currency 11 4 2" xfId="1028"/>
    <cellStyle name="Currency 11 4 2 2" xfId="1029"/>
    <cellStyle name="Currency 11 4 2 2 2" xfId="4952"/>
    <cellStyle name="Currency 11 4 2 3" xfId="4951"/>
    <cellStyle name="Currency 11 4 3" xfId="1030"/>
    <cellStyle name="Currency 11 4 3 2" xfId="4953"/>
    <cellStyle name="Currency 11 4 4" xfId="4950"/>
    <cellStyle name="Currency 11 5" xfId="1031"/>
    <cellStyle name="Currency 11 5 2" xfId="1032"/>
    <cellStyle name="Currency 11 5 2 2" xfId="4955"/>
    <cellStyle name="Currency 11 5 3" xfId="4954"/>
    <cellStyle name="Currency 11 6" xfId="1033"/>
    <cellStyle name="Currency 11 6 2" xfId="4956"/>
    <cellStyle name="Currency 11 7" xfId="4933"/>
    <cellStyle name="Currency 12" xfId="1034"/>
    <cellStyle name="Currency 12 2" xfId="4957"/>
    <cellStyle name="Currency 13" xfId="1035"/>
    <cellStyle name="Currency 13 2" xfId="4958"/>
    <cellStyle name="Currency 14" xfId="1036"/>
    <cellStyle name="Currency 14 2" xfId="1037"/>
    <cellStyle name="Currency 14 2 2" xfId="1038"/>
    <cellStyle name="Currency 14 2 2 2" xfId="1039"/>
    <cellStyle name="Currency 14 2 2 2 2" xfId="1040"/>
    <cellStyle name="Currency 14 2 2 2 2 2" xfId="4963"/>
    <cellStyle name="Currency 14 2 2 2 3" xfId="4962"/>
    <cellStyle name="Currency 14 2 2 3" xfId="1041"/>
    <cellStyle name="Currency 14 2 2 3 2" xfId="4964"/>
    <cellStyle name="Currency 14 2 2 4" xfId="4961"/>
    <cellStyle name="Currency 14 2 3" xfId="1042"/>
    <cellStyle name="Currency 14 2 3 2" xfId="1043"/>
    <cellStyle name="Currency 14 2 3 2 2" xfId="4966"/>
    <cellStyle name="Currency 14 2 3 3" xfId="4965"/>
    <cellStyle name="Currency 14 2 4" xfId="1044"/>
    <cellStyle name="Currency 14 2 4 2" xfId="4967"/>
    <cellStyle name="Currency 14 2 5" xfId="4960"/>
    <cellStyle name="Currency 14 3" xfId="1045"/>
    <cellStyle name="Currency 14 3 2" xfId="1046"/>
    <cellStyle name="Currency 14 3 2 2" xfId="1047"/>
    <cellStyle name="Currency 14 3 2 2 2" xfId="1048"/>
    <cellStyle name="Currency 14 3 2 2 2 2" xfId="4971"/>
    <cellStyle name="Currency 14 3 2 2 3" xfId="4970"/>
    <cellStyle name="Currency 14 3 2 3" xfId="1049"/>
    <cellStyle name="Currency 14 3 2 3 2" xfId="4972"/>
    <cellStyle name="Currency 14 3 2 4" xfId="4969"/>
    <cellStyle name="Currency 14 3 3" xfId="1050"/>
    <cellStyle name="Currency 14 3 3 2" xfId="1051"/>
    <cellStyle name="Currency 14 3 3 2 2" xfId="4974"/>
    <cellStyle name="Currency 14 3 3 3" xfId="4973"/>
    <cellStyle name="Currency 14 3 4" xfId="1052"/>
    <cellStyle name="Currency 14 3 4 2" xfId="4975"/>
    <cellStyle name="Currency 14 3 5" xfId="4968"/>
    <cellStyle name="Currency 14 4" xfId="1053"/>
    <cellStyle name="Currency 14 4 2" xfId="1054"/>
    <cellStyle name="Currency 14 4 2 2" xfId="1055"/>
    <cellStyle name="Currency 14 4 2 2 2" xfId="1056"/>
    <cellStyle name="Currency 14 4 2 2 2 2" xfId="4979"/>
    <cellStyle name="Currency 14 4 2 2 3" xfId="4978"/>
    <cellStyle name="Currency 14 4 2 3" xfId="1057"/>
    <cellStyle name="Currency 14 4 2 3 2" xfId="4980"/>
    <cellStyle name="Currency 14 4 2 4" xfId="4977"/>
    <cellStyle name="Currency 14 4 3" xfId="1058"/>
    <cellStyle name="Currency 14 4 3 2" xfId="1059"/>
    <cellStyle name="Currency 14 4 3 2 2" xfId="4982"/>
    <cellStyle name="Currency 14 4 3 3" xfId="4981"/>
    <cellStyle name="Currency 14 4 4" xfId="1060"/>
    <cellStyle name="Currency 14 4 4 2" xfId="4983"/>
    <cellStyle name="Currency 14 4 5" xfId="4976"/>
    <cellStyle name="Currency 14 5" xfId="1061"/>
    <cellStyle name="Currency 14 5 2" xfId="1062"/>
    <cellStyle name="Currency 14 5 2 2" xfId="1063"/>
    <cellStyle name="Currency 14 5 2 2 2" xfId="4986"/>
    <cellStyle name="Currency 14 5 2 3" xfId="4985"/>
    <cellStyle name="Currency 14 5 3" xfId="1064"/>
    <cellStyle name="Currency 14 5 3 2" xfId="4987"/>
    <cellStyle name="Currency 14 5 4" xfId="4984"/>
    <cellStyle name="Currency 14 6" xfId="1065"/>
    <cellStyle name="Currency 14 6 2" xfId="1066"/>
    <cellStyle name="Currency 14 6 2 2" xfId="4989"/>
    <cellStyle name="Currency 14 6 3" xfId="4988"/>
    <cellStyle name="Currency 14 7" xfId="1067"/>
    <cellStyle name="Currency 14 7 2" xfId="4990"/>
    <cellStyle name="Currency 14 8" xfId="4959"/>
    <cellStyle name="Currency 15" xfId="1068"/>
    <cellStyle name="Currency 15 2" xfId="1069"/>
    <cellStyle name="Currency 15 2 2" xfId="1070"/>
    <cellStyle name="Currency 15 2 2 2" xfId="1071"/>
    <cellStyle name="Currency 15 2 2 2 2" xfId="4994"/>
    <cellStyle name="Currency 15 2 2 3" xfId="4993"/>
    <cellStyle name="Currency 15 2 3" xfId="1072"/>
    <cellStyle name="Currency 15 2 3 2" xfId="4995"/>
    <cellStyle name="Currency 15 2 4" xfId="4992"/>
    <cellStyle name="Currency 15 3" xfId="1073"/>
    <cellStyle name="Currency 15 3 2" xfId="1074"/>
    <cellStyle name="Currency 15 3 2 2" xfId="4997"/>
    <cellStyle name="Currency 15 3 3" xfId="4996"/>
    <cellStyle name="Currency 15 4" xfId="1075"/>
    <cellStyle name="Currency 15 4 2" xfId="4998"/>
    <cellStyle name="Currency 15 5" xfId="4991"/>
    <cellStyle name="Currency 16" xfId="1076"/>
    <cellStyle name="Currency 16 2" xfId="1077"/>
    <cellStyle name="Currency 16 2 2" xfId="5000"/>
    <cellStyle name="Currency 16 3" xfId="4999"/>
    <cellStyle name="Currency 17" xfId="1078"/>
    <cellStyle name="Currency 17 2" xfId="5001"/>
    <cellStyle name="Currency 18" xfId="1079"/>
    <cellStyle name="Currency 19" xfId="1080"/>
    <cellStyle name="Currency 19 2" xfId="1081"/>
    <cellStyle name="Currency 19 2 2" xfId="1082"/>
    <cellStyle name="Currency 19 2 2 2" xfId="1083"/>
    <cellStyle name="Currency 19 2 2 2 2" xfId="1084"/>
    <cellStyle name="Currency 19 2 2 2 2 2" xfId="5006"/>
    <cellStyle name="Currency 19 2 2 2 3" xfId="5005"/>
    <cellStyle name="Currency 19 2 2 3" xfId="1085"/>
    <cellStyle name="Currency 19 2 2 3 2" xfId="5007"/>
    <cellStyle name="Currency 19 2 2 4" xfId="5004"/>
    <cellStyle name="Currency 19 2 3" xfId="1086"/>
    <cellStyle name="Currency 19 2 3 2" xfId="1087"/>
    <cellStyle name="Currency 19 2 3 2 2" xfId="5009"/>
    <cellStyle name="Currency 19 2 3 3" xfId="5008"/>
    <cellStyle name="Currency 19 2 4" xfId="1088"/>
    <cellStyle name="Currency 19 2 4 2" xfId="5010"/>
    <cellStyle name="Currency 19 2 5" xfId="5003"/>
    <cellStyle name="Currency 19 3" xfId="1089"/>
    <cellStyle name="Currency 19 3 2" xfId="1090"/>
    <cellStyle name="Currency 19 3 2 2" xfId="1091"/>
    <cellStyle name="Currency 19 3 2 2 2" xfId="1092"/>
    <cellStyle name="Currency 19 3 2 2 2 2" xfId="5014"/>
    <cellStyle name="Currency 19 3 2 2 3" xfId="5013"/>
    <cellStyle name="Currency 19 3 2 3" xfId="1093"/>
    <cellStyle name="Currency 19 3 2 3 2" xfId="5015"/>
    <cellStyle name="Currency 19 3 2 4" xfId="5012"/>
    <cellStyle name="Currency 19 3 3" xfId="1094"/>
    <cellStyle name="Currency 19 3 3 2" xfId="1095"/>
    <cellStyle name="Currency 19 3 3 2 2" xfId="5017"/>
    <cellStyle name="Currency 19 3 3 3" xfId="5016"/>
    <cellStyle name="Currency 19 3 4" xfId="1096"/>
    <cellStyle name="Currency 19 3 4 2" xfId="5018"/>
    <cellStyle name="Currency 19 3 5" xfId="5011"/>
    <cellStyle name="Currency 19 4" xfId="1097"/>
    <cellStyle name="Currency 19 4 2" xfId="1098"/>
    <cellStyle name="Currency 19 4 2 2" xfId="1099"/>
    <cellStyle name="Currency 19 4 2 2 2" xfId="5021"/>
    <cellStyle name="Currency 19 4 2 3" xfId="5020"/>
    <cellStyle name="Currency 19 4 3" xfId="1100"/>
    <cellStyle name="Currency 19 4 3 2" xfId="5022"/>
    <cellStyle name="Currency 19 4 4" xfId="5019"/>
    <cellStyle name="Currency 19 5" xfId="1101"/>
    <cellStyle name="Currency 19 5 2" xfId="1102"/>
    <cellStyle name="Currency 19 5 2 2" xfId="5024"/>
    <cellStyle name="Currency 19 5 3" xfId="5023"/>
    <cellStyle name="Currency 19 6" xfId="1103"/>
    <cellStyle name="Currency 19 6 2" xfId="5025"/>
    <cellStyle name="Currency 19 7" xfId="5002"/>
    <cellStyle name="Currency 2" xfId="1104"/>
    <cellStyle name="Currency 2 10" xfId="1105"/>
    <cellStyle name="Currency 2 10 2" xfId="1106"/>
    <cellStyle name="Currency 2 10 2 2" xfId="1107"/>
    <cellStyle name="Currency 2 10 2 2 2" xfId="5028"/>
    <cellStyle name="Currency 2 10 2 3" xfId="5027"/>
    <cellStyle name="Currency 2 10 3" xfId="1108"/>
    <cellStyle name="Currency 2 10 3 2" xfId="5029"/>
    <cellStyle name="Currency 2 10 4" xfId="5026"/>
    <cellStyle name="Currency 2 11" xfId="1109"/>
    <cellStyle name="Currency 2 11 2" xfId="5030"/>
    <cellStyle name="Currency 2 12" xfId="1110"/>
    <cellStyle name="Currency 2 12 2" xfId="5031"/>
    <cellStyle name="Currency 2 13" xfId="1111"/>
    <cellStyle name="Currency 2 13 2" xfId="5032"/>
    <cellStyle name="Currency 2 14" xfId="1112"/>
    <cellStyle name="Currency 2 14 2" xfId="5033"/>
    <cellStyle name="Currency 2 15" xfId="1113"/>
    <cellStyle name="Currency 2 15 2" xfId="5034"/>
    <cellStyle name="Currency 2 16" xfId="1114"/>
    <cellStyle name="Currency 2 16 2" xfId="5035"/>
    <cellStyle name="Currency 2 17" xfId="1115"/>
    <cellStyle name="Currency 2 17 2" xfId="5036"/>
    <cellStyle name="Currency 2 18" xfId="1116"/>
    <cellStyle name="Currency 2 2" xfId="1117"/>
    <cellStyle name="Currency 2 2 10" xfId="1118"/>
    <cellStyle name="Currency 2 2 11" xfId="1119"/>
    <cellStyle name="Currency 2 2 12" xfId="5037"/>
    <cellStyle name="Currency 2 2 2" xfId="1120"/>
    <cellStyle name="Currency 2 2 2 2" xfId="5038"/>
    <cellStyle name="Currency 2 2 3" xfId="1121"/>
    <cellStyle name="Currency 2 2 3 2" xfId="5039"/>
    <cellStyle name="Currency 2 2 4" xfId="1122"/>
    <cellStyle name="Currency 2 2 5" xfId="1123"/>
    <cellStyle name="Currency 2 2 6" xfId="1124"/>
    <cellStyle name="Currency 2 2 7" xfId="1125"/>
    <cellStyle name="Currency 2 2 8" xfId="1126"/>
    <cellStyle name="Currency 2 2 9" xfId="1127"/>
    <cellStyle name="Currency 2 2 9 2" xfId="5040"/>
    <cellStyle name="Currency 2 3" xfId="1128"/>
    <cellStyle name="Currency 2 3 2" xfId="1129"/>
    <cellStyle name="Currency 2 3 3" xfId="1130"/>
    <cellStyle name="Currency 2 3 4" xfId="1131"/>
    <cellStyle name="Currency 2 3 5" xfId="1132"/>
    <cellStyle name="Currency 2 3 6" xfId="5041"/>
    <cellStyle name="Currency 2 4" xfId="1133"/>
    <cellStyle name="Currency 2 4 2" xfId="5042"/>
    <cellStyle name="Currency 2 5" xfId="1134"/>
    <cellStyle name="Currency 2 5 2" xfId="5043"/>
    <cellStyle name="Currency 2 6" xfId="1135"/>
    <cellStyle name="Currency 2 6 2" xfId="5044"/>
    <cellStyle name="Currency 2 7" xfId="1136"/>
    <cellStyle name="Currency 2 7 2" xfId="5045"/>
    <cellStyle name="Currency 2 8" xfId="1137"/>
    <cellStyle name="Currency 2 8 2" xfId="5046"/>
    <cellStyle name="Currency 2 9" xfId="1138"/>
    <cellStyle name="Currency 2 9 2" xfId="5047"/>
    <cellStyle name="Currency 2*" xfId="1139"/>
    <cellStyle name="Currency 2_CLdcfmodel" xfId="1140"/>
    <cellStyle name="Currency 20" xfId="1141"/>
    <cellStyle name="Currency 20 2" xfId="1142"/>
    <cellStyle name="Currency 20 2 2" xfId="1143"/>
    <cellStyle name="Currency 20 2 2 2" xfId="1144"/>
    <cellStyle name="Currency 20 2 2 2 2" xfId="1145"/>
    <cellStyle name="Currency 20 2 2 2 2 2" xfId="5052"/>
    <cellStyle name="Currency 20 2 2 2 3" xfId="5051"/>
    <cellStyle name="Currency 20 2 2 3" xfId="1146"/>
    <cellStyle name="Currency 20 2 2 3 2" xfId="5053"/>
    <cellStyle name="Currency 20 2 2 4" xfId="5050"/>
    <cellStyle name="Currency 20 2 3" xfId="1147"/>
    <cellStyle name="Currency 20 2 3 2" xfId="1148"/>
    <cellStyle name="Currency 20 2 3 2 2" xfId="5055"/>
    <cellStyle name="Currency 20 2 3 3" xfId="5054"/>
    <cellStyle name="Currency 20 2 4" xfId="1149"/>
    <cellStyle name="Currency 20 2 4 2" xfId="5056"/>
    <cellStyle name="Currency 20 2 5" xfId="5049"/>
    <cellStyle name="Currency 20 3" xfId="1150"/>
    <cellStyle name="Currency 20 3 2" xfId="1151"/>
    <cellStyle name="Currency 20 3 2 2" xfId="1152"/>
    <cellStyle name="Currency 20 3 2 2 2" xfId="1153"/>
    <cellStyle name="Currency 20 3 2 2 2 2" xfId="5060"/>
    <cellStyle name="Currency 20 3 2 2 3" xfId="5059"/>
    <cellStyle name="Currency 20 3 2 3" xfId="1154"/>
    <cellStyle name="Currency 20 3 2 3 2" xfId="5061"/>
    <cellStyle name="Currency 20 3 2 4" xfId="5058"/>
    <cellStyle name="Currency 20 3 3" xfId="1155"/>
    <cellStyle name="Currency 20 3 3 2" xfId="1156"/>
    <cellStyle name="Currency 20 3 3 2 2" xfId="5063"/>
    <cellStyle name="Currency 20 3 3 3" xfId="5062"/>
    <cellStyle name="Currency 20 3 4" xfId="1157"/>
    <cellStyle name="Currency 20 3 4 2" xfId="5064"/>
    <cellStyle name="Currency 20 3 5" xfId="5057"/>
    <cellStyle name="Currency 20 4" xfId="1158"/>
    <cellStyle name="Currency 20 4 2" xfId="1159"/>
    <cellStyle name="Currency 20 4 2 2" xfId="1160"/>
    <cellStyle name="Currency 20 4 2 2 2" xfId="5067"/>
    <cellStyle name="Currency 20 4 2 3" xfId="5066"/>
    <cellStyle name="Currency 20 4 3" xfId="1161"/>
    <cellStyle name="Currency 20 4 3 2" xfId="5068"/>
    <cellStyle name="Currency 20 4 4" xfId="5065"/>
    <cellStyle name="Currency 20 5" xfId="1162"/>
    <cellStyle name="Currency 20 5 2" xfId="1163"/>
    <cellStyle name="Currency 20 5 2 2" xfId="5070"/>
    <cellStyle name="Currency 20 5 3" xfId="5069"/>
    <cellStyle name="Currency 20 6" xfId="1164"/>
    <cellStyle name="Currency 20 6 2" xfId="5071"/>
    <cellStyle name="Currency 20 7" xfId="5048"/>
    <cellStyle name="Currency 21" xfId="1165"/>
    <cellStyle name="Currency 21 2" xfId="1166"/>
    <cellStyle name="Currency 21 2 2" xfId="1167"/>
    <cellStyle name="Currency 21 2 2 2" xfId="1168"/>
    <cellStyle name="Currency 21 2 2 2 2" xfId="1169"/>
    <cellStyle name="Currency 21 2 2 2 2 2" xfId="5076"/>
    <cellStyle name="Currency 21 2 2 2 3" xfId="5075"/>
    <cellStyle name="Currency 21 2 2 3" xfId="1170"/>
    <cellStyle name="Currency 21 2 2 3 2" xfId="5077"/>
    <cellStyle name="Currency 21 2 2 4" xfId="5074"/>
    <cellStyle name="Currency 21 2 3" xfId="1171"/>
    <cellStyle name="Currency 21 2 3 2" xfId="1172"/>
    <cellStyle name="Currency 21 2 3 2 2" xfId="5079"/>
    <cellStyle name="Currency 21 2 3 3" xfId="5078"/>
    <cellStyle name="Currency 21 2 4" xfId="1173"/>
    <cellStyle name="Currency 21 2 4 2" xfId="5080"/>
    <cellStyle name="Currency 21 2 5" xfId="5073"/>
    <cellStyle name="Currency 21 3" xfId="1174"/>
    <cellStyle name="Currency 21 3 2" xfId="1175"/>
    <cellStyle name="Currency 21 3 2 2" xfId="1176"/>
    <cellStyle name="Currency 21 3 2 2 2" xfId="1177"/>
    <cellStyle name="Currency 21 3 2 2 2 2" xfId="5084"/>
    <cellStyle name="Currency 21 3 2 2 3" xfId="5083"/>
    <cellStyle name="Currency 21 3 2 3" xfId="1178"/>
    <cellStyle name="Currency 21 3 2 3 2" xfId="5085"/>
    <cellStyle name="Currency 21 3 2 4" xfId="5082"/>
    <cellStyle name="Currency 21 3 3" xfId="1179"/>
    <cellStyle name="Currency 21 3 3 2" xfId="1180"/>
    <cellStyle name="Currency 21 3 3 2 2" xfId="5087"/>
    <cellStyle name="Currency 21 3 3 3" xfId="5086"/>
    <cellStyle name="Currency 21 3 4" xfId="1181"/>
    <cellStyle name="Currency 21 3 4 2" xfId="5088"/>
    <cellStyle name="Currency 21 3 5" xfId="5081"/>
    <cellStyle name="Currency 21 4" xfId="1182"/>
    <cellStyle name="Currency 21 4 2" xfId="1183"/>
    <cellStyle name="Currency 21 4 2 2" xfId="1184"/>
    <cellStyle name="Currency 21 4 2 2 2" xfId="5091"/>
    <cellStyle name="Currency 21 4 2 3" xfId="5090"/>
    <cellStyle name="Currency 21 4 3" xfId="1185"/>
    <cellStyle name="Currency 21 4 3 2" xfId="5092"/>
    <cellStyle name="Currency 21 4 4" xfId="5089"/>
    <cellStyle name="Currency 21 5" xfId="1186"/>
    <cellStyle name="Currency 21 5 2" xfId="1187"/>
    <cellStyle name="Currency 21 5 2 2" xfId="5094"/>
    <cellStyle name="Currency 21 5 3" xfId="5093"/>
    <cellStyle name="Currency 21 6" xfId="1188"/>
    <cellStyle name="Currency 21 6 2" xfId="5095"/>
    <cellStyle name="Currency 21 7" xfId="5072"/>
    <cellStyle name="Currency 22" xfId="1189"/>
    <cellStyle name="Currency 22 2" xfId="1190"/>
    <cellStyle name="Currency 22 2 2" xfId="1191"/>
    <cellStyle name="Currency 22 2 2 2" xfId="1192"/>
    <cellStyle name="Currency 22 2 2 2 2" xfId="1193"/>
    <cellStyle name="Currency 22 2 2 2 2 2" xfId="5100"/>
    <cellStyle name="Currency 22 2 2 2 3" xfId="5099"/>
    <cellStyle name="Currency 22 2 2 3" xfId="1194"/>
    <cellStyle name="Currency 22 2 2 3 2" xfId="5101"/>
    <cellStyle name="Currency 22 2 2 4" xfId="5098"/>
    <cellStyle name="Currency 22 2 3" xfId="1195"/>
    <cellStyle name="Currency 22 2 3 2" xfId="1196"/>
    <cellStyle name="Currency 22 2 3 2 2" xfId="5103"/>
    <cellStyle name="Currency 22 2 3 3" xfId="5102"/>
    <cellStyle name="Currency 22 2 4" xfId="1197"/>
    <cellStyle name="Currency 22 2 4 2" xfId="5104"/>
    <cellStyle name="Currency 22 2 5" xfId="5097"/>
    <cellStyle name="Currency 22 3" xfId="1198"/>
    <cellStyle name="Currency 22 3 2" xfId="1199"/>
    <cellStyle name="Currency 22 3 2 2" xfId="1200"/>
    <cellStyle name="Currency 22 3 2 2 2" xfId="1201"/>
    <cellStyle name="Currency 22 3 2 2 2 2" xfId="5108"/>
    <cellStyle name="Currency 22 3 2 2 3" xfId="5107"/>
    <cellStyle name="Currency 22 3 2 3" xfId="1202"/>
    <cellStyle name="Currency 22 3 2 3 2" xfId="5109"/>
    <cellStyle name="Currency 22 3 2 4" xfId="5106"/>
    <cellStyle name="Currency 22 3 3" xfId="1203"/>
    <cellStyle name="Currency 22 3 3 2" xfId="1204"/>
    <cellStyle name="Currency 22 3 3 2 2" xfId="5111"/>
    <cellStyle name="Currency 22 3 3 3" xfId="5110"/>
    <cellStyle name="Currency 22 3 4" xfId="1205"/>
    <cellStyle name="Currency 22 3 4 2" xfId="5112"/>
    <cellStyle name="Currency 22 3 5" xfId="5105"/>
    <cellStyle name="Currency 22 4" xfId="1206"/>
    <cellStyle name="Currency 22 4 2" xfId="1207"/>
    <cellStyle name="Currency 22 4 2 2" xfId="1208"/>
    <cellStyle name="Currency 22 4 2 2 2" xfId="5115"/>
    <cellStyle name="Currency 22 4 2 3" xfId="5114"/>
    <cellStyle name="Currency 22 4 3" xfId="1209"/>
    <cellStyle name="Currency 22 4 3 2" xfId="5116"/>
    <cellStyle name="Currency 22 4 4" xfId="5113"/>
    <cellStyle name="Currency 22 5" xfId="1210"/>
    <cellStyle name="Currency 22 5 2" xfId="1211"/>
    <cellStyle name="Currency 22 5 2 2" xfId="5118"/>
    <cellStyle name="Currency 22 5 3" xfId="5117"/>
    <cellStyle name="Currency 22 6" xfId="1212"/>
    <cellStyle name="Currency 22 6 2" xfId="5119"/>
    <cellStyle name="Currency 22 7" xfId="5096"/>
    <cellStyle name="Currency 23" xfId="1213"/>
    <cellStyle name="Currency 23 2" xfId="1214"/>
    <cellStyle name="Currency 23 2 2" xfId="1215"/>
    <cellStyle name="Currency 23 2 2 2" xfId="1216"/>
    <cellStyle name="Currency 23 2 2 2 2" xfId="1217"/>
    <cellStyle name="Currency 23 2 2 2 2 2" xfId="5124"/>
    <cellStyle name="Currency 23 2 2 2 3" xfId="5123"/>
    <cellStyle name="Currency 23 2 2 3" xfId="1218"/>
    <cellStyle name="Currency 23 2 2 3 2" xfId="5125"/>
    <cellStyle name="Currency 23 2 2 4" xfId="5122"/>
    <cellStyle name="Currency 23 2 3" xfId="1219"/>
    <cellStyle name="Currency 23 2 3 2" xfId="1220"/>
    <cellStyle name="Currency 23 2 3 2 2" xfId="5127"/>
    <cellStyle name="Currency 23 2 3 3" xfId="5126"/>
    <cellStyle name="Currency 23 2 4" xfId="1221"/>
    <cellStyle name="Currency 23 2 4 2" xfId="5128"/>
    <cellStyle name="Currency 23 2 5" xfId="5121"/>
    <cellStyle name="Currency 23 3" xfId="1222"/>
    <cellStyle name="Currency 23 3 2" xfId="1223"/>
    <cellStyle name="Currency 23 3 2 2" xfId="1224"/>
    <cellStyle name="Currency 23 3 2 2 2" xfId="1225"/>
    <cellStyle name="Currency 23 3 2 2 2 2" xfId="5132"/>
    <cellStyle name="Currency 23 3 2 2 3" xfId="5131"/>
    <cellStyle name="Currency 23 3 2 3" xfId="1226"/>
    <cellStyle name="Currency 23 3 2 3 2" xfId="5133"/>
    <cellStyle name="Currency 23 3 2 4" xfId="5130"/>
    <cellStyle name="Currency 23 3 3" xfId="1227"/>
    <cellStyle name="Currency 23 3 3 2" xfId="1228"/>
    <cellStyle name="Currency 23 3 3 2 2" xfId="5135"/>
    <cellStyle name="Currency 23 3 3 3" xfId="5134"/>
    <cellStyle name="Currency 23 3 4" xfId="1229"/>
    <cellStyle name="Currency 23 3 4 2" xfId="5136"/>
    <cellStyle name="Currency 23 3 5" xfId="5129"/>
    <cellStyle name="Currency 23 4" xfId="1230"/>
    <cellStyle name="Currency 23 4 2" xfId="1231"/>
    <cellStyle name="Currency 23 4 2 2" xfId="1232"/>
    <cellStyle name="Currency 23 4 2 2 2" xfId="5139"/>
    <cellStyle name="Currency 23 4 2 3" xfId="5138"/>
    <cellStyle name="Currency 23 4 3" xfId="1233"/>
    <cellStyle name="Currency 23 4 3 2" xfId="5140"/>
    <cellStyle name="Currency 23 4 4" xfId="5137"/>
    <cellStyle name="Currency 23 5" xfId="1234"/>
    <cellStyle name="Currency 23 5 2" xfId="1235"/>
    <cellStyle name="Currency 23 5 2 2" xfId="5142"/>
    <cellStyle name="Currency 23 5 3" xfId="5141"/>
    <cellStyle name="Currency 23 6" xfId="1236"/>
    <cellStyle name="Currency 23 6 2" xfId="5143"/>
    <cellStyle name="Currency 23 7" xfId="5120"/>
    <cellStyle name="Currency 24" xfId="1237"/>
    <cellStyle name="Currency 24 2" xfId="1238"/>
    <cellStyle name="Currency 24 2 2" xfId="1239"/>
    <cellStyle name="Currency 24 2 2 2" xfId="1240"/>
    <cellStyle name="Currency 24 2 2 2 2" xfId="1241"/>
    <cellStyle name="Currency 24 2 2 2 2 2" xfId="5148"/>
    <cellStyle name="Currency 24 2 2 2 3" xfId="5147"/>
    <cellStyle name="Currency 24 2 2 3" xfId="1242"/>
    <cellStyle name="Currency 24 2 2 3 2" xfId="5149"/>
    <cellStyle name="Currency 24 2 2 4" xfId="5146"/>
    <cellStyle name="Currency 24 2 3" xfId="1243"/>
    <cellStyle name="Currency 24 2 3 2" xfId="1244"/>
    <cellStyle name="Currency 24 2 3 2 2" xfId="5151"/>
    <cellStyle name="Currency 24 2 3 3" xfId="5150"/>
    <cellStyle name="Currency 24 2 4" xfId="1245"/>
    <cellStyle name="Currency 24 2 4 2" xfId="5152"/>
    <cellStyle name="Currency 24 2 5" xfId="5145"/>
    <cellStyle name="Currency 24 3" xfId="1246"/>
    <cellStyle name="Currency 24 3 2" xfId="1247"/>
    <cellStyle name="Currency 24 3 2 2" xfId="1248"/>
    <cellStyle name="Currency 24 3 2 2 2" xfId="1249"/>
    <cellStyle name="Currency 24 3 2 2 2 2" xfId="5156"/>
    <cellStyle name="Currency 24 3 2 2 3" xfId="5155"/>
    <cellStyle name="Currency 24 3 2 3" xfId="1250"/>
    <cellStyle name="Currency 24 3 2 3 2" xfId="5157"/>
    <cellStyle name="Currency 24 3 2 4" xfId="5154"/>
    <cellStyle name="Currency 24 3 3" xfId="1251"/>
    <cellStyle name="Currency 24 3 3 2" xfId="1252"/>
    <cellStyle name="Currency 24 3 3 2 2" xfId="5159"/>
    <cellStyle name="Currency 24 3 3 3" xfId="5158"/>
    <cellStyle name="Currency 24 3 4" xfId="1253"/>
    <cellStyle name="Currency 24 3 4 2" xfId="5160"/>
    <cellStyle name="Currency 24 3 5" xfId="5153"/>
    <cellStyle name="Currency 24 4" xfId="1254"/>
    <cellStyle name="Currency 24 4 2" xfId="1255"/>
    <cellStyle name="Currency 24 4 2 2" xfId="1256"/>
    <cellStyle name="Currency 24 4 2 2 2" xfId="5163"/>
    <cellStyle name="Currency 24 4 2 3" xfId="5162"/>
    <cellStyle name="Currency 24 4 3" xfId="1257"/>
    <cellStyle name="Currency 24 4 3 2" xfId="5164"/>
    <cellStyle name="Currency 24 4 4" xfId="5161"/>
    <cellStyle name="Currency 24 5" xfId="1258"/>
    <cellStyle name="Currency 24 5 2" xfId="1259"/>
    <cellStyle name="Currency 24 5 2 2" xfId="5166"/>
    <cellStyle name="Currency 24 5 3" xfId="5165"/>
    <cellStyle name="Currency 24 6" xfId="1260"/>
    <cellStyle name="Currency 24 6 2" xfId="5167"/>
    <cellStyle name="Currency 24 7" xfId="5144"/>
    <cellStyle name="Currency 25" xfId="4570"/>
    <cellStyle name="Currency 26" xfId="1261"/>
    <cellStyle name="Currency 26 2" xfId="1262"/>
    <cellStyle name="Currency 26 2 2" xfId="1263"/>
    <cellStyle name="Currency 26 2 2 2" xfId="1264"/>
    <cellStyle name="Currency 26 2 2 2 2" xfId="1265"/>
    <cellStyle name="Currency 26 2 2 2 2 2" xfId="5172"/>
    <cellStyle name="Currency 26 2 2 2 3" xfId="5171"/>
    <cellStyle name="Currency 26 2 2 3" xfId="1266"/>
    <cellStyle name="Currency 26 2 2 3 2" xfId="5173"/>
    <cellStyle name="Currency 26 2 2 4" xfId="5170"/>
    <cellStyle name="Currency 26 2 3" xfId="1267"/>
    <cellStyle name="Currency 26 2 3 2" xfId="1268"/>
    <cellStyle name="Currency 26 2 3 2 2" xfId="5175"/>
    <cellStyle name="Currency 26 2 3 3" xfId="5174"/>
    <cellStyle name="Currency 26 2 4" xfId="1269"/>
    <cellStyle name="Currency 26 2 4 2" xfId="5176"/>
    <cellStyle name="Currency 26 2 5" xfId="5169"/>
    <cellStyle name="Currency 26 3" xfId="1270"/>
    <cellStyle name="Currency 26 3 2" xfId="1271"/>
    <cellStyle name="Currency 26 3 2 2" xfId="1272"/>
    <cellStyle name="Currency 26 3 2 2 2" xfId="1273"/>
    <cellStyle name="Currency 26 3 2 2 2 2" xfId="5180"/>
    <cellStyle name="Currency 26 3 2 2 3" xfId="5179"/>
    <cellStyle name="Currency 26 3 2 3" xfId="1274"/>
    <cellStyle name="Currency 26 3 2 3 2" xfId="5181"/>
    <cellStyle name="Currency 26 3 2 4" xfId="5178"/>
    <cellStyle name="Currency 26 3 3" xfId="1275"/>
    <cellStyle name="Currency 26 3 3 2" xfId="1276"/>
    <cellStyle name="Currency 26 3 3 2 2" xfId="5183"/>
    <cellStyle name="Currency 26 3 3 3" xfId="5182"/>
    <cellStyle name="Currency 26 3 4" xfId="1277"/>
    <cellStyle name="Currency 26 3 4 2" xfId="5184"/>
    <cellStyle name="Currency 26 3 5" xfId="5177"/>
    <cellStyle name="Currency 26 4" xfId="1278"/>
    <cellStyle name="Currency 26 4 2" xfId="1279"/>
    <cellStyle name="Currency 26 4 2 2" xfId="1280"/>
    <cellStyle name="Currency 26 4 2 2 2" xfId="5187"/>
    <cellStyle name="Currency 26 4 2 3" xfId="5186"/>
    <cellStyle name="Currency 26 4 3" xfId="1281"/>
    <cellStyle name="Currency 26 4 3 2" xfId="5188"/>
    <cellStyle name="Currency 26 4 4" xfId="5185"/>
    <cellStyle name="Currency 26 5" xfId="1282"/>
    <cellStyle name="Currency 26 5 2" xfId="1283"/>
    <cellStyle name="Currency 26 5 2 2" xfId="5190"/>
    <cellStyle name="Currency 26 5 3" xfId="5189"/>
    <cellStyle name="Currency 26 6" xfId="1284"/>
    <cellStyle name="Currency 26 6 2" xfId="5191"/>
    <cellStyle name="Currency 26 7" xfId="5168"/>
    <cellStyle name="Currency 27" xfId="1285"/>
    <cellStyle name="Currency 27 2" xfId="1286"/>
    <cellStyle name="Currency 27 2 2" xfId="1287"/>
    <cellStyle name="Currency 27 2 2 2" xfId="1288"/>
    <cellStyle name="Currency 27 2 2 2 2" xfId="1289"/>
    <cellStyle name="Currency 27 2 2 2 2 2" xfId="5196"/>
    <cellStyle name="Currency 27 2 2 2 3" xfId="5195"/>
    <cellStyle name="Currency 27 2 2 3" xfId="1290"/>
    <cellStyle name="Currency 27 2 2 3 2" xfId="5197"/>
    <cellStyle name="Currency 27 2 2 4" xfId="5194"/>
    <cellStyle name="Currency 27 2 3" xfId="1291"/>
    <cellStyle name="Currency 27 2 3 2" xfId="1292"/>
    <cellStyle name="Currency 27 2 3 2 2" xfId="5199"/>
    <cellStyle name="Currency 27 2 3 3" xfId="5198"/>
    <cellStyle name="Currency 27 2 4" xfId="1293"/>
    <cellStyle name="Currency 27 2 4 2" xfId="5200"/>
    <cellStyle name="Currency 27 2 5" xfId="5193"/>
    <cellStyle name="Currency 27 3" xfId="1294"/>
    <cellStyle name="Currency 27 3 2" xfId="1295"/>
    <cellStyle name="Currency 27 3 2 2" xfId="1296"/>
    <cellStyle name="Currency 27 3 2 2 2" xfId="1297"/>
    <cellStyle name="Currency 27 3 2 2 2 2" xfId="5204"/>
    <cellStyle name="Currency 27 3 2 2 3" xfId="5203"/>
    <cellStyle name="Currency 27 3 2 3" xfId="1298"/>
    <cellStyle name="Currency 27 3 2 3 2" xfId="5205"/>
    <cellStyle name="Currency 27 3 2 4" xfId="5202"/>
    <cellStyle name="Currency 27 3 3" xfId="1299"/>
    <cellStyle name="Currency 27 3 3 2" xfId="1300"/>
    <cellStyle name="Currency 27 3 3 2 2" xfId="5207"/>
    <cellStyle name="Currency 27 3 3 3" xfId="5206"/>
    <cellStyle name="Currency 27 3 4" xfId="1301"/>
    <cellStyle name="Currency 27 3 4 2" xfId="5208"/>
    <cellStyle name="Currency 27 3 5" xfId="5201"/>
    <cellStyle name="Currency 27 4" xfId="1302"/>
    <cellStyle name="Currency 27 4 2" xfId="1303"/>
    <cellStyle name="Currency 27 4 2 2" xfId="1304"/>
    <cellStyle name="Currency 27 4 2 2 2" xfId="5211"/>
    <cellStyle name="Currency 27 4 2 3" xfId="5210"/>
    <cellStyle name="Currency 27 4 3" xfId="1305"/>
    <cellStyle name="Currency 27 4 3 2" xfId="5212"/>
    <cellStyle name="Currency 27 4 4" xfId="5209"/>
    <cellStyle name="Currency 27 5" xfId="1306"/>
    <cellStyle name="Currency 27 5 2" xfId="1307"/>
    <cellStyle name="Currency 27 5 2 2" xfId="5214"/>
    <cellStyle name="Currency 27 5 3" xfId="5213"/>
    <cellStyle name="Currency 27 6" xfId="1308"/>
    <cellStyle name="Currency 27 6 2" xfId="5215"/>
    <cellStyle name="Currency 27 7" xfId="5192"/>
    <cellStyle name="Currency 28" xfId="1309"/>
    <cellStyle name="Currency 28 2" xfId="1310"/>
    <cellStyle name="Currency 28 2 2" xfId="1311"/>
    <cellStyle name="Currency 28 2 2 2" xfId="1312"/>
    <cellStyle name="Currency 28 2 2 2 2" xfId="1313"/>
    <cellStyle name="Currency 28 2 2 2 2 2" xfId="5220"/>
    <cellStyle name="Currency 28 2 2 2 3" xfId="5219"/>
    <cellStyle name="Currency 28 2 2 3" xfId="1314"/>
    <cellStyle name="Currency 28 2 2 3 2" xfId="5221"/>
    <cellStyle name="Currency 28 2 2 4" xfId="5218"/>
    <cellStyle name="Currency 28 2 3" xfId="1315"/>
    <cellStyle name="Currency 28 2 3 2" xfId="1316"/>
    <cellStyle name="Currency 28 2 3 2 2" xfId="5223"/>
    <cellStyle name="Currency 28 2 3 3" xfId="5222"/>
    <cellStyle name="Currency 28 2 4" xfId="1317"/>
    <cellStyle name="Currency 28 2 4 2" xfId="5224"/>
    <cellStyle name="Currency 28 2 5" xfId="5217"/>
    <cellStyle name="Currency 28 3" xfId="1318"/>
    <cellStyle name="Currency 28 3 2" xfId="1319"/>
    <cellStyle name="Currency 28 3 2 2" xfId="1320"/>
    <cellStyle name="Currency 28 3 2 2 2" xfId="1321"/>
    <cellStyle name="Currency 28 3 2 2 2 2" xfId="5228"/>
    <cellStyle name="Currency 28 3 2 2 3" xfId="5227"/>
    <cellStyle name="Currency 28 3 2 3" xfId="1322"/>
    <cellStyle name="Currency 28 3 2 3 2" xfId="5229"/>
    <cellStyle name="Currency 28 3 2 4" xfId="5226"/>
    <cellStyle name="Currency 28 3 3" xfId="1323"/>
    <cellStyle name="Currency 28 3 3 2" xfId="1324"/>
    <cellStyle name="Currency 28 3 3 2 2" xfId="5231"/>
    <cellStyle name="Currency 28 3 3 3" xfId="5230"/>
    <cellStyle name="Currency 28 3 4" xfId="1325"/>
    <cellStyle name="Currency 28 3 4 2" xfId="5232"/>
    <cellStyle name="Currency 28 3 5" xfId="5225"/>
    <cellStyle name="Currency 28 4" xfId="1326"/>
    <cellStyle name="Currency 28 4 2" xfId="1327"/>
    <cellStyle name="Currency 28 4 2 2" xfId="1328"/>
    <cellStyle name="Currency 28 4 2 2 2" xfId="5235"/>
    <cellStyle name="Currency 28 4 2 3" xfId="5234"/>
    <cellStyle name="Currency 28 4 3" xfId="1329"/>
    <cellStyle name="Currency 28 4 3 2" xfId="5236"/>
    <cellStyle name="Currency 28 4 4" xfId="5233"/>
    <cellStyle name="Currency 28 5" xfId="1330"/>
    <cellStyle name="Currency 28 5 2" xfId="1331"/>
    <cellStyle name="Currency 28 5 2 2" xfId="5238"/>
    <cellStyle name="Currency 28 5 3" xfId="5237"/>
    <cellStyle name="Currency 28 6" xfId="1332"/>
    <cellStyle name="Currency 28 6 2" xfId="5239"/>
    <cellStyle name="Currency 28 7" xfId="5216"/>
    <cellStyle name="Currency 29" xfId="1333"/>
    <cellStyle name="Currency 29 2" xfId="1334"/>
    <cellStyle name="Currency 29 2 2" xfId="1335"/>
    <cellStyle name="Currency 29 2 2 2" xfId="1336"/>
    <cellStyle name="Currency 29 2 2 2 2" xfId="1337"/>
    <cellStyle name="Currency 29 2 2 2 2 2" xfId="5244"/>
    <cellStyle name="Currency 29 2 2 2 3" xfId="5243"/>
    <cellStyle name="Currency 29 2 2 3" xfId="1338"/>
    <cellStyle name="Currency 29 2 2 3 2" xfId="5245"/>
    <cellStyle name="Currency 29 2 2 4" xfId="5242"/>
    <cellStyle name="Currency 29 2 3" xfId="1339"/>
    <cellStyle name="Currency 29 2 3 2" xfId="1340"/>
    <cellStyle name="Currency 29 2 3 2 2" xfId="5247"/>
    <cellStyle name="Currency 29 2 3 3" xfId="5246"/>
    <cellStyle name="Currency 29 2 4" xfId="1341"/>
    <cellStyle name="Currency 29 2 4 2" xfId="5248"/>
    <cellStyle name="Currency 29 2 5" xfId="5241"/>
    <cellStyle name="Currency 29 3" xfId="1342"/>
    <cellStyle name="Currency 29 3 2" xfId="1343"/>
    <cellStyle name="Currency 29 3 2 2" xfId="1344"/>
    <cellStyle name="Currency 29 3 2 2 2" xfId="1345"/>
    <cellStyle name="Currency 29 3 2 2 2 2" xfId="5252"/>
    <cellStyle name="Currency 29 3 2 2 3" xfId="5251"/>
    <cellStyle name="Currency 29 3 2 3" xfId="1346"/>
    <cellStyle name="Currency 29 3 2 3 2" xfId="5253"/>
    <cellStyle name="Currency 29 3 2 4" xfId="5250"/>
    <cellStyle name="Currency 29 3 3" xfId="1347"/>
    <cellStyle name="Currency 29 3 3 2" xfId="1348"/>
    <cellStyle name="Currency 29 3 3 2 2" xfId="5255"/>
    <cellStyle name="Currency 29 3 3 3" xfId="5254"/>
    <cellStyle name="Currency 29 3 4" xfId="1349"/>
    <cellStyle name="Currency 29 3 4 2" xfId="5256"/>
    <cellStyle name="Currency 29 3 5" xfId="5249"/>
    <cellStyle name="Currency 29 4" xfId="1350"/>
    <cellStyle name="Currency 29 4 2" xfId="1351"/>
    <cellStyle name="Currency 29 4 2 2" xfId="1352"/>
    <cellStyle name="Currency 29 4 2 2 2" xfId="5259"/>
    <cellStyle name="Currency 29 4 2 3" xfId="5258"/>
    <cellStyle name="Currency 29 4 3" xfId="1353"/>
    <cellStyle name="Currency 29 4 3 2" xfId="5260"/>
    <cellStyle name="Currency 29 4 4" xfId="5257"/>
    <cellStyle name="Currency 29 5" xfId="1354"/>
    <cellStyle name="Currency 29 5 2" xfId="1355"/>
    <cellStyle name="Currency 29 5 2 2" xfId="5262"/>
    <cellStyle name="Currency 29 5 3" xfId="5261"/>
    <cellStyle name="Currency 29 6" xfId="1356"/>
    <cellStyle name="Currency 29 6 2" xfId="5263"/>
    <cellStyle name="Currency 29 7" xfId="5240"/>
    <cellStyle name="Currency 3" xfId="1357"/>
    <cellStyle name="Currency 3 2" xfId="1358"/>
    <cellStyle name="Currency 3 2 2" xfId="1359"/>
    <cellStyle name="Currency 3 2 2 2" xfId="1360"/>
    <cellStyle name="Currency 3 2 2 2 2" xfId="5267"/>
    <cellStyle name="Currency 3 2 2 3" xfId="5266"/>
    <cellStyle name="Currency 3 2 3" xfId="1361"/>
    <cellStyle name="Currency 3 2 3 2" xfId="5268"/>
    <cellStyle name="Currency 3 2 4" xfId="1362"/>
    <cellStyle name="Currency 3 2 4 2" xfId="5269"/>
    <cellStyle name="Currency 3 2 5" xfId="1363"/>
    <cellStyle name="Currency 3 2 5 2" xfId="5270"/>
    <cellStyle name="Currency 3 2 6" xfId="5265"/>
    <cellStyle name="Currency 3 3" xfId="1364"/>
    <cellStyle name="Currency 3 3 2" xfId="5271"/>
    <cellStyle name="Currency 3 4" xfId="1365"/>
    <cellStyle name="Currency 3 5" xfId="1366"/>
    <cellStyle name="Currency 3 5 2" xfId="5272"/>
    <cellStyle name="Currency 3 6" xfId="1367"/>
    <cellStyle name="Currency 3 7" xfId="5264"/>
    <cellStyle name="Currency 30" xfId="4574"/>
    <cellStyle name="Currency 31" xfId="4578"/>
    <cellStyle name="Currency 32" xfId="4582"/>
    <cellStyle name="Currency 33" xfId="4586"/>
    <cellStyle name="Currency 34" xfId="4600"/>
    <cellStyle name="Currency 35" xfId="4595"/>
    <cellStyle name="Currency 36" xfId="4598"/>
    <cellStyle name="Currency 37" xfId="4593"/>
    <cellStyle name="Currency 38" xfId="4603"/>
    <cellStyle name="Currency 39" xfId="4591"/>
    <cellStyle name="Currency 4" xfId="1368"/>
    <cellStyle name="Currency 4 10" xfId="1369"/>
    <cellStyle name="Currency 4 10 2" xfId="5273"/>
    <cellStyle name="Currency 4 2" xfId="1370"/>
    <cellStyle name="Currency 4 2 2" xfId="1371"/>
    <cellStyle name="Currency 4 2 2 2" xfId="1372"/>
    <cellStyle name="Currency 4 2 2 2 2" xfId="1373"/>
    <cellStyle name="Currency 4 2 2 2 2 2" xfId="5277"/>
    <cellStyle name="Currency 4 2 2 2 3" xfId="5276"/>
    <cellStyle name="Currency 4 2 2 3" xfId="1374"/>
    <cellStyle name="Currency 4 2 2 3 2" xfId="5278"/>
    <cellStyle name="Currency 4 2 2 4" xfId="5275"/>
    <cellStyle name="Currency 4 2 3" xfId="1375"/>
    <cellStyle name="Currency 4 2 3 2" xfId="1376"/>
    <cellStyle name="Currency 4 2 3 2 2" xfId="5280"/>
    <cellStyle name="Currency 4 2 3 3" xfId="5279"/>
    <cellStyle name="Currency 4 2 4" xfId="1377"/>
    <cellStyle name="Currency 4 2 4 2" xfId="5281"/>
    <cellStyle name="Currency 4 2 5" xfId="5274"/>
    <cellStyle name="Currency 4 3" xfId="1378"/>
    <cellStyle name="Currency 4 3 2" xfId="1379"/>
    <cellStyle name="Currency 4 3 2 2" xfId="1380"/>
    <cellStyle name="Currency 4 3 2 2 2" xfId="1381"/>
    <cellStyle name="Currency 4 3 2 2 2 2" xfId="5285"/>
    <cellStyle name="Currency 4 3 2 2 3" xfId="5284"/>
    <cellStyle name="Currency 4 3 2 3" xfId="1382"/>
    <cellStyle name="Currency 4 3 2 3 2" xfId="5286"/>
    <cellStyle name="Currency 4 3 2 4" xfId="5283"/>
    <cellStyle name="Currency 4 3 3" xfId="1383"/>
    <cellStyle name="Currency 4 3 3 2" xfId="1384"/>
    <cellStyle name="Currency 4 3 3 2 2" xfId="5288"/>
    <cellStyle name="Currency 4 3 3 3" xfId="5287"/>
    <cellStyle name="Currency 4 3 4" xfId="1385"/>
    <cellStyle name="Currency 4 3 4 2" xfId="5289"/>
    <cellStyle name="Currency 4 3 5" xfId="5282"/>
    <cellStyle name="Currency 4 4" xfId="1386"/>
    <cellStyle name="Currency 4 4 2" xfId="1387"/>
    <cellStyle name="Currency 4 4 2 2" xfId="1388"/>
    <cellStyle name="Currency 4 4 2 2 2" xfId="5292"/>
    <cellStyle name="Currency 4 4 2 3" xfId="5291"/>
    <cellStyle name="Currency 4 4 3" xfId="1389"/>
    <cellStyle name="Currency 4 4 3 2" xfId="5293"/>
    <cellStyle name="Currency 4 4 4" xfId="5290"/>
    <cellStyle name="Currency 4 5" xfId="1390"/>
    <cellStyle name="Currency 4 5 2" xfId="1391"/>
    <cellStyle name="Currency 4 5 2 2" xfId="1392"/>
    <cellStyle name="Currency 4 5 2 2 2" xfId="5296"/>
    <cellStyle name="Currency 4 5 2 3" xfId="5295"/>
    <cellStyle name="Currency 4 5 3" xfId="1393"/>
    <cellStyle name="Currency 4 5 3 2" xfId="5297"/>
    <cellStyle name="Currency 4 5 4" xfId="5294"/>
    <cellStyle name="Currency 4 6" xfId="1394"/>
    <cellStyle name="Currency 4 6 2" xfId="1395"/>
    <cellStyle name="Currency 4 6 2 2" xfId="1396"/>
    <cellStyle name="Currency 4 6 2 2 2" xfId="5300"/>
    <cellStyle name="Currency 4 6 2 3" xfId="5299"/>
    <cellStyle name="Currency 4 6 3" xfId="1397"/>
    <cellStyle name="Currency 4 6 3 2" xfId="5301"/>
    <cellStyle name="Currency 4 6 4" xfId="5298"/>
    <cellStyle name="Currency 4 7" xfId="1398"/>
    <cellStyle name="Currency 4 7 2" xfId="1399"/>
    <cellStyle name="Currency 4 7 2 2" xfId="5303"/>
    <cellStyle name="Currency 4 7 3" xfId="5302"/>
    <cellStyle name="Currency 4 8" xfId="1400"/>
    <cellStyle name="Currency 4 8 2" xfId="5304"/>
    <cellStyle name="Currency 4 9" xfId="1401"/>
    <cellStyle name="Currency 40" xfId="4605"/>
    <cellStyle name="Currency 41" xfId="4589"/>
    <cellStyle name="Currency 42" xfId="4607"/>
    <cellStyle name="Currency 43" xfId="4687"/>
    <cellStyle name="Currency 44" xfId="4684"/>
    <cellStyle name="Currency 45" xfId="4688"/>
    <cellStyle name="Currency 46" xfId="4683"/>
    <cellStyle name="Currency 47" xfId="4689"/>
    <cellStyle name="Currency 5" xfId="1402"/>
    <cellStyle name="Currency 5 2" xfId="1403"/>
    <cellStyle name="Currency 5 2 2" xfId="1404"/>
    <cellStyle name="Currency 5 2 2 2" xfId="1405"/>
    <cellStyle name="Currency 5 2 2 2 2" xfId="1406"/>
    <cellStyle name="Currency 5 2 2 2 2 2" xfId="5309"/>
    <cellStyle name="Currency 5 2 2 2 3" xfId="5308"/>
    <cellStyle name="Currency 5 2 2 3" xfId="1407"/>
    <cellStyle name="Currency 5 2 2 3 2" xfId="5310"/>
    <cellStyle name="Currency 5 2 2 4" xfId="5307"/>
    <cellStyle name="Currency 5 2 3" xfId="1408"/>
    <cellStyle name="Currency 5 2 3 2" xfId="1409"/>
    <cellStyle name="Currency 5 2 3 2 2" xfId="5312"/>
    <cellStyle name="Currency 5 2 3 3" xfId="5311"/>
    <cellStyle name="Currency 5 2 4" xfId="1410"/>
    <cellStyle name="Currency 5 2 4 2" xfId="5313"/>
    <cellStyle name="Currency 5 2 5" xfId="5306"/>
    <cellStyle name="Currency 5 3" xfId="1411"/>
    <cellStyle name="Currency 5 3 2" xfId="1412"/>
    <cellStyle name="Currency 5 3 2 2" xfId="1413"/>
    <cellStyle name="Currency 5 3 2 2 2" xfId="1414"/>
    <cellStyle name="Currency 5 3 2 2 2 2" xfId="5317"/>
    <cellStyle name="Currency 5 3 2 2 3" xfId="5316"/>
    <cellStyle name="Currency 5 3 2 3" xfId="1415"/>
    <cellStyle name="Currency 5 3 2 3 2" xfId="5318"/>
    <cellStyle name="Currency 5 3 2 4" xfId="5315"/>
    <cellStyle name="Currency 5 3 3" xfId="1416"/>
    <cellStyle name="Currency 5 3 3 2" xfId="1417"/>
    <cellStyle name="Currency 5 3 3 2 2" xfId="5320"/>
    <cellStyle name="Currency 5 3 3 3" xfId="5319"/>
    <cellStyle name="Currency 5 3 4" xfId="1418"/>
    <cellStyle name="Currency 5 3 4 2" xfId="5321"/>
    <cellStyle name="Currency 5 3 5" xfId="5314"/>
    <cellStyle name="Currency 5 4" xfId="1419"/>
    <cellStyle name="Currency 5 4 2" xfId="1420"/>
    <cellStyle name="Currency 5 4 2 2" xfId="1421"/>
    <cellStyle name="Currency 5 4 2 2 2" xfId="5324"/>
    <cellStyle name="Currency 5 4 2 3" xfId="5323"/>
    <cellStyle name="Currency 5 4 3" xfId="1422"/>
    <cellStyle name="Currency 5 4 3 2" xfId="5325"/>
    <cellStyle name="Currency 5 4 4" xfId="5322"/>
    <cellStyle name="Currency 5 5" xfId="1423"/>
    <cellStyle name="Currency 5 5 2" xfId="1424"/>
    <cellStyle name="Currency 5 5 2 2" xfId="5327"/>
    <cellStyle name="Currency 5 5 3" xfId="5326"/>
    <cellStyle name="Currency 5 6" xfId="1425"/>
    <cellStyle name="Currency 5 6 2" xfId="5328"/>
    <cellStyle name="Currency 5 7" xfId="5305"/>
    <cellStyle name="Currency 6" xfId="1426"/>
    <cellStyle name="Currency 6 2" xfId="1427"/>
    <cellStyle name="Currency 6 2 2" xfId="1428"/>
    <cellStyle name="Currency 6 2 2 2" xfId="1429"/>
    <cellStyle name="Currency 6 2 2 2 2" xfId="1430"/>
    <cellStyle name="Currency 6 2 2 2 2 2" xfId="5333"/>
    <cellStyle name="Currency 6 2 2 2 3" xfId="5332"/>
    <cellStyle name="Currency 6 2 2 3" xfId="1431"/>
    <cellStyle name="Currency 6 2 2 3 2" xfId="5334"/>
    <cellStyle name="Currency 6 2 2 4" xfId="5331"/>
    <cellStyle name="Currency 6 2 3" xfId="1432"/>
    <cellStyle name="Currency 6 2 3 2" xfId="1433"/>
    <cellStyle name="Currency 6 2 3 2 2" xfId="5336"/>
    <cellStyle name="Currency 6 2 3 3" xfId="5335"/>
    <cellStyle name="Currency 6 2 4" xfId="1434"/>
    <cellStyle name="Currency 6 2 4 2" xfId="5337"/>
    <cellStyle name="Currency 6 2 5" xfId="5330"/>
    <cellStyle name="Currency 6 3" xfId="1435"/>
    <cellStyle name="Currency 6 3 2" xfId="1436"/>
    <cellStyle name="Currency 6 3 2 2" xfId="1437"/>
    <cellStyle name="Currency 6 3 2 2 2" xfId="1438"/>
    <cellStyle name="Currency 6 3 2 2 2 2" xfId="5341"/>
    <cellStyle name="Currency 6 3 2 2 3" xfId="5340"/>
    <cellStyle name="Currency 6 3 2 3" xfId="1439"/>
    <cellStyle name="Currency 6 3 2 3 2" xfId="5342"/>
    <cellStyle name="Currency 6 3 2 4" xfId="5339"/>
    <cellStyle name="Currency 6 3 3" xfId="1440"/>
    <cellStyle name="Currency 6 3 3 2" xfId="1441"/>
    <cellStyle name="Currency 6 3 3 2 2" xfId="5344"/>
    <cellStyle name="Currency 6 3 3 3" xfId="5343"/>
    <cellStyle name="Currency 6 3 4" xfId="1442"/>
    <cellStyle name="Currency 6 3 4 2" xfId="5345"/>
    <cellStyle name="Currency 6 3 5" xfId="5338"/>
    <cellStyle name="Currency 6 4" xfId="1443"/>
    <cellStyle name="Currency 6 4 2" xfId="1444"/>
    <cellStyle name="Currency 6 4 2 2" xfId="1445"/>
    <cellStyle name="Currency 6 4 2 2 2" xfId="5348"/>
    <cellStyle name="Currency 6 4 2 3" xfId="5347"/>
    <cellStyle name="Currency 6 4 3" xfId="1446"/>
    <cellStyle name="Currency 6 4 3 2" xfId="5349"/>
    <cellStyle name="Currency 6 4 4" xfId="5346"/>
    <cellStyle name="Currency 6 5" xfId="1447"/>
    <cellStyle name="Currency 6 5 2" xfId="1448"/>
    <cellStyle name="Currency 6 5 2 2" xfId="5351"/>
    <cellStyle name="Currency 6 5 3" xfId="5350"/>
    <cellStyle name="Currency 6 6" xfId="1449"/>
    <cellStyle name="Currency 6 6 2" xfId="5352"/>
    <cellStyle name="Currency 6 7" xfId="5329"/>
    <cellStyle name="Currency 7" xfId="1450"/>
    <cellStyle name="Currency 7 2" xfId="1451"/>
    <cellStyle name="Currency 7 2 2" xfId="5354"/>
    <cellStyle name="Currency 7 3" xfId="5353"/>
    <cellStyle name="Currency 8" xfId="1452"/>
    <cellStyle name="Currency 8 2" xfId="1453"/>
    <cellStyle name="Currency 8 2 2" xfId="1454"/>
    <cellStyle name="Currency 8 2 2 2" xfId="1455"/>
    <cellStyle name="Currency 8 2 2 2 2" xfId="1456"/>
    <cellStyle name="Currency 8 2 2 2 2 2" xfId="5359"/>
    <cellStyle name="Currency 8 2 2 2 3" xfId="5358"/>
    <cellStyle name="Currency 8 2 2 3" xfId="1457"/>
    <cellStyle name="Currency 8 2 2 3 2" xfId="5360"/>
    <cellStyle name="Currency 8 2 2 4" xfId="5357"/>
    <cellStyle name="Currency 8 2 3" xfId="1458"/>
    <cellStyle name="Currency 8 2 3 2" xfId="1459"/>
    <cellStyle name="Currency 8 2 3 2 2" xfId="5362"/>
    <cellStyle name="Currency 8 2 3 3" xfId="5361"/>
    <cellStyle name="Currency 8 2 4" xfId="1460"/>
    <cellStyle name="Currency 8 2 4 2" xfId="5363"/>
    <cellStyle name="Currency 8 2 5" xfId="5356"/>
    <cellStyle name="Currency 8 3" xfId="1461"/>
    <cellStyle name="Currency 8 3 2" xfId="1462"/>
    <cellStyle name="Currency 8 3 2 2" xfId="1463"/>
    <cellStyle name="Currency 8 3 2 2 2" xfId="1464"/>
    <cellStyle name="Currency 8 3 2 2 2 2" xfId="5367"/>
    <cellStyle name="Currency 8 3 2 2 3" xfId="5366"/>
    <cellStyle name="Currency 8 3 2 3" xfId="1465"/>
    <cellStyle name="Currency 8 3 2 3 2" xfId="5368"/>
    <cellStyle name="Currency 8 3 2 4" xfId="5365"/>
    <cellStyle name="Currency 8 3 3" xfId="1466"/>
    <cellStyle name="Currency 8 3 3 2" xfId="1467"/>
    <cellStyle name="Currency 8 3 3 2 2" xfId="5370"/>
    <cellStyle name="Currency 8 3 3 3" xfId="5369"/>
    <cellStyle name="Currency 8 3 4" xfId="1468"/>
    <cellStyle name="Currency 8 3 4 2" xfId="5371"/>
    <cellStyle name="Currency 8 3 5" xfId="5364"/>
    <cellStyle name="Currency 8 4" xfId="1469"/>
    <cellStyle name="Currency 8 4 2" xfId="1470"/>
    <cellStyle name="Currency 8 4 2 2" xfId="1471"/>
    <cellStyle name="Currency 8 4 2 2 2" xfId="5374"/>
    <cellStyle name="Currency 8 4 2 3" xfId="5373"/>
    <cellStyle name="Currency 8 4 3" xfId="1472"/>
    <cellStyle name="Currency 8 4 3 2" xfId="5375"/>
    <cellStyle name="Currency 8 4 4" xfId="5372"/>
    <cellStyle name="Currency 8 5" xfId="1473"/>
    <cellStyle name="Currency 8 5 2" xfId="1474"/>
    <cellStyle name="Currency 8 5 2 2" xfId="5377"/>
    <cellStyle name="Currency 8 5 3" xfId="5376"/>
    <cellStyle name="Currency 8 6" xfId="1475"/>
    <cellStyle name="Currency 8 6 2" xfId="5378"/>
    <cellStyle name="Currency 8 7" xfId="1476"/>
    <cellStyle name="Currency 8 7 2" xfId="5379"/>
    <cellStyle name="Currency 8 8" xfId="5355"/>
    <cellStyle name="Currency 9" xfId="1477"/>
    <cellStyle name="Currency 9 2" xfId="1478"/>
    <cellStyle name="Currency 9 2 2" xfId="1479"/>
    <cellStyle name="Currency 9 2 2 2" xfId="1480"/>
    <cellStyle name="Currency 9 2 2 2 2" xfId="1481"/>
    <cellStyle name="Currency 9 2 2 2 2 2" xfId="5384"/>
    <cellStyle name="Currency 9 2 2 2 3" xfId="5383"/>
    <cellStyle name="Currency 9 2 2 3" xfId="1482"/>
    <cellStyle name="Currency 9 2 2 3 2" xfId="5385"/>
    <cellStyle name="Currency 9 2 2 4" xfId="5382"/>
    <cellStyle name="Currency 9 2 3" xfId="1483"/>
    <cellStyle name="Currency 9 2 3 2" xfId="1484"/>
    <cellStyle name="Currency 9 2 3 2 2" xfId="5387"/>
    <cellStyle name="Currency 9 2 3 3" xfId="5386"/>
    <cellStyle name="Currency 9 2 4" xfId="1485"/>
    <cellStyle name="Currency 9 2 4 2" xfId="5388"/>
    <cellStyle name="Currency 9 2 5" xfId="5381"/>
    <cellStyle name="Currency 9 3" xfId="1486"/>
    <cellStyle name="Currency 9 3 2" xfId="1487"/>
    <cellStyle name="Currency 9 3 2 2" xfId="1488"/>
    <cellStyle name="Currency 9 3 2 2 2" xfId="1489"/>
    <cellStyle name="Currency 9 3 2 2 2 2" xfId="5392"/>
    <cellStyle name="Currency 9 3 2 2 3" xfId="5391"/>
    <cellStyle name="Currency 9 3 2 3" xfId="1490"/>
    <cellStyle name="Currency 9 3 2 3 2" xfId="5393"/>
    <cellStyle name="Currency 9 3 2 4" xfId="5390"/>
    <cellStyle name="Currency 9 3 3" xfId="1491"/>
    <cellStyle name="Currency 9 3 3 2" xfId="1492"/>
    <cellStyle name="Currency 9 3 3 2 2" xfId="5395"/>
    <cellStyle name="Currency 9 3 3 3" xfId="5394"/>
    <cellStyle name="Currency 9 3 4" xfId="1493"/>
    <cellStyle name="Currency 9 3 4 2" xfId="5396"/>
    <cellStyle name="Currency 9 3 5" xfId="5389"/>
    <cellStyle name="Currency 9 4" xfId="1494"/>
    <cellStyle name="Currency 9 4 2" xfId="1495"/>
    <cellStyle name="Currency 9 4 2 2" xfId="1496"/>
    <cellStyle name="Currency 9 4 2 2 2" xfId="5399"/>
    <cellStyle name="Currency 9 4 2 3" xfId="5398"/>
    <cellStyle name="Currency 9 4 3" xfId="1497"/>
    <cellStyle name="Currency 9 4 3 2" xfId="5400"/>
    <cellStyle name="Currency 9 4 4" xfId="5397"/>
    <cellStyle name="Currency 9 5" xfId="1498"/>
    <cellStyle name="Currency 9 5 2" xfId="1499"/>
    <cellStyle name="Currency 9 5 2 2" xfId="5402"/>
    <cellStyle name="Currency 9 5 3" xfId="5401"/>
    <cellStyle name="Currency 9 6" xfId="1500"/>
    <cellStyle name="Currency 9 6 2" xfId="5403"/>
    <cellStyle name="Currency 9 7" xfId="5380"/>
    <cellStyle name="Currency Per Share" xfId="1501"/>
    <cellStyle name="Currency0" xfId="1502"/>
    <cellStyle name="Currency2" xfId="1503"/>
    <cellStyle name="CUS.Work.Area" xfId="1504"/>
    <cellStyle name="Dash" xfId="1505"/>
    <cellStyle name="Data" xfId="1506"/>
    <cellStyle name="Data 2" xfId="1507"/>
    <cellStyle name="Data 3" xfId="1508"/>
    <cellStyle name="Date" xfId="1509"/>
    <cellStyle name="Date [mm-dd-yyyy]" xfId="1510"/>
    <cellStyle name="Date [mm-dd-yyyy] 2" xfId="1511"/>
    <cellStyle name="Date [mm-d-yyyy]" xfId="1512"/>
    <cellStyle name="Date [mmm-yyyy]" xfId="1513"/>
    <cellStyle name="Date Aligned" xfId="1514"/>
    <cellStyle name="Date Aligned*" xfId="1515"/>
    <cellStyle name="Date Aligned_comp_Integrateds" xfId="1516"/>
    <cellStyle name="Date Short" xfId="1517"/>
    <cellStyle name="date_ Pies " xfId="1518"/>
    <cellStyle name="DblLineDollarAcct" xfId="1519"/>
    <cellStyle name="DblLineDollarAcct 2" xfId="5404"/>
    <cellStyle name="DblLinePercent" xfId="1520"/>
    <cellStyle name="Dezimal [0]_A17 - 31.03.1998" xfId="1521"/>
    <cellStyle name="Dezimal_A17 - 31.03.1998" xfId="1522"/>
    <cellStyle name="Dia" xfId="1523"/>
    <cellStyle name="Dollar_ Pies " xfId="1524"/>
    <cellStyle name="DollarAccounting" xfId="1525"/>
    <cellStyle name="DollarAccounting 2" xfId="5405"/>
    <cellStyle name="Dotted Line" xfId="1526"/>
    <cellStyle name="Dotted Line 2" xfId="1527"/>
    <cellStyle name="Dotted Line 3" xfId="1528"/>
    <cellStyle name="Double Accounting" xfId="1529"/>
    <cellStyle name="Double Accounting 2" xfId="5406"/>
    <cellStyle name="Duizenden" xfId="1530"/>
    <cellStyle name="Encabez1" xfId="1531"/>
    <cellStyle name="Encabez2" xfId="1532"/>
    <cellStyle name="Enter Currency (0)" xfId="1533"/>
    <cellStyle name="Enter Currency (2)" xfId="1534"/>
    <cellStyle name="Enter Units (0)" xfId="1535"/>
    <cellStyle name="Enter Units (1)" xfId="1536"/>
    <cellStyle name="Enter Units (2)" xfId="1537"/>
    <cellStyle name="Entrée" xfId="5464"/>
    <cellStyle name="Entrée 2" xfId="5465"/>
    <cellStyle name="Entrée 3" xfId="5466"/>
    <cellStyle name="Entrée 3 2" xfId="5467"/>
    <cellStyle name="Entrée 4" xfId="5468"/>
    <cellStyle name="Euro" xfId="1538"/>
    <cellStyle name="Explanatory Text" xfId="4542" builtinId="53" customBuiltin="1"/>
    <cellStyle name="Explanatory Text 2" xfId="1539"/>
    <cellStyle name="Explanatory Text 2 10" xfId="4514"/>
    <cellStyle name="Explanatory Text 2 2" xfId="1540"/>
    <cellStyle name="Explanatory Text 2 3" xfId="1541"/>
    <cellStyle name="Explanatory Text 2 4" xfId="1542"/>
    <cellStyle name="Explanatory Text 2 5" xfId="1543"/>
    <cellStyle name="Explanatory Text 2 6" xfId="1544"/>
    <cellStyle name="Explanatory Text 2 7" xfId="1545"/>
    <cellStyle name="Explanatory Text 2 8" xfId="1546"/>
    <cellStyle name="Explanatory Text 2 9" xfId="1547"/>
    <cellStyle name="fact" xfId="1548"/>
    <cellStyle name="FieldName" xfId="1549"/>
    <cellStyle name="FieldName 2" xfId="4475"/>
    <cellStyle name="Fijo" xfId="1550"/>
    <cellStyle name="Financiero" xfId="1551"/>
    <cellStyle name="Fixed" xfId="1552"/>
    <cellStyle name="Followed Hyperlink 2" xfId="4602"/>
    <cellStyle name="Footnote" xfId="1553"/>
    <cellStyle name="Good" xfId="4533" builtinId="26" customBuiltin="1"/>
    <cellStyle name="Good 2" xfId="1554"/>
    <cellStyle name="Good 2 10" xfId="4515"/>
    <cellStyle name="Good 2 2" xfId="1555"/>
    <cellStyle name="Good 2 3" xfId="1556"/>
    <cellStyle name="Good 2 4" xfId="1557"/>
    <cellStyle name="Good 2 5" xfId="1558"/>
    <cellStyle name="Good 2 6" xfId="1559"/>
    <cellStyle name="Good 2 7" xfId="1560"/>
    <cellStyle name="Good 2 8" xfId="1561"/>
    <cellStyle name="Good 2 9" xfId="1562"/>
    <cellStyle name="Grey" xfId="1563"/>
    <cellStyle name="GWN Table Body" xfId="1564"/>
    <cellStyle name="GWN Table Header" xfId="1565"/>
    <cellStyle name="GWN Table Left Header" xfId="1566"/>
    <cellStyle name="GWN Table Note" xfId="1567"/>
    <cellStyle name="GWN Table Title" xfId="1568"/>
    <cellStyle name="hard no" xfId="1569"/>
    <cellStyle name="hard no 2" xfId="4651"/>
    <cellStyle name="Hard Percent" xfId="1570"/>
    <cellStyle name="hardno" xfId="1571"/>
    <cellStyle name="Header" xfId="1572"/>
    <cellStyle name="Header1" xfId="1573"/>
    <cellStyle name="Header2" xfId="1574"/>
    <cellStyle name="Header2 2" xfId="4652"/>
    <cellStyle name="Heading" xfId="1575"/>
    <cellStyle name="Heading 1" xfId="4529" builtinId="16" customBuiltin="1"/>
    <cellStyle name="Heading 1 2" xfId="1576"/>
    <cellStyle name="Heading 1 2 2" xfId="1577"/>
    <cellStyle name="Heading 1 2 3" xfId="1578"/>
    <cellStyle name="Heading 1 2 4" xfId="1579"/>
    <cellStyle name="Heading 1 2 5" xfId="1580"/>
    <cellStyle name="Heading 1 2 6" xfId="1581"/>
    <cellStyle name="Heading 1 2 7" xfId="4516"/>
    <cellStyle name="Heading 1 3" xfId="1582"/>
    <cellStyle name="Heading 2" xfId="4530" builtinId="17" customBuiltin="1"/>
    <cellStyle name="Heading 2 2" xfId="1583"/>
    <cellStyle name="Heading 2 2 2" xfId="1584"/>
    <cellStyle name="Heading 2 2 3" xfId="1585"/>
    <cellStyle name="Heading 2 2 4" xfId="1586"/>
    <cellStyle name="Heading 2 2 5" xfId="1587"/>
    <cellStyle name="Heading 2 2 6" xfId="1588"/>
    <cellStyle name="Heading 2 2 7" xfId="4517"/>
    <cellStyle name="Heading 2 3" xfId="1589"/>
    <cellStyle name="Heading 3" xfId="4531" builtinId="18" customBuiltin="1"/>
    <cellStyle name="Heading 3 2" xfId="1590"/>
    <cellStyle name="Heading 3 2 2" xfId="1591"/>
    <cellStyle name="Heading 3 2 3" xfId="1592"/>
    <cellStyle name="Heading 3 2 4" xfId="1593"/>
    <cellStyle name="Heading 3 2 5" xfId="1594"/>
    <cellStyle name="Heading 3 2 6" xfId="1595"/>
    <cellStyle name="Heading 3 2 7" xfId="1596"/>
    <cellStyle name="Heading 3 2 8" xfId="4518"/>
    <cellStyle name="Heading 3 3" xfId="1597"/>
    <cellStyle name="Heading 4" xfId="4532" builtinId="19" customBuiltin="1"/>
    <cellStyle name="Heading 4 2" xfId="1598"/>
    <cellStyle name="Heading 4 2 2" xfId="1599"/>
    <cellStyle name="Heading 4 2 3" xfId="4519"/>
    <cellStyle name="Heading2" xfId="1600"/>
    <cellStyle name="Heading3" xfId="1601"/>
    <cellStyle name="HeadingColumn" xfId="1602"/>
    <cellStyle name="HeadingS" xfId="1603"/>
    <cellStyle name="HeadingYear" xfId="1604"/>
    <cellStyle name="HeadlineStyle" xfId="1605"/>
    <cellStyle name="HeadlineStyleJustified" xfId="1606"/>
    <cellStyle name="Hed Side_Sheet1" xfId="1607"/>
    <cellStyle name="Hed Top" xfId="1608"/>
    <cellStyle name="Hyperlink 2" xfId="4"/>
    <cellStyle name="Hyperlink 2 10" xfId="1609"/>
    <cellStyle name="Hyperlink 2 11" xfId="1610"/>
    <cellStyle name="Hyperlink 2 12" xfId="1611"/>
    <cellStyle name="Hyperlink 2 13" xfId="1612"/>
    <cellStyle name="Hyperlink 2 14" xfId="4608"/>
    <cellStyle name="Hyperlink 2 2" xfId="1613"/>
    <cellStyle name="Hyperlink 2 2 2" xfId="1614"/>
    <cellStyle name="Hyperlink 2 3" xfId="1615"/>
    <cellStyle name="Hyperlink 2 3 2" xfId="1616"/>
    <cellStyle name="Hyperlink 2 4" xfId="1617"/>
    <cellStyle name="Hyperlink 2 5" xfId="1618"/>
    <cellStyle name="Hyperlink 2 6" xfId="1619"/>
    <cellStyle name="Hyperlink 2 7" xfId="1620"/>
    <cellStyle name="Hyperlink 2 8" xfId="1621"/>
    <cellStyle name="Hyperlink 2 9" xfId="1622"/>
    <cellStyle name="Hyperlink 3" xfId="1623"/>
    <cellStyle name="Hyperlink 3 10" xfId="1624"/>
    <cellStyle name="Hyperlink 3 11" xfId="1625"/>
    <cellStyle name="Hyperlink 3 12" xfId="1626"/>
    <cellStyle name="Hyperlink 3 2" xfId="1627"/>
    <cellStyle name="Hyperlink 3 3" xfId="1628"/>
    <cellStyle name="Hyperlink 3 4" xfId="1629"/>
    <cellStyle name="Hyperlink 3 5" xfId="1630"/>
    <cellStyle name="Hyperlink 3 6" xfId="1631"/>
    <cellStyle name="Hyperlink 3 7" xfId="1632"/>
    <cellStyle name="Hyperlink 3 8" xfId="1633"/>
    <cellStyle name="Hyperlink 3 9" xfId="1634"/>
    <cellStyle name="Hyperlink 4" xfId="1635"/>
    <cellStyle name="Hyperlink 5" xfId="1636"/>
    <cellStyle name="InLink_Acquis_CapitalCost " xfId="1637"/>
    <cellStyle name="Input" xfId="4536" builtinId="20" customBuiltin="1"/>
    <cellStyle name="Input (1dp#)_ Pies " xfId="1638"/>
    <cellStyle name="Input [yellow]" xfId="1639"/>
    <cellStyle name="Input [yellow] 2" xfId="4653"/>
    <cellStyle name="Input 2" xfId="1640"/>
    <cellStyle name="Input 2 10" xfId="4476"/>
    <cellStyle name="Input 2 11" xfId="4520"/>
    <cellStyle name="Input 2 2" xfId="1641"/>
    <cellStyle name="Input 2 2 2" xfId="1642"/>
    <cellStyle name="Input 2 2 3" xfId="4477"/>
    <cellStyle name="Input 2 2 3 2" xfId="5469"/>
    <cellStyle name="Input 2 2 4" xfId="5470"/>
    <cellStyle name="Input 2 3" xfId="1643"/>
    <cellStyle name="Input 2 3 2" xfId="5471"/>
    <cellStyle name="Input 2 3 3" xfId="5472"/>
    <cellStyle name="Input 2 3 3 2" xfId="5473"/>
    <cellStyle name="Input 2 3 4" xfId="5474"/>
    <cellStyle name="Input 2 4" xfId="1644"/>
    <cellStyle name="Input 2 5" xfId="1645"/>
    <cellStyle name="Input 2 5 2" xfId="5475"/>
    <cellStyle name="Input 2 6" xfId="1646"/>
    <cellStyle name="Input 2 7" xfId="1647"/>
    <cellStyle name="Input 2 8" xfId="1648"/>
    <cellStyle name="Input 2 9" xfId="1649"/>
    <cellStyle name="Input 3" xfId="1650"/>
    <cellStyle name="Input 4" xfId="4638"/>
    <cellStyle name="Input 5" xfId="4640"/>
    <cellStyle name="Input 6" xfId="4643"/>
    <cellStyle name="Input 7" xfId="4645"/>
    <cellStyle name="Input 8" xfId="4648"/>
    <cellStyle name="InputBlueFont" xfId="1651"/>
    <cellStyle name="InputGen" xfId="1652"/>
    <cellStyle name="InputKeepColour" xfId="1653"/>
    <cellStyle name="InputKeepPale" xfId="1654"/>
    <cellStyle name="InputVariColour" xfId="1655"/>
    <cellStyle name="Integer" xfId="1656"/>
    <cellStyle name="Invisible" xfId="1657"/>
    <cellStyle name="Item" xfId="1658"/>
    <cellStyle name="Items_Obligatory" xfId="1659"/>
    <cellStyle name="ItemTypeClass" xfId="1660"/>
    <cellStyle name="ItemTypeClass 2" xfId="4478"/>
    <cellStyle name="KP_Normal" xfId="1661"/>
    <cellStyle name="Lien hypertexte visité_index" xfId="1662"/>
    <cellStyle name="Lien hypertexte_index" xfId="1663"/>
    <cellStyle name="ligne_detail" xfId="1664"/>
    <cellStyle name="Line" xfId="1665"/>
    <cellStyle name="Link Currency (0)" xfId="1666"/>
    <cellStyle name="Link Currency (2)" xfId="1667"/>
    <cellStyle name="Link Units (0)" xfId="1668"/>
    <cellStyle name="Link Units (1)" xfId="1669"/>
    <cellStyle name="Link Units (2)" xfId="1670"/>
    <cellStyle name="Linked Cell" xfId="4539" builtinId="24" customBuiltin="1"/>
    <cellStyle name="Linked Cell 2" xfId="1671"/>
    <cellStyle name="Linked Cell 2 10" xfId="4521"/>
    <cellStyle name="Linked Cell 2 2" xfId="1672"/>
    <cellStyle name="Linked Cell 2 3" xfId="1673"/>
    <cellStyle name="Linked Cell 2 4" xfId="1674"/>
    <cellStyle name="Linked Cell 2 5" xfId="1675"/>
    <cellStyle name="Linked Cell 2 6" xfId="1676"/>
    <cellStyle name="Linked Cell 2 7" xfId="1677"/>
    <cellStyle name="Linked Cell 2 8" xfId="1678"/>
    <cellStyle name="Linked Cell 2 9" xfId="1679"/>
    <cellStyle name="m/d/yy" xfId="1680"/>
    <cellStyle name="m1" xfId="1681"/>
    <cellStyle name="Major item" xfId="1682"/>
    <cellStyle name="Margin" xfId="1683"/>
    <cellStyle name="Migliaia (0)_Sheet1" xfId="1684"/>
    <cellStyle name="Migliaia_piv_polio" xfId="1685"/>
    <cellStyle name="Millares [0]_Asset Mgmt " xfId="1686"/>
    <cellStyle name="Millares_2AV_M_M " xfId="1687"/>
    <cellStyle name="Milliers [0]_CANADA1" xfId="1688"/>
    <cellStyle name="Milliers 2" xfId="1689"/>
    <cellStyle name="Milliers_CANADA1" xfId="1690"/>
    <cellStyle name="mm/dd/yy" xfId="1691"/>
    <cellStyle name="mod1" xfId="1692"/>
    <cellStyle name="modelo1" xfId="1693"/>
    <cellStyle name="Moneda [0]_2AV_M_M " xfId="1694"/>
    <cellStyle name="Moneda_2AV_M_M " xfId="1695"/>
    <cellStyle name="Monétaire [0]_CANADA1" xfId="1696"/>
    <cellStyle name="Monétaire 2" xfId="1697"/>
    <cellStyle name="Monétaire_CANADA1" xfId="1698"/>
    <cellStyle name="Monetario" xfId="1699"/>
    <cellStyle name="MonthYears" xfId="1700"/>
    <cellStyle name="Multiple" xfId="1701"/>
    <cellStyle name="Multiple (no x)" xfId="1702"/>
    <cellStyle name="Multiple (x)" xfId="1703"/>
    <cellStyle name="Multiple [0]" xfId="1704"/>
    <cellStyle name="Multiple [1]" xfId="1705"/>
    <cellStyle name="Multiple [2]" xfId="1706"/>
    <cellStyle name="Multiple [3]" xfId="1707"/>
    <cellStyle name="Multiple_1030171N" xfId="1708"/>
    <cellStyle name="neg0.0_CapitalCost " xfId="1709"/>
    <cellStyle name="Neutral" xfId="4535" builtinId="28" customBuiltin="1"/>
    <cellStyle name="Neutral 2" xfId="1710"/>
    <cellStyle name="Neutral 2 10" xfId="4522"/>
    <cellStyle name="Neutral 2 2" xfId="1711"/>
    <cellStyle name="Neutral 2 3" xfId="1712"/>
    <cellStyle name="Neutral 2 4" xfId="1713"/>
    <cellStyle name="Neutral 2 5" xfId="1714"/>
    <cellStyle name="Neutral 2 6" xfId="1715"/>
    <cellStyle name="Neutral 2 7" xfId="1716"/>
    <cellStyle name="Neutral 2 8" xfId="1717"/>
    <cellStyle name="Neutral 2 9" xfId="1718"/>
    <cellStyle name="New" xfId="1719"/>
    <cellStyle name="Nil" xfId="1720"/>
    <cellStyle name="no dec" xfId="1721"/>
    <cellStyle name="No-definido" xfId="1722"/>
    <cellStyle name="Non_Input_Cell_Figures" xfId="1723"/>
    <cellStyle name="NonPrintingArea" xfId="1724"/>
    <cellStyle name="NORAYAS" xfId="1725"/>
    <cellStyle name="Normal" xfId="0" builtinId="0"/>
    <cellStyle name="Normal--" xfId="1726"/>
    <cellStyle name="Normal - Style1" xfId="1727"/>
    <cellStyle name="Normal [0]" xfId="1728"/>
    <cellStyle name="Normal [1]" xfId="1729"/>
    <cellStyle name="Normal [3]" xfId="1730"/>
    <cellStyle name="Normal [3] 2" xfId="1731"/>
    <cellStyle name="Normal [3] 3" xfId="1732"/>
    <cellStyle name="Normal 10" xfId="1733"/>
    <cellStyle name="Normal 10 2" xfId="1734"/>
    <cellStyle name="Normal 10 2 2" xfId="5476"/>
    <cellStyle name="Normal 10 2 3" xfId="5477"/>
    <cellStyle name="Normal 10 3" xfId="1735"/>
    <cellStyle name="Normal 10 4" xfId="1736"/>
    <cellStyle name="Normal 10 5" xfId="1737"/>
    <cellStyle name="Normal 10 6" xfId="1738"/>
    <cellStyle name="Normal 10 7" xfId="1739"/>
    <cellStyle name="Normal 11" xfId="1740"/>
    <cellStyle name="Normal 11 2" xfId="1741"/>
    <cellStyle name="Normal 11 2 2" xfId="1742"/>
    <cellStyle name="Normal 11 3" xfId="1743"/>
    <cellStyle name="Normal 11 4" xfId="1744"/>
    <cellStyle name="Normal 11 5" xfId="1745"/>
    <cellStyle name="Normal 11 6" xfId="1746"/>
    <cellStyle name="Normal 11 7" xfId="1747"/>
    <cellStyle name="Normal 12" xfId="1748"/>
    <cellStyle name="Normal 12 2" xfId="1749"/>
    <cellStyle name="Normal 12 3" xfId="1750"/>
    <cellStyle name="Normal 12 4" xfId="1751"/>
    <cellStyle name="Normal 12 5" xfId="1752"/>
    <cellStyle name="Normal 13" xfId="1753"/>
    <cellStyle name="Normal 13 2" xfId="1754"/>
    <cellStyle name="Normal 13 2 2" xfId="5478"/>
    <cellStyle name="Normal 13 2 3" xfId="5479"/>
    <cellStyle name="Normal 13 3" xfId="1755"/>
    <cellStyle name="Normal 13 4" xfId="5480"/>
    <cellStyle name="Normal 14" xfId="1756"/>
    <cellStyle name="Normal 14 2" xfId="1757"/>
    <cellStyle name="Normal 14 2 2" xfId="5481"/>
    <cellStyle name="Normal 14 2 2 2" xfId="5482"/>
    <cellStyle name="Normal 14 2 3" xfId="5483"/>
    <cellStyle name="Normal 14 2 4" xfId="5484"/>
    <cellStyle name="Normal 14 3" xfId="1758"/>
    <cellStyle name="Normal 15" xfId="1759"/>
    <cellStyle name="Normal 15 2" xfId="1760"/>
    <cellStyle name="Normal 15 2 2" xfId="1761"/>
    <cellStyle name="Normal 15 3" xfId="1762"/>
    <cellStyle name="Normal 15 4" xfId="1763"/>
    <cellStyle name="Normal 16" xfId="1764"/>
    <cellStyle name="Normal 16 2" xfId="1765"/>
    <cellStyle name="Normal 16 2 2" xfId="5485"/>
    <cellStyle name="Normal 16 3" xfId="1766"/>
    <cellStyle name="Normal 16 4" xfId="5486"/>
    <cellStyle name="Normal 17" xfId="1767"/>
    <cellStyle name="Normal 17 2" xfId="5487"/>
    <cellStyle name="Normal 17 2 2" xfId="5488"/>
    <cellStyle name="Normal 17 2 2 2" xfId="5489"/>
    <cellStyle name="Normal 17 2 3" xfId="5490"/>
    <cellStyle name="Normal 17 2 4" xfId="5491"/>
    <cellStyle name="Normal 17 3" xfId="5492"/>
    <cellStyle name="Normal 17 3 2" xfId="5493"/>
    <cellStyle name="Normal 17 4" xfId="5494"/>
    <cellStyle name="Normal 17 5" xfId="5495"/>
    <cellStyle name="Normal 18" xfId="1768"/>
    <cellStyle name="Normal 18 2" xfId="1769"/>
    <cellStyle name="Normal 18 2 2" xfId="5496"/>
    <cellStyle name="Normal 18 3" xfId="5497"/>
    <cellStyle name="Normal 18 4" xfId="5498"/>
    <cellStyle name="Normal 19" xfId="1770"/>
    <cellStyle name="Normal 2" xfId="5"/>
    <cellStyle name="Normal-- 2" xfId="1771"/>
    <cellStyle name="Normal 2 10" xfId="1772"/>
    <cellStyle name="Normal 2 10 2" xfId="1773"/>
    <cellStyle name="Normal 2 11" xfId="1774"/>
    <cellStyle name="Normal 2 11 2" xfId="1775"/>
    <cellStyle name="Normal 2 12" xfId="1776"/>
    <cellStyle name="Normal 2 12 2" xfId="1777"/>
    <cellStyle name="Normal 2 13" xfId="1778"/>
    <cellStyle name="Normal 2 13 2" xfId="1779"/>
    <cellStyle name="Normal 2 14" xfId="1780"/>
    <cellStyle name="Normal 2 14 2" xfId="1781"/>
    <cellStyle name="Normal 2 15" xfId="1782"/>
    <cellStyle name="Normal 2 15 2" xfId="1783"/>
    <cellStyle name="Normal 2 16" xfId="1784"/>
    <cellStyle name="Normal 2 16 2" xfId="1785"/>
    <cellStyle name="Normal 2 17" xfId="1786"/>
    <cellStyle name="Normal 2 17 2" xfId="1787"/>
    <cellStyle name="Normal 2 18" xfId="1788"/>
    <cellStyle name="Normal 2 18 2" xfId="1789"/>
    <cellStyle name="Normal 2 19" xfId="1790"/>
    <cellStyle name="Normal 2 19 2" xfId="1791"/>
    <cellStyle name="Normal 2 2" xfId="1792"/>
    <cellStyle name="Normal 2 2 2" xfId="1793"/>
    <cellStyle name="Normal 2 2 2 2" xfId="1794"/>
    <cellStyle name="Normal 2 2 2 2 2" xfId="1795"/>
    <cellStyle name="Normal 2 2 2 3" xfId="1796"/>
    <cellStyle name="Normal 2 2 2 4" xfId="1797"/>
    <cellStyle name="Normal 2 2 2 5" xfId="1798"/>
    <cellStyle name="Normal 2 2 2 6" xfId="1799"/>
    <cellStyle name="Normal 2 2 3" xfId="1800"/>
    <cellStyle name="Normal 2 2 4" xfId="1801"/>
    <cellStyle name="Normal 2 2 4 2" xfId="1802"/>
    <cellStyle name="Normal 2 2 4 3" xfId="1803"/>
    <cellStyle name="Normal 2 2 5" xfId="1804"/>
    <cellStyle name="Normal 2 2 6" xfId="1805"/>
    <cellStyle name="Normal 2 2 7" xfId="5603"/>
    <cellStyle name="Normal 2 20" xfId="1806"/>
    <cellStyle name="Normal 2 20 2" xfId="1807"/>
    <cellStyle name="Normal 2 21" xfId="1808"/>
    <cellStyle name="Normal 2 21 2" xfId="1809"/>
    <cellStyle name="Normal 2 22" xfId="1810"/>
    <cellStyle name="Normal 2 22 2" xfId="1811"/>
    <cellStyle name="Normal 2 23" xfId="1812"/>
    <cellStyle name="Normal 2 23 2" xfId="1813"/>
    <cellStyle name="Normal 2 24" xfId="1814"/>
    <cellStyle name="Normal 2 24 2" xfId="1815"/>
    <cellStyle name="Normal 2 24 2 2" xfId="1816"/>
    <cellStyle name="Normal 2 24 3" xfId="1817"/>
    <cellStyle name="Normal 2 24 4" xfId="1818"/>
    <cellStyle name="Normal 2 25" xfId="1819"/>
    <cellStyle name="Normal 2 25 2" xfId="1820"/>
    <cellStyle name="Normal 2 26" xfId="1821"/>
    <cellStyle name="Normal 2 26 2" xfId="1822"/>
    <cellStyle name="Normal 2 27" xfId="1823"/>
    <cellStyle name="Normal 2 27 2" xfId="1824"/>
    <cellStyle name="Normal 2 28" xfId="1825"/>
    <cellStyle name="Normal 2 28 2" xfId="1826"/>
    <cellStyle name="Normal 2 29" xfId="1827"/>
    <cellStyle name="Normal 2 29 2" xfId="1828"/>
    <cellStyle name="Normal 2 3" xfId="1829"/>
    <cellStyle name="Normal 2 3 2" xfId="1830"/>
    <cellStyle name="Normal 2 3 3" xfId="1831"/>
    <cellStyle name="Normal 2 30" xfId="1832"/>
    <cellStyle name="Normal 2 30 2" xfId="1833"/>
    <cellStyle name="Normal 2 31" xfId="1834"/>
    <cellStyle name="Normal 2 31 2" xfId="1835"/>
    <cellStyle name="Normal 2 32" xfId="1836"/>
    <cellStyle name="Normal 2 33" xfId="1837"/>
    <cellStyle name="Normal 2 34" xfId="1838"/>
    <cellStyle name="Normal 2 35" xfId="1839"/>
    <cellStyle name="Normal 2 36" xfId="1840"/>
    <cellStyle name="Normal 2 37" xfId="1841"/>
    <cellStyle name="Normal 2 38" xfId="1842"/>
    <cellStyle name="Normal 2 38 2" xfId="5499"/>
    <cellStyle name="Normal 2 39" xfId="1843"/>
    <cellStyle name="Normal 2 4" xfId="1844"/>
    <cellStyle name="Normal 2 4 2" xfId="1845"/>
    <cellStyle name="Normal 2 4 3" xfId="1846"/>
    <cellStyle name="Normal 2 4 4" xfId="1847"/>
    <cellStyle name="Normal 2 40" xfId="1848"/>
    <cellStyle name="Normal 2 41" xfId="1849"/>
    <cellStyle name="Normal 2 42" xfId="1850"/>
    <cellStyle name="Normal 2 43" xfId="1851"/>
    <cellStyle name="Normal 2 44" xfId="1852"/>
    <cellStyle name="Normal 2 45" xfId="1853"/>
    <cellStyle name="Normal 2 46" xfId="1854"/>
    <cellStyle name="Normal 2 47" xfId="1855"/>
    <cellStyle name="Normal 2 48" xfId="4486"/>
    <cellStyle name="Normal 2 49" xfId="4609"/>
    <cellStyle name="Normal 2 5" xfId="1856"/>
    <cellStyle name="Normal 2 5 2" xfId="1857"/>
    <cellStyle name="Normal 2 5 3" xfId="1858"/>
    <cellStyle name="Normal 2 50" xfId="4613"/>
    <cellStyle name="Normal 2 51" xfId="4611"/>
    <cellStyle name="Normal 2 52" xfId="4615"/>
    <cellStyle name="Normal 2 53" xfId="4618"/>
    <cellStyle name="Normal 2 54" xfId="4621"/>
    <cellStyle name="Normal 2 55" xfId="4624"/>
    <cellStyle name="Normal 2 56" xfId="4627"/>
    <cellStyle name="Normal 2 57" xfId="4630"/>
    <cellStyle name="Normal 2 58" xfId="4669"/>
    <cellStyle name="Normal 2 59" xfId="4673"/>
    <cellStyle name="Normal 2 6" xfId="1859"/>
    <cellStyle name="Normal 2 6 2" xfId="1860"/>
    <cellStyle name="Normal 2 60" xfId="4691"/>
    <cellStyle name="Normal 2 61" xfId="4682"/>
    <cellStyle name="Normal 2 62" xfId="4692"/>
    <cellStyle name="Normal 2 63" xfId="4681"/>
    <cellStyle name="Normal 2 64" xfId="4693"/>
    <cellStyle name="Normal 2 65" xfId="5605"/>
    <cellStyle name="Normal 2 7" xfId="1861"/>
    <cellStyle name="Normal 2 7 2" xfId="1862"/>
    <cellStyle name="Normal 2 8" xfId="1863"/>
    <cellStyle name="Normal 2 8 2" xfId="1864"/>
    <cellStyle name="Normal 2 9" xfId="1865"/>
    <cellStyle name="Normal 2 9 2" xfId="1866"/>
    <cellStyle name="Normal 20" xfId="1867"/>
    <cellStyle name="Normal 20 2" xfId="5500"/>
    <cellStyle name="Normal 21" xfId="1868"/>
    <cellStyle name="Normal 22" xfId="1869"/>
    <cellStyle name="Normal 23" xfId="1870"/>
    <cellStyle name="Normal 24" xfId="1871"/>
    <cellStyle name="Normal 25" xfId="1872"/>
    <cellStyle name="Normal 25 10" xfId="1873"/>
    <cellStyle name="Normal 25 100" xfId="1874"/>
    <cellStyle name="Normal 25 101" xfId="1875"/>
    <cellStyle name="Normal 25 102" xfId="1876"/>
    <cellStyle name="Normal 25 103" xfId="1877"/>
    <cellStyle name="Normal 25 104" xfId="1878"/>
    <cellStyle name="Normal 25 105" xfId="1879"/>
    <cellStyle name="Normal 25 106" xfId="1880"/>
    <cellStyle name="Normal 25 107" xfId="1881"/>
    <cellStyle name="Normal 25 108" xfId="1882"/>
    <cellStyle name="Normal 25 109" xfId="1883"/>
    <cellStyle name="Normal 25 11" xfId="1884"/>
    <cellStyle name="Normal 25 12" xfId="1885"/>
    <cellStyle name="Normal 25 13" xfId="1886"/>
    <cellStyle name="Normal 25 14" xfId="1887"/>
    <cellStyle name="Normal 25 15" xfId="1888"/>
    <cellStyle name="Normal 25 16" xfId="1889"/>
    <cellStyle name="Normal 25 17" xfId="1890"/>
    <cellStyle name="Normal 25 18" xfId="1891"/>
    <cellStyle name="Normal 25 19" xfId="1892"/>
    <cellStyle name="Normal 25 2" xfId="1893"/>
    <cellStyle name="Normal 25 20" xfId="1894"/>
    <cellStyle name="Normal 25 21" xfId="1895"/>
    <cellStyle name="Normal 25 22" xfId="1896"/>
    <cellStyle name="Normal 25 23" xfId="1897"/>
    <cellStyle name="Normal 25 24" xfId="1898"/>
    <cellStyle name="Normal 25 25" xfId="1899"/>
    <cellStyle name="Normal 25 26" xfId="1900"/>
    <cellStyle name="Normal 25 27" xfId="1901"/>
    <cellStyle name="Normal 25 28" xfId="1902"/>
    <cellStyle name="Normal 25 29" xfId="1903"/>
    <cellStyle name="Normal 25 3" xfId="1904"/>
    <cellStyle name="Normal 25 30" xfId="1905"/>
    <cellStyle name="Normal 25 31" xfId="1906"/>
    <cellStyle name="Normal 25 32" xfId="1907"/>
    <cellStyle name="Normal 25 33" xfId="1908"/>
    <cellStyle name="Normal 25 34" xfId="1909"/>
    <cellStyle name="Normal 25 35" xfId="1910"/>
    <cellStyle name="Normal 25 36" xfId="1911"/>
    <cellStyle name="Normal 25 37" xfId="1912"/>
    <cellStyle name="Normal 25 38" xfId="1913"/>
    <cellStyle name="Normal 25 39" xfId="1914"/>
    <cellStyle name="Normal 25 4" xfId="1915"/>
    <cellStyle name="Normal 25 40" xfId="1916"/>
    <cellStyle name="Normal 25 41" xfId="1917"/>
    <cellStyle name="Normal 25 42" xfId="1918"/>
    <cellStyle name="Normal 25 43" xfId="1919"/>
    <cellStyle name="Normal 25 44" xfId="1920"/>
    <cellStyle name="Normal 25 45" xfId="1921"/>
    <cellStyle name="Normal 25 46" xfId="1922"/>
    <cellStyle name="Normal 25 47" xfId="1923"/>
    <cellStyle name="Normal 25 48" xfId="1924"/>
    <cellStyle name="Normal 25 49" xfId="1925"/>
    <cellStyle name="Normal 25 5" xfId="1926"/>
    <cellStyle name="Normal 25 50" xfId="1927"/>
    <cellStyle name="Normal 25 51" xfId="1928"/>
    <cellStyle name="Normal 25 52" xfId="1929"/>
    <cellStyle name="Normal 25 53" xfId="1930"/>
    <cellStyle name="Normal 25 54" xfId="1931"/>
    <cellStyle name="Normal 25 55" xfId="1932"/>
    <cellStyle name="Normal 25 56" xfId="1933"/>
    <cellStyle name="Normal 25 57" xfId="1934"/>
    <cellStyle name="Normal 25 58" xfId="1935"/>
    <cellStyle name="Normal 25 59" xfId="1936"/>
    <cellStyle name="Normal 25 6" xfId="1937"/>
    <cellStyle name="Normal 25 60" xfId="1938"/>
    <cellStyle name="Normal 25 61" xfId="1939"/>
    <cellStyle name="Normal 25 62" xfId="1940"/>
    <cellStyle name="Normal 25 63" xfId="1941"/>
    <cellStyle name="Normal 25 64" xfId="1942"/>
    <cellStyle name="Normal 25 65" xfId="1943"/>
    <cellStyle name="Normal 25 66" xfId="1944"/>
    <cellStyle name="Normal 25 67" xfId="1945"/>
    <cellStyle name="Normal 25 68" xfId="1946"/>
    <cellStyle name="Normal 25 69" xfId="1947"/>
    <cellStyle name="Normal 25 7" xfId="1948"/>
    <cellStyle name="Normal 25 70" xfId="1949"/>
    <cellStyle name="Normal 25 71" xfId="1950"/>
    <cellStyle name="Normal 25 72" xfId="1951"/>
    <cellStyle name="Normal 25 73" xfId="1952"/>
    <cellStyle name="Normal 25 74" xfId="1953"/>
    <cellStyle name="Normal 25 75" xfId="1954"/>
    <cellStyle name="Normal 25 76" xfId="1955"/>
    <cellStyle name="Normal 25 77" xfId="1956"/>
    <cellStyle name="Normal 25 78" xfId="1957"/>
    <cellStyle name="Normal 25 79" xfId="1958"/>
    <cellStyle name="Normal 25 8" xfId="1959"/>
    <cellStyle name="Normal 25 80" xfId="1960"/>
    <cellStyle name="Normal 25 81" xfId="1961"/>
    <cellStyle name="Normal 25 82" xfId="1962"/>
    <cellStyle name="Normal 25 83" xfId="1963"/>
    <cellStyle name="Normal 25 84" xfId="1964"/>
    <cellStyle name="Normal 25 85" xfId="1965"/>
    <cellStyle name="Normal 25 86" xfId="1966"/>
    <cellStyle name="Normal 25 87" xfId="1967"/>
    <cellStyle name="Normal 25 88" xfId="1968"/>
    <cellStyle name="Normal 25 89" xfId="1969"/>
    <cellStyle name="Normal 25 9" xfId="1970"/>
    <cellStyle name="Normal 25 90" xfId="1971"/>
    <cellStyle name="Normal 25 91" xfId="1972"/>
    <cellStyle name="Normal 25 92" xfId="1973"/>
    <cellStyle name="Normal 25 93" xfId="1974"/>
    <cellStyle name="Normal 25 94" xfId="1975"/>
    <cellStyle name="Normal 25 95" xfId="1976"/>
    <cellStyle name="Normal 25 96" xfId="1977"/>
    <cellStyle name="Normal 25 97" xfId="1978"/>
    <cellStyle name="Normal 25 98" xfId="1979"/>
    <cellStyle name="Normal 25 99" xfId="1980"/>
    <cellStyle name="Normal 26" xfId="1981"/>
    <cellStyle name="Normal 26 10" xfId="1982"/>
    <cellStyle name="Normal 26 100" xfId="1983"/>
    <cellStyle name="Normal 26 101" xfId="1984"/>
    <cellStyle name="Normal 26 102" xfId="1985"/>
    <cellStyle name="Normal 26 103" xfId="1986"/>
    <cellStyle name="Normal 26 104" xfId="1987"/>
    <cellStyle name="Normal 26 105" xfId="1988"/>
    <cellStyle name="Normal 26 106" xfId="1989"/>
    <cellStyle name="Normal 26 107" xfId="1990"/>
    <cellStyle name="Normal 26 108" xfId="1991"/>
    <cellStyle name="Normal 26 109" xfId="1992"/>
    <cellStyle name="Normal 26 11" xfId="1993"/>
    <cellStyle name="Normal 26 12" xfId="1994"/>
    <cellStyle name="Normal 26 13" xfId="1995"/>
    <cellStyle name="Normal 26 14" xfId="1996"/>
    <cellStyle name="Normal 26 15" xfId="1997"/>
    <cellStyle name="Normal 26 16" xfId="1998"/>
    <cellStyle name="Normal 26 17" xfId="1999"/>
    <cellStyle name="Normal 26 18" xfId="2000"/>
    <cellStyle name="Normal 26 19" xfId="2001"/>
    <cellStyle name="Normal 26 2" xfId="2002"/>
    <cellStyle name="Normal 26 20" xfId="2003"/>
    <cellStyle name="Normal 26 21" xfId="2004"/>
    <cellStyle name="Normal 26 22" xfId="2005"/>
    <cellStyle name="Normal 26 23" xfId="2006"/>
    <cellStyle name="Normal 26 24" xfId="2007"/>
    <cellStyle name="Normal 26 25" xfId="2008"/>
    <cellStyle name="Normal 26 26" xfId="2009"/>
    <cellStyle name="Normal 26 27" xfId="2010"/>
    <cellStyle name="Normal 26 28" xfId="2011"/>
    <cellStyle name="Normal 26 29" xfId="2012"/>
    <cellStyle name="Normal 26 3" xfId="2013"/>
    <cellStyle name="Normal 26 30" xfId="2014"/>
    <cellStyle name="Normal 26 31" xfId="2015"/>
    <cellStyle name="Normal 26 32" xfId="2016"/>
    <cellStyle name="Normal 26 33" xfId="2017"/>
    <cellStyle name="Normal 26 34" xfId="2018"/>
    <cellStyle name="Normal 26 35" xfId="2019"/>
    <cellStyle name="Normal 26 36" xfId="2020"/>
    <cellStyle name="Normal 26 37" xfId="2021"/>
    <cellStyle name="Normal 26 38" xfId="2022"/>
    <cellStyle name="Normal 26 39" xfId="2023"/>
    <cellStyle name="Normal 26 4" xfId="2024"/>
    <cellStyle name="Normal 26 40" xfId="2025"/>
    <cellStyle name="Normal 26 41" xfId="2026"/>
    <cellStyle name="Normal 26 42" xfId="2027"/>
    <cellStyle name="Normal 26 43" xfId="2028"/>
    <cellStyle name="Normal 26 44" xfId="2029"/>
    <cellStyle name="Normal 26 45" xfId="2030"/>
    <cellStyle name="Normal 26 46" xfId="2031"/>
    <cellStyle name="Normal 26 47" xfId="2032"/>
    <cellStyle name="Normal 26 48" xfId="2033"/>
    <cellStyle name="Normal 26 49" xfId="2034"/>
    <cellStyle name="Normal 26 5" xfId="2035"/>
    <cellStyle name="Normal 26 50" xfId="2036"/>
    <cellStyle name="Normal 26 51" xfId="2037"/>
    <cellStyle name="Normal 26 52" xfId="2038"/>
    <cellStyle name="Normal 26 53" xfId="2039"/>
    <cellStyle name="Normal 26 54" xfId="2040"/>
    <cellStyle name="Normal 26 55" xfId="2041"/>
    <cellStyle name="Normal 26 56" xfId="2042"/>
    <cellStyle name="Normal 26 57" xfId="2043"/>
    <cellStyle name="Normal 26 58" xfId="2044"/>
    <cellStyle name="Normal 26 59" xfId="2045"/>
    <cellStyle name="Normal 26 6" xfId="2046"/>
    <cellStyle name="Normal 26 60" xfId="2047"/>
    <cellStyle name="Normal 26 61" xfId="2048"/>
    <cellStyle name="Normal 26 62" xfId="2049"/>
    <cellStyle name="Normal 26 63" xfId="2050"/>
    <cellStyle name="Normal 26 64" xfId="2051"/>
    <cellStyle name="Normal 26 65" xfId="2052"/>
    <cellStyle name="Normal 26 66" xfId="2053"/>
    <cellStyle name="Normal 26 67" xfId="2054"/>
    <cellStyle name="Normal 26 68" xfId="2055"/>
    <cellStyle name="Normal 26 69" xfId="2056"/>
    <cellStyle name="Normal 26 7" xfId="2057"/>
    <cellStyle name="Normal 26 70" xfId="2058"/>
    <cellStyle name="Normal 26 71" xfId="2059"/>
    <cellStyle name="Normal 26 72" xfId="2060"/>
    <cellStyle name="Normal 26 73" xfId="2061"/>
    <cellStyle name="Normal 26 74" xfId="2062"/>
    <cellStyle name="Normal 26 75" xfId="2063"/>
    <cellStyle name="Normal 26 76" xfId="2064"/>
    <cellStyle name="Normal 26 77" xfId="2065"/>
    <cellStyle name="Normal 26 78" xfId="2066"/>
    <cellStyle name="Normal 26 79" xfId="2067"/>
    <cellStyle name="Normal 26 8" xfId="2068"/>
    <cellStyle name="Normal 26 80" xfId="2069"/>
    <cellStyle name="Normal 26 81" xfId="2070"/>
    <cellStyle name="Normal 26 82" xfId="2071"/>
    <cellStyle name="Normal 26 83" xfId="2072"/>
    <cellStyle name="Normal 26 84" xfId="2073"/>
    <cellStyle name="Normal 26 85" xfId="2074"/>
    <cellStyle name="Normal 26 86" xfId="2075"/>
    <cellStyle name="Normal 26 87" xfId="2076"/>
    <cellStyle name="Normal 26 88" xfId="2077"/>
    <cellStyle name="Normal 26 89" xfId="2078"/>
    <cellStyle name="Normal 26 9" xfId="2079"/>
    <cellStyle name="Normal 26 90" xfId="2080"/>
    <cellStyle name="Normal 26 91" xfId="2081"/>
    <cellStyle name="Normal 26 92" xfId="2082"/>
    <cellStyle name="Normal 26 93" xfId="2083"/>
    <cellStyle name="Normal 26 94" xfId="2084"/>
    <cellStyle name="Normal 26 95" xfId="2085"/>
    <cellStyle name="Normal 26 96" xfId="2086"/>
    <cellStyle name="Normal 26 97" xfId="2087"/>
    <cellStyle name="Normal 26 98" xfId="2088"/>
    <cellStyle name="Normal 26 99" xfId="2089"/>
    <cellStyle name="Normal 27" xfId="2090"/>
    <cellStyle name="Normal 27 10" xfId="2091"/>
    <cellStyle name="Normal 27 100" xfId="2092"/>
    <cellStyle name="Normal 27 101" xfId="2093"/>
    <cellStyle name="Normal 27 102" xfId="2094"/>
    <cellStyle name="Normal 27 103" xfId="2095"/>
    <cellStyle name="Normal 27 104" xfId="2096"/>
    <cellStyle name="Normal 27 105" xfId="2097"/>
    <cellStyle name="Normal 27 106" xfId="2098"/>
    <cellStyle name="Normal 27 107" xfId="2099"/>
    <cellStyle name="Normal 27 108" xfId="2100"/>
    <cellStyle name="Normal 27 109" xfId="2101"/>
    <cellStyle name="Normal 27 11" xfId="2102"/>
    <cellStyle name="Normal 27 12" xfId="2103"/>
    <cellStyle name="Normal 27 13" xfId="2104"/>
    <cellStyle name="Normal 27 14" xfId="2105"/>
    <cellStyle name="Normal 27 15" xfId="2106"/>
    <cellStyle name="Normal 27 16" xfId="2107"/>
    <cellStyle name="Normal 27 17" xfId="2108"/>
    <cellStyle name="Normal 27 18" xfId="2109"/>
    <cellStyle name="Normal 27 19" xfId="2110"/>
    <cellStyle name="Normal 27 2" xfId="2111"/>
    <cellStyle name="Normal 27 20" xfId="2112"/>
    <cellStyle name="Normal 27 21" xfId="2113"/>
    <cellStyle name="Normal 27 22" xfId="2114"/>
    <cellStyle name="Normal 27 23" xfId="2115"/>
    <cellStyle name="Normal 27 24" xfId="2116"/>
    <cellStyle name="Normal 27 25" xfId="2117"/>
    <cellStyle name="Normal 27 26" xfId="2118"/>
    <cellStyle name="Normal 27 27" xfId="2119"/>
    <cellStyle name="Normal 27 28" xfId="2120"/>
    <cellStyle name="Normal 27 29" xfId="2121"/>
    <cellStyle name="Normal 27 3" xfId="2122"/>
    <cellStyle name="Normal 27 30" xfId="2123"/>
    <cellStyle name="Normal 27 31" xfId="2124"/>
    <cellStyle name="Normal 27 32" xfId="2125"/>
    <cellStyle name="Normal 27 33" xfId="2126"/>
    <cellStyle name="Normal 27 34" xfId="2127"/>
    <cellStyle name="Normal 27 35" xfId="2128"/>
    <cellStyle name="Normal 27 36" xfId="2129"/>
    <cellStyle name="Normal 27 37" xfId="2130"/>
    <cellStyle name="Normal 27 38" xfId="2131"/>
    <cellStyle name="Normal 27 39" xfId="2132"/>
    <cellStyle name="Normal 27 4" xfId="2133"/>
    <cellStyle name="Normal 27 40" xfId="2134"/>
    <cellStyle name="Normal 27 41" xfId="2135"/>
    <cellStyle name="Normal 27 42" xfId="2136"/>
    <cellStyle name="Normal 27 43" xfId="2137"/>
    <cellStyle name="Normal 27 44" xfId="2138"/>
    <cellStyle name="Normal 27 45" xfId="2139"/>
    <cellStyle name="Normal 27 46" xfId="2140"/>
    <cellStyle name="Normal 27 47" xfId="2141"/>
    <cellStyle name="Normal 27 48" xfId="2142"/>
    <cellStyle name="Normal 27 49" xfId="2143"/>
    <cellStyle name="Normal 27 5" xfId="2144"/>
    <cellStyle name="Normal 27 50" xfId="2145"/>
    <cellStyle name="Normal 27 51" xfId="2146"/>
    <cellStyle name="Normal 27 52" xfId="2147"/>
    <cellStyle name="Normal 27 53" xfId="2148"/>
    <cellStyle name="Normal 27 54" xfId="2149"/>
    <cellStyle name="Normal 27 55" xfId="2150"/>
    <cellStyle name="Normal 27 56" xfId="2151"/>
    <cellStyle name="Normal 27 57" xfId="2152"/>
    <cellStyle name="Normal 27 58" xfId="2153"/>
    <cellStyle name="Normal 27 59" xfId="2154"/>
    <cellStyle name="Normal 27 6" xfId="2155"/>
    <cellStyle name="Normal 27 60" xfId="2156"/>
    <cellStyle name="Normal 27 61" xfId="2157"/>
    <cellStyle name="Normal 27 62" xfId="2158"/>
    <cellStyle name="Normal 27 63" xfId="2159"/>
    <cellStyle name="Normal 27 64" xfId="2160"/>
    <cellStyle name="Normal 27 65" xfId="2161"/>
    <cellStyle name="Normal 27 66" xfId="2162"/>
    <cellStyle name="Normal 27 67" xfId="2163"/>
    <cellStyle name="Normal 27 68" xfId="2164"/>
    <cellStyle name="Normal 27 69" xfId="2165"/>
    <cellStyle name="Normal 27 7" xfId="2166"/>
    <cellStyle name="Normal 27 70" xfId="2167"/>
    <cellStyle name="Normal 27 71" xfId="2168"/>
    <cellStyle name="Normal 27 72" xfId="2169"/>
    <cellStyle name="Normal 27 73" xfId="2170"/>
    <cellStyle name="Normal 27 74" xfId="2171"/>
    <cellStyle name="Normal 27 75" xfId="2172"/>
    <cellStyle name="Normal 27 76" xfId="2173"/>
    <cellStyle name="Normal 27 77" xfId="2174"/>
    <cellStyle name="Normal 27 78" xfId="2175"/>
    <cellStyle name="Normal 27 79" xfId="2176"/>
    <cellStyle name="Normal 27 8" xfId="2177"/>
    <cellStyle name="Normal 27 80" xfId="2178"/>
    <cellStyle name="Normal 27 81" xfId="2179"/>
    <cellStyle name="Normal 27 82" xfId="2180"/>
    <cellStyle name="Normal 27 83" xfId="2181"/>
    <cellStyle name="Normal 27 84" xfId="2182"/>
    <cellStyle name="Normal 27 85" xfId="2183"/>
    <cellStyle name="Normal 27 86" xfId="2184"/>
    <cellStyle name="Normal 27 87" xfId="2185"/>
    <cellStyle name="Normal 27 88" xfId="2186"/>
    <cellStyle name="Normal 27 89" xfId="2187"/>
    <cellStyle name="Normal 27 9" xfId="2188"/>
    <cellStyle name="Normal 27 90" xfId="2189"/>
    <cellStyle name="Normal 27 91" xfId="2190"/>
    <cellStyle name="Normal 27 92" xfId="2191"/>
    <cellStyle name="Normal 27 93" xfId="2192"/>
    <cellStyle name="Normal 27 94" xfId="2193"/>
    <cellStyle name="Normal 27 95" xfId="2194"/>
    <cellStyle name="Normal 27 96" xfId="2195"/>
    <cellStyle name="Normal 27 97" xfId="2196"/>
    <cellStyle name="Normal 27 98" xfId="2197"/>
    <cellStyle name="Normal 27 99" xfId="2198"/>
    <cellStyle name="Normal 28" xfId="2199"/>
    <cellStyle name="Normal 28 10" xfId="2200"/>
    <cellStyle name="Normal 28 100" xfId="2201"/>
    <cellStyle name="Normal 28 101" xfId="2202"/>
    <cellStyle name="Normal 28 102" xfId="2203"/>
    <cellStyle name="Normal 28 103" xfId="2204"/>
    <cellStyle name="Normal 28 104" xfId="2205"/>
    <cellStyle name="Normal 28 105" xfId="2206"/>
    <cellStyle name="Normal 28 106" xfId="2207"/>
    <cellStyle name="Normal 28 107" xfId="2208"/>
    <cellStyle name="Normal 28 108" xfId="2209"/>
    <cellStyle name="Normal 28 109" xfId="2210"/>
    <cellStyle name="Normal 28 11" xfId="2211"/>
    <cellStyle name="Normal 28 12" xfId="2212"/>
    <cellStyle name="Normal 28 13" xfId="2213"/>
    <cellStyle name="Normal 28 14" xfId="2214"/>
    <cellStyle name="Normal 28 15" xfId="2215"/>
    <cellStyle name="Normal 28 16" xfId="2216"/>
    <cellStyle name="Normal 28 17" xfId="2217"/>
    <cellStyle name="Normal 28 18" xfId="2218"/>
    <cellStyle name="Normal 28 19" xfId="2219"/>
    <cellStyle name="Normal 28 2" xfId="2220"/>
    <cellStyle name="Normal 28 20" xfId="2221"/>
    <cellStyle name="Normal 28 21" xfId="2222"/>
    <cellStyle name="Normal 28 22" xfId="2223"/>
    <cellStyle name="Normal 28 23" xfId="2224"/>
    <cellStyle name="Normal 28 24" xfId="2225"/>
    <cellStyle name="Normal 28 25" xfId="2226"/>
    <cellStyle name="Normal 28 26" xfId="2227"/>
    <cellStyle name="Normal 28 27" xfId="2228"/>
    <cellStyle name="Normal 28 28" xfId="2229"/>
    <cellStyle name="Normal 28 29" xfId="2230"/>
    <cellStyle name="Normal 28 3" xfId="2231"/>
    <cellStyle name="Normal 28 30" xfId="2232"/>
    <cellStyle name="Normal 28 31" xfId="2233"/>
    <cellStyle name="Normal 28 32" xfId="2234"/>
    <cellStyle name="Normal 28 33" xfId="2235"/>
    <cellStyle name="Normal 28 34" xfId="2236"/>
    <cellStyle name="Normal 28 35" xfId="2237"/>
    <cellStyle name="Normal 28 36" xfId="2238"/>
    <cellStyle name="Normal 28 37" xfId="2239"/>
    <cellStyle name="Normal 28 38" xfId="2240"/>
    <cellStyle name="Normal 28 39" xfId="2241"/>
    <cellStyle name="Normal 28 4" xfId="2242"/>
    <cellStyle name="Normal 28 40" xfId="2243"/>
    <cellStyle name="Normal 28 41" xfId="2244"/>
    <cellStyle name="Normal 28 42" xfId="2245"/>
    <cellStyle name="Normal 28 43" xfId="2246"/>
    <cellStyle name="Normal 28 44" xfId="2247"/>
    <cellStyle name="Normal 28 45" xfId="2248"/>
    <cellStyle name="Normal 28 46" xfId="2249"/>
    <cellStyle name="Normal 28 47" xfId="2250"/>
    <cellStyle name="Normal 28 48" xfId="2251"/>
    <cellStyle name="Normal 28 49" xfId="2252"/>
    <cellStyle name="Normal 28 5" xfId="2253"/>
    <cellStyle name="Normal 28 50" xfId="2254"/>
    <cellStyle name="Normal 28 51" xfId="2255"/>
    <cellStyle name="Normal 28 52" xfId="2256"/>
    <cellStyle name="Normal 28 53" xfId="2257"/>
    <cellStyle name="Normal 28 54" xfId="2258"/>
    <cellStyle name="Normal 28 55" xfId="2259"/>
    <cellStyle name="Normal 28 56" xfId="2260"/>
    <cellStyle name="Normal 28 57" xfId="2261"/>
    <cellStyle name="Normal 28 58" xfId="2262"/>
    <cellStyle name="Normal 28 59" xfId="2263"/>
    <cellStyle name="Normal 28 6" xfId="2264"/>
    <cellStyle name="Normal 28 60" xfId="2265"/>
    <cellStyle name="Normal 28 61" xfId="2266"/>
    <cellStyle name="Normal 28 62" xfId="2267"/>
    <cellStyle name="Normal 28 63" xfId="2268"/>
    <cellStyle name="Normal 28 64" xfId="2269"/>
    <cellStyle name="Normal 28 65" xfId="2270"/>
    <cellStyle name="Normal 28 66" xfId="2271"/>
    <cellStyle name="Normal 28 67" xfId="2272"/>
    <cellStyle name="Normal 28 68" xfId="2273"/>
    <cellStyle name="Normal 28 69" xfId="2274"/>
    <cellStyle name="Normal 28 7" xfId="2275"/>
    <cellStyle name="Normal 28 70" xfId="2276"/>
    <cellStyle name="Normal 28 71" xfId="2277"/>
    <cellStyle name="Normal 28 72" xfId="2278"/>
    <cellStyle name="Normal 28 73" xfId="2279"/>
    <cellStyle name="Normal 28 74" xfId="2280"/>
    <cellStyle name="Normal 28 75" xfId="2281"/>
    <cellStyle name="Normal 28 76" xfId="2282"/>
    <cellStyle name="Normal 28 77" xfId="2283"/>
    <cellStyle name="Normal 28 78" xfId="2284"/>
    <cellStyle name="Normal 28 79" xfId="2285"/>
    <cellStyle name="Normal 28 8" xfId="2286"/>
    <cellStyle name="Normal 28 80" xfId="2287"/>
    <cellStyle name="Normal 28 81" xfId="2288"/>
    <cellStyle name="Normal 28 82" xfId="2289"/>
    <cellStyle name="Normal 28 83" xfId="2290"/>
    <cellStyle name="Normal 28 84" xfId="2291"/>
    <cellStyle name="Normal 28 85" xfId="2292"/>
    <cellStyle name="Normal 28 86" xfId="2293"/>
    <cellStyle name="Normal 28 87" xfId="2294"/>
    <cellStyle name="Normal 28 88" xfId="2295"/>
    <cellStyle name="Normal 28 89" xfId="2296"/>
    <cellStyle name="Normal 28 9" xfId="2297"/>
    <cellStyle name="Normal 28 90" xfId="2298"/>
    <cellStyle name="Normal 28 91" xfId="2299"/>
    <cellStyle name="Normal 28 92" xfId="2300"/>
    <cellStyle name="Normal 28 93" xfId="2301"/>
    <cellStyle name="Normal 28 94" xfId="2302"/>
    <cellStyle name="Normal 28 95" xfId="2303"/>
    <cellStyle name="Normal 28 96" xfId="2304"/>
    <cellStyle name="Normal 28 97" xfId="2305"/>
    <cellStyle name="Normal 28 98" xfId="2306"/>
    <cellStyle name="Normal 28 99" xfId="2307"/>
    <cellStyle name="Normal 29" xfId="2308"/>
    <cellStyle name="Normal 29 10" xfId="2309"/>
    <cellStyle name="Normal 29 100" xfId="2310"/>
    <cellStyle name="Normal 29 101" xfId="2311"/>
    <cellStyle name="Normal 29 102" xfId="2312"/>
    <cellStyle name="Normal 29 103" xfId="2313"/>
    <cellStyle name="Normal 29 104" xfId="2314"/>
    <cellStyle name="Normal 29 105" xfId="2315"/>
    <cellStyle name="Normal 29 106" xfId="2316"/>
    <cellStyle name="Normal 29 107" xfId="2317"/>
    <cellStyle name="Normal 29 108" xfId="2318"/>
    <cellStyle name="Normal 29 109" xfId="2319"/>
    <cellStyle name="Normal 29 11" xfId="2320"/>
    <cellStyle name="Normal 29 12" xfId="2321"/>
    <cellStyle name="Normal 29 13" xfId="2322"/>
    <cellStyle name="Normal 29 14" xfId="2323"/>
    <cellStyle name="Normal 29 15" xfId="2324"/>
    <cellStyle name="Normal 29 16" xfId="2325"/>
    <cellStyle name="Normal 29 17" xfId="2326"/>
    <cellStyle name="Normal 29 18" xfId="2327"/>
    <cellStyle name="Normal 29 19" xfId="2328"/>
    <cellStyle name="Normal 29 2" xfId="2329"/>
    <cellStyle name="Normal 29 20" xfId="2330"/>
    <cellStyle name="Normal 29 21" xfId="2331"/>
    <cellStyle name="Normal 29 22" xfId="2332"/>
    <cellStyle name="Normal 29 23" xfId="2333"/>
    <cellStyle name="Normal 29 24" xfId="2334"/>
    <cellStyle name="Normal 29 25" xfId="2335"/>
    <cellStyle name="Normal 29 26" xfId="2336"/>
    <cellStyle name="Normal 29 27" xfId="2337"/>
    <cellStyle name="Normal 29 28" xfId="2338"/>
    <cellStyle name="Normal 29 29" xfId="2339"/>
    <cellStyle name="Normal 29 3" xfId="2340"/>
    <cellStyle name="Normal 29 30" xfId="2341"/>
    <cellStyle name="Normal 29 31" xfId="2342"/>
    <cellStyle name="Normal 29 32" xfId="2343"/>
    <cellStyle name="Normal 29 33" xfId="2344"/>
    <cellStyle name="Normal 29 34" xfId="2345"/>
    <cellStyle name="Normal 29 35" xfId="2346"/>
    <cellStyle name="Normal 29 36" xfId="2347"/>
    <cellStyle name="Normal 29 37" xfId="2348"/>
    <cellStyle name="Normal 29 38" xfId="2349"/>
    <cellStyle name="Normal 29 39" xfId="2350"/>
    <cellStyle name="Normal 29 4" xfId="2351"/>
    <cellStyle name="Normal 29 40" xfId="2352"/>
    <cellStyle name="Normal 29 41" xfId="2353"/>
    <cellStyle name="Normal 29 42" xfId="2354"/>
    <cellStyle name="Normal 29 43" xfId="2355"/>
    <cellStyle name="Normal 29 44" xfId="2356"/>
    <cellStyle name="Normal 29 45" xfId="2357"/>
    <cellStyle name="Normal 29 46" xfId="2358"/>
    <cellStyle name="Normal 29 47" xfId="2359"/>
    <cellStyle name="Normal 29 48" xfId="2360"/>
    <cellStyle name="Normal 29 49" xfId="2361"/>
    <cellStyle name="Normal 29 5" xfId="2362"/>
    <cellStyle name="Normal 29 50" xfId="2363"/>
    <cellStyle name="Normal 29 51" xfId="2364"/>
    <cellStyle name="Normal 29 52" xfId="2365"/>
    <cellStyle name="Normal 29 53" xfId="2366"/>
    <cellStyle name="Normal 29 54" xfId="2367"/>
    <cellStyle name="Normal 29 55" xfId="2368"/>
    <cellStyle name="Normal 29 56" xfId="2369"/>
    <cellStyle name="Normal 29 57" xfId="2370"/>
    <cellStyle name="Normal 29 58" xfId="2371"/>
    <cellStyle name="Normal 29 59" xfId="2372"/>
    <cellStyle name="Normal 29 6" xfId="2373"/>
    <cellStyle name="Normal 29 60" xfId="2374"/>
    <cellStyle name="Normal 29 61" xfId="2375"/>
    <cellStyle name="Normal 29 62" xfId="2376"/>
    <cellStyle name="Normal 29 63" xfId="2377"/>
    <cellStyle name="Normal 29 64" xfId="2378"/>
    <cellStyle name="Normal 29 65" xfId="2379"/>
    <cellStyle name="Normal 29 66" xfId="2380"/>
    <cellStyle name="Normal 29 67" xfId="2381"/>
    <cellStyle name="Normal 29 68" xfId="2382"/>
    <cellStyle name="Normal 29 69" xfId="2383"/>
    <cellStyle name="Normal 29 7" xfId="2384"/>
    <cellStyle name="Normal 29 70" xfId="2385"/>
    <cellStyle name="Normal 29 71" xfId="2386"/>
    <cellStyle name="Normal 29 72" xfId="2387"/>
    <cellStyle name="Normal 29 73" xfId="2388"/>
    <cellStyle name="Normal 29 74" xfId="2389"/>
    <cellStyle name="Normal 29 75" xfId="2390"/>
    <cellStyle name="Normal 29 76" xfId="2391"/>
    <cellStyle name="Normal 29 77" xfId="2392"/>
    <cellStyle name="Normal 29 78" xfId="2393"/>
    <cellStyle name="Normal 29 79" xfId="2394"/>
    <cellStyle name="Normal 29 8" xfId="2395"/>
    <cellStyle name="Normal 29 80" xfId="2396"/>
    <cellStyle name="Normal 29 81" xfId="2397"/>
    <cellStyle name="Normal 29 82" xfId="2398"/>
    <cellStyle name="Normal 29 83" xfId="2399"/>
    <cellStyle name="Normal 29 84" xfId="2400"/>
    <cellStyle name="Normal 29 85" xfId="2401"/>
    <cellStyle name="Normal 29 86" xfId="2402"/>
    <cellStyle name="Normal 29 87" xfId="2403"/>
    <cellStyle name="Normal 29 88" xfId="2404"/>
    <cellStyle name="Normal 29 89" xfId="2405"/>
    <cellStyle name="Normal 29 9" xfId="2406"/>
    <cellStyle name="Normal 29 90" xfId="2407"/>
    <cellStyle name="Normal 29 91" xfId="2408"/>
    <cellStyle name="Normal 29 92" xfId="2409"/>
    <cellStyle name="Normal 29 93" xfId="2410"/>
    <cellStyle name="Normal 29 94" xfId="2411"/>
    <cellStyle name="Normal 29 95" xfId="2412"/>
    <cellStyle name="Normal 29 96" xfId="2413"/>
    <cellStyle name="Normal 29 97" xfId="2414"/>
    <cellStyle name="Normal 29 98" xfId="2415"/>
    <cellStyle name="Normal 29 99" xfId="2416"/>
    <cellStyle name="Normal 3" xfId="1"/>
    <cellStyle name="Normal-- 3" xfId="2417"/>
    <cellStyle name="Normal 3 10" xfId="2418"/>
    <cellStyle name="Normal 3 11" xfId="2419"/>
    <cellStyle name="Normal 3 12" xfId="2420"/>
    <cellStyle name="Normal 3 13" xfId="2421"/>
    <cellStyle name="Normal 3 14" xfId="2422"/>
    <cellStyle name="Normal 3 15" xfId="2423"/>
    <cellStyle name="Normal 3 16" xfId="2424"/>
    <cellStyle name="Normal 3 17" xfId="2425"/>
    <cellStyle name="Normal 3 18" xfId="2426"/>
    <cellStyle name="Normal 3 19" xfId="2427"/>
    <cellStyle name="Normal 3 2" xfId="7"/>
    <cellStyle name="Normal 3 2 2" xfId="2428"/>
    <cellStyle name="Normal 3 2 2 2" xfId="2429"/>
    <cellStyle name="Normal 3 2 3" xfId="2430"/>
    <cellStyle name="Normal 3 2 4" xfId="2431"/>
    <cellStyle name="Normal 3 2 5" xfId="5607"/>
    <cellStyle name="Normal 3 20" xfId="2432"/>
    <cellStyle name="Normal 3 21" xfId="2433"/>
    <cellStyle name="Normal 3 22" xfId="2434"/>
    <cellStyle name="Normal 3 22 2" xfId="2435"/>
    <cellStyle name="Normal 3 22 2 2" xfId="2436"/>
    <cellStyle name="Normal 3 22 2 2 2" xfId="2437"/>
    <cellStyle name="Normal 3 22 2 3" xfId="2438"/>
    <cellStyle name="Normal 3 22 3" xfId="2439"/>
    <cellStyle name="Normal 3 22 3 2" xfId="2440"/>
    <cellStyle name="Normal 3 22 4" xfId="2441"/>
    <cellStyle name="Normal 3 23" xfId="2442"/>
    <cellStyle name="Normal 3 24" xfId="2443"/>
    <cellStyle name="Normal 3 24 2" xfId="2444"/>
    <cellStyle name="Normal 3 24 2 2" xfId="2445"/>
    <cellStyle name="Normal 3 24 3" xfId="2446"/>
    <cellStyle name="Normal 3 25" xfId="2447"/>
    <cellStyle name="Normal 3 26" xfId="2448"/>
    <cellStyle name="Normal 3 27" xfId="2449"/>
    <cellStyle name="Normal 3 28" xfId="2450"/>
    <cellStyle name="Normal 3 29" xfId="2451"/>
    <cellStyle name="Normal 3 3" xfId="2452"/>
    <cellStyle name="Normal 3 3 2" xfId="2453"/>
    <cellStyle name="Normal 3 3 3" xfId="2454"/>
    <cellStyle name="Normal 3 3 4" xfId="2455"/>
    <cellStyle name="Normal 3 30" xfId="2456"/>
    <cellStyle name="Normal 3 31" xfId="2457"/>
    <cellStyle name="Normal 3 32" xfId="2458"/>
    <cellStyle name="Normal 3 33" xfId="2459"/>
    <cellStyle name="Normal 3 34" xfId="2460"/>
    <cellStyle name="Normal 3 35" xfId="2461"/>
    <cellStyle name="Normal 3 36" xfId="2462"/>
    <cellStyle name="Normal 3 37" xfId="2463"/>
    <cellStyle name="Normal 3 38" xfId="2464"/>
    <cellStyle name="Normal 3 39" xfId="2465"/>
    <cellStyle name="Normal 3 39 2" xfId="2466"/>
    <cellStyle name="Normal 3 4" xfId="2467"/>
    <cellStyle name="Normal 3 4 2" xfId="2468"/>
    <cellStyle name="Normal 3 4 3" xfId="2469"/>
    <cellStyle name="Normal 3 40" xfId="2470"/>
    <cellStyle name="Normal 3 41" xfId="2471"/>
    <cellStyle name="Normal 3 42" xfId="2472"/>
    <cellStyle name="Normal 3 43" xfId="2473"/>
    <cellStyle name="Normal 3 44" xfId="2474"/>
    <cellStyle name="Normal 3 45" xfId="2475"/>
    <cellStyle name="Normal 3 46" xfId="2476"/>
    <cellStyle name="Normal 3 47" xfId="2477"/>
    <cellStyle name="Normal 3 48" xfId="2478"/>
    <cellStyle name="Normal 3 49" xfId="2479"/>
    <cellStyle name="Normal 3 5" xfId="2480"/>
    <cellStyle name="Normal 3 5 2" xfId="2481"/>
    <cellStyle name="Normal 3 50" xfId="2482"/>
    <cellStyle name="Normal 3 51" xfId="2483"/>
    <cellStyle name="Normal 3 52" xfId="2484"/>
    <cellStyle name="Normal 3 53" xfId="2485"/>
    <cellStyle name="Normal 3 54" xfId="4668"/>
    <cellStyle name="Normal 3 55" xfId="4672"/>
    <cellStyle name="Normal 3 6" xfId="2486"/>
    <cellStyle name="Normal 3 7" xfId="2487"/>
    <cellStyle name="Normal 3 8" xfId="2488"/>
    <cellStyle name="Normal 3 9" xfId="2489"/>
    <cellStyle name="Normal 30" xfId="2490"/>
    <cellStyle name="Normal 30 10" xfId="2491"/>
    <cellStyle name="Normal 30 100" xfId="2492"/>
    <cellStyle name="Normal 30 101" xfId="2493"/>
    <cellStyle name="Normal 30 102" xfId="2494"/>
    <cellStyle name="Normal 30 103" xfId="2495"/>
    <cellStyle name="Normal 30 104" xfId="2496"/>
    <cellStyle name="Normal 30 105" xfId="2497"/>
    <cellStyle name="Normal 30 106" xfId="2498"/>
    <cellStyle name="Normal 30 107" xfId="2499"/>
    <cellStyle name="Normal 30 108" xfId="2500"/>
    <cellStyle name="Normal 30 109" xfId="2501"/>
    <cellStyle name="Normal 30 11" xfId="2502"/>
    <cellStyle name="Normal 30 12" xfId="2503"/>
    <cellStyle name="Normal 30 13" xfId="2504"/>
    <cellStyle name="Normal 30 14" xfId="2505"/>
    <cellStyle name="Normal 30 15" xfId="2506"/>
    <cellStyle name="Normal 30 16" xfId="2507"/>
    <cellStyle name="Normal 30 17" xfId="2508"/>
    <cellStyle name="Normal 30 18" xfId="2509"/>
    <cellStyle name="Normal 30 19" xfId="2510"/>
    <cellStyle name="Normal 30 2" xfId="2511"/>
    <cellStyle name="Normal 30 20" xfId="2512"/>
    <cellStyle name="Normal 30 21" xfId="2513"/>
    <cellStyle name="Normal 30 22" xfId="2514"/>
    <cellStyle name="Normal 30 23" xfId="2515"/>
    <cellStyle name="Normal 30 24" xfId="2516"/>
    <cellStyle name="Normal 30 25" xfId="2517"/>
    <cellStyle name="Normal 30 26" xfId="2518"/>
    <cellStyle name="Normal 30 27" xfId="2519"/>
    <cellStyle name="Normal 30 28" xfId="2520"/>
    <cellStyle name="Normal 30 29" xfId="2521"/>
    <cellStyle name="Normal 30 3" xfId="2522"/>
    <cellStyle name="Normal 30 30" xfId="2523"/>
    <cellStyle name="Normal 30 31" xfId="2524"/>
    <cellStyle name="Normal 30 32" xfId="2525"/>
    <cellStyle name="Normal 30 33" xfId="2526"/>
    <cellStyle name="Normal 30 34" xfId="2527"/>
    <cellStyle name="Normal 30 35" xfId="2528"/>
    <cellStyle name="Normal 30 36" xfId="2529"/>
    <cellStyle name="Normal 30 37" xfId="2530"/>
    <cellStyle name="Normal 30 38" xfId="2531"/>
    <cellStyle name="Normal 30 39" xfId="2532"/>
    <cellStyle name="Normal 30 4" xfId="2533"/>
    <cellStyle name="Normal 30 40" xfId="2534"/>
    <cellStyle name="Normal 30 41" xfId="2535"/>
    <cellStyle name="Normal 30 42" xfId="2536"/>
    <cellStyle name="Normal 30 43" xfId="2537"/>
    <cellStyle name="Normal 30 44" xfId="2538"/>
    <cellStyle name="Normal 30 45" xfId="2539"/>
    <cellStyle name="Normal 30 46" xfId="2540"/>
    <cellStyle name="Normal 30 47" xfId="2541"/>
    <cellStyle name="Normal 30 48" xfId="2542"/>
    <cellStyle name="Normal 30 49" xfId="2543"/>
    <cellStyle name="Normal 30 5" xfId="2544"/>
    <cellStyle name="Normal 30 50" xfId="2545"/>
    <cellStyle name="Normal 30 51" xfId="2546"/>
    <cellStyle name="Normal 30 52" xfId="2547"/>
    <cellStyle name="Normal 30 53" xfId="2548"/>
    <cellStyle name="Normal 30 54" xfId="2549"/>
    <cellStyle name="Normal 30 55" xfId="2550"/>
    <cellStyle name="Normal 30 56" xfId="2551"/>
    <cellStyle name="Normal 30 57" xfId="2552"/>
    <cellStyle name="Normal 30 58" xfId="2553"/>
    <cellStyle name="Normal 30 59" xfId="2554"/>
    <cellStyle name="Normal 30 6" xfId="2555"/>
    <cellStyle name="Normal 30 60" xfId="2556"/>
    <cellStyle name="Normal 30 61" xfId="2557"/>
    <cellStyle name="Normal 30 62" xfId="2558"/>
    <cellStyle name="Normal 30 63" xfId="2559"/>
    <cellStyle name="Normal 30 64" xfId="2560"/>
    <cellStyle name="Normal 30 65" xfId="2561"/>
    <cellStyle name="Normal 30 66" xfId="2562"/>
    <cellStyle name="Normal 30 67" xfId="2563"/>
    <cellStyle name="Normal 30 68" xfId="2564"/>
    <cellStyle name="Normal 30 69" xfId="2565"/>
    <cellStyle name="Normal 30 7" xfId="2566"/>
    <cellStyle name="Normal 30 70" xfId="2567"/>
    <cellStyle name="Normal 30 71" xfId="2568"/>
    <cellStyle name="Normal 30 72" xfId="2569"/>
    <cellStyle name="Normal 30 73" xfId="2570"/>
    <cellStyle name="Normal 30 74" xfId="2571"/>
    <cellStyle name="Normal 30 75" xfId="2572"/>
    <cellStyle name="Normal 30 76" xfId="2573"/>
    <cellStyle name="Normal 30 77" xfId="2574"/>
    <cellStyle name="Normal 30 78" xfId="2575"/>
    <cellStyle name="Normal 30 79" xfId="2576"/>
    <cellStyle name="Normal 30 8" xfId="2577"/>
    <cellStyle name="Normal 30 80" xfId="2578"/>
    <cellStyle name="Normal 30 81" xfId="2579"/>
    <cellStyle name="Normal 30 82" xfId="2580"/>
    <cellStyle name="Normal 30 83" xfId="2581"/>
    <cellStyle name="Normal 30 84" xfId="2582"/>
    <cellStyle name="Normal 30 85" xfId="2583"/>
    <cellStyle name="Normal 30 86" xfId="2584"/>
    <cellStyle name="Normal 30 87" xfId="2585"/>
    <cellStyle name="Normal 30 88" xfId="2586"/>
    <cellStyle name="Normal 30 89" xfId="2587"/>
    <cellStyle name="Normal 30 9" xfId="2588"/>
    <cellStyle name="Normal 30 90" xfId="2589"/>
    <cellStyle name="Normal 30 91" xfId="2590"/>
    <cellStyle name="Normal 30 92" xfId="2591"/>
    <cellStyle name="Normal 30 93" xfId="2592"/>
    <cellStyle name="Normal 30 94" xfId="2593"/>
    <cellStyle name="Normal 30 95" xfId="2594"/>
    <cellStyle name="Normal 30 96" xfId="2595"/>
    <cellStyle name="Normal 30 97" xfId="2596"/>
    <cellStyle name="Normal 30 98" xfId="2597"/>
    <cellStyle name="Normal 30 99" xfId="2598"/>
    <cellStyle name="Normal 31" xfId="2599"/>
    <cellStyle name="Normal 31 10" xfId="2600"/>
    <cellStyle name="Normal 31 100" xfId="2601"/>
    <cellStyle name="Normal 31 101" xfId="2602"/>
    <cellStyle name="Normal 31 102" xfId="2603"/>
    <cellStyle name="Normal 31 103" xfId="2604"/>
    <cellStyle name="Normal 31 104" xfId="2605"/>
    <cellStyle name="Normal 31 105" xfId="2606"/>
    <cellStyle name="Normal 31 106" xfId="2607"/>
    <cellStyle name="Normal 31 107" xfId="2608"/>
    <cellStyle name="Normal 31 108" xfId="2609"/>
    <cellStyle name="Normal 31 109" xfId="2610"/>
    <cellStyle name="Normal 31 11" xfId="2611"/>
    <cellStyle name="Normal 31 12" xfId="2612"/>
    <cellStyle name="Normal 31 13" xfId="2613"/>
    <cellStyle name="Normal 31 14" xfId="2614"/>
    <cellStyle name="Normal 31 15" xfId="2615"/>
    <cellStyle name="Normal 31 16" xfId="2616"/>
    <cellStyle name="Normal 31 17" xfId="2617"/>
    <cellStyle name="Normal 31 18" xfId="2618"/>
    <cellStyle name="Normal 31 19" xfId="2619"/>
    <cellStyle name="Normal 31 2" xfId="2620"/>
    <cellStyle name="Normal 31 20" xfId="2621"/>
    <cellStyle name="Normal 31 21" xfId="2622"/>
    <cellStyle name="Normal 31 22" xfId="2623"/>
    <cellStyle name="Normal 31 23" xfId="2624"/>
    <cellStyle name="Normal 31 24" xfId="2625"/>
    <cellStyle name="Normal 31 25" xfId="2626"/>
    <cellStyle name="Normal 31 26" xfId="2627"/>
    <cellStyle name="Normal 31 27" xfId="2628"/>
    <cellStyle name="Normal 31 28" xfId="2629"/>
    <cellStyle name="Normal 31 29" xfId="2630"/>
    <cellStyle name="Normal 31 3" xfId="2631"/>
    <cellStyle name="Normal 31 30" xfId="2632"/>
    <cellStyle name="Normal 31 31" xfId="2633"/>
    <cellStyle name="Normal 31 32" xfId="2634"/>
    <cellStyle name="Normal 31 33" xfId="2635"/>
    <cellStyle name="Normal 31 34" xfId="2636"/>
    <cellStyle name="Normal 31 35" xfId="2637"/>
    <cellStyle name="Normal 31 36" xfId="2638"/>
    <cellStyle name="Normal 31 37" xfId="2639"/>
    <cellStyle name="Normal 31 38" xfId="2640"/>
    <cellStyle name="Normal 31 39" xfId="2641"/>
    <cellStyle name="Normal 31 4" xfId="2642"/>
    <cellStyle name="Normal 31 40" xfId="2643"/>
    <cellStyle name="Normal 31 41" xfId="2644"/>
    <cellStyle name="Normal 31 42" xfId="2645"/>
    <cellStyle name="Normal 31 43" xfId="2646"/>
    <cellStyle name="Normal 31 44" xfId="2647"/>
    <cellStyle name="Normal 31 45" xfId="2648"/>
    <cellStyle name="Normal 31 46" xfId="2649"/>
    <cellStyle name="Normal 31 47" xfId="2650"/>
    <cellStyle name="Normal 31 48" xfId="2651"/>
    <cellStyle name="Normal 31 49" xfId="2652"/>
    <cellStyle name="Normal 31 5" xfId="2653"/>
    <cellStyle name="Normal 31 50" xfId="2654"/>
    <cellStyle name="Normal 31 51" xfId="2655"/>
    <cellStyle name="Normal 31 52" xfId="2656"/>
    <cellStyle name="Normal 31 53" xfId="2657"/>
    <cellStyle name="Normal 31 54" xfId="2658"/>
    <cellStyle name="Normal 31 55" xfId="2659"/>
    <cellStyle name="Normal 31 56" xfId="2660"/>
    <cellStyle name="Normal 31 57" xfId="2661"/>
    <cellStyle name="Normal 31 58" xfId="2662"/>
    <cellStyle name="Normal 31 59" xfId="2663"/>
    <cellStyle name="Normal 31 6" xfId="2664"/>
    <cellStyle name="Normal 31 60" xfId="2665"/>
    <cellStyle name="Normal 31 61" xfId="2666"/>
    <cellStyle name="Normal 31 62" xfId="2667"/>
    <cellStyle name="Normal 31 63" xfId="2668"/>
    <cellStyle name="Normal 31 64" xfId="2669"/>
    <cellStyle name="Normal 31 65" xfId="2670"/>
    <cellStyle name="Normal 31 66" xfId="2671"/>
    <cellStyle name="Normal 31 67" xfId="2672"/>
    <cellStyle name="Normal 31 68" xfId="2673"/>
    <cellStyle name="Normal 31 69" xfId="2674"/>
    <cellStyle name="Normal 31 7" xfId="2675"/>
    <cellStyle name="Normal 31 70" xfId="2676"/>
    <cellStyle name="Normal 31 71" xfId="2677"/>
    <cellStyle name="Normal 31 72" xfId="2678"/>
    <cellStyle name="Normal 31 73" xfId="2679"/>
    <cellStyle name="Normal 31 74" xfId="2680"/>
    <cellStyle name="Normal 31 75" xfId="2681"/>
    <cellStyle name="Normal 31 76" xfId="2682"/>
    <cellStyle name="Normal 31 77" xfId="2683"/>
    <cellStyle name="Normal 31 78" xfId="2684"/>
    <cellStyle name="Normal 31 79" xfId="2685"/>
    <cellStyle name="Normal 31 8" xfId="2686"/>
    <cellStyle name="Normal 31 80" xfId="2687"/>
    <cellStyle name="Normal 31 81" xfId="2688"/>
    <cellStyle name="Normal 31 82" xfId="2689"/>
    <cellStyle name="Normal 31 83" xfId="2690"/>
    <cellStyle name="Normal 31 84" xfId="2691"/>
    <cellStyle name="Normal 31 85" xfId="2692"/>
    <cellStyle name="Normal 31 86" xfId="2693"/>
    <cellStyle name="Normal 31 87" xfId="2694"/>
    <cellStyle name="Normal 31 88" xfId="2695"/>
    <cellStyle name="Normal 31 89" xfId="2696"/>
    <cellStyle name="Normal 31 9" xfId="2697"/>
    <cellStyle name="Normal 31 90" xfId="2698"/>
    <cellStyle name="Normal 31 91" xfId="2699"/>
    <cellStyle name="Normal 31 92" xfId="2700"/>
    <cellStyle name="Normal 31 93" xfId="2701"/>
    <cellStyle name="Normal 31 94" xfId="2702"/>
    <cellStyle name="Normal 31 95" xfId="2703"/>
    <cellStyle name="Normal 31 96" xfId="2704"/>
    <cellStyle name="Normal 31 97" xfId="2705"/>
    <cellStyle name="Normal 31 98" xfId="2706"/>
    <cellStyle name="Normal 31 99" xfId="2707"/>
    <cellStyle name="Normal 32" xfId="2708"/>
    <cellStyle name="Normal 32 2" xfId="2709"/>
    <cellStyle name="Normal 33" xfId="2710"/>
    <cellStyle name="Normal 33 2" xfId="2711"/>
    <cellStyle name="Normal 34" xfId="2712"/>
    <cellStyle name="Normal 35" xfId="2713"/>
    <cellStyle name="Normal 35 10" xfId="2714"/>
    <cellStyle name="Normal 35 100" xfId="2715"/>
    <cellStyle name="Normal 35 101" xfId="2716"/>
    <cellStyle name="Normal 35 102" xfId="2717"/>
    <cellStyle name="Normal 35 103" xfId="2718"/>
    <cellStyle name="Normal 35 104" xfId="2719"/>
    <cellStyle name="Normal 35 105" xfId="2720"/>
    <cellStyle name="Normal 35 106" xfId="2721"/>
    <cellStyle name="Normal 35 107" xfId="2722"/>
    <cellStyle name="Normal 35 108" xfId="2723"/>
    <cellStyle name="Normal 35 109" xfId="2724"/>
    <cellStyle name="Normal 35 11" xfId="2725"/>
    <cellStyle name="Normal 35 12" xfId="2726"/>
    <cellStyle name="Normal 35 13" xfId="2727"/>
    <cellStyle name="Normal 35 14" xfId="2728"/>
    <cellStyle name="Normal 35 15" xfId="2729"/>
    <cellStyle name="Normal 35 16" xfId="2730"/>
    <cellStyle name="Normal 35 17" xfId="2731"/>
    <cellStyle name="Normal 35 18" xfId="2732"/>
    <cellStyle name="Normal 35 19" xfId="2733"/>
    <cellStyle name="Normal 35 2" xfId="2734"/>
    <cellStyle name="Normal 35 20" xfId="2735"/>
    <cellStyle name="Normal 35 21" xfId="2736"/>
    <cellStyle name="Normal 35 22" xfId="2737"/>
    <cellStyle name="Normal 35 23" xfId="2738"/>
    <cellStyle name="Normal 35 24" xfId="2739"/>
    <cellStyle name="Normal 35 25" xfId="2740"/>
    <cellStyle name="Normal 35 26" xfId="2741"/>
    <cellStyle name="Normal 35 27" xfId="2742"/>
    <cellStyle name="Normal 35 28" xfId="2743"/>
    <cellStyle name="Normal 35 29" xfId="2744"/>
    <cellStyle name="Normal 35 3" xfId="2745"/>
    <cellStyle name="Normal 35 30" xfId="2746"/>
    <cellStyle name="Normal 35 31" xfId="2747"/>
    <cellStyle name="Normal 35 32" xfId="2748"/>
    <cellStyle name="Normal 35 33" xfId="2749"/>
    <cellStyle name="Normal 35 34" xfId="2750"/>
    <cellStyle name="Normal 35 35" xfId="2751"/>
    <cellStyle name="Normal 35 36" xfId="2752"/>
    <cellStyle name="Normal 35 37" xfId="2753"/>
    <cellStyle name="Normal 35 38" xfId="2754"/>
    <cellStyle name="Normal 35 39" xfId="2755"/>
    <cellStyle name="Normal 35 4" xfId="2756"/>
    <cellStyle name="Normal 35 40" xfId="2757"/>
    <cellStyle name="Normal 35 41" xfId="2758"/>
    <cellStyle name="Normal 35 42" xfId="2759"/>
    <cellStyle name="Normal 35 43" xfId="2760"/>
    <cellStyle name="Normal 35 44" xfId="2761"/>
    <cellStyle name="Normal 35 45" xfId="2762"/>
    <cellStyle name="Normal 35 46" xfId="2763"/>
    <cellStyle name="Normal 35 47" xfId="2764"/>
    <cellStyle name="Normal 35 48" xfId="2765"/>
    <cellStyle name="Normal 35 49" xfId="2766"/>
    <cellStyle name="Normal 35 5" xfId="2767"/>
    <cellStyle name="Normal 35 50" xfId="2768"/>
    <cellStyle name="Normal 35 51" xfId="2769"/>
    <cellStyle name="Normal 35 52" xfId="2770"/>
    <cellStyle name="Normal 35 53" xfId="2771"/>
    <cellStyle name="Normal 35 54" xfId="2772"/>
    <cellStyle name="Normal 35 55" xfId="2773"/>
    <cellStyle name="Normal 35 56" xfId="2774"/>
    <cellStyle name="Normal 35 57" xfId="2775"/>
    <cellStyle name="Normal 35 58" xfId="2776"/>
    <cellStyle name="Normal 35 59" xfId="2777"/>
    <cellStyle name="Normal 35 6" xfId="2778"/>
    <cellStyle name="Normal 35 60" xfId="2779"/>
    <cellStyle name="Normal 35 61" xfId="2780"/>
    <cellStyle name="Normal 35 62" xfId="2781"/>
    <cellStyle name="Normal 35 63" xfId="2782"/>
    <cellStyle name="Normal 35 64" xfId="2783"/>
    <cellStyle name="Normal 35 65" xfId="2784"/>
    <cellStyle name="Normal 35 66" xfId="2785"/>
    <cellStyle name="Normal 35 67" xfId="2786"/>
    <cellStyle name="Normal 35 68" xfId="2787"/>
    <cellStyle name="Normal 35 69" xfId="2788"/>
    <cellStyle name="Normal 35 7" xfId="2789"/>
    <cellStyle name="Normal 35 70" xfId="2790"/>
    <cellStyle name="Normal 35 71" xfId="2791"/>
    <cellStyle name="Normal 35 72" xfId="2792"/>
    <cellStyle name="Normal 35 73" xfId="2793"/>
    <cellStyle name="Normal 35 74" xfId="2794"/>
    <cellStyle name="Normal 35 75" xfId="2795"/>
    <cellStyle name="Normal 35 76" xfId="2796"/>
    <cellStyle name="Normal 35 77" xfId="2797"/>
    <cellStyle name="Normal 35 78" xfId="2798"/>
    <cellStyle name="Normal 35 79" xfId="2799"/>
    <cellStyle name="Normal 35 8" xfId="2800"/>
    <cellStyle name="Normal 35 80" xfId="2801"/>
    <cellStyle name="Normal 35 81" xfId="2802"/>
    <cellStyle name="Normal 35 82" xfId="2803"/>
    <cellStyle name="Normal 35 83" xfId="2804"/>
    <cellStyle name="Normal 35 84" xfId="2805"/>
    <cellStyle name="Normal 35 85" xfId="2806"/>
    <cellStyle name="Normal 35 86" xfId="2807"/>
    <cellStyle name="Normal 35 87" xfId="2808"/>
    <cellStyle name="Normal 35 88" xfId="2809"/>
    <cellStyle name="Normal 35 89" xfId="2810"/>
    <cellStyle name="Normal 35 9" xfId="2811"/>
    <cellStyle name="Normal 35 90" xfId="2812"/>
    <cellStyle name="Normal 35 91" xfId="2813"/>
    <cellStyle name="Normal 35 92" xfId="2814"/>
    <cellStyle name="Normal 35 93" xfId="2815"/>
    <cellStyle name="Normal 35 94" xfId="2816"/>
    <cellStyle name="Normal 35 95" xfId="2817"/>
    <cellStyle name="Normal 35 96" xfId="2818"/>
    <cellStyle name="Normal 35 97" xfId="2819"/>
    <cellStyle name="Normal 35 98" xfId="2820"/>
    <cellStyle name="Normal 35 99" xfId="2821"/>
    <cellStyle name="Normal 36" xfId="2822"/>
    <cellStyle name="Normal 36 10" xfId="2823"/>
    <cellStyle name="Normal 36 100" xfId="2824"/>
    <cellStyle name="Normal 36 101" xfId="2825"/>
    <cellStyle name="Normal 36 102" xfId="2826"/>
    <cellStyle name="Normal 36 103" xfId="2827"/>
    <cellStyle name="Normal 36 104" xfId="2828"/>
    <cellStyle name="Normal 36 105" xfId="2829"/>
    <cellStyle name="Normal 36 106" xfId="2830"/>
    <cellStyle name="Normal 36 107" xfId="2831"/>
    <cellStyle name="Normal 36 108" xfId="2832"/>
    <cellStyle name="Normal 36 109" xfId="2833"/>
    <cellStyle name="Normal 36 11" xfId="2834"/>
    <cellStyle name="Normal 36 12" xfId="2835"/>
    <cellStyle name="Normal 36 13" xfId="2836"/>
    <cellStyle name="Normal 36 14" xfId="2837"/>
    <cellStyle name="Normal 36 15" xfId="2838"/>
    <cellStyle name="Normal 36 16" xfId="2839"/>
    <cellStyle name="Normal 36 17" xfId="2840"/>
    <cellStyle name="Normal 36 18" xfId="2841"/>
    <cellStyle name="Normal 36 19" xfId="2842"/>
    <cellStyle name="Normal 36 2" xfId="2843"/>
    <cellStyle name="Normal 36 20" xfId="2844"/>
    <cellStyle name="Normal 36 21" xfId="2845"/>
    <cellStyle name="Normal 36 22" xfId="2846"/>
    <cellStyle name="Normal 36 23" xfId="2847"/>
    <cellStyle name="Normal 36 24" xfId="2848"/>
    <cellStyle name="Normal 36 25" xfId="2849"/>
    <cellStyle name="Normal 36 26" xfId="2850"/>
    <cellStyle name="Normal 36 27" xfId="2851"/>
    <cellStyle name="Normal 36 28" xfId="2852"/>
    <cellStyle name="Normal 36 29" xfId="2853"/>
    <cellStyle name="Normal 36 3" xfId="2854"/>
    <cellStyle name="Normal 36 30" xfId="2855"/>
    <cellStyle name="Normal 36 31" xfId="2856"/>
    <cellStyle name="Normal 36 32" xfId="2857"/>
    <cellStyle name="Normal 36 33" xfId="2858"/>
    <cellStyle name="Normal 36 34" xfId="2859"/>
    <cellStyle name="Normal 36 35" xfId="2860"/>
    <cellStyle name="Normal 36 36" xfId="2861"/>
    <cellStyle name="Normal 36 37" xfId="2862"/>
    <cellStyle name="Normal 36 38" xfId="2863"/>
    <cellStyle name="Normal 36 39" xfId="2864"/>
    <cellStyle name="Normal 36 4" xfId="2865"/>
    <cellStyle name="Normal 36 40" xfId="2866"/>
    <cellStyle name="Normal 36 41" xfId="2867"/>
    <cellStyle name="Normal 36 42" xfId="2868"/>
    <cellStyle name="Normal 36 43" xfId="2869"/>
    <cellStyle name="Normal 36 44" xfId="2870"/>
    <cellStyle name="Normal 36 45" xfId="2871"/>
    <cellStyle name="Normal 36 46" xfId="2872"/>
    <cellStyle name="Normal 36 47" xfId="2873"/>
    <cellStyle name="Normal 36 48" xfId="2874"/>
    <cellStyle name="Normal 36 49" xfId="2875"/>
    <cellStyle name="Normal 36 5" xfId="2876"/>
    <cellStyle name="Normal 36 50" xfId="2877"/>
    <cellStyle name="Normal 36 51" xfId="2878"/>
    <cellStyle name="Normal 36 52" xfId="2879"/>
    <cellStyle name="Normal 36 53" xfId="2880"/>
    <cellStyle name="Normal 36 54" xfId="2881"/>
    <cellStyle name="Normal 36 55" xfId="2882"/>
    <cellStyle name="Normal 36 56" xfId="2883"/>
    <cellStyle name="Normal 36 57" xfId="2884"/>
    <cellStyle name="Normal 36 58" xfId="2885"/>
    <cellStyle name="Normal 36 59" xfId="2886"/>
    <cellStyle name="Normal 36 6" xfId="2887"/>
    <cellStyle name="Normal 36 60" xfId="2888"/>
    <cellStyle name="Normal 36 61" xfId="2889"/>
    <cellStyle name="Normal 36 62" xfId="2890"/>
    <cellStyle name="Normal 36 63" xfId="2891"/>
    <cellStyle name="Normal 36 64" xfId="2892"/>
    <cellStyle name="Normal 36 65" xfId="2893"/>
    <cellStyle name="Normal 36 66" xfId="2894"/>
    <cellStyle name="Normal 36 67" xfId="2895"/>
    <cellStyle name="Normal 36 68" xfId="2896"/>
    <cellStyle name="Normal 36 69" xfId="2897"/>
    <cellStyle name="Normal 36 7" xfId="2898"/>
    <cellStyle name="Normal 36 70" xfId="2899"/>
    <cellStyle name="Normal 36 71" xfId="2900"/>
    <cellStyle name="Normal 36 72" xfId="2901"/>
    <cellStyle name="Normal 36 73" xfId="2902"/>
    <cellStyle name="Normal 36 74" xfId="2903"/>
    <cellStyle name="Normal 36 75" xfId="2904"/>
    <cellStyle name="Normal 36 76" xfId="2905"/>
    <cellStyle name="Normal 36 77" xfId="2906"/>
    <cellStyle name="Normal 36 78" xfId="2907"/>
    <cellStyle name="Normal 36 79" xfId="2908"/>
    <cellStyle name="Normal 36 8" xfId="2909"/>
    <cellStyle name="Normal 36 80" xfId="2910"/>
    <cellStyle name="Normal 36 81" xfId="2911"/>
    <cellStyle name="Normal 36 82" xfId="2912"/>
    <cellStyle name="Normal 36 83" xfId="2913"/>
    <cellStyle name="Normal 36 84" xfId="2914"/>
    <cellStyle name="Normal 36 85" xfId="2915"/>
    <cellStyle name="Normal 36 86" xfId="2916"/>
    <cellStyle name="Normal 36 87" xfId="2917"/>
    <cellStyle name="Normal 36 88" xfId="2918"/>
    <cellStyle name="Normal 36 89" xfId="2919"/>
    <cellStyle name="Normal 36 9" xfId="2920"/>
    <cellStyle name="Normal 36 90" xfId="2921"/>
    <cellStyle name="Normal 36 91" xfId="2922"/>
    <cellStyle name="Normal 36 92" xfId="2923"/>
    <cellStyle name="Normal 36 93" xfId="2924"/>
    <cellStyle name="Normal 36 94" xfId="2925"/>
    <cellStyle name="Normal 36 95" xfId="2926"/>
    <cellStyle name="Normal 36 96" xfId="2927"/>
    <cellStyle name="Normal 36 97" xfId="2928"/>
    <cellStyle name="Normal 36 98" xfId="2929"/>
    <cellStyle name="Normal 36 99" xfId="2930"/>
    <cellStyle name="Normal 37" xfId="2931"/>
    <cellStyle name="Normal 38" xfId="2932"/>
    <cellStyle name="Normal 39" xfId="2933"/>
    <cellStyle name="Normal 4" xfId="2934"/>
    <cellStyle name="Normal-- 4" xfId="2935"/>
    <cellStyle name="Normal 4 10" xfId="2936"/>
    <cellStyle name="Normal 4 10 2" xfId="2937"/>
    <cellStyle name="Normal 4 100" xfId="2938"/>
    <cellStyle name="Normal 4 101" xfId="2939"/>
    <cellStyle name="Normal 4 102" xfId="2940"/>
    <cellStyle name="Normal 4 103" xfId="2941"/>
    <cellStyle name="Normal 4 104" xfId="2942"/>
    <cellStyle name="Normal 4 105" xfId="2943"/>
    <cellStyle name="Normal 4 106" xfId="2944"/>
    <cellStyle name="Normal 4 107" xfId="2945"/>
    <cellStyle name="Normal 4 108" xfId="2946"/>
    <cellStyle name="Normal 4 109" xfId="2947"/>
    <cellStyle name="Normal 4 109 2" xfId="5501"/>
    <cellStyle name="Normal 4 109 2 2" xfId="5502"/>
    <cellStyle name="Normal 4 109 3" xfId="5503"/>
    <cellStyle name="Normal 4 109 4" xfId="5504"/>
    <cellStyle name="Normal 4 11" xfId="2948"/>
    <cellStyle name="Normal 4 11 2" xfId="2949"/>
    <cellStyle name="Normal 4 110" xfId="2950"/>
    <cellStyle name="Normal 4 111" xfId="2951"/>
    <cellStyle name="Normal 4 112" xfId="2952"/>
    <cellStyle name="Normal 4 113" xfId="2953"/>
    <cellStyle name="Normal 4 114" xfId="2954"/>
    <cellStyle name="Normal 4 115" xfId="2955"/>
    <cellStyle name="Normal 4 116" xfId="2956"/>
    <cellStyle name="Normal 4 117" xfId="2957"/>
    <cellStyle name="Normal 4 118" xfId="2958"/>
    <cellStyle name="Normal 4 119" xfId="2959"/>
    <cellStyle name="Normal 4 12" xfId="2960"/>
    <cellStyle name="Normal 4 12 2" xfId="2961"/>
    <cellStyle name="Normal 4 120" xfId="2962"/>
    <cellStyle name="Normal 4 121" xfId="4670"/>
    <cellStyle name="Normal 4 122" xfId="4674"/>
    <cellStyle name="Normal 4 13" xfId="2963"/>
    <cellStyle name="Normal 4 13 2" xfId="2964"/>
    <cellStyle name="Normal 4 14" xfId="2965"/>
    <cellStyle name="Normal 4 14 2" xfId="2966"/>
    <cellStyle name="Normal 4 15" xfId="2967"/>
    <cellStyle name="Normal 4 15 2" xfId="2968"/>
    <cellStyle name="Normal 4 16" xfId="2969"/>
    <cellStyle name="Normal 4 16 2" xfId="2970"/>
    <cellStyle name="Normal 4 17" xfId="2971"/>
    <cellStyle name="Normal 4 17 2" xfId="2972"/>
    <cellStyle name="Normal 4 18" xfId="2973"/>
    <cellStyle name="Normal 4 18 2" xfId="2974"/>
    <cellStyle name="Normal 4 19" xfId="2975"/>
    <cellStyle name="Normal 4 19 2" xfId="2976"/>
    <cellStyle name="Normal 4 2" xfId="2977"/>
    <cellStyle name="Normal 4 2 2" xfId="2978"/>
    <cellStyle name="Normal 4 2 2 2" xfId="5505"/>
    <cellStyle name="Normal 4 2 2 2 2" xfId="5506"/>
    <cellStyle name="Normal 4 2 2 3" xfId="5507"/>
    <cellStyle name="Normal 4 2 2 4" xfId="5508"/>
    <cellStyle name="Normal 4 2 3" xfId="2979"/>
    <cellStyle name="Normal 4 2 4" xfId="2980"/>
    <cellStyle name="Normal 4 2 5" xfId="2981"/>
    <cellStyle name="Normal 4 2 6" xfId="2982"/>
    <cellStyle name="Normal 4 2 7" xfId="2983"/>
    <cellStyle name="Normal 4 2 8" xfId="2984"/>
    <cellStyle name="Normal 4 2 9" xfId="2985"/>
    <cellStyle name="Normal 4 20" xfId="2986"/>
    <cellStyle name="Normal 4 20 2" xfId="2987"/>
    <cellStyle name="Normal 4 21" xfId="2988"/>
    <cellStyle name="Normal 4 21 2" xfId="2989"/>
    <cellStyle name="Normal 4 21 2 2" xfId="2990"/>
    <cellStyle name="Normal 4 21 2 2 2" xfId="2991"/>
    <cellStyle name="Normal 4 21 2 2 2 2" xfId="2992"/>
    <cellStyle name="Normal 4 21 2 2 3" xfId="2993"/>
    <cellStyle name="Normal 4 21 2 3" xfId="2994"/>
    <cellStyle name="Normal 4 21 2 3 2" xfId="2995"/>
    <cellStyle name="Normal 4 21 2 4" xfId="2996"/>
    <cellStyle name="Normal 4 21 3" xfId="2997"/>
    <cellStyle name="Normal 4 21 3 2" xfId="2998"/>
    <cellStyle name="Normal 4 21 3 2 2" xfId="2999"/>
    <cellStyle name="Normal 4 21 3 2 2 2" xfId="3000"/>
    <cellStyle name="Normal 4 21 3 2 3" xfId="3001"/>
    <cellStyle name="Normal 4 21 3 3" xfId="3002"/>
    <cellStyle name="Normal 4 21 3 3 2" xfId="3003"/>
    <cellStyle name="Normal 4 21 3 4" xfId="3004"/>
    <cellStyle name="Normal 4 21 4" xfId="3005"/>
    <cellStyle name="Normal 4 21 4 2" xfId="3006"/>
    <cellStyle name="Normal 4 21 4 2 2" xfId="3007"/>
    <cellStyle name="Normal 4 21 4 2 2 2" xfId="3008"/>
    <cellStyle name="Normal 4 21 4 2 3" xfId="3009"/>
    <cellStyle name="Normal 4 21 4 3" xfId="3010"/>
    <cellStyle name="Normal 4 21 4 3 2" xfId="3011"/>
    <cellStyle name="Normal 4 21 4 4" xfId="3012"/>
    <cellStyle name="Normal 4 21 5" xfId="3013"/>
    <cellStyle name="Normal 4 21 5 2" xfId="3014"/>
    <cellStyle name="Normal 4 21 5 2 2" xfId="3015"/>
    <cellStyle name="Normal 4 21 5 3" xfId="3016"/>
    <cellStyle name="Normal 4 21 6" xfId="3017"/>
    <cellStyle name="Normal 4 21 6 2" xfId="3018"/>
    <cellStyle name="Normal 4 21 7" xfId="3019"/>
    <cellStyle name="Normal 4 21 8" xfId="3020"/>
    <cellStyle name="Normal 4 22" xfId="3021"/>
    <cellStyle name="Normal 4 22 2" xfId="3022"/>
    <cellStyle name="Normal 4 22 2 2" xfId="3023"/>
    <cellStyle name="Normal 4 22 2 2 2" xfId="3024"/>
    <cellStyle name="Normal 4 22 2 3" xfId="3025"/>
    <cellStyle name="Normal 4 22 3" xfId="3026"/>
    <cellStyle name="Normal 4 22 3 2" xfId="3027"/>
    <cellStyle name="Normal 4 22 4" xfId="3028"/>
    <cellStyle name="Normal 4 22 5" xfId="3029"/>
    <cellStyle name="Normal 4 23" xfId="3030"/>
    <cellStyle name="Normal 4 23 2" xfId="3031"/>
    <cellStyle name="Normal 4 23 2 2" xfId="3032"/>
    <cellStyle name="Normal 4 23 2 2 2" xfId="3033"/>
    <cellStyle name="Normal 4 23 2 3" xfId="3034"/>
    <cellStyle name="Normal 4 23 3" xfId="3035"/>
    <cellStyle name="Normal 4 23 3 2" xfId="3036"/>
    <cellStyle name="Normal 4 23 4" xfId="3037"/>
    <cellStyle name="Normal 4 23 5" xfId="3038"/>
    <cellStyle name="Normal 4 24" xfId="3039"/>
    <cellStyle name="Normal 4 24 2" xfId="3040"/>
    <cellStyle name="Normal 4 24 2 2" xfId="3041"/>
    <cellStyle name="Normal 4 24 2 2 2" xfId="3042"/>
    <cellStyle name="Normal 4 24 2 3" xfId="3043"/>
    <cellStyle name="Normal 4 24 3" xfId="3044"/>
    <cellStyle name="Normal 4 24 3 2" xfId="3045"/>
    <cellStyle name="Normal 4 24 4" xfId="3046"/>
    <cellStyle name="Normal 4 24 5" xfId="3047"/>
    <cellStyle name="Normal 4 25" xfId="3048"/>
    <cellStyle name="Normal 4 25 2" xfId="3049"/>
    <cellStyle name="Normal 4 25 2 2" xfId="3050"/>
    <cellStyle name="Normal 4 25 3" xfId="3051"/>
    <cellStyle name="Normal 4 25 4" xfId="3052"/>
    <cellStyle name="Normal 4 26" xfId="3053"/>
    <cellStyle name="Normal 4 26 2" xfId="3054"/>
    <cellStyle name="Normal 4 27" xfId="3055"/>
    <cellStyle name="Normal 4 27 2" xfId="3056"/>
    <cellStyle name="Normal 4 27 2 2" xfId="3057"/>
    <cellStyle name="Normal 4 27 3" xfId="3058"/>
    <cellStyle name="Normal 4 27 4" xfId="3059"/>
    <cellStyle name="Normal 4 28" xfId="3060"/>
    <cellStyle name="Normal 4 28 2" xfId="3061"/>
    <cellStyle name="Normal 4 28 3" xfId="3062"/>
    <cellStyle name="Normal 4 29" xfId="3063"/>
    <cellStyle name="Normal 4 29 2" xfId="3064"/>
    <cellStyle name="Normal 4 3" xfId="3065"/>
    <cellStyle name="Normal 4 3 2" xfId="3066"/>
    <cellStyle name="Normal 4 3 2 2" xfId="3067"/>
    <cellStyle name="Normal 4 3 2 2 2" xfId="3068"/>
    <cellStyle name="Normal 4 3 2 3" xfId="3069"/>
    <cellStyle name="Normal 4 3 2 4" xfId="3070"/>
    <cellStyle name="Normal 4 3 3" xfId="3071"/>
    <cellStyle name="Normal 4 3 4" xfId="3072"/>
    <cellStyle name="Normal 4 30" xfId="3073"/>
    <cellStyle name="Normal 4 30 2" xfId="3074"/>
    <cellStyle name="Normal 4 31" xfId="3075"/>
    <cellStyle name="Normal 4 31 2" xfId="3076"/>
    <cellStyle name="Normal 4 32" xfId="3077"/>
    <cellStyle name="Normal 4 32 2" xfId="3078"/>
    <cellStyle name="Normal 4 33" xfId="3079"/>
    <cellStyle name="Normal 4 33 2" xfId="3080"/>
    <cellStyle name="Normal 4 34" xfId="3081"/>
    <cellStyle name="Normal 4 35" xfId="3082"/>
    <cellStyle name="Normal 4 36" xfId="3083"/>
    <cellStyle name="Normal 4 37" xfId="3084"/>
    <cellStyle name="Normal 4 38" xfId="3085"/>
    <cellStyle name="Normal 4 39" xfId="3086"/>
    <cellStyle name="Normal 4 4" xfId="3087"/>
    <cellStyle name="Normal 4 4 2" xfId="3088"/>
    <cellStyle name="Normal 4 4 3" xfId="3089"/>
    <cellStyle name="Normal 4 4 4" xfId="3090"/>
    <cellStyle name="Normal 4 40" xfId="3091"/>
    <cellStyle name="Normal 4 41" xfId="3092"/>
    <cellStyle name="Normal 4 42" xfId="3093"/>
    <cellStyle name="Normal 4 43" xfId="3094"/>
    <cellStyle name="Normal 4 44" xfId="3095"/>
    <cellStyle name="Normal 4 45" xfId="3096"/>
    <cellStyle name="Normal 4 46" xfId="3097"/>
    <cellStyle name="Normal 4 47" xfId="3098"/>
    <cellStyle name="Normal 4 48" xfId="3099"/>
    <cellStyle name="Normal 4 49" xfId="3100"/>
    <cellStyle name="Normal 4 5" xfId="3101"/>
    <cellStyle name="Normal 4 5 2" xfId="3102"/>
    <cellStyle name="Normal 4 50" xfId="3103"/>
    <cellStyle name="Normal 4 51" xfId="3104"/>
    <cellStyle name="Normal 4 52" xfId="3105"/>
    <cellStyle name="Normal 4 53" xfId="3106"/>
    <cellStyle name="Normal 4 54" xfId="3107"/>
    <cellStyle name="Normal 4 55" xfId="3108"/>
    <cellStyle name="Normal 4 56" xfId="3109"/>
    <cellStyle name="Normal 4 57" xfId="3110"/>
    <cellStyle name="Normal 4 58" xfId="3111"/>
    <cellStyle name="Normal 4 59" xfId="3112"/>
    <cellStyle name="Normal 4 6" xfId="3113"/>
    <cellStyle name="Normal 4 6 2" xfId="3114"/>
    <cellStyle name="Normal 4 60" xfId="3115"/>
    <cellStyle name="Normal 4 61" xfId="3116"/>
    <cellStyle name="Normal 4 62" xfId="3117"/>
    <cellStyle name="Normal 4 63" xfId="3118"/>
    <cellStyle name="Normal 4 64" xfId="3119"/>
    <cellStyle name="Normal 4 65" xfId="3120"/>
    <cellStyle name="Normal 4 66" xfId="3121"/>
    <cellStyle name="Normal 4 67" xfId="3122"/>
    <cellStyle name="Normal 4 68" xfId="3123"/>
    <cellStyle name="Normal 4 69" xfId="3124"/>
    <cellStyle name="Normal 4 7" xfId="3125"/>
    <cellStyle name="Normal 4 7 2" xfId="3126"/>
    <cellStyle name="Normal 4 70" xfId="3127"/>
    <cellStyle name="Normal 4 71" xfId="3128"/>
    <cellStyle name="Normal 4 72" xfId="3129"/>
    <cellStyle name="Normal 4 73" xfId="3130"/>
    <cellStyle name="Normal 4 74" xfId="3131"/>
    <cellStyle name="Normal 4 75" xfId="3132"/>
    <cellStyle name="Normal 4 76" xfId="3133"/>
    <cellStyle name="Normal 4 77" xfId="3134"/>
    <cellStyle name="Normal 4 78" xfId="3135"/>
    <cellStyle name="Normal 4 79" xfId="3136"/>
    <cellStyle name="Normal 4 8" xfId="3137"/>
    <cellStyle name="Normal 4 8 2" xfId="3138"/>
    <cellStyle name="Normal 4 80" xfId="3139"/>
    <cellStyle name="Normal 4 81" xfId="3140"/>
    <cellStyle name="Normal 4 82" xfId="3141"/>
    <cellStyle name="Normal 4 83" xfId="3142"/>
    <cellStyle name="Normal 4 84" xfId="3143"/>
    <cellStyle name="Normal 4 85" xfId="3144"/>
    <cellStyle name="Normal 4 86" xfId="3145"/>
    <cellStyle name="Normal 4 87" xfId="3146"/>
    <cellStyle name="Normal 4 88" xfId="3147"/>
    <cellStyle name="Normal 4 89" xfId="3148"/>
    <cellStyle name="Normal 4 9" xfId="3149"/>
    <cellStyle name="Normal 4 9 2" xfId="3150"/>
    <cellStyle name="Normal 4 90" xfId="3151"/>
    <cellStyle name="Normal 4 91" xfId="3152"/>
    <cellStyle name="Normal 4 92" xfId="3153"/>
    <cellStyle name="Normal 4 93" xfId="3154"/>
    <cellStyle name="Normal 4 94" xfId="3155"/>
    <cellStyle name="Normal 4 95" xfId="3156"/>
    <cellStyle name="Normal 4 96" xfId="3157"/>
    <cellStyle name="Normal 4 97" xfId="3158"/>
    <cellStyle name="Normal 4 98" xfId="3159"/>
    <cellStyle name="Normal 4 99" xfId="3160"/>
    <cellStyle name="Normal 40" xfId="3161"/>
    <cellStyle name="Normal 41" xfId="3162"/>
    <cellStyle name="Normal 42" xfId="3163"/>
    <cellStyle name="Normal 43" xfId="3164"/>
    <cellStyle name="Normal 44" xfId="3165"/>
    <cellStyle name="Normal 45" xfId="3166"/>
    <cellStyle name="Normal 46" xfId="3167"/>
    <cellStyle name="Normal 47" xfId="3168"/>
    <cellStyle name="Normal 47 10" xfId="3169"/>
    <cellStyle name="Normal 47 11" xfId="3170"/>
    <cellStyle name="Normal 47 11 2" xfId="3171"/>
    <cellStyle name="Normal 47 11 3" xfId="3172"/>
    <cellStyle name="Normal 47 11 4" xfId="3173"/>
    <cellStyle name="Normal 47 11 5" xfId="3174"/>
    <cellStyle name="Normal 47 11 6" xfId="3175"/>
    <cellStyle name="Normal 47 11 7" xfId="3176"/>
    <cellStyle name="Normal 47 11 8" xfId="3177"/>
    <cellStyle name="Normal 47 12" xfId="3178"/>
    <cellStyle name="Normal 47 13" xfId="3179"/>
    <cellStyle name="Normal 47 14" xfId="3180"/>
    <cellStyle name="Normal 47 15" xfId="3181"/>
    <cellStyle name="Normal 47 16" xfId="3182"/>
    <cellStyle name="Normal 47 17" xfId="3183"/>
    <cellStyle name="Normal 47 2" xfId="3184"/>
    <cellStyle name="Normal 47 3" xfId="3185"/>
    <cellStyle name="Normal 47 3 2" xfId="3186"/>
    <cellStyle name="Normal 47 3 3" xfId="3187"/>
    <cellStyle name="Normal 47 3 4" xfId="3188"/>
    <cellStyle name="Normal 47 3 5" xfId="3189"/>
    <cellStyle name="Normal 47 3 6" xfId="3190"/>
    <cellStyle name="Normal 47 3 7" xfId="3191"/>
    <cellStyle name="Normal 47 3 8" xfId="3192"/>
    <cellStyle name="Normal 47 4" xfId="3193"/>
    <cellStyle name="Normal 47 4 2" xfId="3194"/>
    <cellStyle name="Normal 47 4 3" xfId="3195"/>
    <cellStyle name="Normal 47 4 4" xfId="3196"/>
    <cellStyle name="Normal 47 4 5" xfId="3197"/>
    <cellStyle name="Normal 47 4 6" xfId="3198"/>
    <cellStyle name="Normal 47 4 7" xfId="3199"/>
    <cellStyle name="Normal 47 4 8" xfId="3200"/>
    <cellStyle name="Normal 47 5" xfId="3201"/>
    <cellStyle name="Normal 47 5 2" xfId="3202"/>
    <cellStyle name="Normal 47 5 3" xfId="3203"/>
    <cellStyle name="Normal 47 5 4" xfId="3204"/>
    <cellStyle name="Normal 47 5 5" xfId="3205"/>
    <cellStyle name="Normal 47 5 6" xfId="3206"/>
    <cellStyle name="Normal 47 5 7" xfId="3207"/>
    <cellStyle name="Normal 47 5 8" xfId="3208"/>
    <cellStyle name="Normal 47 6" xfId="3209"/>
    <cellStyle name="Normal 47 6 2" xfId="3210"/>
    <cellStyle name="Normal 47 6 3" xfId="3211"/>
    <cellStyle name="Normal 47 6 4" xfId="3212"/>
    <cellStyle name="Normal 47 6 5" xfId="3213"/>
    <cellStyle name="Normal 47 6 6" xfId="3214"/>
    <cellStyle name="Normal 47 6 7" xfId="3215"/>
    <cellStyle name="Normal 47 6 8" xfId="3216"/>
    <cellStyle name="Normal 47 7" xfId="3217"/>
    <cellStyle name="Normal 47 7 2" xfId="3218"/>
    <cellStyle name="Normal 47 7 3" xfId="3219"/>
    <cellStyle name="Normal 47 7 4" xfId="3220"/>
    <cellStyle name="Normal 47 7 5" xfId="3221"/>
    <cellStyle name="Normal 47 7 6" xfId="3222"/>
    <cellStyle name="Normal 47 7 7" xfId="3223"/>
    <cellStyle name="Normal 47 7 8" xfId="3224"/>
    <cellStyle name="Normal 47 8" xfId="3225"/>
    <cellStyle name="Normal 47 8 2" xfId="3226"/>
    <cellStyle name="Normal 47 8 3" xfId="3227"/>
    <cellStyle name="Normal 47 8 4" xfId="3228"/>
    <cellStyle name="Normal 47 8 5" xfId="3229"/>
    <cellStyle name="Normal 47 8 6" xfId="3230"/>
    <cellStyle name="Normal 47 8 7" xfId="3231"/>
    <cellStyle name="Normal 47 8 8" xfId="3232"/>
    <cellStyle name="Normal 47 9" xfId="3233"/>
    <cellStyle name="Normal 48" xfId="3234"/>
    <cellStyle name="Normal 49" xfId="3235"/>
    <cellStyle name="Normal 49 2" xfId="3236"/>
    <cellStyle name="Normal 49 2 2" xfId="3237"/>
    <cellStyle name="Normal 49 2 2 2" xfId="3238"/>
    <cellStyle name="Normal 49 2 2 2 2" xfId="3239"/>
    <cellStyle name="Normal 49 2 2 3" xfId="3240"/>
    <cellStyle name="Normal 49 2 3" xfId="3241"/>
    <cellStyle name="Normal 49 2 3 2" xfId="3242"/>
    <cellStyle name="Normal 49 2 4" xfId="3243"/>
    <cellStyle name="Normal 49 3" xfId="3244"/>
    <cellStyle name="Normal 49 3 2" xfId="3245"/>
    <cellStyle name="Normal 49 3 2 2" xfId="3246"/>
    <cellStyle name="Normal 49 3 2 2 2" xfId="3247"/>
    <cellStyle name="Normal 49 3 2 3" xfId="3248"/>
    <cellStyle name="Normal 49 3 3" xfId="3249"/>
    <cellStyle name="Normal 49 3 3 2" xfId="3250"/>
    <cellStyle name="Normal 49 3 4" xfId="3251"/>
    <cellStyle name="Normal 49 4" xfId="3252"/>
    <cellStyle name="Normal 49 4 2" xfId="3253"/>
    <cellStyle name="Normal 49 4 2 2" xfId="3254"/>
    <cellStyle name="Normal 49 4 2 2 2" xfId="3255"/>
    <cellStyle name="Normal 49 4 2 3" xfId="3256"/>
    <cellStyle name="Normal 49 4 3" xfId="3257"/>
    <cellStyle name="Normal 49 4 3 2" xfId="3258"/>
    <cellStyle name="Normal 49 4 4" xfId="3259"/>
    <cellStyle name="Normal 49 5" xfId="3260"/>
    <cellStyle name="Normal 49 5 2" xfId="3261"/>
    <cellStyle name="Normal 49 5 2 2" xfId="3262"/>
    <cellStyle name="Normal 49 5 3" xfId="3263"/>
    <cellStyle name="Normal 49 6" xfId="3264"/>
    <cellStyle name="Normal 49 6 2" xfId="3265"/>
    <cellStyle name="Normal 49 7" xfId="3266"/>
    <cellStyle name="Normal 49 8" xfId="3267"/>
    <cellStyle name="Normal 5" xfId="3268"/>
    <cellStyle name="Normal-- 5" xfId="3269"/>
    <cellStyle name="Normal 5 10" xfId="3270"/>
    <cellStyle name="Normal 5 10 2" xfId="3271"/>
    <cellStyle name="Normal 5 100" xfId="3272"/>
    <cellStyle name="Normal 5 101" xfId="3273"/>
    <cellStyle name="Normal 5 102" xfId="3274"/>
    <cellStyle name="Normal 5 103" xfId="3275"/>
    <cellStyle name="Normal 5 104" xfId="3276"/>
    <cellStyle name="Normal 5 105" xfId="3277"/>
    <cellStyle name="Normal 5 106" xfId="3278"/>
    <cellStyle name="Normal 5 107" xfId="3279"/>
    <cellStyle name="Normal 5 108" xfId="3280"/>
    <cellStyle name="Normal 5 109" xfId="3281"/>
    <cellStyle name="Normal 5 11" xfId="3282"/>
    <cellStyle name="Normal 5 11 2" xfId="3283"/>
    <cellStyle name="Normal 5 110" xfId="3284"/>
    <cellStyle name="Normal 5 111" xfId="3285"/>
    <cellStyle name="Normal 5 112" xfId="3286"/>
    <cellStyle name="Normal 5 113" xfId="3287"/>
    <cellStyle name="Normal 5 12" xfId="3288"/>
    <cellStyle name="Normal 5 12 2" xfId="3289"/>
    <cellStyle name="Normal 5 13" xfId="3290"/>
    <cellStyle name="Normal 5 13 2" xfId="3291"/>
    <cellStyle name="Normal 5 14" xfId="3292"/>
    <cellStyle name="Normal 5 14 2" xfId="3293"/>
    <cellStyle name="Normal 5 15" xfId="3294"/>
    <cellStyle name="Normal 5 15 2" xfId="3295"/>
    <cellStyle name="Normal 5 16" xfId="3296"/>
    <cellStyle name="Normal 5 16 2" xfId="3297"/>
    <cellStyle name="Normal 5 17" xfId="3298"/>
    <cellStyle name="Normal 5 17 2" xfId="3299"/>
    <cellStyle name="Normal 5 18" xfId="3300"/>
    <cellStyle name="Normal 5 18 2" xfId="3301"/>
    <cellStyle name="Normal 5 19" xfId="3302"/>
    <cellStyle name="Normal 5 19 2" xfId="3303"/>
    <cellStyle name="Normal 5 2" xfId="3304"/>
    <cellStyle name="Normal 5 2 2" xfId="3305"/>
    <cellStyle name="Normal 5 2 3" xfId="3306"/>
    <cellStyle name="Normal 5 2 4" xfId="3307"/>
    <cellStyle name="Normal 5 2 5" xfId="3308"/>
    <cellStyle name="Normal 5 20" xfId="3309"/>
    <cellStyle name="Normal 5 20 2" xfId="3310"/>
    <cellStyle name="Normal 5 21" xfId="3311"/>
    <cellStyle name="Normal 5 21 2" xfId="3312"/>
    <cellStyle name="Normal 5 22" xfId="3313"/>
    <cellStyle name="Normal 5 22 2" xfId="3314"/>
    <cellStyle name="Normal 5 22 2 2" xfId="3315"/>
    <cellStyle name="Normal 5 22 3" xfId="3316"/>
    <cellStyle name="Normal 5 22 4" xfId="3317"/>
    <cellStyle name="Normal 5 23" xfId="3318"/>
    <cellStyle name="Normal 5 23 2" xfId="3319"/>
    <cellStyle name="Normal 5 24" xfId="3320"/>
    <cellStyle name="Normal 5 24 2" xfId="3321"/>
    <cellStyle name="Normal 5 25" xfId="3322"/>
    <cellStyle name="Normal 5 25 2" xfId="3323"/>
    <cellStyle name="Normal 5 26" xfId="3324"/>
    <cellStyle name="Normal 5 26 2" xfId="3325"/>
    <cellStyle name="Normal 5 27" xfId="3326"/>
    <cellStyle name="Normal 5 27 2" xfId="3327"/>
    <cellStyle name="Normal 5 28" xfId="3328"/>
    <cellStyle name="Normal 5 28 2" xfId="3329"/>
    <cellStyle name="Normal 5 29" xfId="3330"/>
    <cellStyle name="Normal 5 29 2" xfId="3331"/>
    <cellStyle name="Normal 5 3" xfId="3332"/>
    <cellStyle name="Normal 5 3 2" xfId="3333"/>
    <cellStyle name="Normal 5 30" xfId="3334"/>
    <cellStyle name="Normal 5 30 2" xfId="3335"/>
    <cellStyle name="Normal 5 31" xfId="3336"/>
    <cellStyle name="Normal 5 31 2" xfId="3337"/>
    <cellStyle name="Normal 5 32" xfId="3338"/>
    <cellStyle name="Normal 5 32 2" xfId="3339"/>
    <cellStyle name="Normal 5 33" xfId="3340"/>
    <cellStyle name="Normal 5 33 2" xfId="3341"/>
    <cellStyle name="Normal 5 34" xfId="3342"/>
    <cellStyle name="Normal 5 34 2" xfId="3343"/>
    <cellStyle name="Normal 5 35" xfId="3344"/>
    <cellStyle name="Normal 5 35 2" xfId="3345"/>
    <cellStyle name="Normal 5 36" xfId="3346"/>
    <cellStyle name="Normal 5 36 2" xfId="3347"/>
    <cellStyle name="Normal 5 37" xfId="3348"/>
    <cellStyle name="Normal 5 37 2" xfId="3349"/>
    <cellStyle name="Normal 5 38" xfId="3350"/>
    <cellStyle name="Normal 5 39" xfId="3351"/>
    <cellStyle name="Normal 5 4" xfId="3352"/>
    <cellStyle name="Normal 5 4 2" xfId="3353"/>
    <cellStyle name="Normal 5 40" xfId="3354"/>
    <cellStyle name="Normal 5 41" xfId="3355"/>
    <cellStyle name="Normal 5 42" xfId="3356"/>
    <cellStyle name="Normal 5 43" xfId="3357"/>
    <cellStyle name="Normal 5 44" xfId="3358"/>
    <cellStyle name="Normal 5 45" xfId="3359"/>
    <cellStyle name="Normal 5 46" xfId="3360"/>
    <cellStyle name="Normal 5 47" xfId="3361"/>
    <cellStyle name="Normal 5 48" xfId="3362"/>
    <cellStyle name="Normal 5 49" xfId="3363"/>
    <cellStyle name="Normal 5 5" xfId="3364"/>
    <cellStyle name="Normal 5 5 2" xfId="3365"/>
    <cellStyle name="Normal 5 50" xfId="3366"/>
    <cellStyle name="Normal 5 51" xfId="3367"/>
    <cellStyle name="Normal 5 52" xfId="3368"/>
    <cellStyle name="Normal 5 53" xfId="3369"/>
    <cellStyle name="Normal 5 54" xfId="3370"/>
    <cellStyle name="Normal 5 55" xfId="3371"/>
    <cellStyle name="Normal 5 56" xfId="3372"/>
    <cellStyle name="Normal 5 57" xfId="3373"/>
    <cellStyle name="Normal 5 58" xfId="3374"/>
    <cellStyle name="Normal 5 59" xfId="3375"/>
    <cellStyle name="Normal 5 6" xfId="3376"/>
    <cellStyle name="Normal 5 6 2" xfId="3377"/>
    <cellStyle name="Normal 5 60" xfId="3378"/>
    <cellStyle name="Normal 5 61" xfId="3379"/>
    <cellStyle name="Normal 5 62" xfId="3380"/>
    <cellStyle name="Normal 5 63" xfId="3381"/>
    <cellStyle name="Normal 5 64" xfId="3382"/>
    <cellStyle name="Normal 5 65" xfId="3383"/>
    <cellStyle name="Normal 5 66" xfId="3384"/>
    <cellStyle name="Normal 5 67" xfId="3385"/>
    <cellStyle name="Normal 5 68" xfId="3386"/>
    <cellStyle name="Normal 5 69" xfId="3387"/>
    <cellStyle name="Normal 5 7" xfId="3388"/>
    <cellStyle name="Normal 5 7 2" xfId="3389"/>
    <cellStyle name="Normal 5 70" xfId="3390"/>
    <cellStyle name="Normal 5 71" xfId="3391"/>
    <cellStyle name="Normal 5 72" xfId="3392"/>
    <cellStyle name="Normal 5 73" xfId="3393"/>
    <cellStyle name="Normal 5 74" xfId="3394"/>
    <cellStyle name="Normal 5 75" xfId="3395"/>
    <cellStyle name="Normal 5 76" xfId="3396"/>
    <cellStyle name="Normal 5 77" xfId="3397"/>
    <cellStyle name="Normal 5 78" xfId="3398"/>
    <cellStyle name="Normal 5 79" xfId="3399"/>
    <cellStyle name="Normal 5 8" xfId="3400"/>
    <cellStyle name="Normal 5 8 2" xfId="3401"/>
    <cellStyle name="Normal 5 80" xfId="3402"/>
    <cellStyle name="Normal 5 81" xfId="3403"/>
    <cellStyle name="Normal 5 82" xfId="3404"/>
    <cellStyle name="Normal 5 83" xfId="3405"/>
    <cellStyle name="Normal 5 84" xfId="3406"/>
    <cellStyle name="Normal 5 85" xfId="3407"/>
    <cellStyle name="Normal 5 86" xfId="3408"/>
    <cellStyle name="Normal 5 87" xfId="3409"/>
    <cellStyle name="Normal 5 88" xfId="3410"/>
    <cellStyle name="Normal 5 89" xfId="3411"/>
    <cellStyle name="Normal 5 9" xfId="3412"/>
    <cellStyle name="Normal 5 9 2" xfId="3413"/>
    <cellStyle name="Normal 5 90" xfId="3414"/>
    <cellStyle name="Normal 5 91" xfId="3415"/>
    <cellStyle name="Normal 5 92" xfId="3416"/>
    <cellStyle name="Normal 5 93" xfId="3417"/>
    <cellStyle name="Normal 5 94" xfId="3418"/>
    <cellStyle name="Normal 5 95" xfId="3419"/>
    <cellStyle name="Normal 5 96" xfId="3420"/>
    <cellStyle name="Normal 5 97" xfId="3421"/>
    <cellStyle name="Normal 5 98" xfId="3422"/>
    <cellStyle name="Normal 5 99" xfId="3423"/>
    <cellStyle name="Normal 50" xfId="3424"/>
    <cellStyle name="Normal 50 2" xfId="3425"/>
    <cellStyle name="Normal 50 3" xfId="3426"/>
    <cellStyle name="Normal 50 4" xfId="3427"/>
    <cellStyle name="Normal 50 5" xfId="3428"/>
    <cellStyle name="Normal 50 6" xfId="3429"/>
    <cellStyle name="Normal 50 7" xfId="3430"/>
    <cellStyle name="Normal 50 8" xfId="3431"/>
    <cellStyle name="Normal 51" xfId="3432"/>
    <cellStyle name="Normal 51 2" xfId="3433"/>
    <cellStyle name="Normal 51 2 2" xfId="3434"/>
    <cellStyle name="Normal 51 2 2 2" xfId="3435"/>
    <cellStyle name="Normal 51 2 2 2 2" xfId="3436"/>
    <cellStyle name="Normal 51 2 2 3" xfId="3437"/>
    <cellStyle name="Normal 51 2 3" xfId="3438"/>
    <cellStyle name="Normal 51 2 3 2" xfId="3439"/>
    <cellStyle name="Normal 51 2 4" xfId="3440"/>
    <cellStyle name="Normal 51 3" xfId="3441"/>
    <cellStyle name="Normal 51 3 2" xfId="3442"/>
    <cellStyle name="Normal 51 3 2 2" xfId="3443"/>
    <cellStyle name="Normal 51 3 3" xfId="3444"/>
    <cellStyle name="Normal 51 4" xfId="3445"/>
    <cellStyle name="Normal 51 4 2" xfId="3446"/>
    <cellStyle name="Normal 51 5" xfId="3447"/>
    <cellStyle name="Normal 51 6" xfId="3448"/>
    <cellStyle name="Normal 51 7" xfId="3449"/>
    <cellStyle name="Normal 51 8" xfId="3450"/>
    <cellStyle name="Normal 52" xfId="3451"/>
    <cellStyle name="Normal 52 2" xfId="3452"/>
    <cellStyle name="Normal 52 2 2" xfId="3453"/>
    <cellStyle name="Normal 52 3" xfId="3454"/>
    <cellStyle name="Normal 52 4" xfId="3455"/>
    <cellStyle name="Normal 52 5" xfId="3456"/>
    <cellStyle name="Normal 52 6" xfId="3457"/>
    <cellStyle name="Normal 52 7" xfId="3458"/>
    <cellStyle name="Normal 52 8" xfId="3459"/>
    <cellStyle name="Normal 53" xfId="3460"/>
    <cellStyle name="Normal 53 2" xfId="3461"/>
    <cellStyle name="Normal 53 2 2" xfId="3462"/>
    <cellStyle name="Normal 53 2 2 2" xfId="3463"/>
    <cellStyle name="Normal 53 2 3" xfId="3464"/>
    <cellStyle name="Normal 53 3" xfId="3465"/>
    <cellStyle name="Normal 53 3 2" xfId="3466"/>
    <cellStyle name="Normal 53 4" xfId="3467"/>
    <cellStyle name="Normal 53 5" xfId="3468"/>
    <cellStyle name="Normal 53 6" xfId="3469"/>
    <cellStyle name="Normal 53 7" xfId="3470"/>
    <cellStyle name="Normal 53 8" xfId="3471"/>
    <cellStyle name="Normal 54" xfId="3472"/>
    <cellStyle name="Normal 54 2" xfId="3473"/>
    <cellStyle name="Normal 54 3" xfId="3474"/>
    <cellStyle name="Normal 54 4" xfId="3475"/>
    <cellStyle name="Normal 54 5" xfId="3476"/>
    <cellStyle name="Normal 54 6" xfId="3477"/>
    <cellStyle name="Normal 54 7" xfId="3478"/>
    <cellStyle name="Normal 54 8" xfId="3479"/>
    <cellStyle name="Normal 55" xfId="3480"/>
    <cellStyle name="Normal 55 2" xfId="3481"/>
    <cellStyle name="Normal 55 3" xfId="3482"/>
    <cellStyle name="Normal 55 4" xfId="3483"/>
    <cellStyle name="Normal 55 5" xfId="3484"/>
    <cellStyle name="Normal 55 6" xfId="3485"/>
    <cellStyle name="Normal 55 7" xfId="3486"/>
    <cellStyle name="Normal 55 8" xfId="3487"/>
    <cellStyle name="Normal 56" xfId="3488"/>
    <cellStyle name="Normal 56 2" xfId="3489"/>
    <cellStyle name="Normal 56 3" xfId="3490"/>
    <cellStyle name="Normal 56 4" xfId="3491"/>
    <cellStyle name="Normal 56 5" xfId="3492"/>
    <cellStyle name="Normal 56 6" xfId="3493"/>
    <cellStyle name="Normal 56 7" xfId="3494"/>
    <cellStyle name="Normal 56 8" xfId="3495"/>
    <cellStyle name="Normal 57" xfId="3496"/>
    <cellStyle name="Normal 57 2" xfId="3497"/>
    <cellStyle name="Normal 57 3" xfId="3498"/>
    <cellStyle name="Normal 57 4" xfId="3499"/>
    <cellStyle name="Normal 57 5" xfId="3500"/>
    <cellStyle name="Normal 57 6" xfId="3501"/>
    <cellStyle name="Normal 57 7" xfId="3502"/>
    <cellStyle name="Normal 57 8" xfId="3503"/>
    <cellStyle name="Normal 58" xfId="3504"/>
    <cellStyle name="Normal 58 2" xfId="3505"/>
    <cellStyle name="Normal 58 3" xfId="3506"/>
    <cellStyle name="Normal 58 4" xfId="3507"/>
    <cellStyle name="Normal 58 5" xfId="3508"/>
    <cellStyle name="Normal 58 6" xfId="3509"/>
    <cellStyle name="Normal 58 7" xfId="3510"/>
    <cellStyle name="Normal 58 8" xfId="3511"/>
    <cellStyle name="Normal 59" xfId="3512"/>
    <cellStyle name="Normal 59 2" xfId="3513"/>
    <cellStyle name="Normal 59 3" xfId="3514"/>
    <cellStyle name="Normal 59 4" xfId="3515"/>
    <cellStyle name="Normal 59 5" xfId="3516"/>
    <cellStyle name="Normal 59 6" xfId="3517"/>
    <cellStyle name="Normal 59 7" xfId="3518"/>
    <cellStyle name="Normal 59 8" xfId="3519"/>
    <cellStyle name="Normal 6" xfId="3520"/>
    <cellStyle name="Normal-- 6" xfId="3521"/>
    <cellStyle name="Normal 6 10" xfId="3522"/>
    <cellStyle name="Normal 6 10 2" xfId="3523"/>
    <cellStyle name="Normal 6 100" xfId="3524"/>
    <cellStyle name="Normal 6 101" xfId="3525"/>
    <cellStyle name="Normal 6 102" xfId="3526"/>
    <cellStyle name="Normal 6 103" xfId="3527"/>
    <cellStyle name="Normal 6 104" xfId="3528"/>
    <cellStyle name="Normal 6 105" xfId="3529"/>
    <cellStyle name="Normal 6 106" xfId="3530"/>
    <cellStyle name="Normal 6 107" xfId="3531"/>
    <cellStyle name="Normal 6 108" xfId="3532"/>
    <cellStyle name="Normal 6 109" xfId="3533"/>
    <cellStyle name="Normal 6 11" xfId="3534"/>
    <cellStyle name="Normal 6 11 2" xfId="3535"/>
    <cellStyle name="Normal 6 110" xfId="3536"/>
    <cellStyle name="Normal 6 111" xfId="3537"/>
    <cellStyle name="Normal 6 112" xfId="3538"/>
    <cellStyle name="Normal 6 113" xfId="3539"/>
    <cellStyle name="Normal 6 114" xfId="3540"/>
    <cellStyle name="Normal 6 115" xfId="3541"/>
    <cellStyle name="Normal 6 116" xfId="3542"/>
    <cellStyle name="Normal 6 117" xfId="3543"/>
    <cellStyle name="Normal 6 12" xfId="3544"/>
    <cellStyle name="Normal 6 12 2" xfId="3545"/>
    <cellStyle name="Normal 6 13" xfId="3546"/>
    <cellStyle name="Normal 6 13 2" xfId="3547"/>
    <cellStyle name="Normal 6 14" xfId="3548"/>
    <cellStyle name="Normal 6 14 2" xfId="3549"/>
    <cellStyle name="Normal 6 15" xfId="3550"/>
    <cellStyle name="Normal 6 15 2" xfId="3551"/>
    <cellStyle name="Normal 6 16" xfId="3552"/>
    <cellStyle name="Normal 6 16 2" xfId="3553"/>
    <cellStyle name="Normal 6 17" xfId="3554"/>
    <cellStyle name="Normal 6 17 2" xfId="3555"/>
    <cellStyle name="Normal 6 18" xfId="3556"/>
    <cellStyle name="Normal 6 18 2" xfId="3557"/>
    <cellStyle name="Normal 6 19" xfId="3558"/>
    <cellStyle name="Normal 6 19 2" xfId="3559"/>
    <cellStyle name="Normal 6 2" xfId="3"/>
    <cellStyle name="Normal 6 2 2" xfId="3560"/>
    <cellStyle name="Normal 6 2 2 2" xfId="5509"/>
    <cellStyle name="Normal 6 2 2 2 2" xfId="5510"/>
    <cellStyle name="Normal 6 2 2 3" xfId="5511"/>
    <cellStyle name="Normal 6 2 2 4" xfId="5512"/>
    <cellStyle name="Normal 6 2 3" xfId="3561"/>
    <cellStyle name="Normal 6 2 4" xfId="3562"/>
    <cellStyle name="Normal 6 2 5" xfId="3563"/>
    <cellStyle name="Normal 6 20" xfId="3564"/>
    <cellStyle name="Normal 6 20 2" xfId="3565"/>
    <cellStyle name="Normal 6 21" xfId="3566"/>
    <cellStyle name="Normal 6 21 2" xfId="3567"/>
    <cellStyle name="Normal 6 21 2 2" xfId="3568"/>
    <cellStyle name="Normal 6 21 3" xfId="3569"/>
    <cellStyle name="Normal 6 21 4" xfId="3570"/>
    <cellStyle name="Normal 6 22" xfId="3571"/>
    <cellStyle name="Normal 6 22 2" xfId="3572"/>
    <cellStyle name="Normal 6 22 2 2" xfId="3573"/>
    <cellStyle name="Normal 6 22 3" xfId="3574"/>
    <cellStyle name="Normal 6 22 4" xfId="3575"/>
    <cellStyle name="Normal 6 23" xfId="3576"/>
    <cellStyle name="Normal 6 23 2" xfId="3577"/>
    <cellStyle name="Normal 6 24" xfId="3578"/>
    <cellStyle name="Normal 6 24 2" xfId="3579"/>
    <cellStyle name="Normal 6 25" xfId="3580"/>
    <cellStyle name="Normal 6 25 2" xfId="3581"/>
    <cellStyle name="Normal 6 26" xfId="3582"/>
    <cellStyle name="Normal 6 26 2" xfId="3583"/>
    <cellStyle name="Normal 6 27" xfId="3584"/>
    <cellStyle name="Normal 6 27 2" xfId="3585"/>
    <cellStyle name="Normal 6 28" xfId="3586"/>
    <cellStyle name="Normal 6 28 2" xfId="3587"/>
    <cellStyle name="Normal 6 29" xfId="3588"/>
    <cellStyle name="Normal 6 29 2" xfId="3589"/>
    <cellStyle name="Normal 6 3" xfId="3590"/>
    <cellStyle name="Normal 6 3 2" xfId="3591"/>
    <cellStyle name="Normal 6 3 3" xfId="3592"/>
    <cellStyle name="Normal 6 3 4" xfId="3593"/>
    <cellStyle name="Normal 6 30" xfId="3594"/>
    <cellStyle name="Normal 6 31" xfId="3595"/>
    <cellStyle name="Normal 6 32" xfId="3596"/>
    <cellStyle name="Normal 6 33" xfId="3597"/>
    <cellStyle name="Normal 6 34" xfId="3598"/>
    <cellStyle name="Normal 6 35" xfId="3599"/>
    <cellStyle name="Normal 6 36" xfId="3600"/>
    <cellStyle name="Normal 6 37" xfId="3601"/>
    <cellStyle name="Normal 6 38" xfId="3602"/>
    <cellStyle name="Normal 6 39" xfId="3603"/>
    <cellStyle name="Normal 6 4" xfId="3604"/>
    <cellStyle name="Normal 6 4 2" xfId="3605"/>
    <cellStyle name="Normal 6 40" xfId="3606"/>
    <cellStyle name="Normal 6 41" xfId="3607"/>
    <cellStyle name="Normal 6 42" xfId="3608"/>
    <cellStyle name="Normal 6 43" xfId="3609"/>
    <cellStyle name="Normal 6 44" xfId="3610"/>
    <cellStyle name="Normal 6 45" xfId="3611"/>
    <cellStyle name="Normal 6 46" xfId="3612"/>
    <cellStyle name="Normal 6 47" xfId="3613"/>
    <cellStyle name="Normal 6 48" xfId="3614"/>
    <cellStyle name="Normal 6 49" xfId="3615"/>
    <cellStyle name="Normal 6 5" xfId="3616"/>
    <cellStyle name="Normal 6 5 2" xfId="3617"/>
    <cellStyle name="Normal 6 50" xfId="3618"/>
    <cellStyle name="Normal 6 51" xfId="3619"/>
    <cellStyle name="Normal 6 52" xfId="3620"/>
    <cellStyle name="Normal 6 53" xfId="3621"/>
    <cellStyle name="Normal 6 54" xfId="3622"/>
    <cellStyle name="Normal 6 55" xfId="3623"/>
    <cellStyle name="Normal 6 56" xfId="3624"/>
    <cellStyle name="Normal 6 57" xfId="3625"/>
    <cellStyle name="Normal 6 58" xfId="3626"/>
    <cellStyle name="Normal 6 59" xfId="3627"/>
    <cellStyle name="Normal 6 6" xfId="3628"/>
    <cellStyle name="Normal 6 6 2" xfId="3629"/>
    <cellStyle name="Normal 6 60" xfId="3630"/>
    <cellStyle name="Normal 6 61" xfId="3631"/>
    <cellStyle name="Normal 6 62" xfId="3632"/>
    <cellStyle name="Normal 6 63" xfId="3633"/>
    <cellStyle name="Normal 6 64" xfId="3634"/>
    <cellStyle name="Normal 6 65" xfId="3635"/>
    <cellStyle name="Normal 6 66" xfId="3636"/>
    <cellStyle name="Normal 6 67" xfId="3637"/>
    <cellStyle name="Normal 6 68" xfId="3638"/>
    <cellStyle name="Normal 6 69" xfId="3639"/>
    <cellStyle name="Normal 6 7" xfId="3640"/>
    <cellStyle name="Normal 6 7 2" xfId="3641"/>
    <cellStyle name="Normal 6 70" xfId="3642"/>
    <cellStyle name="Normal 6 71" xfId="3643"/>
    <cellStyle name="Normal 6 72" xfId="3644"/>
    <cellStyle name="Normal 6 73" xfId="3645"/>
    <cellStyle name="Normal 6 74" xfId="3646"/>
    <cellStyle name="Normal 6 75" xfId="3647"/>
    <cellStyle name="Normal 6 76" xfId="3648"/>
    <cellStyle name="Normal 6 77" xfId="3649"/>
    <cellStyle name="Normal 6 78" xfId="3650"/>
    <cellStyle name="Normal 6 79" xfId="3651"/>
    <cellStyle name="Normal 6 8" xfId="3652"/>
    <cellStyle name="Normal 6 8 2" xfId="3653"/>
    <cellStyle name="Normal 6 80" xfId="3654"/>
    <cellStyle name="Normal 6 81" xfId="3655"/>
    <cellStyle name="Normal 6 82" xfId="3656"/>
    <cellStyle name="Normal 6 83" xfId="3657"/>
    <cellStyle name="Normal 6 84" xfId="3658"/>
    <cellStyle name="Normal 6 85" xfId="3659"/>
    <cellStyle name="Normal 6 86" xfId="3660"/>
    <cellStyle name="Normal 6 87" xfId="3661"/>
    <cellStyle name="Normal 6 88" xfId="3662"/>
    <cellStyle name="Normal 6 89" xfId="3663"/>
    <cellStyle name="Normal 6 9" xfId="3664"/>
    <cellStyle name="Normal 6 9 2" xfId="3665"/>
    <cellStyle name="Normal 6 90" xfId="3666"/>
    <cellStyle name="Normal 6 91" xfId="3667"/>
    <cellStyle name="Normal 6 92" xfId="3668"/>
    <cellStyle name="Normal 6 93" xfId="3669"/>
    <cellStyle name="Normal 6 94" xfId="3670"/>
    <cellStyle name="Normal 6 95" xfId="3671"/>
    <cellStyle name="Normal 6 96" xfId="3672"/>
    <cellStyle name="Normal 6 97" xfId="3673"/>
    <cellStyle name="Normal 6 98" xfId="3674"/>
    <cellStyle name="Normal 6 99" xfId="3675"/>
    <cellStyle name="Normal 60" xfId="4568"/>
    <cellStyle name="Normal 60 2" xfId="3676"/>
    <cellStyle name="Normal 60 3" xfId="3677"/>
    <cellStyle name="Normal 60 4" xfId="3678"/>
    <cellStyle name="Normal 60 5" xfId="3679"/>
    <cellStyle name="Normal 60 6" xfId="3680"/>
    <cellStyle name="Normal 60 7" xfId="3681"/>
    <cellStyle name="Normal 60 8" xfId="3682"/>
    <cellStyle name="Normal 61" xfId="4572"/>
    <cellStyle name="Normal 61 2" xfId="3683"/>
    <cellStyle name="Normal 61 3" xfId="3684"/>
    <cellStyle name="Normal 61 4" xfId="3685"/>
    <cellStyle name="Normal 61 5" xfId="3686"/>
    <cellStyle name="Normal 61 6" xfId="3687"/>
    <cellStyle name="Normal 61 7" xfId="3688"/>
    <cellStyle name="Normal 61 8" xfId="3689"/>
    <cellStyle name="Normal 62" xfId="4576"/>
    <cellStyle name="Normal 62 2" xfId="3690"/>
    <cellStyle name="Normal 62 3" xfId="3691"/>
    <cellStyle name="Normal 62 4" xfId="3692"/>
    <cellStyle name="Normal 62 5" xfId="3693"/>
    <cellStyle name="Normal 62 6" xfId="3694"/>
    <cellStyle name="Normal 62 7" xfId="3695"/>
    <cellStyle name="Normal 62 8" xfId="3696"/>
    <cellStyle name="Normal 63" xfId="4580"/>
    <cellStyle name="Normal 63 2" xfId="3697"/>
    <cellStyle name="Normal 63 3" xfId="3698"/>
    <cellStyle name="Normal 63 4" xfId="3699"/>
    <cellStyle name="Normal 63 5" xfId="3700"/>
    <cellStyle name="Normal 63 6" xfId="3701"/>
    <cellStyle name="Normal 63 7" xfId="3702"/>
    <cellStyle name="Normal 63 8" xfId="3703"/>
    <cellStyle name="Normal 64" xfId="4584"/>
    <cellStyle name="Normal 64 2" xfId="3704"/>
    <cellStyle name="Normal 64 3" xfId="3705"/>
    <cellStyle name="Normal 64 4" xfId="3706"/>
    <cellStyle name="Normal 64 5" xfId="3707"/>
    <cellStyle name="Normal 64 6" xfId="3708"/>
    <cellStyle name="Normal 64 7" xfId="3709"/>
    <cellStyle name="Normal 64 8" xfId="3710"/>
    <cellStyle name="Normal 65" xfId="3711"/>
    <cellStyle name="Normal 65 2" xfId="3712"/>
    <cellStyle name="Normal 65 3" xfId="3713"/>
    <cellStyle name="Normal 65 4" xfId="3714"/>
    <cellStyle name="Normal 65 5" xfId="3715"/>
    <cellStyle name="Normal 65 6" xfId="3716"/>
    <cellStyle name="Normal 65 7" xfId="3717"/>
    <cellStyle name="Normal 65 8" xfId="3718"/>
    <cellStyle name="Normal 66" xfId="4588"/>
    <cellStyle name="Normal 67" xfId="4612"/>
    <cellStyle name="Normal 67 2" xfId="3719"/>
    <cellStyle name="Normal 67 3" xfId="3720"/>
    <cellStyle name="Normal 67 4" xfId="3721"/>
    <cellStyle name="Normal 67 5" xfId="3722"/>
    <cellStyle name="Normal 67 6" xfId="3723"/>
    <cellStyle name="Normal 67 7" xfId="3724"/>
    <cellStyle name="Normal 67 8" xfId="3725"/>
    <cellStyle name="Normal 68" xfId="4616"/>
    <cellStyle name="Normal 69" xfId="4619"/>
    <cellStyle name="Normal 69 2" xfId="3726"/>
    <cellStyle name="Normal 69 3" xfId="3727"/>
    <cellStyle name="Normal 69 4" xfId="3728"/>
    <cellStyle name="Normal 69 5" xfId="3729"/>
    <cellStyle name="Normal 69 6" xfId="3730"/>
    <cellStyle name="Normal 69 7" xfId="3731"/>
    <cellStyle name="Normal 69 8" xfId="3732"/>
    <cellStyle name="Normal 7" xfId="3733"/>
    <cellStyle name="Normal-- 7" xfId="3734"/>
    <cellStyle name="Normal 7 10" xfId="3735"/>
    <cellStyle name="Normal 7 11" xfId="3736"/>
    <cellStyle name="Normal 7 12" xfId="3737"/>
    <cellStyle name="Normal 7 13" xfId="3738"/>
    <cellStyle name="Normal 7 14" xfId="3739"/>
    <cellStyle name="Normal 7 15" xfId="3740"/>
    <cellStyle name="Normal 7 16" xfId="3741"/>
    <cellStyle name="Normal 7 17" xfId="3742"/>
    <cellStyle name="Normal 7 18" xfId="3743"/>
    <cellStyle name="Normal 7 19" xfId="3744"/>
    <cellStyle name="Normal 7 2" xfId="3745"/>
    <cellStyle name="Normal 7 2 2" xfId="3746"/>
    <cellStyle name="Normal 7 2 3" xfId="3747"/>
    <cellStyle name="Normal 7 2 4" xfId="3748"/>
    <cellStyle name="Normal 7 20" xfId="3749"/>
    <cellStyle name="Normal 7 21" xfId="3750"/>
    <cellStyle name="Normal 7 22" xfId="3751"/>
    <cellStyle name="Normal 7 23" xfId="3752"/>
    <cellStyle name="Normal 7 24" xfId="3753"/>
    <cellStyle name="Normal 7 25" xfId="3754"/>
    <cellStyle name="Normal 7 26" xfId="3755"/>
    <cellStyle name="Normal 7 27" xfId="3756"/>
    <cellStyle name="Normal 7 28" xfId="3757"/>
    <cellStyle name="Normal 7 29" xfId="3758"/>
    <cellStyle name="Normal 7 3" xfId="3759"/>
    <cellStyle name="Normal 7 3 2" xfId="5513"/>
    <cellStyle name="Normal 7 3 2 2" xfId="5514"/>
    <cellStyle name="Normal 7 3 3" xfId="5515"/>
    <cellStyle name="Normal 7 3 4" xfId="5516"/>
    <cellStyle name="Normal 7 30" xfId="3760"/>
    <cellStyle name="Normal 7 31" xfId="3761"/>
    <cellStyle name="Normal 7 32" xfId="3762"/>
    <cellStyle name="Normal 7 33" xfId="3763"/>
    <cellStyle name="Normal 7 34" xfId="3764"/>
    <cellStyle name="Normal 7 35" xfId="3765"/>
    <cellStyle name="Normal 7 36" xfId="3766"/>
    <cellStyle name="Normal 7 37" xfId="3767"/>
    <cellStyle name="Normal 7 38" xfId="3768"/>
    <cellStyle name="Normal 7 4" xfId="3769"/>
    <cellStyle name="Normal 7 5" xfId="3770"/>
    <cellStyle name="Normal 7 5 2" xfId="5517"/>
    <cellStyle name="Normal 7 6" xfId="3771"/>
    <cellStyle name="Normal 7 7" xfId="3772"/>
    <cellStyle name="Normal 7 8" xfId="3773"/>
    <cellStyle name="Normal 7 9" xfId="3774"/>
    <cellStyle name="Normal 70" xfId="4622"/>
    <cellStyle name="Normal 70 2" xfId="3775"/>
    <cellStyle name="Normal 70 3" xfId="3776"/>
    <cellStyle name="Normal 70 4" xfId="3777"/>
    <cellStyle name="Normal 70 5" xfId="3778"/>
    <cellStyle name="Normal 70 6" xfId="3779"/>
    <cellStyle name="Normal 70 7" xfId="3780"/>
    <cellStyle name="Normal 70 8" xfId="3781"/>
    <cellStyle name="Normal 71" xfId="4625"/>
    <cellStyle name="Normal 71 2" xfId="3782"/>
    <cellStyle name="Normal 71 3" xfId="3783"/>
    <cellStyle name="Normal 71 4" xfId="3784"/>
    <cellStyle name="Normal 71 5" xfId="3785"/>
    <cellStyle name="Normal 71 6" xfId="3786"/>
    <cellStyle name="Normal 71 7" xfId="3787"/>
    <cellStyle name="Normal 71 8" xfId="3788"/>
    <cellStyle name="Normal 72" xfId="4628"/>
    <cellStyle name="Normal 72 2" xfId="3789"/>
    <cellStyle name="Normal 72 3" xfId="3790"/>
    <cellStyle name="Normal 72 4" xfId="3791"/>
    <cellStyle name="Normal 72 5" xfId="3792"/>
    <cellStyle name="Normal 72 6" xfId="3793"/>
    <cellStyle name="Normal 72 7" xfId="3794"/>
    <cellStyle name="Normal 72 8" xfId="3795"/>
    <cellStyle name="Normal 73" xfId="4631"/>
    <cellStyle name="Normal 73 2" xfId="3796"/>
    <cellStyle name="Normal 73 3" xfId="3797"/>
    <cellStyle name="Normal 73 4" xfId="3798"/>
    <cellStyle name="Normal 73 5" xfId="3799"/>
    <cellStyle name="Normal 73 6" xfId="3800"/>
    <cellStyle name="Normal 73 7" xfId="3801"/>
    <cellStyle name="Normal 73 8" xfId="3802"/>
    <cellStyle name="Normal 74" xfId="4633"/>
    <cellStyle name="Normal 74 2" xfId="3803"/>
    <cellStyle name="Normal 74 3" xfId="3804"/>
    <cellStyle name="Normal 74 4" xfId="3805"/>
    <cellStyle name="Normal 74 5" xfId="3806"/>
    <cellStyle name="Normal 74 6" xfId="3807"/>
    <cellStyle name="Normal 74 7" xfId="3808"/>
    <cellStyle name="Normal 74 8" xfId="3809"/>
    <cellStyle name="Normal 75" xfId="4635"/>
    <cellStyle name="Normal 75 2" xfId="3810"/>
    <cellStyle name="Normal 75 3" xfId="3811"/>
    <cellStyle name="Normal 75 4" xfId="3812"/>
    <cellStyle name="Normal 75 5" xfId="3813"/>
    <cellStyle name="Normal 75 6" xfId="3814"/>
    <cellStyle name="Normal 75 7" xfId="3815"/>
    <cellStyle name="Normal 75 8" xfId="3816"/>
    <cellStyle name="Normal 76" xfId="3817"/>
    <cellStyle name="Normal 77" xfId="3818"/>
    <cellStyle name="Normal 78" xfId="4637"/>
    <cellStyle name="Normal 79" xfId="4636"/>
    <cellStyle name="Normal 8" xfId="3819"/>
    <cellStyle name="Normal-- 8" xfId="3820"/>
    <cellStyle name="Normal 8 10" xfId="3821"/>
    <cellStyle name="Normal 8 11" xfId="3822"/>
    <cellStyle name="Normal 8 12" xfId="3823"/>
    <cellStyle name="Normal 8 13" xfId="3824"/>
    <cellStyle name="Normal 8 14" xfId="3825"/>
    <cellStyle name="Normal 8 15" xfId="3826"/>
    <cellStyle name="Normal 8 16" xfId="3827"/>
    <cellStyle name="Normal 8 17" xfId="3828"/>
    <cellStyle name="Normal 8 18" xfId="3829"/>
    <cellStyle name="Normal 8 19" xfId="3830"/>
    <cellStyle name="Normal 8 2" xfId="3831"/>
    <cellStyle name="Normal 8 2 2" xfId="3832"/>
    <cellStyle name="Normal 8 2 2 2" xfId="5518"/>
    <cellStyle name="Normal 8 2 2 2 2" xfId="5519"/>
    <cellStyle name="Normal 8 2 2 3" xfId="5520"/>
    <cellStyle name="Normal 8 2 2 4" xfId="5521"/>
    <cellStyle name="Normal 8 2 3" xfId="5522"/>
    <cellStyle name="Normal 8 20" xfId="3833"/>
    <cellStyle name="Normal 8 21" xfId="3834"/>
    <cellStyle name="Normal 8 21 2" xfId="3835"/>
    <cellStyle name="Normal 8 21 2 2" xfId="3836"/>
    <cellStyle name="Normal 8 21 2 2 2" xfId="3837"/>
    <cellStyle name="Normal 8 21 2 3" xfId="3838"/>
    <cellStyle name="Normal 8 21 3" xfId="3839"/>
    <cellStyle name="Normal 8 21 3 2" xfId="3840"/>
    <cellStyle name="Normal 8 21 4" xfId="3841"/>
    <cellStyle name="Normal 8 22" xfId="3842"/>
    <cellStyle name="Normal 8 22 2" xfId="3843"/>
    <cellStyle name="Normal 8 22 2 2" xfId="3844"/>
    <cellStyle name="Normal 8 22 2 2 2" xfId="3845"/>
    <cellStyle name="Normal 8 22 2 3" xfId="3846"/>
    <cellStyle name="Normal 8 22 3" xfId="3847"/>
    <cellStyle name="Normal 8 22 3 2" xfId="3848"/>
    <cellStyle name="Normal 8 22 4" xfId="3849"/>
    <cellStyle name="Normal 8 23" xfId="3850"/>
    <cellStyle name="Normal 8 23 2" xfId="3851"/>
    <cellStyle name="Normal 8 23 2 2" xfId="3852"/>
    <cellStyle name="Normal 8 23 3" xfId="3853"/>
    <cellStyle name="Normal 8 24" xfId="3854"/>
    <cellStyle name="Normal 8 24 2" xfId="3855"/>
    <cellStyle name="Normal 8 25" xfId="3856"/>
    <cellStyle name="Normal 8 26" xfId="3857"/>
    <cellStyle name="Normal 8 27" xfId="3858"/>
    <cellStyle name="Normal 8 28" xfId="3859"/>
    <cellStyle name="Normal 8 29" xfId="3860"/>
    <cellStyle name="Normal 8 3" xfId="3861"/>
    <cellStyle name="Normal 8 3 2" xfId="3862"/>
    <cellStyle name="Normal 8 30" xfId="3863"/>
    <cellStyle name="Normal 8 31" xfId="3864"/>
    <cellStyle name="Normal 8 32" xfId="3865"/>
    <cellStyle name="Normal 8 33" xfId="3866"/>
    <cellStyle name="Normal 8 34" xfId="3867"/>
    <cellStyle name="Normal 8 35" xfId="3868"/>
    <cellStyle name="Normal 8 36" xfId="3869"/>
    <cellStyle name="Normal 8 37" xfId="3870"/>
    <cellStyle name="Normal 8 38" xfId="3871"/>
    <cellStyle name="Normal 8 39" xfId="3872"/>
    <cellStyle name="Normal 8 4" xfId="3873"/>
    <cellStyle name="Normal 8 40" xfId="3874"/>
    <cellStyle name="Normal 8 41" xfId="3875"/>
    <cellStyle name="Normal 8 42" xfId="3876"/>
    <cellStyle name="Normal 8 5" xfId="3877"/>
    <cellStyle name="Normal 8 6" xfId="3878"/>
    <cellStyle name="Normal 8 7" xfId="3879"/>
    <cellStyle name="Normal 8 8" xfId="3880"/>
    <cellStyle name="Normal 8 9" xfId="3881"/>
    <cellStyle name="Normal 80" xfId="4642"/>
    <cellStyle name="Normal 81" xfId="4647"/>
    <cellStyle name="Normal 82" xfId="4675"/>
    <cellStyle name="Normal 82 2" xfId="5413"/>
    <cellStyle name="Normal 83" xfId="4678"/>
    <cellStyle name="Normal 84" xfId="4697"/>
    <cellStyle name="Normal 85" xfId="4700"/>
    <cellStyle name="Normal 86" xfId="4702"/>
    <cellStyle name="Normal 87" xfId="4705"/>
    <cellStyle name="Normal 9" xfId="3882"/>
    <cellStyle name="Normal 9 2" xfId="3883"/>
    <cellStyle name="Normal 9 2 2" xfId="3884"/>
    <cellStyle name="Normal 9 3" xfId="3885"/>
    <cellStyle name="Normal 9 4" xfId="3886"/>
    <cellStyle name="Normal 9 5" xfId="3887"/>
    <cellStyle name="Normal 9 6" xfId="3888"/>
    <cellStyle name="Normal_Example 1" xfId="5415"/>
    <cellStyle name="Normal_Sheet1" xfId="5602"/>
    <cellStyle name="Normal2" xfId="3889"/>
    <cellStyle name="Normale_97.98.us" xfId="3890"/>
    <cellStyle name="NormalGB" xfId="3891"/>
    <cellStyle name="Normalx" xfId="3892"/>
    <cellStyle name="Note 2" xfId="3893"/>
    <cellStyle name="Note 2 10" xfId="3894"/>
    <cellStyle name="Note 2 11" xfId="3895"/>
    <cellStyle name="Note 2 12" xfId="4479"/>
    <cellStyle name="Note 2 13" xfId="4523"/>
    <cellStyle name="Note 2 2" xfId="3896"/>
    <cellStyle name="Note 2 2 2" xfId="3897"/>
    <cellStyle name="Note 2 2 2 2" xfId="3898"/>
    <cellStyle name="Note 2 2 2 2 2" xfId="5523"/>
    <cellStyle name="Note 2 2 2 3" xfId="3899"/>
    <cellStyle name="Note 2 2 3" xfId="3900"/>
    <cellStyle name="Note 2 2 3 2" xfId="5524"/>
    <cellStyle name="Note 2 2 4" xfId="3901"/>
    <cellStyle name="Note 2 2 5" xfId="4480"/>
    <cellStyle name="Note 2 3" xfId="3902"/>
    <cellStyle name="Note 2 3 2" xfId="3903"/>
    <cellStyle name="Note 2 3 2 2" xfId="5525"/>
    <cellStyle name="Note 2 3 2 2 2" xfId="5526"/>
    <cellStyle name="Note 2 3 2 3" xfId="5527"/>
    <cellStyle name="Note 2 3 3" xfId="5528"/>
    <cellStyle name="Note 2 3 3 2" xfId="5529"/>
    <cellStyle name="Note 2 3 4" xfId="5530"/>
    <cellStyle name="Note 2 4" xfId="3904"/>
    <cellStyle name="Note 2 4 2" xfId="5531"/>
    <cellStyle name="Note 2 4 2 2" xfId="5532"/>
    <cellStyle name="Note 2 4 3" xfId="5533"/>
    <cellStyle name="Note 2 5" xfId="3905"/>
    <cellStyle name="Note 2 5 2" xfId="5534"/>
    <cellStyle name="Note 2 6" xfId="3906"/>
    <cellStyle name="Note 2 7" xfId="3907"/>
    <cellStyle name="Note 2 8" xfId="3908"/>
    <cellStyle name="Note 2 9" xfId="3909"/>
    <cellStyle name="Note 3" xfId="3910"/>
    <cellStyle name="Note 3 2" xfId="3911"/>
    <cellStyle name="Note 3 3" xfId="3912"/>
    <cellStyle name="Note 4" xfId="3913"/>
    <cellStyle name="Note 4 2" xfId="3914"/>
    <cellStyle name="Note 5" xfId="3915"/>
    <cellStyle name="Note 5 2" xfId="3916"/>
    <cellStyle name="Note 6" xfId="3917"/>
    <cellStyle name="Note 6 2" xfId="3918"/>
    <cellStyle name="Note 7" xfId="3919"/>
    <cellStyle name="Note 7 2" xfId="3920"/>
    <cellStyle name="Note 8" xfId="3921"/>
    <cellStyle name="Note 8 2" xfId="3922"/>
    <cellStyle name="Note 8 2 2" xfId="3923"/>
    <cellStyle name="Note 8 2 2 2" xfId="3924"/>
    <cellStyle name="Note 8 2 2 2 2" xfId="3925"/>
    <cellStyle name="Note 8 2 2 3" xfId="3926"/>
    <cellStyle name="Note 8 2 3" xfId="3927"/>
    <cellStyle name="Note 8 2 3 2" xfId="3928"/>
    <cellStyle name="Note 8 2 4" xfId="3929"/>
    <cellStyle name="Note 8 3" xfId="3930"/>
    <cellStyle name="Note 8 3 2" xfId="3931"/>
    <cellStyle name="Note 8 3 2 2" xfId="3932"/>
    <cellStyle name="Note 8 3 2 2 2" xfId="3933"/>
    <cellStyle name="Note 8 3 2 3" xfId="3934"/>
    <cellStyle name="Note 8 3 3" xfId="3935"/>
    <cellStyle name="Note 8 3 3 2" xfId="3936"/>
    <cellStyle name="Note 8 3 4" xfId="3937"/>
    <cellStyle name="Note 8 4" xfId="3938"/>
    <cellStyle name="Note 8 4 2" xfId="3939"/>
    <cellStyle name="Note 8 4 2 2" xfId="3940"/>
    <cellStyle name="Note 8 4 3" xfId="3941"/>
    <cellStyle name="Note 8 5" xfId="3942"/>
    <cellStyle name="Note 8 5 2" xfId="3943"/>
    <cellStyle name="Note 8 6" xfId="3944"/>
    <cellStyle name="Nr 0 dec" xfId="3945"/>
    <cellStyle name="Nr 0 dec - Input" xfId="3946"/>
    <cellStyle name="Nr 0 dec - Subtotal" xfId="3947"/>
    <cellStyle name="Nr 0 dec - Subtotal 2" xfId="4654"/>
    <cellStyle name="Nr 0 dec_Data" xfId="3948"/>
    <cellStyle name="Nr 1 dec" xfId="3949"/>
    <cellStyle name="Nr 1 dec - Input" xfId="3950"/>
    <cellStyle name="Nr, 0 dec" xfId="3951"/>
    <cellStyle name="number" xfId="3952"/>
    <cellStyle name="Number, 1 dec" xfId="3953"/>
    <cellStyle name="Output" xfId="4537" builtinId="21" customBuiltin="1"/>
    <cellStyle name="Output (1dp#)" xfId="3954"/>
    <cellStyle name="Output (1dpx)_ Pies " xfId="3955"/>
    <cellStyle name="Output 2" xfId="3956"/>
    <cellStyle name="Output 2 10" xfId="4481"/>
    <cellStyle name="Output 2 11" xfId="4524"/>
    <cellStyle name="Output 2 2" xfId="3957"/>
    <cellStyle name="Output 2 2 2" xfId="3958"/>
    <cellStyle name="Output 2 2 3" xfId="4482"/>
    <cellStyle name="Output 2 2 3 2" xfId="5535"/>
    <cellStyle name="Output 2 2 4" xfId="5536"/>
    <cellStyle name="Output 2 3" xfId="3959"/>
    <cellStyle name="Output 2 3 2" xfId="5537"/>
    <cellStyle name="Output 2 3 3" xfId="5538"/>
    <cellStyle name="Output 2 3 3 2" xfId="5539"/>
    <cellStyle name="Output 2 3 4" xfId="5540"/>
    <cellStyle name="Output 2 4" xfId="3960"/>
    <cellStyle name="Output 2 5" xfId="3961"/>
    <cellStyle name="Output 2 5 2" xfId="5541"/>
    <cellStyle name="Output 2 6" xfId="3962"/>
    <cellStyle name="Output 2 7" xfId="3963"/>
    <cellStyle name="Output 2 8" xfId="3964"/>
    <cellStyle name="Output 2 9" xfId="3965"/>
    <cellStyle name="Output 3" xfId="4639"/>
    <cellStyle name="Output 4" xfId="4641"/>
    <cellStyle name="Output 5" xfId="4644"/>
    <cellStyle name="Output 6" xfId="4646"/>
    <cellStyle name="Output 7" xfId="4649"/>
    <cellStyle name="Page Heading" xfId="3966"/>
    <cellStyle name="Page Heading Large" xfId="3967"/>
    <cellStyle name="Page Heading Small" xfId="3968"/>
    <cellStyle name="Page Number" xfId="3969"/>
    <cellStyle name="pb_page_heading_LS" xfId="3970"/>
    <cellStyle name="Per aandeel" xfId="3971"/>
    <cellStyle name="Percent" xfId="4666" builtinId="5"/>
    <cellStyle name="Percent (1)" xfId="3972"/>
    <cellStyle name="Percent [0]" xfId="3973"/>
    <cellStyle name="Percent [00]" xfId="3974"/>
    <cellStyle name="Percent [1]" xfId="3975"/>
    <cellStyle name="Percent [1] 2" xfId="4655"/>
    <cellStyle name="Percent [2]" xfId="3976"/>
    <cellStyle name="Percent [2] 2" xfId="3977"/>
    <cellStyle name="Percent [2] 3" xfId="3978"/>
    <cellStyle name="Percent 1 dec" xfId="3979"/>
    <cellStyle name="Percent 1 dec - Input" xfId="3980"/>
    <cellStyle name="Percent 1 dec_Data" xfId="3981"/>
    <cellStyle name="Percent 10" xfId="3982"/>
    <cellStyle name="Percent 11" xfId="4571"/>
    <cellStyle name="Percent 12" xfId="4575"/>
    <cellStyle name="Percent 13" xfId="4579"/>
    <cellStyle name="Percent 14" xfId="4583"/>
    <cellStyle name="Percent 15" xfId="4587"/>
    <cellStyle name="Percent 16" xfId="4610"/>
    <cellStyle name="Percent 17" xfId="4614"/>
    <cellStyle name="Percent 18" xfId="4617"/>
    <cellStyle name="Percent 19" xfId="4620"/>
    <cellStyle name="Percent 2" xfId="3983"/>
    <cellStyle name="Percent 2 10" xfId="3984"/>
    <cellStyle name="Percent 2 10 2" xfId="3985"/>
    <cellStyle name="Percent 2 10 2 2" xfId="3986"/>
    <cellStyle name="Percent 2 10 3" xfId="3987"/>
    <cellStyle name="Percent 2 11" xfId="3988"/>
    <cellStyle name="Percent 2 12" xfId="3989"/>
    <cellStyle name="Percent 2 12 2" xfId="3990"/>
    <cellStyle name="Percent 2 12 2 2" xfId="3991"/>
    <cellStyle name="Percent 2 12 3" xfId="3992"/>
    <cellStyle name="Percent 2 13" xfId="3993"/>
    <cellStyle name="Percent 2 13 2" xfId="3994"/>
    <cellStyle name="Percent 2 14" xfId="3995"/>
    <cellStyle name="Percent 2 15" xfId="3996"/>
    <cellStyle name="Percent 2 16" xfId="3997"/>
    <cellStyle name="Percent 2 17" xfId="3998"/>
    <cellStyle name="Percent 2 18" xfId="3999"/>
    <cellStyle name="Percent 2 19" xfId="4000"/>
    <cellStyle name="Percent 2 2" xfId="4001"/>
    <cellStyle name="Percent 2 2 2" xfId="4002"/>
    <cellStyle name="Percent 2 2 3" xfId="4003"/>
    <cellStyle name="Percent 2 2 4" xfId="4004"/>
    <cellStyle name="Percent 2 2 4 2" xfId="4005"/>
    <cellStyle name="Percent 2 2 4 2 2" xfId="4006"/>
    <cellStyle name="Percent 2 2 4 2 2 2" xfId="4007"/>
    <cellStyle name="Percent 2 2 4 2 3" xfId="4008"/>
    <cellStyle name="Percent 2 2 4 3" xfId="4009"/>
    <cellStyle name="Percent 2 2 4 3 2" xfId="4010"/>
    <cellStyle name="Percent 2 2 4 4" xfId="4011"/>
    <cellStyle name="Percent 2 2 5" xfId="4012"/>
    <cellStyle name="Percent 2 2 6" xfId="4013"/>
    <cellStyle name="Percent 2 3" xfId="4014"/>
    <cellStyle name="Percent 2 3 2" xfId="5542"/>
    <cellStyle name="Percent 2 4" xfId="4015"/>
    <cellStyle name="Percent 2 5" xfId="4016"/>
    <cellStyle name="Percent 2 5 2" xfId="4017"/>
    <cellStyle name="Percent 2 5 2 2" xfId="4018"/>
    <cellStyle name="Percent 2 5 2 2 2" xfId="4019"/>
    <cellStyle name="Percent 2 5 2 2 2 2" xfId="4020"/>
    <cellStyle name="Percent 2 5 2 2 3" xfId="4021"/>
    <cellStyle name="Percent 2 5 2 3" xfId="4022"/>
    <cellStyle name="Percent 2 5 2 3 2" xfId="4023"/>
    <cellStyle name="Percent 2 5 2 4" xfId="4024"/>
    <cellStyle name="Percent 2 5 3" xfId="4025"/>
    <cellStyle name="Percent 2 5 3 2" xfId="4026"/>
    <cellStyle name="Percent 2 5 3 2 2" xfId="4027"/>
    <cellStyle name="Percent 2 5 3 2 2 2" xfId="4028"/>
    <cellStyle name="Percent 2 5 3 2 3" xfId="4029"/>
    <cellStyle name="Percent 2 5 3 3" xfId="4030"/>
    <cellStyle name="Percent 2 5 3 3 2" xfId="4031"/>
    <cellStyle name="Percent 2 5 3 4" xfId="4032"/>
    <cellStyle name="Percent 2 5 4" xfId="4033"/>
    <cellStyle name="Percent 2 5 4 2" xfId="4034"/>
    <cellStyle name="Percent 2 5 4 2 2" xfId="4035"/>
    <cellStyle name="Percent 2 5 4 3" xfId="4036"/>
    <cellStyle name="Percent 2 5 5" xfId="4037"/>
    <cellStyle name="Percent 2 5 5 2" xfId="4038"/>
    <cellStyle name="Percent 2 5 6" xfId="4039"/>
    <cellStyle name="Percent 2 6" xfId="4040"/>
    <cellStyle name="Percent 2 6 2" xfId="4041"/>
    <cellStyle name="Percent 2 6 2 2" xfId="4042"/>
    <cellStyle name="Percent 2 6 2 2 2" xfId="4043"/>
    <cellStyle name="Percent 2 6 2 2 2 2" xfId="4044"/>
    <cellStyle name="Percent 2 6 2 2 3" xfId="4045"/>
    <cellStyle name="Percent 2 6 2 3" xfId="4046"/>
    <cellStyle name="Percent 2 6 2 3 2" xfId="4047"/>
    <cellStyle name="Percent 2 6 2 4" xfId="4048"/>
    <cellStyle name="Percent 2 6 3" xfId="4049"/>
    <cellStyle name="Percent 2 6 3 2" xfId="4050"/>
    <cellStyle name="Percent 2 6 3 2 2" xfId="4051"/>
    <cellStyle name="Percent 2 6 3 2 2 2" xfId="4052"/>
    <cellStyle name="Percent 2 6 3 2 3" xfId="4053"/>
    <cellStyle name="Percent 2 6 3 3" xfId="4054"/>
    <cellStyle name="Percent 2 6 3 3 2" xfId="4055"/>
    <cellStyle name="Percent 2 6 3 4" xfId="4056"/>
    <cellStyle name="Percent 2 6 4" xfId="4057"/>
    <cellStyle name="Percent 2 6 4 2" xfId="4058"/>
    <cellStyle name="Percent 2 6 4 2 2" xfId="4059"/>
    <cellStyle name="Percent 2 6 4 3" xfId="4060"/>
    <cellStyle name="Percent 2 6 5" xfId="4061"/>
    <cellStyle name="Percent 2 6 5 2" xfId="4062"/>
    <cellStyle name="Percent 2 6 6" xfId="4063"/>
    <cellStyle name="Percent 2 7" xfId="4064"/>
    <cellStyle name="Percent 2 7 2" xfId="4065"/>
    <cellStyle name="Percent 2 7 3" xfId="4066"/>
    <cellStyle name="Percent 2 7 4" xfId="4067"/>
    <cellStyle name="Percent 2 7 4 2" xfId="4068"/>
    <cellStyle name="Percent 2 7 4 2 2" xfId="4069"/>
    <cellStyle name="Percent 2 7 4 3" xfId="4070"/>
    <cellStyle name="Percent 2 7 5" xfId="4071"/>
    <cellStyle name="Percent 2 7 5 2" xfId="4072"/>
    <cellStyle name="Percent 2 7 6" xfId="4073"/>
    <cellStyle name="Percent 2 8" xfId="4074"/>
    <cellStyle name="Percent 2 8 2" xfId="4075"/>
    <cellStyle name="Percent 2 8 2 2" xfId="4076"/>
    <cellStyle name="Percent 2 8 2 2 2" xfId="4077"/>
    <cellStyle name="Percent 2 8 2 3" xfId="4078"/>
    <cellStyle name="Percent 2 8 3" xfId="4079"/>
    <cellStyle name="Percent 2 8 3 2" xfId="4080"/>
    <cellStyle name="Percent 2 8 4" xfId="4081"/>
    <cellStyle name="Percent 2 9" xfId="4082"/>
    <cellStyle name="Percent 20" xfId="4623"/>
    <cellStyle name="Percent 21" xfId="4626"/>
    <cellStyle name="Percent 22" xfId="4629"/>
    <cellStyle name="Percent 23" xfId="4632"/>
    <cellStyle name="Percent 24" xfId="4634"/>
    <cellStyle name="Percent 25" xfId="4694"/>
    <cellStyle name="Percent 26" xfId="4680"/>
    <cellStyle name="Percent 27" xfId="4695"/>
    <cellStyle name="Percent 28" xfId="4679"/>
    <cellStyle name="Percent 29" xfId="4696"/>
    <cellStyle name="Percent 3" xfId="4083"/>
    <cellStyle name="Percent 3 2" xfId="4084"/>
    <cellStyle name="Percent 3 2 2" xfId="4085"/>
    <cellStyle name="Percent 3 2 2 2" xfId="4086"/>
    <cellStyle name="Percent 3 2 3" xfId="4087"/>
    <cellStyle name="Percent 3 2 4" xfId="4088"/>
    <cellStyle name="Percent 3 3" xfId="4089"/>
    <cellStyle name="Percent 3 4" xfId="4090"/>
    <cellStyle name="Percent 4" xfId="4091"/>
    <cellStyle name="Percent 4 2" xfId="4092"/>
    <cellStyle name="Percent 4 2 2" xfId="4093"/>
    <cellStyle name="Percent 4 2 2 2" xfId="5543"/>
    <cellStyle name="Percent 4 2 2 2 2" xfId="5544"/>
    <cellStyle name="Percent 4 2 2 3" xfId="5545"/>
    <cellStyle name="Percent 4 2 2 4" xfId="5546"/>
    <cellStyle name="Percent 4 2 3" xfId="5547"/>
    <cellStyle name="Percent 4 3" xfId="4094"/>
    <cellStyle name="Percent 4 3 2" xfId="4095"/>
    <cellStyle name="Percent 4 3 2 2" xfId="4096"/>
    <cellStyle name="Percent 4 3 3" xfId="4097"/>
    <cellStyle name="Percent 4 4" xfId="5548"/>
    <cellStyle name="Percent 5" xfId="4098"/>
    <cellStyle name="Percent 5 2" xfId="4099"/>
    <cellStyle name="Percent 5 2 2" xfId="4100"/>
    <cellStyle name="Percent 5 2 2 2" xfId="4101"/>
    <cellStyle name="Percent 5 2 2 2 2" xfId="5549"/>
    <cellStyle name="Percent 5 2 2 3" xfId="5550"/>
    <cellStyle name="Percent 5 2 2 4" xfId="5551"/>
    <cellStyle name="Percent 5 2 3" xfId="4102"/>
    <cellStyle name="Percent 6" xfId="4103"/>
    <cellStyle name="Percent 6 2" xfId="4104"/>
    <cellStyle name="Percent 6 2 2" xfId="4105"/>
    <cellStyle name="Percent 6 2 2 2" xfId="4106"/>
    <cellStyle name="Percent 6 2 3" xfId="4107"/>
    <cellStyle name="Percent 6 2 4" xfId="5552"/>
    <cellStyle name="Percent 6 3" xfId="4108"/>
    <cellStyle name="Percent 6 3 2" xfId="4109"/>
    <cellStyle name="Percent 6 3 2 2" xfId="4110"/>
    <cellStyle name="Percent 6 3 3" xfId="4111"/>
    <cellStyle name="Percent 7" xfId="4112"/>
    <cellStyle name="Percent 7 2" xfId="4113"/>
    <cellStyle name="Percent 7 2 2" xfId="4114"/>
    <cellStyle name="Percent 7 2 2 2" xfId="4115"/>
    <cellStyle name="Percent 7 2 3" xfId="4116"/>
    <cellStyle name="Percent 7 3" xfId="4117"/>
    <cellStyle name="Percent 7 3 2" xfId="4118"/>
    <cellStyle name="Percent 7 4" xfId="4119"/>
    <cellStyle name="Percent 7 5" xfId="5604"/>
    <cellStyle name="Percent 8" xfId="4120"/>
    <cellStyle name="Percent 8 2" xfId="5553"/>
    <cellStyle name="Percent 8 2 2" xfId="5554"/>
    <cellStyle name="Percent 8 3" xfId="5555"/>
    <cellStyle name="Percent 8 4" xfId="5556"/>
    <cellStyle name="Percent 9" xfId="4121"/>
    <cellStyle name="Percent 9 2" xfId="5557"/>
    <cellStyle name="Percent 9 2 2" xfId="5558"/>
    <cellStyle name="Percent 9 3" xfId="5559"/>
    <cellStyle name="Percent 9 4" xfId="5560"/>
    <cellStyle name="Percent Hard" xfId="4122"/>
    <cellStyle name="percentage" xfId="4123"/>
    <cellStyle name="PercentChange" xfId="4124"/>
    <cellStyle name="PLAN1" xfId="4125"/>
    <cellStyle name="Porcentaje" xfId="4126"/>
    <cellStyle name="Pourcentage_Profit &amp; Loss" xfId="4127"/>
    <cellStyle name="PrePop Currency (0)" xfId="4128"/>
    <cellStyle name="PrePop Currency (2)" xfId="4129"/>
    <cellStyle name="PrePop Units (0)" xfId="4130"/>
    <cellStyle name="PrePop Units (1)" xfId="4131"/>
    <cellStyle name="PrePop Units (2)" xfId="4132"/>
    <cellStyle name="Procenten" xfId="4133"/>
    <cellStyle name="Procenten estimate" xfId="4134"/>
    <cellStyle name="Procenten_EMI" xfId="4135"/>
    <cellStyle name="Profit figure" xfId="4136"/>
    <cellStyle name="Protected" xfId="4137"/>
    <cellStyle name="ProtectedDates" xfId="4138"/>
    <cellStyle name="PSChar" xfId="4139"/>
    <cellStyle name="PSDate" xfId="4140"/>
    <cellStyle name="PSDec" xfId="4141"/>
    <cellStyle name="PSHeading" xfId="4142"/>
    <cellStyle name="PSInt" xfId="4143"/>
    <cellStyle name="PSSpacer" xfId="4144"/>
    <cellStyle name="RatioX" xfId="4145"/>
    <cellStyle name="Red font" xfId="4146"/>
    <cellStyle name="ref" xfId="4147"/>
    <cellStyle name="Right" xfId="4148"/>
    <cellStyle name="Salomon Logo" xfId="4149"/>
    <cellStyle name="ScripFactor" xfId="4150"/>
    <cellStyle name="SectionHeading" xfId="4151"/>
    <cellStyle name="SectionHeading 2" xfId="4656"/>
    <cellStyle name="Shade" xfId="4152"/>
    <cellStyle name="Shaded" xfId="4153"/>
    <cellStyle name="Single Accounting" xfId="4154"/>
    <cellStyle name="Single Accounting 2" xfId="5407"/>
    <cellStyle name="SingleLineAcctgn" xfId="4155"/>
    <cellStyle name="SingleLineAcctgn 2" xfId="5408"/>
    <cellStyle name="SingleLinePercent" xfId="4156"/>
    <cellStyle name="Source Superscript" xfId="4157"/>
    <cellStyle name="Source Text" xfId="4158"/>
    <cellStyle name="ssp " xfId="4159"/>
    <cellStyle name="Standard" xfId="4160"/>
    <cellStyle name="Style 1" xfId="4161"/>
    <cellStyle name="Style 10" xfId="4162"/>
    <cellStyle name="Style 100" xfId="4163"/>
    <cellStyle name="Style 101" xfId="4164"/>
    <cellStyle name="Style 102" xfId="4165"/>
    <cellStyle name="Style 103" xfId="4166"/>
    <cellStyle name="Style 104" xfId="4167"/>
    <cellStyle name="Style 105" xfId="4168"/>
    <cellStyle name="Style 106" xfId="4169"/>
    <cellStyle name="Style 107" xfId="4170"/>
    <cellStyle name="Style 108" xfId="4171"/>
    <cellStyle name="Style 109" xfId="4172"/>
    <cellStyle name="Style 11" xfId="4173"/>
    <cellStyle name="Style 110" xfId="4174"/>
    <cellStyle name="Style 111" xfId="4175"/>
    <cellStyle name="Style 112" xfId="4176"/>
    <cellStyle name="Style 113" xfId="4177"/>
    <cellStyle name="Style 114" xfId="4178"/>
    <cellStyle name="Style 115" xfId="4179"/>
    <cellStyle name="Style 116" xfId="4180"/>
    <cellStyle name="Style 117" xfId="4181"/>
    <cellStyle name="Style 118" xfId="4182"/>
    <cellStyle name="Style 119" xfId="4183"/>
    <cellStyle name="Style 12" xfId="4184"/>
    <cellStyle name="Style 120" xfId="4185"/>
    <cellStyle name="Style 121" xfId="4186"/>
    <cellStyle name="Style 122" xfId="4187"/>
    <cellStyle name="Style 123" xfId="4188"/>
    <cellStyle name="Style 124" xfId="4189"/>
    <cellStyle name="Style 125" xfId="4190"/>
    <cellStyle name="Style 126" xfId="4191"/>
    <cellStyle name="Style 127" xfId="4192"/>
    <cellStyle name="Style 128" xfId="4193"/>
    <cellStyle name="Style 129" xfId="4194"/>
    <cellStyle name="Style 13" xfId="4195"/>
    <cellStyle name="Style 130" xfId="4196"/>
    <cellStyle name="Style 131" xfId="4197"/>
    <cellStyle name="Style 132" xfId="4198"/>
    <cellStyle name="Style 133" xfId="4199"/>
    <cellStyle name="Style 134" xfId="4200"/>
    <cellStyle name="Style 135" xfId="4201"/>
    <cellStyle name="Style 136" xfId="4202"/>
    <cellStyle name="Style 137" xfId="4203"/>
    <cellStyle name="Style 138" xfId="4204"/>
    <cellStyle name="Style 139" xfId="4205"/>
    <cellStyle name="Style 14" xfId="4206"/>
    <cellStyle name="Style 140" xfId="4207"/>
    <cellStyle name="Style 141" xfId="4208"/>
    <cellStyle name="Style 142" xfId="4209"/>
    <cellStyle name="Style 143" xfId="4210"/>
    <cellStyle name="Style 144" xfId="4211"/>
    <cellStyle name="Style 145" xfId="4212"/>
    <cellStyle name="Style 146" xfId="4213"/>
    <cellStyle name="Style 147" xfId="4214"/>
    <cellStyle name="Style 148" xfId="4215"/>
    <cellStyle name="Style 149" xfId="4216"/>
    <cellStyle name="Style 15" xfId="4217"/>
    <cellStyle name="Style 150" xfId="4218"/>
    <cellStyle name="Style 151" xfId="4219"/>
    <cellStyle name="Style 152" xfId="4220"/>
    <cellStyle name="Style 153" xfId="4221"/>
    <cellStyle name="Style 154" xfId="4222"/>
    <cellStyle name="Style 155" xfId="4223"/>
    <cellStyle name="Style 156" xfId="4224"/>
    <cellStyle name="Style 157" xfId="4225"/>
    <cellStyle name="Style 158" xfId="4226"/>
    <cellStyle name="Style 159" xfId="4227"/>
    <cellStyle name="Style 16" xfId="4228"/>
    <cellStyle name="Style 160" xfId="4229"/>
    <cellStyle name="Style 161" xfId="4230"/>
    <cellStyle name="Style 162" xfId="4231"/>
    <cellStyle name="Style 163" xfId="4232"/>
    <cellStyle name="Style 164" xfId="4233"/>
    <cellStyle name="Style 165" xfId="4234"/>
    <cellStyle name="Style 166" xfId="4235"/>
    <cellStyle name="Style 167" xfId="4236"/>
    <cellStyle name="Style 168" xfId="4237"/>
    <cellStyle name="Style 168 2" xfId="5409"/>
    <cellStyle name="Style 169" xfId="4238"/>
    <cellStyle name="Style 17" xfId="4239"/>
    <cellStyle name="Style 170" xfId="4240"/>
    <cellStyle name="Style 171" xfId="4241"/>
    <cellStyle name="Style 172" xfId="4242"/>
    <cellStyle name="Style 173" xfId="4243"/>
    <cellStyle name="Style 174" xfId="4244"/>
    <cellStyle name="Style 175" xfId="4245"/>
    <cellStyle name="Style 176" xfId="4246"/>
    <cellStyle name="Style 177" xfId="4247"/>
    <cellStyle name="Style 178" xfId="4248"/>
    <cellStyle name="Style 179" xfId="4249"/>
    <cellStyle name="Style 18" xfId="4250"/>
    <cellStyle name="Style 180" xfId="4251"/>
    <cellStyle name="Style 181" xfId="4252"/>
    <cellStyle name="Style 182" xfId="4253"/>
    <cellStyle name="Style 183" xfId="4254"/>
    <cellStyle name="Style 184" xfId="4255"/>
    <cellStyle name="Style 185" xfId="4256"/>
    <cellStyle name="Style 186" xfId="4257"/>
    <cellStyle name="Style 187" xfId="4258"/>
    <cellStyle name="Style 188" xfId="4259"/>
    <cellStyle name="Style 189" xfId="4260"/>
    <cellStyle name="Style 19" xfId="4261"/>
    <cellStyle name="Style 190" xfId="4262"/>
    <cellStyle name="Style 191" xfId="4263"/>
    <cellStyle name="Style 192" xfId="4264"/>
    <cellStyle name="Style 193" xfId="4265"/>
    <cellStyle name="Style 194" xfId="4266"/>
    <cellStyle name="Style 195" xfId="4267"/>
    <cellStyle name="Style 196" xfId="4268"/>
    <cellStyle name="Style 197" xfId="4269"/>
    <cellStyle name="Style 198" xfId="4270"/>
    <cellStyle name="Style 199" xfId="4271"/>
    <cellStyle name="Style 2" xfId="4272"/>
    <cellStyle name="Style 2 2" xfId="5410"/>
    <cellStyle name="Style 20" xfId="4273"/>
    <cellStyle name="Style 200" xfId="4274"/>
    <cellStyle name="Style 201" xfId="4275"/>
    <cellStyle name="Style 202" xfId="4276"/>
    <cellStyle name="Style 203" xfId="4277"/>
    <cellStyle name="Style 204" xfId="4278"/>
    <cellStyle name="Style 205" xfId="4279"/>
    <cellStyle name="Style 206" xfId="4280"/>
    <cellStyle name="Style 207" xfId="4281"/>
    <cellStyle name="Style 208" xfId="4282"/>
    <cellStyle name="Style 209" xfId="4283"/>
    <cellStyle name="Style 21" xfId="4284"/>
    <cellStyle name="Style 21 2" xfId="4285"/>
    <cellStyle name="Style 21 2 2" xfId="5561"/>
    <cellStyle name="Style 21 2 3" xfId="5562"/>
    <cellStyle name="Style 21 3" xfId="4657"/>
    <cellStyle name="Style 21 4" xfId="5563"/>
    <cellStyle name="Style 22" xfId="4286"/>
    <cellStyle name="Style 22 2" xfId="4287"/>
    <cellStyle name="Style 22 2 2" xfId="5564"/>
    <cellStyle name="Style 22 2 2 2" xfId="5565"/>
    <cellStyle name="Style 22 2 2 3" xfId="5566"/>
    <cellStyle name="Style 22 2 3" xfId="5567"/>
    <cellStyle name="Style 22 2 4" xfId="5568"/>
    <cellStyle name="Style 22 3" xfId="4288"/>
    <cellStyle name="Style 22 3 2" xfId="5569"/>
    <cellStyle name="Style 22 3 2 2" xfId="5570"/>
    <cellStyle name="Style 22 3 2 3" xfId="5571"/>
    <cellStyle name="Style 22 3 3" xfId="5572"/>
    <cellStyle name="Style 22 3 4" xfId="5573"/>
    <cellStyle name="Style 22 4" xfId="4289"/>
    <cellStyle name="Style 22 4 2" xfId="5574"/>
    <cellStyle name="Style 22 4 3" xfId="5575"/>
    <cellStyle name="Style 22 5" xfId="4658"/>
    <cellStyle name="Style 22 6" xfId="5576"/>
    <cellStyle name="Style 23" xfId="4290"/>
    <cellStyle name="Style 23 2" xfId="4291"/>
    <cellStyle name="Style 23 2 2" xfId="4660"/>
    <cellStyle name="Style 23 2 2 2" xfId="5577"/>
    <cellStyle name="Style 23 2 2 3" xfId="5578"/>
    <cellStyle name="Style 23 2 3" xfId="5579"/>
    <cellStyle name="Style 23 2 4" xfId="5580"/>
    <cellStyle name="Style 23 3" xfId="4292"/>
    <cellStyle name="Style 23 3 2" xfId="5581"/>
    <cellStyle name="Style 23 3 3" xfId="5582"/>
    <cellStyle name="Style 23 4" xfId="4659"/>
    <cellStyle name="Style 23 5" xfId="5583"/>
    <cellStyle name="Style 24" xfId="4293"/>
    <cellStyle name="Style 24 2" xfId="4294"/>
    <cellStyle name="Style 24 2 2" xfId="5584"/>
    <cellStyle name="Style 24 2 3" xfId="5585"/>
    <cellStyle name="Style 24 3" xfId="4295"/>
    <cellStyle name="Style 24 4" xfId="4296"/>
    <cellStyle name="Style 24 5" xfId="4661"/>
    <cellStyle name="Style 25" xfId="4297"/>
    <cellStyle name="Style 25 2" xfId="4298"/>
    <cellStyle name="Style 25 2 2" xfId="4663"/>
    <cellStyle name="Style 25 2 2 2" xfId="5586"/>
    <cellStyle name="Style 25 2 2 3" xfId="5587"/>
    <cellStyle name="Style 25 2 3" xfId="5588"/>
    <cellStyle name="Style 25 2 4" xfId="5589"/>
    <cellStyle name="Style 25 3" xfId="4299"/>
    <cellStyle name="Style 25 3 2" xfId="5590"/>
    <cellStyle name="Style 25 3 3" xfId="5591"/>
    <cellStyle name="Style 25 4" xfId="4662"/>
    <cellStyle name="Style 25 5" xfId="5592"/>
    <cellStyle name="Style 26" xfId="4300"/>
    <cellStyle name="Style 26 2" xfId="4301"/>
    <cellStyle name="Style 26 2 2" xfId="5593"/>
    <cellStyle name="Style 26 2 3" xfId="5594"/>
    <cellStyle name="Style 26 3" xfId="4302"/>
    <cellStyle name="Style 26 4" xfId="4303"/>
    <cellStyle name="Style 26 5" xfId="4664"/>
    <cellStyle name="Style 27" xfId="4304"/>
    <cellStyle name="Style 28" xfId="4305"/>
    <cellStyle name="Style 29" xfId="4306"/>
    <cellStyle name="Style 3" xfId="4307"/>
    <cellStyle name="Style 30" xfId="4308"/>
    <cellStyle name="Style 31" xfId="4309"/>
    <cellStyle name="Style 32" xfId="4310"/>
    <cellStyle name="Style 33" xfId="4311"/>
    <cellStyle name="Style 34" xfId="4312"/>
    <cellStyle name="Style 35" xfId="4313"/>
    <cellStyle name="Style 36" xfId="4314"/>
    <cellStyle name="Style 37" xfId="4315"/>
    <cellStyle name="Style 38" xfId="4316"/>
    <cellStyle name="Style 39" xfId="4317"/>
    <cellStyle name="Style 4" xfId="4318"/>
    <cellStyle name="Style 40" xfId="4319"/>
    <cellStyle name="Style 41" xfId="4320"/>
    <cellStyle name="Style 42" xfId="4321"/>
    <cellStyle name="Style 43" xfId="4322"/>
    <cellStyle name="Style 44" xfId="4323"/>
    <cellStyle name="Style 45" xfId="4324"/>
    <cellStyle name="Style 46" xfId="4325"/>
    <cellStyle name="Style 47" xfId="4326"/>
    <cellStyle name="Style 48" xfId="4327"/>
    <cellStyle name="Style 49" xfId="4328"/>
    <cellStyle name="Style 5" xfId="4329"/>
    <cellStyle name="Style 5 2" xfId="5411"/>
    <cellStyle name="Style 50" xfId="4330"/>
    <cellStyle name="Style 51" xfId="4331"/>
    <cellStyle name="Style 52" xfId="4332"/>
    <cellStyle name="Style 53" xfId="4333"/>
    <cellStyle name="Style 54" xfId="4334"/>
    <cellStyle name="Style 55" xfId="4335"/>
    <cellStyle name="Style 56" xfId="4336"/>
    <cellStyle name="Style 57" xfId="4337"/>
    <cellStyle name="Style 58" xfId="4338"/>
    <cellStyle name="Style 59" xfId="4339"/>
    <cellStyle name="Style 6" xfId="4340"/>
    <cellStyle name="Style 60" xfId="4341"/>
    <cellStyle name="Style 61" xfId="4342"/>
    <cellStyle name="Style 62" xfId="4343"/>
    <cellStyle name="Style 63" xfId="4344"/>
    <cellStyle name="Style 64" xfId="4345"/>
    <cellStyle name="Style 65" xfId="4346"/>
    <cellStyle name="Style 66" xfId="4347"/>
    <cellStyle name="Style 67" xfId="4348"/>
    <cellStyle name="Style 68" xfId="4349"/>
    <cellStyle name="Style 69" xfId="4350"/>
    <cellStyle name="Style 7" xfId="4351"/>
    <cellStyle name="Style 70" xfId="4352"/>
    <cellStyle name="Style 71" xfId="4353"/>
    <cellStyle name="Style 72" xfId="4354"/>
    <cellStyle name="Style 73" xfId="4355"/>
    <cellStyle name="Style 74" xfId="4356"/>
    <cellStyle name="Style 75" xfId="4357"/>
    <cellStyle name="Style 76" xfId="4358"/>
    <cellStyle name="Style 77" xfId="4359"/>
    <cellStyle name="Style 78" xfId="4360"/>
    <cellStyle name="Style 79" xfId="4361"/>
    <cellStyle name="Style 8" xfId="4362"/>
    <cellStyle name="Style 80" xfId="4363"/>
    <cellStyle name="Style 81" xfId="4364"/>
    <cellStyle name="Style 82" xfId="4365"/>
    <cellStyle name="Style 83" xfId="4366"/>
    <cellStyle name="Style 84" xfId="4367"/>
    <cellStyle name="Style 85" xfId="4368"/>
    <cellStyle name="Style 86" xfId="4369"/>
    <cellStyle name="Style 87" xfId="4370"/>
    <cellStyle name="Style 88" xfId="4371"/>
    <cellStyle name="Style 89" xfId="4372"/>
    <cellStyle name="Style 9" xfId="4373"/>
    <cellStyle name="Style 90" xfId="4374"/>
    <cellStyle name="Style 91" xfId="4375"/>
    <cellStyle name="Style 92" xfId="4376"/>
    <cellStyle name="Style 93" xfId="4377"/>
    <cellStyle name="Style 94" xfId="4378"/>
    <cellStyle name="Style 95" xfId="4379"/>
    <cellStyle name="Style 96" xfId="4380"/>
    <cellStyle name="Style 97" xfId="4381"/>
    <cellStyle name="Style 98" xfId="4382"/>
    <cellStyle name="Style 99" xfId="4383"/>
    <cellStyle name="STYLE1" xfId="4384"/>
    <cellStyle name="STYLE2" xfId="4385"/>
    <cellStyle name="STYLE3" xfId="4386"/>
    <cellStyle name="Subhead" xfId="4387"/>
    <cellStyle name="Subtotal_left" xfId="4388"/>
    <cellStyle name="SwitchCell" xfId="4389"/>
    <cellStyle name="t" xfId="4390"/>
    <cellStyle name="Table Col Head" xfId="4391"/>
    <cellStyle name="Table Head" xfId="4392"/>
    <cellStyle name="Table Head Aligned" xfId="4393"/>
    <cellStyle name="Table Head Blue" xfId="4394"/>
    <cellStyle name="Table Head Green" xfId="4395"/>
    <cellStyle name="Table Head_Val_Sum_Graph" xfId="4396"/>
    <cellStyle name="Table Sub Head" xfId="4397"/>
    <cellStyle name="Table Text" xfId="4398"/>
    <cellStyle name="Table Title" xfId="4399"/>
    <cellStyle name="Table Units" xfId="4400"/>
    <cellStyle name="Table_Header" xfId="4401"/>
    <cellStyle name="TableBorder" xfId="4402"/>
    <cellStyle name="TableColumnHeader" xfId="4403"/>
    <cellStyle name="TableColumnHeader 2" xfId="4483"/>
    <cellStyle name="TableHeading" xfId="4404"/>
    <cellStyle name="TableHighlight" xfId="4405"/>
    <cellStyle name="TableNote" xfId="4406"/>
    <cellStyle name="test a style" xfId="4407"/>
    <cellStyle name="Text 1" xfId="4408"/>
    <cellStyle name="Text Head 1" xfId="4409"/>
    <cellStyle name="Text Indent A" xfId="4410"/>
    <cellStyle name="Text Indent B" xfId="4411"/>
    <cellStyle name="Text Indent C" xfId="4412"/>
    <cellStyle name="Text Wrap" xfId="4413"/>
    <cellStyle name="Time" xfId="4414"/>
    <cellStyle name="Times 10" xfId="4415"/>
    <cellStyle name="Times 12" xfId="4416"/>
    <cellStyle name="Times New Roman" xfId="4417"/>
    <cellStyle name="Title" xfId="4528" builtinId="15" customBuiltin="1"/>
    <cellStyle name="Title 2" xfId="4418"/>
    <cellStyle name="Title 2 2" xfId="4419"/>
    <cellStyle name="Title 3" xfId="4420"/>
    <cellStyle name="title1" xfId="4421"/>
    <cellStyle name="title2" xfId="4422"/>
    <cellStyle name="Title-2" xfId="4423"/>
    <cellStyle name="Titles" xfId="4424"/>
    <cellStyle name="titre_col" xfId="4425"/>
    <cellStyle name="TOC" xfId="4426"/>
    <cellStyle name="Total" xfId="4543" builtinId="25" customBuiltin="1"/>
    <cellStyle name="Total 2" xfId="4427"/>
    <cellStyle name="Total 2 10" xfId="4428"/>
    <cellStyle name="Total 2 11" xfId="4484"/>
    <cellStyle name="Total 2 12" xfId="4525"/>
    <cellStyle name="Total 2 2" xfId="4429"/>
    <cellStyle name="Total 2 2 2" xfId="4430"/>
    <cellStyle name="Total 2 2 3" xfId="4485"/>
    <cellStyle name="Total 2 2 3 2" xfId="5595"/>
    <cellStyle name="Total 2 2 4" xfId="5596"/>
    <cellStyle name="Total 2 3" xfId="4431"/>
    <cellStyle name="Total 2 3 2" xfId="5597"/>
    <cellStyle name="Total 2 3 3" xfId="5598"/>
    <cellStyle name="Total 2 3 3 2" xfId="5599"/>
    <cellStyle name="Total 2 3 4" xfId="5600"/>
    <cellStyle name="Total 2 4" xfId="4432"/>
    <cellStyle name="Total 2 5" xfId="4433"/>
    <cellStyle name="Total 2 5 2" xfId="5601"/>
    <cellStyle name="Total 2 6" xfId="4434"/>
    <cellStyle name="Total 2 7" xfId="4435"/>
    <cellStyle name="Total 2 8" xfId="4436"/>
    <cellStyle name="Total 2 9" xfId="4437"/>
    <cellStyle name="Total 3" xfId="4438"/>
    <cellStyle name="Total Bold" xfId="4439"/>
    <cellStyle name="Total Bold 2" xfId="5414"/>
    <cellStyle name="Totals" xfId="4440"/>
    <cellStyle name="Totals 2" xfId="4665"/>
    <cellStyle name="Underline_Single" xfId="4441"/>
    <cellStyle name="UnProtectedCalc" xfId="4442"/>
    <cellStyle name="Valuta (0)_Sheet1" xfId="4443"/>
    <cellStyle name="Valuta_piv_polio" xfId="4444"/>
    <cellStyle name="Währung [0]_A17 - 31.03.1998" xfId="4445"/>
    <cellStyle name="Währung_A17 - 31.03.1998" xfId="4446"/>
    <cellStyle name="Warburg" xfId="4447"/>
    <cellStyle name="Warning Text" xfId="4541" builtinId="11" customBuiltin="1"/>
    <cellStyle name="Warning Text 2" xfId="4448"/>
    <cellStyle name="Warning Text 2 10" xfId="4526"/>
    <cellStyle name="Warning Text 2 2" xfId="4449"/>
    <cellStyle name="Warning Text 2 3" xfId="4450"/>
    <cellStyle name="Warning Text 2 4" xfId="4451"/>
    <cellStyle name="Warning Text 2 5" xfId="4452"/>
    <cellStyle name="Warning Text 2 6" xfId="4453"/>
    <cellStyle name="Warning Text 2 7" xfId="4454"/>
    <cellStyle name="Warning Text 2 8" xfId="4455"/>
    <cellStyle name="Warning Text 2 9" xfId="4456"/>
    <cellStyle name="wild guess" xfId="4457"/>
    <cellStyle name="Wildguess" xfId="4458"/>
    <cellStyle name="Year" xfId="4459"/>
    <cellStyle name="Year Estimate" xfId="4460"/>
    <cellStyle name="Year, Actual" xfId="4461"/>
    <cellStyle name="YearE_ Pies " xfId="4462"/>
    <cellStyle name="YearFormat" xfId="4463"/>
    <cellStyle name="Yen" xfId="4464"/>
    <cellStyle name="YesNo" xfId="4465"/>
    <cellStyle name="쬞\?1@" xfId="4466"/>
    <cellStyle name="常规 2" xfId="6"/>
    <cellStyle name="標準_car_JP" xfId="4467"/>
  </cellStyles>
  <dxfs count="19">
    <dxf>
      <font>
        <condense val="0"/>
        <extend val="0"/>
        <color rgb="FF9C0006"/>
      </font>
      <fill>
        <patternFill>
          <bgColor rgb="FFFFC7CE"/>
        </patternFill>
      </fill>
    </dxf>
    <dxf>
      <font>
        <condense val="0"/>
        <extend val="0"/>
        <color rgb="FF006100"/>
      </font>
      <fill>
        <patternFill>
          <bgColor rgb="FFC6EFCE"/>
        </patternFill>
      </fill>
    </dxf>
    <dxf>
      <font>
        <color rgb="FFFF0000"/>
      </font>
    </dxf>
    <dxf>
      <numFmt numFmtId="4" formatCode="#,##0.00"/>
    </dxf>
    <dxf>
      <fill>
        <patternFill patternType="none">
          <bgColor auto="1"/>
        </patternFill>
      </fill>
    </dxf>
    <dxf>
      <fill>
        <patternFill patternType="none">
          <bgColor auto="1"/>
        </patternFill>
      </fill>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pivotCacheDefinition" Target="pivotCache/pivotCacheDefinition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pivotCacheDefinition" Target="pivotCache/pivotCacheDefinition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theme" Target="theme/theme1.xml"/></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tilities%20Kingston%20Conservation\2016-2020%20Utilities%20Kingston%20Conservation\2015-2020%20Conservation%20Plan%20-%20EBQ\FINAL%20-%202015-2020%20Kingston%20Hydro%20Conservation%20Plan\150806%20-%20Kingston%20Hydro%202015-2020%20CE%20Tool.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sottile\Downloads\2016_Filing_Requirements_Chapter2_Appendic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tilities%20Kingston%20Conservation\2011-2015%20Electricity%20Conservation\2011-2014%20Kingston%20Hydro%20CDM\Annual%20&amp;%20Quarterly%20Reports\2012\PAB\2012%20PAB%20Report%20Submission%20-%20Kingston%20Hydro\130417%20-%202012%20PAB%20Report%20-%20Kingston%20Hydr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tilities%20Kingston%20Conservation\2011-2015%20Electricity%20Conservation\2011-2014%20Kingston%20Hydro%20CDM\LRAM\Copy%20of%202006-2010%20Final%20OPA%20CDM%20Results%20Kingston%20Hydro%20Corporat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LDC%20Quarterly%20Report%20Template\Results%20by%20LD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ssottile\AppData\Local\Microsoft\Windows\INetCache\Content.Outlook\POA158EQ\150903%20-%20Kingston%20Hydro%20CDM%20Data%20For%20Rate%20Application%20IRs-update%20for%20IR's-Sept%208.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ssottile\AppData\Local\Microsoft\Windows\INetCache\Content.Outlook\POA158EQ\150908%20-%20Revised%20Evidence%20-%20Ex4s6att1%20-%20LRAMVA%20Table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Steve\AppData\Local\Microsoft\Windows\INetCache\IE\N8CRT3EE\3-VECC-22\150807%20-%20Kingston%20Hydro%20CDM%20Plan%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
      <sheetName val="ARCHITECTURE"/>
      <sheetName val="CDM Plan Summary"/>
      <sheetName val="OPA ADMIN ONLY"/>
      <sheetName val="Detailed CDM Plan Summary"/>
      <sheetName val="PROGRAM DESIGN &gt;&gt;"/>
      <sheetName val="Custom Measure Input"/>
      <sheetName val="Measure Selection &amp; CE Results"/>
      <sheetName val="Program Budget Input"/>
      <sheetName val="External Inputs"/>
      <sheetName val="RESULTS &gt;&gt;"/>
      <sheetName val="Program Portfolio CE Results"/>
      <sheetName val="Measure Savings Results"/>
      <sheetName val="Summary CE Results"/>
      <sheetName val="ADMIN INPUT &gt;&gt;"/>
      <sheetName val="ADMIN OPTIONS"/>
      <sheetName val="CE Parameters"/>
      <sheetName val="Rates Table"/>
      <sheetName val="Avoided Cost Table"/>
      <sheetName val="DEFINED INPUTS &gt;&gt;"/>
      <sheetName val="Custom Load Profile Input"/>
      <sheetName val="Formatted Load Profiles"/>
      <sheetName val="Formatted Measure List"/>
      <sheetName val="CALCULATION &gt;&gt;"/>
      <sheetName val="Levelized Rates Table"/>
      <sheetName val="Levelized Avoided Cost Table"/>
      <sheetName val="Measure CE Results"/>
      <sheetName val="VBA References"/>
      <sheetName val="Revision Histo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6">
          <cell r="F6">
            <v>2015</v>
          </cell>
        </row>
        <row r="7">
          <cell r="F7">
            <v>0.04</v>
          </cell>
        </row>
        <row r="8">
          <cell r="F8">
            <v>0.04</v>
          </cell>
        </row>
        <row r="9">
          <cell r="F9">
            <v>0.02</v>
          </cell>
        </row>
      </sheetData>
      <sheetData sheetId="17"/>
      <sheetData sheetId="18"/>
      <sheetData sheetId="19"/>
      <sheetData sheetId="20"/>
      <sheetData sheetId="21">
        <row r="5">
          <cell r="O5" t="str">
            <v>Summer Peak Demand</v>
          </cell>
          <cell r="P5" t="str">
            <v>Winter Peak Demand</v>
          </cell>
        </row>
      </sheetData>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16">
          <cell r="E16">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nformation"/>
      <sheetName val="Consumer Program"/>
      <sheetName val="C&amp;I Program"/>
      <sheetName val="LDCNAME"/>
      <sheetName val="Industrial Program"/>
      <sheetName val="Low Income Program"/>
    </sheetNames>
    <sheetDataSet>
      <sheetData sheetId="0" refreshError="1"/>
      <sheetData sheetId="1">
        <row r="14">
          <cell r="B14" t="str">
            <v>Kingston Hydro Corporation</v>
          </cell>
        </row>
      </sheetData>
      <sheetData sheetId="2" refreshError="1"/>
      <sheetData sheetId="3" refreshError="1"/>
      <sheetData sheetId="4">
        <row r="2">
          <cell r="B2" t="str">
            <v xml:space="preserve"> </v>
          </cell>
        </row>
        <row r="3">
          <cell r="B3" t="str">
            <v>Algoma Power Inc</v>
          </cell>
        </row>
        <row r="4">
          <cell r="B4" t="str">
            <v>Atikokan Hydro Inc.</v>
          </cell>
        </row>
        <row r="5">
          <cell r="B5" t="str">
            <v>Bluewater Power Distribution Corporation</v>
          </cell>
        </row>
        <row r="6">
          <cell r="B6" t="str">
            <v>Brant County Power Inc.</v>
          </cell>
        </row>
        <row r="7">
          <cell r="B7" t="str">
            <v>Brantford Power Inc.</v>
          </cell>
        </row>
        <row r="8">
          <cell r="B8" t="str">
            <v>Burlington Hydro Inc.</v>
          </cell>
        </row>
        <row r="9">
          <cell r="B9" t="str">
            <v>Cambridge and North Dumfries Hydro Inc.</v>
          </cell>
        </row>
        <row r="10">
          <cell r="B10" t="str">
            <v>Canadian Niagara Power Inc.</v>
          </cell>
        </row>
        <row r="11">
          <cell r="B11" t="str">
            <v>Centre Wellington Hydro Ltd.</v>
          </cell>
        </row>
        <row r="12">
          <cell r="B12" t="str">
            <v>Chatham-Kent Hydro Inc.</v>
          </cell>
        </row>
        <row r="13">
          <cell r="B13" t="str">
            <v>Clinton Power Corporation</v>
          </cell>
        </row>
        <row r="14">
          <cell r="B14" t="str">
            <v>COLLUS Power Corp.</v>
          </cell>
        </row>
        <row r="15">
          <cell r="B15" t="str">
            <v>Cooperative Hydro Embrun Inc.</v>
          </cell>
        </row>
        <row r="16">
          <cell r="B16" t="str">
            <v>E.L.K. Energy Inc.</v>
          </cell>
        </row>
        <row r="17">
          <cell r="B17" t="str">
            <v>Enersource Hydro Mississauga Inc.</v>
          </cell>
        </row>
        <row r="18">
          <cell r="B18" t="str">
            <v>EnWin Utilities Ltd.</v>
          </cell>
        </row>
        <row r="19">
          <cell r="B19" t="str">
            <v>Entegrus Inc.</v>
          </cell>
        </row>
        <row r="20">
          <cell r="B20" t="str">
            <v>Erie Thames Powerlines Corporation</v>
          </cell>
        </row>
        <row r="21">
          <cell r="B21" t="str">
            <v>Espanola Regional Hydro Distribution Corporation</v>
          </cell>
        </row>
        <row r="22">
          <cell r="B22" t="str">
            <v>Essex Powerlines Corporation</v>
          </cell>
        </row>
        <row r="23">
          <cell r="B23" t="str">
            <v>Festival Hydro Inc.</v>
          </cell>
        </row>
        <row r="24">
          <cell r="B24" t="str">
            <v>Fort Frances Power Corporation</v>
          </cell>
        </row>
        <row r="25">
          <cell r="B25" t="str">
            <v>Greater Sudbury Hydro Inc.</v>
          </cell>
        </row>
        <row r="26">
          <cell r="B26" t="str">
            <v>Grimsby Power Incorporated</v>
          </cell>
        </row>
        <row r="27">
          <cell r="B27" t="str">
            <v>Guelph Hydro Electric Systems Inc.</v>
          </cell>
        </row>
        <row r="28">
          <cell r="B28" t="str">
            <v>Haldimand County Hydro Inc.</v>
          </cell>
        </row>
        <row r="29">
          <cell r="B29" t="str">
            <v>Halton Hills Hydro Inc.</v>
          </cell>
        </row>
        <row r="30">
          <cell r="B30" t="str">
            <v>Horizon Utilities Corporation</v>
          </cell>
        </row>
        <row r="31">
          <cell r="B31" t="str">
            <v>Hydro One Brampton Networks Inc.</v>
          </cell>
        </row>
        <row r="32">
          <cell r="B32" t="str">
            <v>Hydro One Networks Inc.</v>
          </cell>
        </row>
        <row r="33">
          <cell r="B33" t="str">
            <v>Hydro Ottawa Limited</v>
          </cell>
        </row>
        <row r="34">
          <cell r="B34" t="str">
            <v>Innisfil Hydro Distribution Systems Limited</v>
          </cell>
        </row>
        <row r="35">
          <cell r="B35" t="str">
            <v>Kenora Hydro Electric Corporation Ltd.</v>
          </cell>
        </row>
        <row r="36">
          <cell r="B36" t="str">
            <v>Kingston Hydro Corporation</v>
          </cell>
        </row>
        <row r="37">
          <cell r="B37" t="str">
            <v>Kitchener-Wilmot Hydro Inc.</v>
          </cell>
        </row>
        <row r="38">
          <cell r="B38" t="str">
            <v>Lakefront Utilities Inc.</v>
          </cell>
        </row>
        <row r="39">
          <cell r="B39" t="str">
            <v>Lakeland Power Distribution Ltd.</v>
          </cell>
        </row>
        <row r="40">
          <cell r="B40" t="str">
            <v>LDC Four</v>
          </cell>
        </row>
        <row r="41">
          <cell r="B41" t="str">
            <v>London Hydro Inc.</v>
          </cell>
        </row>
        <row r="42">
          <cell r="B42" t="str">
            <v>Middlesex Power Distribution Corporation</v>
          </cell>
        </row>
        <row r="43">
          <cell r="B43" t="str">
            <v>Midland Power Utility Corporation</v>
          </cell>
        </row>
        <row r="44">
          <cell r="B44" t="str">
            <v>Milton Hydro Distribution Inc.</v>
          </cell>
        </row>
        <row r="45">
          <cell r="B45" t="str">
            <v>Newmarket - Tay Power Distribution Ltd.</v>
          </cell>
        </row>
        <row r="46">
          <cell r="B46" t="str">
            <v>Niagara Peninsula Energy Inc.</v>
          </cell>
        </row>
        <row r="47">
          <cell r="B47" t="str">
            <v>Niagara-on-the-Lake Hydro Inc.</v>
          </cell>
        </row>
        <row r="48">
          <cell r="B48" t="str">
            <v>Norfolk Power Distribution Inc.</v>
          </cell>
        </row>
        <row r="49">
          <cell r="B49" t="str">
            <v>North Bay Hydro Distribution Limited</v>
          </cell>
        </row>
        <row r="50">
          <cell r="B50" t="str">
            <v>Northern Ontario Wires Inc.</v>
          </cell>
        </row>
        <row r="51">
          <cell r="B51" t="str">
            <v>Oakville Hydro Electricity Distribution Inc.</v>
          </cell>
        </row>
        <row r="52">
          <cell r="B52" t="str">
            <v>Orangeville Hydro Limited</v>
          </cell>
        </row>
        <row r="53">
          <cell r="B53" t="str">
            <v>Orillia Power Distribution Corporation</v>
          </cell>
        </row>
        <row r="54">
          <cell r="B54" t="str">
            <v>Oshawa PUC Networks Inc.</v>
          </cell>
        </row>
        <row r="55">
          <cell r="B55" t="str">
            <v>Ottawa River Power Corporation</v>
          </cell>
        </row>
        <row r="56">
          <cell r="B56" t="str">
            <v>Parry Sound Power Corporation</v>
          </cell>
        </row>
        <row r="57">
          <cell r="B57" t="str">
            <v>Peterborough Distribution Incorporated</v>
          </cell>
        </row>
        <row r="58">
          <cell r="B58" t="str">
            <v>PowerStream Inc.</v>
          </cell>
        </row>
        <row r="59">
          <cell r="B59" t="str">
            <v>PUC Distribution Inc.</v>
          </cell>
        </row>
        <row r="60">
          <cell r="B60" t="str">
            <v>Renfrew Hydro Inc.</v>
          </cell>
        </row>
        <row r="61">
          <cell r="B61" t="str">
            <v>Rideau St. Lawrence Distribution Inc.</v>
          </cell>
        </row>
        <row r="62">
          <cell r="B62" t="str">
            <v>Sioux Lookout Hydro Inc.</v>
          </cell>
        </row>
        <row r="63">
          <cell r="B63" t="str">
            <v>St. Thomas Energy Inc.</v>
          </cell>
        </row>
        <row r="64">
          <cell r="B64" t="str">
            <v>Thunder Bay Hydro Electricity Distribution Inc.</v>
          </cell>
        </row>
        <row r="65">
          <cell r="B65" t="str">
            <v>Tillsonburg Hydro Inc.</v>
          </cell>
        </row>
        <row r="66">
          <cell r="B66" t="str">
            <v>Toronto Hydro-Electric System Limited</v>
          </cell>
        </row>
        <row r="67">
          <cell r="B67" t="str">
            <v>Veridian Connections Inc.</v>
          </cell>
        </row>
        <row r="68">
          <cell r="B68" t="str">
            <v>Wasaga Distribution Inc.</v>
          </cell>
        </row>
        <row r="69">
          <cell r="B69" t="str">
            <v>Waterloo North Hydro Inc.</v>
          </cell>
        </row>
        <row r="70">
          <cell r="B70" t="str">
            <v>Welland Hydro-Electric System Corp.</v>
          </cell>
        </row>
        <row r="71">
          <cell r="B71" t="str">
            <v>Wellington North Power Inc.</v>
          </cell>
        </row>
        <row r="72">
          <cell r="B72" t="str">
            <v>West Cost Huron Energy Inc.</v>
          </cell>
        </row>
        <row r="73">
          <cell r="B73" t="str">
            <v>West Perth Power Inc.</v>
          </cell>
        </row>
        <row r="74">
          <cell r="B74" t="str">
            <v>Westario Power Inc.</v>
          </cell>
        </row>
        <row r="75">
          <cell r="B75" t="str">
            <v>Whitby Hydro Electric Corporation</v>
          </cell>
        </row>
        <row r="76">
          <cell r="B76" t="str">
            <v>Woodstock Hydro Services Inc.</v>
          </cell>
        </row>
      </sheetData>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Filter"/>
      <sheetName val="Allocation Methodology"/>
      <sheetName val="Summary - LDC"/>
      <sheetName val="Summary - Prov"/>
      <sheetName val="Annual Net Demand Savings - LDC"/>
      <sheetName val="Annual Net Energy Savings - LDC"/>
      <sheetName val="Annual Net Demand Savings -Prov"/>
      <sheetName val="Annual Net Energy Savings -Prov"/>
      <sheetName val="Initiative Level - LDC"/>
      <sheetName val="Initiative Level - Prov"/>
      <sheetName val="Measures - LDC"/>
      <sheetName val="Measures - Prov"/>
      <sheetName val="Local Distribution Companies"/>
    </sheetNames>
    <sheetDataSet>
      <sheetData sheetId="0"/>
      <sheetData sheetId="1">
        <row r="5">
          <cell r="A5">
            <v>1</v>
          </cell>
          <cell r="B5" t="str">
            <v>Secondary Refrigerator Retirement Pilot</v>
          </cell>
          <cell r="C5" t="str">
            <v>Consumer</v>
          </cell>
          <cell r="D5">
            <v>2006</v>
          </cell>
          <cell r="E5" t="str">
            <v>Final</v>
          </cell>
        </row>
        <row r="6">
          <cell r="A6">
            <v>2</v>
          </cell>
          <cell r="B6" t="str">
            <v>Cool &amp; Hot Savings Rebate</v>
          </cell>
          <cell r="C6" t="str">
            <v>Consumer</v>
          </cell>
          <cell r="D6">
            <v>2006</v>
          </cell>
          <cell r="E6" t="str">
            <v>Final</v>
          </cell>
        </row>
        <row r="7">
          <cell r="A7">
            <v>3</v>
          </cell>
          <cell r="B7" t="str">
            <v>Every Kilowatt Counts</v>
          </cell>
          <cell r="C7" t="str">
            <v>Consumer</v>
          </cell>
          <cell r="D7">
            <v>2006</v>
          </cell>
          <cell r="E7" t="str">
            <v>Final</v>
          </cell>
        </row>
        <row r="8">
          <cell r="A8">
            <v>4</v>
          </cell>
          <cell r="B8" t="str">
            <v>Demand Response 1</v>
          </cell>
          <cell r="C8" t="str">
            <v>Business, Industrial</v>
          </cell>
          <cell r="D8">
            <v>2006</v>
          </cell>
          <cell r="E8" t="str">
            <v>Final</v>
          </cell>
        </row>
        <row r="9">
          <cell r="A9">
            <v>5</v>
          </cell>
          <cell r="B9" t="str">
            <v>Loblaw &amp; York Region Demand Response</v>
          </cell>
          <cell r="C9" t="str">
            <v>Business, Industrial</v>
          </cell>
          <cell r="D9">
            <v>2006</v>
          </cell>
          <cell r="E9" t="str">
            <v>Final</v>
          </cell>
        </row>
        <row r="10">
          <cell r="A10">
            <v>6</v>
          </cell>
          <cell r="B10" t="str">
            <v>Great Refrigerator Roundup</v>
          </cell>
          <cell r="C10" t="str">
            <v>Consumer</v>
          </cell>
          <cell r="D10">
            <v>2007</v>
          </cell>
          <cell r="E10" t="str">
            <v>Final</v>
          </cell>
        </row>
        <row r="11">
          <cell r="A11">
            <v>7</v>
          </cell>
          <cell r="B11" t="str">
            <v>Cool &amp; Hot Savings Rebate</v>
          </cell>
          <cell r="C11" t="str">
            <v>Consumer</v>
          </cell>
          <cell r="D11">
            <v>2007</v>
          </cell>
          <cell r="E11" t="str">
            <v>Final</v>
          </cell>
        </row>
        <row r="12">
          <cell r="A12">
            <v>8</v>
          </cell>
          <cell r="B12" t="str">
            <v>Every Kilowatt Counts</v>
          </cell>
          <cell r="C12" t="str">
            <v>Consumer</v>
          </cell>
          <cell r="D12">
            <v>2007</v>
          </cell>
          <cell r="E12" t="str">
            <v>Final</v>
          </cell>
        </row>
        <row r="13">
          <cell r="A13">
            <v>9</v>
          </cell>
          <cell r="B13" t="str">
            <v>peaksaver®</v>
          </cell>
          <cell r="C13" t="str">
            <v>Consumer, Business</v>
          </cell>
          <cell r="D13">
            <v>2007</v>
          </cell>
          <cell r="E13" t="str">
            <v>Final</v>
          </cell>
        </row>
        <row r="14">
          <cell r="A14">
            <v>10</v>
          </cell>
          <cell r="B14" t="str">
            <v>Summer Savings</v>
          </cell>
          <cell r="C14" t="str">
            <v>Consumer</v>
          </cell>
          <cell r="D14">
            <v>2007</v>
          </cell>
          <cell r="E14" t="str">
            <v>Final</v>
          </cell>
        </row>
        <row r="15">
          <cell r="A15">
            <v>11</v>
          </cell>
          <cell r="B15" t="str">
            <v>Aboriginal</v>
          </cell>
          <cell r="C15" t="str">
            <v>Consumer</v>
          </cell>
          <cell r="D15">
            <v>2007</v>
          </cell>
          <cell r="E15" t="str">
            <v>Final</v>
          </cell>
        </row>
        <row r="16">
          <cell r="A16">
            <v>12</v>
          </cell>
          <cell r="B16" t="str">
            <v>Affordable Housing Pilot</v>
          </cell>
          <cell r="C16" t="str">
            <v>Consumer Low-Income</v>
          </cell>
          <cell r="D16">
            <v>2007</v>
          </cell>
          <cell r="E16" t="str">
            <v>Final</v>
          </cell>
        </row>
        <row r="17">
          <cell r="A17">
            <v>13</v>
          </cell>
          <cell r="B17" t="str">
            <v>Social Housing Pilot</v>
          </cell>
          <cell r="C17" t="str">
            <v>Consumer Low-Income</v>
          </cell>
          <cell r="D17">
            <v>2007</v>
          </cell>
          <cell r="E17" t="str">
            <v>Final</v>
          </cell>
        </row>
        <row r="18">
          <cell r="A18">
            <v>14</v>
          </cell>
          <cell r="B18" t="str">
            <v>Energy Efficiency Assistance for Houses Pilot</v>
          </cell>
          <cell r="C18" t="str">
            <v>Consumer Low-Income</v>
          </cell>
          <cell r="D18">
            <v>2007</v>
          </cell>
          <cell r="E18" t="str">
            <v>Final</v>
          </cell>
        </row>
        <row r="19">
          <cell r="A19">
            <v>15</v>
          </cell>
          <cell r="B19" t="str">
            <v>Electricity Retrofit Incentive</v>
          </cell>
          <cell r="C19" t="str">
            <v>Business</v>
          </cell>
          <cell r="D19">
            <v>2007</v>
          </cell>
          <cell r="E19" t="str">
            <v>Final</v>
          </cell>
        </row>
        <row r="20">
          <cell r="A20">
            <v>16</v>
          </cell>
          <cell r="B20" t="str">
            <v>Toronto Comprehensive</v>
          </cell>
          <cell r="C20" t="str">
            <v>Business</v>
          </cell>
          <cell r="D20">
            <v>2007</v>
          </cell>
          <cell r="E20" t="str">
            <v>Final</v>
          </cell>
        </row>
        <row r="21">
          <cell r="A21">
            <v>17</v>
          </cell>
          <cell r="B21" t="str">
            <v>Demand Response 1</v>
          </cell>
          <cell r="C21" t="str">
            <v>Business, Industrial</v>
          </cell>
          <cell r="D21">
            <v>2007</v>
          </cell>
          <cell r="E21" t="str">
            <v>Final</v>
          </cell>
        </row>
        <row r="22">
          <cell r="A22">
            <v>18</v>
          </cell>
          <cell r="B22" t="str">
            <v>Loblaw &amp; York Region Demand Response</v>
          </cell>
          <cell r="C22" t="str">
            <v>Business, Industrial</v>
          </cell>
          <cell r="D22">
            <v>2007</v>
          </cell>
          <cell r="E22" t="str">
            <v>Final</v>
          </cell>
        </row>
        <row r="23">
          <cell r="A23">
            <v>19</v>
          </cell>
          <cell r="B23" t="str">
            <v>Renewable Energy Standard Offer</v>
          </cell>
          <cell r="C23" t="str">
            <v>Consumer, Business, Industrial</v>
          </cell>
          <cell r="D23">
            <v>2007</v>
          </cell>
          <cell r="E23" t="str">
            <v>Final</v>
          </cell>
        </row>
        <row r="24">
          <cell r="A24">
            <v>20</v>
          </cell>
          <cell r="B24" t="str">
            <v>Great Refrigerator Roundup</v>
          </cell>
          <cell r="C24" t="str">
            <v>Consumer</v>
          </cell>
          <cell r="D24">
            <v>2008</v>
          </cell>
          <cell r="E24" t="str">
            <v>Final</v>
          </cell>
        </row>
        <row r="25">
          <cell r="A25">
            <v>21</v>
          </cell>
          <cell r="B25" t="str">
            <v>Cool Savings Rebate</v>
          </cell>
          <cell r="C25" t="str">
            <v>Consumer</v>
          </cell>
          <cell r="D25">
            <v>2008</v>
          </cell>
          <cell r="E25" t="str">
            <v>Final</v>
          </cell>
        </row>
        <row r="26">
          <cell r="A26">
            <v>22</v>
          </cell>
          <cell r="B26" t="str">
            <v>Every Kilowatt Counts Power Savings Event</v>
          </cell>
          <cell r="C26" t="str">
            <v>Consumer</v>
          </cell>
          <cell r="D26">
            <v>2008</v>
          </cell>
          <cell r="E26" t="str">
            <v>Final</v>
          </cell>
        </row>
        <row r="27">
          <cell r="A27">
            <v>23</v>
          </cell>
          <cell r="B27" t="str">
            <v>peaksaver®</v>
          </cell>
          <cell r="C27" t="str">
            <v>Consumer, Business</v>
          </cell>
          <cell r="D27">
            <v>2008</v>
          </cell>
          <cell r="E27" t="str">
            <v>Final</v>
          </cell>
        </row>
        <row r="28">
          <cell r="A28">
            <v>24</v>
          </cell>
          <cell r="B28" t="str">
            <v>Summer Sweepstakes</v>
          </cell>
          <cell r="C28" t="str">
            <v>Consumer</v>
          </cell>
          <cell r="D28">
            <v>2008</v>
          </cell>
          <cell r="E28" t="str">
            <v>Final</v>
          </cell>
        </row>
        <row r="29">
          <cell r="A29">
            <v>25</v>
          </cell>
          <cell r="B29" t="str">
            <v>Electricity Retrofit Incentive</v>
          </cell>
          <cell r="C29" t="str">
            <v>Consumer, Business</v>
          </cell>
          <cell r="D29">
            <v>2008</v>
          </cell>
          <cell r="E29" t="str">
            <v>Final</v>
          </cell>
        </row>
        <row r="30">
          <cell r="A30">
            <v>26</v>
          </cell>
          <cell r="B30" t="str">
            <v>Toronto Comprehensive</v>
          </cell>
          <cell r="C30" t="str">
            <v>Consumer, Consumer Low-Income, Business</v>
          </cell>
          <cell r="D30">
            <v>2008</v>
          </cell>
          <cell r="E30" t="str">
            <v>Final</v>
          </cell>
        </row>
        <row r="31">
          <cell r="A31">
            <v>27</v>
          </cell>
          <cell r="B31" t="str">
            <v>High Performance New Construction</v>
          </cell>
          <cell r="C31" t="str">
            <v>Business</v>
          </cell>
          <cell r="D31">
            <v>2008</v>
          </cell>
          <cell r="E31" t="str">
            <v>Final</v>
          </cell>
        </row>
        <row r="32">
          <cell r="A32">
            <v>28</v>
          </cell>
          <cell r="B32" t="str">
            <v>Power Savings Blitz</v>
          </cell>
          <cell r="C32" t="str">
            <v>Business</v>
          </cell>
          <cell r="D32">
            <v>2008</v>
          </cell>
          <cell r="E32" t="str">
            <v>Final</v>
          </cell>
        </row>
        <row r="33">
          <cell r="A33">
            <v>29</v>
          </cell>
          <cell r="B33" t="str">
            <v>Demand Response 1</v>
          </cell>
          <cell r="C33" t="str">
            <v>Business, Industrial</v>
          </cell>
          <cell r="D33">
            <v>2008</v>
          </cell>
          <cell r="E33" t="str">
            <v>Final</v>
          </cell>
        </row>
        <row r="34">
          <cell r="A34">
            <v>30</v>
          </cell>
          <cell r="B34" t="str">
            <v>Demand Response 3</v>
          </cell>
          <cell r="C34" t="str">
            <v>Business, Industrial</v>
          </cell>
          <cell r="D34">
            <v>2008</v>
          </cell>
          <cell r="E34" t="str">
            <v>Final</v>
          </cell>
        </row>
        <row r="35">
          <cell r="A35">
            <v>31</v>
          </cell>
          <cell r="B35" t="str">
            <v>Loblaw &amp; York Region Demand Response</v>
          </cell>
          <cell r="C35" t="str">
            <v>Business, Industrial</v>
          </cell>
          <cell r="D35">
            <v>2008</v>
          </cell>
          <cell r="E35" t="str">
            <v>Final</v>
          </cell>
        </row>
        <row r="36">
          <cell r="A36">
            <v>32</v>
          </cell>
          <cell r="B36" t="str">
            <v>Renewable Energy Standard Offer</v>
          </cell>
          <cell r="C36" t="str">
            <v>Consumer, Business</v>
          </cell>
          <cell r="D36">
            <v>2008</v>
          </cell>
          <cell r="E36" t="str">
            <v>Final</v>
          </cell>
        </row>
        <row r="37">
          <cell r="A37">
            <v>33</v>
          </cell>
          <cell r="B37" t="str">
            <v>Other Customer Based Generation</v>
          </cell>
          <cell r="C37" t="str">
            <v>Business</v>
          </cell>
          <cell r="D37">
            <v>2008</v>
          </cell>
          <cell r="E37" t="str">
            <v>Final</v>
          </cell>
        </row>
        <row r="38">
          <cell r="A38">
            <v>34</v>
          </cell>
          <cell r="B38" t="str">
            <v>LDC Custom - Hydro One Networks Inc. - Double Return</v>
          </cell>
          <cell r="C38" t="str">
            <v>Business, Industrial</v>
          </cell>
          <cell r="D38">
            <v>2008</v>
          </cell>
          <cell r="E38" t="str">
            <v>Final</v>
          </cell>
        </row>
        <row r="39">
          <cell r="A39">
            <v>35</v>
          </cell>
          <cell r="B39" t="str">
            <v>Great Refrigerator Roundup</v>
          </cell>
          <cell r="C39" t="str">
            <v>Consumer</v>
          </cell>
          <cell r="D39">
            <v>2009</v>
          </cell>
          <cell r="E39" t="str">
            <v>Final</v>
          </cell>
        </row>
        <row r="40">
          <cell r="A40">
            <v>36</v>
          </cell>
          <cell r="B40" t="str">
            <v>Cool Savings Rebate</v>
          </cell>
          <cell r="C40" t="str">
            <v>Consumer</v>
          </cell>
          <cell r="D40">
            <v>2009</v>
          </cell>
          <cell r="E40" t="str">
            <v>Final</v>
          </cell>
        </row>
        <row r="41">
          <cell r="A41">
            <v>37</v>
          </cell>
          <cell r="B41" t="str">
            <v>Every Kilowatt Counts Power Savings Event</v>
          </cell>
          <cell r="C41" t="str">
            <v>Consumer</v>
          </cell>
          <cell r="D41">
            <v>2009</v>
          </cell>
          <cell r="E41" t="str">
            <v>Final</v>
          </cell>
        </row>
        <row r="42">
          <cell r="A42">
            <v>38</v>
          </cell>
          <cell r="B42" t="str">
            <v>peaksaver®</v>
          </cell>
          <cell r="C42" t="str">
            <v>Consumer, Business</v>
          </cell>
          <cell r="D42">
            <v>2009</v>
          </cell>
          <cell r="E42" t="str">
            <v>Final</v>
          </cell>
        </row>
        <row r="43">
          <cell r="A43">
            <v>39</v>
          </cell>
          <cell r="B43" t="str">
            <v>Electricity Retrofit Incentive</v>
          </cell>
          <cell r="C43" t="str">
            <v>Consumer, Business</v>
          </cell>
          <cell r="D43">
            <v>2009</v>
          </cell>
          <cell r="E43" t="str">
            <v>Final</v>
          </cell>
        </row>
        <row r="44">
          <cell r="A44">
            <v>40</v>
          </cell>
          <cell r="B44" t="str">
            <v>Toronto Comprehensive</v>
          </cell>
          <cell r="C44" t="str">
            <v>Consumer, Consumer Low-Income, Business, Industrial</v>
          </cell>
          <cell r="D44">
            <v>2009</v>
          </cell>
          <cell r="E44" t="str">
            <v>Final</v>
          </cell>
        </row>
        <row r="45">
          <cell r="A45">
            <v>41</v>
          </cell>
          <cell r="B45" t="str">
            <v>High Performance New Construction</v>
          </cell>
          <cell r="C45" t="str">
            <v>Business</v>
          </cell>
          <cell r="D45">
            <v>2009</v>
          </cell>
          <cell r="E45" t="str">
            <v>Final</v>
          </cell>
        </row>
        <row r="46">
          <cell r="A46">
            <v>42</v>
          </cell>
          <cell r="B46" t="str">
            <v>Power Savings Blitz</v>
          </cell>
          <cell r="C46" t="str">
            <v>Business</v>
          </cell>
          <cell r="D46">
            <v>2009</v>
          </cell>
          <cell r="E46" t="str">
            <v>Final</v>
          </cell>
        </row>
        <row r="47">
          <cell r="A47">
            <v>43</v>
          </cell>
          <cell r="B47" t="str">
            <v>Multi-Family Energy Efficiency Rebates</v>
          </cell>
          <cell r="C47" t="str">
            <v>Consumer, Consumer Low-Income</v>
          </cell>
          <cell r="D47">
            <v>2009</v>
          </cell>
          <cell r="E47" t="str">
            <v>Final</v>
          </cell>
        </row>
        <row r="48">
          <cell r="A48">
            <v>44</v>
          </cell>
          <cell r="B48" t="str">
            <v>Demand Response 1</v>
          </cell>
          <cell r="C48" t="str">
            <v>Business, Industrial</v>
          </cell>
          <cell r="D48">
            <v>2009</v>
          </cell>
          <cell r="E48" t="str">
            <v>Final</v>
          </cell>
        </row>
        <row r="49">
          <cell r="A49">
            <v>45</v>
          </cell>
          <cell r="B49" t="str">
            <v>Demand Response 2</v>
          </cell>
          <cell r="C49" t="str">
            <v>Business, Industrial</v>
          </cell>
          <cell r="D49">
            <v>2009</v>
          </cell>
          <cell r="E49" t="str">
            <v>Final</v>
          </cell>
        </row>
        <row r="50">
          <cell r="A50">
            <v>46</v>
          </cell>
          <cell r="B50" t="str">
            <v>Demand Response 3</v>
          </cell>
          <cell r="C50" t="str">
            <v>Business, Industrial</v>
          </cell>
          <cell r="D50">
            <v>2009</v>
          </cell>
          <cell r="E50" t="str">
            <v>Final</v>
          </cell>
        </row>
        <row r="51">
          <cell r="A51">
            <v>47</v>
          </cell>
          <cell r="B51" t="str">
            <v>Loblaw &amp; York Region Demand Response</v>
          </cell>
          <cell r="C51" t="str">
            <v>Business, Industrial</v>
          </cell>
          <cell r="D51">
            <v>2009</v>
          </cell>
          <cell r="E51" t="str">
            <v>Final</v>
          </cell>
        </row>
        <row r="52">
          <cell r="A52">
            <v>48</v>
          </cell>
          <cell r="B52" t="str">
            <v>LDC Custom - Thunder Bay Hydro - Phantom Load</v>
          </cell>
          <cell r="C52" t="str">
            <v>Consumer</v>
          </cell>
          <cell r="D52">
            <v>2009</v>
          </cell>
          <cell r="E52" t="str">
            <v>Final</v>
          </cell>
        </row>
        <row r="53">
          <cell r="A53">
            <v>49</v>
          </cell>
          <cell r="B53" t="str">
            <v>LDC Custom - Toronto Hydro - Summer Challenge</v>
          </cell>
          <cell r="C53" t="str">
            <v>Consumer</v>
          </cell>
          <cell r="D53">
            <v>2009</v>
          </cell>
          <cell r="E53" t="str">
            <v>Final</v>
          </cell>
        </row>
        <row r="54">
          <cell r="A54">
            <v>50</v>
          </cell>
          <cell r="B54" t="str">
            <v>LDC Custom - PowerStream - Data Centers</v>
          </cell>
          <cell r="C54" t="str">
            <v>Business</v>
          </cell>
          <cell r="D54">
            <v>2009</v>
          </cell>
          <cell r="E54" t="str">
            <v>Final</v>
          </cell>
        </row>
        <row r="55">
          <cell r="A55">
            <v>51</v>
          </cell>
          <cell r="B55" t="str">
            <v>Toronto Comprehensive Adjustment</v>
          </cell>
          <cell r="C55" t="str">
            <v>Consumer, Business</v>
          </cell>
          <cell r="D55">
            <v>2008</v>
          </cell>
          <cell r="E55" t="str">
            <v>Final</v>
          </cell>
        </row>
        <row r="56">
          <cell r="A56">
            <v>52</v>
          </cell>
          <cell r="B56" t="str">
            <v>LDC Custom - Hydro One Networks Inc. - Double Return Adjustment</v>
          </cell>
          <cell r="C56" t="str">
            <v>Business, Industrial</v>
          </cell>
          <cell r="D56">
            <v>2008</v>
          </cell>
          <cell r="E56" t="str">
            <v>Final</v>
          </cell>
        </row>
        <row r="57">
          <cell r="A57">
            <v>53</v>
          </cell>
          <cell r="B57" t="str">
            <v>Great Refrigerator Roundup</v>
          </cell>
          <cell r="C57" t="str">
            <v>Consumer</v>
          </cell>
          <cell r="D57">
            <v>2010</v>
          </cell>
          <cell r="E57" t="str">
            <v>Final</v>
          </cell>
        </row>
        <row r="58">
          <cell r="A58">
            <v>54</v>
          </cell>
          <cell r="B58" t="str">
            <v>Cool Savings Rebate</v>
          </cell>
          <cell r="C58" t="str">
            <v>Consumer</v>
          </cell>
          <cell r="D58">
            <v>2010</v>
          </cell>
          <cell r="E58" t="str">
            <v>Final</v>
          </cell>
        </row>
        <row r="59">
          <cell r="A59">
            <v>55</v>
          </cell>
          <cell r="B59" t="str">
            <v>Every Kilowatt Counts Power Savings Event</v>
          </cell>
          <cell r="C59" t="str">
            <v>Consumer</v>
          </cell>
          <cell r="D59">
            <v>2010</v>
          </cell>
          <cell r="E59" t="str">
            <v>Final</v>
          </cell>
        </row>
        <row r="60">
          <cell r="A60">
            <v>56</v>
          </cell>
          <cell r="B60" t="str">
            <v>peaksaver®</v>
          </cell>
          <cell r="C60" t="str">
            <v>Consumer, Business</v>
          </cell>
          <cell r="D60">
            <v>2010</v>
          </cell>
          <cell r="E60" t="str">
            <v>Final</v>
          </cell>
        </row>
        <row r="61">
          <cell r="A61">
            <v>57</v>
          </cell>
          <cell r="B61" t="str">
            <v>Electricity Retrofit Incentive</v>
          </cell>
          <cell r="C61" t="str">
            <v>Consumer, Business</v>
          </cell>
          <cell r="D61">
            <v>2010</v>
          </cell>
          <cell r="E61" t="str">
            <v>Final</v>
          </cell>
        </row>
        <row r="62">
          <cell r="A62">
            <v>58</v>
          </cell>
          <cell r="B62" t="str">
            <v>Toronto Comprehensive</v>
          </cell>
          <cell r="C62" t="str">
            <v>Consumer, Consumer Low-Income, Business, Industrial</v>
          </cell>
          <cell r="D62">
            <v>2010</v>
          </cell>
          <cell r="E62" t="str">
            <v>Final</v>
          </cell>
        </row>
        <row r="63">
          <cell r="A63">
            <v>59</v>
          </cell>
          <cell r="B63" t="str">
            <v>High Performance New Construction</v>
          </cell>
          <cell r="C63" t="str">
            <v>Business</v>
          </cell>
          <cell r="D63">
            <v>2010</v>
          </cell>
          <cell r="E63" t="str">
            <v>Final</v>
          </cell>
        </row>
        <row r="64">
          <cell r="A64">
            <v>60</v>
          </cell>
          <cell r="B64" t="str">
            <v>Power Savings Blitz</v>
          </cell>
          <cell r="C64" t="str">
            <v>Business</v>
          </cell>
          <cell r="D64">
            <v>2010</v>
          </cell>
          <cell r="E64" t="str">
            <v>Final</v>
          </cell>
        </row>
        <row r="65">
          <cell r="A65">
            <v>61</v>
          </cell>
          <cell r="B65" t="str">
            <v>Multi-Family Energy Efficiency Rebates</v>
          </cell>
          <cell r="C65" t="str">
            <v>Consumer, Consumer Low-Income</v>
          </cell>
          <cell r="D65">
            <v>2010</v>
          </cell>
          <cell r="E65" t="str">
            <v>Final</v>
          </cell>
        </row>
        <row r="66">
          <cell r="A66">
            <v>62</v>
          </cell>
          <cell r="B66" t="str">
            <v>Demand Response 2</v>
          </cell>
          <cell r="C66" t="str">
            <v>Business, Industrial</v>
          </cell>
          <cell r="D66">
            <v>2010</v>
          </cell>
          <cell r="E66" t="str">
            <v>Final</v>
          </cell>
        </row>
        <row r="67">
          <cell r="A67">
            <v>63</v>
          </cell>
          <cell r="B67" t="str">
            <v>Demand Response 3</v>
          </cell>
          <cell r="C67" t="str">
            <v>Business, Industrial</v>
          </cell>
          <cell r="D67">
            <v>2010</v>
          </cell>
          <cell r="E67" t="str">
            <v>Final</v>
          </cell>
        </row>
        <row r="68">
          <cell r="A68">
            <v>64</v>
          </cell>
          <cell r="B68" t="str">
            <v>Loblaw &amp; York Region Demand Response</v>
          </cell>
          <cell r="C68" t="str">
            <v>Business, Industrial</v>
          </cell>
          <cell r="D68">
            <v>2010</v>
          </cell>
          <cell r="E68" t="str">
            <v>Final</v>
          </cell>
        </row>
        <row r="69">
          <cell r="A69">
            <v>65</v>
          </cell>
          <cell r="B69" t="str">
            <v>LDC Custom - Hydro Ottawa - Small Commercial Demand Response</v>
          </cell>
          <cell r="C69" t="str">
            <v>Consumer</v>
          </cell>
          <cell r="D69">
            <v>2010</v>
          </cell>
          <cell r="E69" t="str">
            <v>Final</v>
          </cell>
        </row>
      </sheetData>
      <sheetData sheetId="2"/>
      <sheetData sheetId="3"/>
      <sheetData sheetId="4" refreshError="1"/>
      <sheetData sheetId="5" refreshError="1"/>
      <sheetData sheetId="6" refreshError="1"/>
      <sheetData sheetId="7" refreshError="1"/>
      <sheetData sheetId="8"/>
      <sheetData sheetId="9"/>
      <sheetData sheetId="10"/>
      <sheetData sheetId="11"/>
      <sheetData sheetId="12">
        <row r="9">
          <cell r="B9" t="str">
            <v>Algoma Power Inc.</v>
          </cell>
        </row>
        <row r="10">
          <cell r="B10" t="str">
            <v>Atikokan Hydro Inc.</v>
          </cell>
        </row>
        <row r="11">
          <cell r="B11" t="str">
            <v>Attawapiskat Power Corporation</v>
          </cell>
        </row>
        <row r="12">
          <cell r="B12" t="str">
            <v>Bluewater Power Distribution Corporation</v>
          </cell>
        </row>
        <row r="13">
          <cell r="B13" t="str">
            <v>Brant County Power Inc.</v>
          </cell>
        </row>
        <row r="14">
          <cell r="B14" t="str">
            <v>Brantford Power Inc.</v>
          </cell>
        </row>
        <row r="15">
          <cell r="B15" t="str">
            <v>Burlington Hydro Inc.</v>
          </cell>
        </row>
        <row r="16">
          <cell r="B16" t="str">
            <v>COLLUS Power Corporation</v>
          </cell>
        </row>
        <row r="17">
          <cell r="B17" t="str">
            <v>Cambridge and North Dumfries Hydro Inc.</v>
          </cell>
        </row>
        <row r="18">
          <cell r="B18" t="str">
            <v>Canadian Niagara Power Inc.</v>
          </cell>
        </row>
        <row r="19">
          <cell r="B19" t="str">
            <v>Centre Wellington Hydro Ltd.</v>
          </cell>
        </row>
        <row r="20">
          <cell r="B20" t="str">
            <v>Chapleau Public Utilities Corporation</v>
          </cell>
        </row>
        <row r="21">
          <cell r="B21" t="str">
            <v>Chatham-Kent Hydro Inc.</v>
          </cell>
        </row>
        <row r="22">
          <cell r="B22" t="str">
            <v>Clinton Power Corporation</v>
          </cell>
        </row>
        <row r="23">
          <cell r="B23" t="str">
            <v>Cooperative Hydro Embrun Inc.</v>
          </cell>
        </row>
        <row r="24">
          <cell r="B24" t="str">
            <v>E.L.K. Energy Inc.</v>
          </cell>
        </row>
        <row r="25">
          <cell r="B25" t="str">
            <v>ENWIN Utilities Ltd.</v>
          </cell>
        </row>
        <row r="26">
          <cell r="B26" t="str">
            <v>Enersource Hydro Mississauga Inc.</v>
          </cell>
        </row>
        <row r="27">
          <cell r="B27" t="str">
            <v>Erie Thames Powerlines Corporation</v>
          </cell>
        </row>
        <row r="28">
          <cell r="B28" t="str">
            <v>Espanola Regional Hydro Distribution Corporation</v>
          </cell>
        </row>
        <row r="29">
          <cell r="B29" t="str">
            <v>Essex Powerlines Corporation</v>
          </cell>
        </row>
        <row r="30">
          <cell r="B30" t="str">
            <v>Festival Hydro Inc.</v>
          </cell>
        </row>
        <row r="31">
          <cell r="B31" t="str">
            <v>Fort Albany Power Corporation</v>
          </cell>
        </row>
        <row r="32">
          <cell r="B32" t="str">
            <v>Fort Frances Power Corporation</v>
          </cell>
        </row>
        <row r="33">
          <cell r="B33" t="str">
            <v>Greater Sudbury Hydro Inc.</v>
          </cell>
        </row>
        <row r="34">
          <cell r="B34" t="str">
            <v>Grimsby Power Inc.</v>
          </cell>
        </row>
        <row r="35">
          <cell r="B35" t="str">
            <v>Guelph Hydro Electric Systems Inc.</v>
          </cell>
        </row>
        <row r="36">
          <cell r="B36" t="str">
            <v>Haldimand County Hydro Inc.</v>
          </cell>
        </row>
        <row r="37">
          <cell r="B37" t="str">
            <v>Halton Hills Hydro Inc.</v>
          </cell>
        </row>
        <row r="38">
          <cell r="B38" t="str">
            <v>Hearst Power Distribution Company Limited</v>
          </cell>
        </row>
        <row r="39">
          <cell r="B39" t="str">
            <v>Horizon Utilities Corporation</v>
          </cell>
        </row>
        <row r="40">
          <cell r="B40" t="str">
            <v>Hydro 2000 Inc.</v>
          </cell>
        </row>
        <row r="41">
          <cell r="B41" t="str">
            <v>Hydro Hawkesbury Inc.</v>
          </cell>
        </row>
        <row r="42">
          <cell r="B42" t="str">
            <v>Hydro One Brampton Networks Inc.</v>
          </cell>
        </row>
        <row r="43">
          <cell r="B43" t="str">
            <v>Hydro One Networks Inc.</v>
          </cell>
        </row>
        <row r="44">
          <cell r="B44" t="str">
            <v>Hydro Ottawa Limited</v>
          </cell>
        </row>
        <row r="45">
          <cell r="B45" t="str">
            <v>Innisfil Hydro Distribution Systems Limited</v>
          </cell>
        </row>
        <row r="46">
          <cell r="B46" t="str">
            <v>Kashechewan Power Corporation</v>
          </cell>
        </row>
        <row r="47">
          <cell r="B47" t="str">
            <v>Kenora Hydro Electric Corporation Ltd.</v>
          </cell>
        </row>
        <row r="48">
          <cell r="B48" t="str">
            <v>Kingston Hydro Corporation</v>
          </cell>
        </row>
        <row r="49">
          <cell r="B49" t="str">
            <v>Kitchener-Wilmot Hydro Inc.</v>
          </cell>
        </row>
        <row r="50">
          <cell r="B50" t="str">
            <v>Lakefront Utilities Inc.</v>
          </cell>
        </row>
        <row r="51">
          <cell r="B51" t="str">
            <v>Lakeland Power Distribution Ltd.</v>
          </cell>
        </row>
        <row r="52">
          <cell r="B52" t="str">
            <v>London Hydro Inc.</v>
          </cell>
        </row>
        <row r="53">
          <cell r="B53" t="str">
            <v>Middlesex Power Distribution Corporation</v>
          </cell>
        </row>
        <row r="54">
          <cell r="B54" t="str">
            <v>Midland Power Utility Corporation</v>
          </cell>
        </row>
        <row r="55">
          <cell r="B55" t="str">
            <v>Milton Hydro Distribution Inc.</v>
          </cell>
        </row>
        <row r="56">
          <cell r="B56" t="str">
            <v>Newmarket - Tay Power Distribution Ltd.</v>
          </cell>
        </row>
        <row r="57">
          <cell r="B57" t="str">
            <v>Niagara Peninsula Energy Inc.</v>
          </cell>
        </row>
        <row r="58">
          <cell r="B58" t="str">
            <v>Niagara-on-the-Lake Hydro Inc.</v>
          </cell>
        </row>
        <row r="59">
          <cell r="B59" t="str">
            <v>Norfolk Power Distribution Inc.</v>
          </cell>
        </row>
        <row r="60">
          <cell r="B60" t="str">
            <v>North Bay Hydro Distribution Limited</v>
          </cell>
        </row>
        <row r="61">
          <cell r="B61" t="str">
            <v>Northern Ontario Wires Inc.</v>
          </cell>
        </row>
        <row r="62">
          <cell r="B62" t="str">
            <v>Oakville Hydro Electricity Distribution Inc.</v>
          </cell>
        </row>
        <row r="63">
          <cell r="B63" t="str">
            <v>Orangeville Hydro Limited</v>
          </cell>
        </row>
        <row r="64">
          <cell r="B64" t="str">
            <v>Orillia Power Distribution Corporation</v>
          </cell>
        </row>
        <row r="65">
          <cell r="B65" t="str">
            <v>Oshawa PUC Networks Inc.</v>
          </cell>
        </row>
        <row r="66">
          <cell r="B66" t="str">
            <v>Ottawa River Power Corporation</v>
          </cell>
        </row>
        <row r="67">
          <cell r="B67" t="str">
            <v>PUC Distribution Inc.</v>
          </cell>
        </row>
        <row r="68">
          <cell r="B68" t="str">
            <v>Parry Sound Power Corporation</v>
          </cell>
        </row>
        <row r="69">
          <cell r="B69" t="str">
            <v>Peterborough Distribution Incorporated</v>
          </cell>
        </row>
        <row r="70">
          <cell r="B70" t="str">
            <v>Port Colborne Hydro Inc.</v>
          </cell>
        </row>
        <row r="71">
          <cell r="B71" t="str">
            <v>PowerStream Inc.</v>
          </cell>
        </row>
        <row r="72">
          <cell r="B72" t="str">
            <v>Renfrew Hydro Inc.</v>
          </cell>
        </row>
        <row r="73">
          <cell r="B73" t="str">
            <v>Rideau St. Lawrence Distribution Inc.</v>
          </cell>
        </row>
        <row r="74">
          <cell r="B74" t="str">
            <v>Sioux Lookout Hydro Inc.</v>
          </cell>
        </row>
        <row r="75">
          <cell r="B75" t="str">
            <v>St. Thomas Energy Inc.</v>
          </cell>
        </row>
        <row r="76">
          <cell r="B76" t="str">
            <v>Thunder Bay Hydro Electricity Distribution Inc.</v>
          </cell>
        </row>
        <row r="77">
          <cell r="B77" t="str">
            <v>Tillsonburg Hydro Inc.</v>
          </cell>
        </row>
        <row r="78">
          <cell r="B78" t="str">
            <v>Toronto Hydro-Electric System Limited</v>
          </cell>
        </row>
        <row r="79">
          <cell r="B79" t="str">
            <v>Veridian Connections Inc.</v>
          </cell>
        </row>
        <row r="80">
          <cell r="B80" t="str">
            <v>Wasaga Distribution Inc.</v>
          </cell>
        </row>
        <row r="81">
          <cell r="B81" t="str">
            <v>Waterloo North Hydro Inc.</v>
          </cell>
        </row>
        <row r="82">
          <cell r="B82" t="str">
            <v>Welland Hydro-Electric System Corp.</v>
          </cell>
        </row>
        <row r="83">
          <cell r="B83" t="str">
            <v>Wellington North Power Inc.</v>
          </cell>
        </row>
        <row r="84">
          <cell r="B84" t="str">
            <v>West Coast Huron Energy Inc.</v>
          </cell>
        </row>
        <row r="85">
          <cell r="B85" t="str">
            <v>West Perth Power Inc.</v>
          </cell>
        </row>
        <row r="86">
          <cell r="B86" t="str">
            <v>Westario Power Inc.</v>
          </cell>
        </row>
        <row r="87">
          <cell r="B87" t="str">
            <v>Whitby Hydro Electric Corporation</v>
          </cell>
        </row>
        <row r="88">
          <cell r="B88" t="str">
            <v>Woodstock Hydro Services Inc.</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rying Charges 2014"/>
      <sheetName val="Carrying Charges 2013"/>
      <sheetName val="Carrying Charges 2012"/>
      <sheetName val="Carrying Charges 2011"/>
      <sheetName val="2011-14 LRAMVA Summary"/>
      <sheetName val="Ch. 2 App 2-I 2016 COS"/>
      <sheetName val="KH MW Persistence Table"/>
      <sheetName val="KH MW Savings Pivot"/>
      <sheetName val="KH MWh Persistence Table"/>
      <sheetName val="KH MWh Savings Pivot"/>
      <sheetName val="Allocation to Rate Classes"/>
      <sheetName val="CDM kWh by Rate Class 2009-15"/>
      <sheetName val="KH 2011-2014 Rates"/>
      <sheetName val="2015-2020 LRAMVA Projections"/>
      <sheetName val="Kingston Hydro - Summary"/>
      <sheetName val="Kingston Hydro - Results (Net)"/>
      <sheetName val="Kingston Hydro - NTGs"/>
      <sheetName val="2006-10 KH Net MW MWh"/>
      <sheetName val="KH 2015-2020 CDM Plan Milestone"/>
      <sheetName val="2015-20 Measure Savings Results"/>
      <sheetName val="2015-20 Measures-CE Results"/>
    </sheetNames>
    <sheetDataSet>
      <sheetData sheetId="0"/>
      <sheetData sheetId="1"/>
      <sheetData sheetId="2"/>
      <sheetData sheetId="3"/>
      <sheetData sheetId="4">
        <row r="26">
          <cell r="O26">
            <v>8478.6597155280033</v>
          </cell>
        </row>
        <row r="36">
          <cell r="O36">
            <v>29267.53192465306</v>
          </cell>
        </row>
        <row r="46">
          <cell r="O46">
            <v>58724.370076271647</v>
          </cell>
        </row>
        <row r="56">
          <cell r="O56">
            <v>89789.778344181876</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H MW Persistence Table"/>
      <sheetName val="KH MW Savings Pivot"/>
      <sheetName val="KH MWh Persistence Table"/>
      <sheetName val="KH MWh Savings Pivot"/>
      <sheetName val="Allocation to Rate Classes"/>
      <sheetName val="CDM kWh by Rate Class 2009-15"/>
      <sheetName val="KH 2011-2014 Rates"/>
      <sheetName val="2011-14 LRAMVA Summary"/>
      <sheetName val="Carrying Charges 2011"/>
      <sheetName val="Carrying Charges 2012"/>
      <sheetName val="Carrying Charges 2013"/>
      <sheetName val="Carrying Charges 2014"/>
      <sheetName val="KH LRAMVA Account"/>
      <sheetName val="2015-2020 LRAMVA Projections"/>
      <sheetName val="Kingston Hydro - Summary"/>
      <sheetName val="Kingston Hydro - Results (Net)"/>
      <sheetName val="Kingston Hydro - NTGs"/>
      <sheetName val="KH 2015-2020 CDM Plan Milestone"/>
      <sheetName val="2015-20 Measure Savings Results"/>
      <sheetName val="2015-20 Measures-CE Result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1">
          <cell r="O21">
            <v>3628.453061611805</v>
          </cell>
        </row>
        <row r="22">
          <cell r="O22">
            <v>3359.5600412636568</v>
          </cell>
        </row>
        <row r="23">
          <cell r="O23">
            <v>778.71451631015952</v>
          </cell>
        </row>
        <row r="24">
          <cell r="O24">
            <v>711.93209634238144</v>
          </cell>
        </row>
        <row r="31">
          <cell r="O31">
            <v>10245.449772819022</v>
          </cell>
        </row>
        <row r="32">
          <cell r="O32">
            <v>13196.752886885697</v>
          </cell>
        </row>
        <row r="33">
          <cell r="O33">
            <v>3756.7116687661955</v>
          </cell>
        </row>
        <row r="34">
          <cell r="O34">
            <v>1903.7527739103657</v>
          </cell>
        </row>
        <row r="35">
          <cell r="O35">
            <v>164.86482227178084</v>
          </cell>
        </row>
        <row r="41">
          <cell r="O41">
            <v>16587.208978034352</v>
          </cell>
        </row>
        <row r="42">
          <cell r="O42">
            <v>21807.448249760713</v>
          </cell>
        </row>
        <row r="43">
          <cell r="O43">
            <v>7076.1967916669782</v>
          </cell>
        </row>
        <row r="44">
          <cell r="O44">
            <v>2384.8531755558733</v>
          </cell>
        </row>
        <row r="45">
          <cell r="O45">
            <v>10868.662881253727</v>
          </cell>
        </row>
        <row r="51">
          <cell r="O51">
            <v>28324.208711180094</v>
          </cell>
        </row>
        <row r="52">
          <cell r="O52">
            <v>27706.116800971846</v>
          </cell>
        </row>
        <row r="53">
          <cell r="O53">
            <v>9613.333904828407</v>
          </cell>
        </row>
        <row r="54">
          <cell r="O54">
            <v>2440.5038172467366</v>
          </cell>
        </row>
        <row r="55">
          <cell r="O55">
            <v>21705.615109954801</v>
          </cell>
        </row>
      </sheetData>
      <sheetData sheetId="8">
        <row r="6">
          <cell r="M6">
            <v>8478.6597155280033</v>
          </cell>
        </row>
        <row r="12">
          <cell r="M12">
            <v>62.830352872767506</v>
          </cell>
        </row>
        <row r="15">
          <cell r="M15">
            <v>3628.453061611805</v>
          </cell>
        </row>
        <row r="17">
          <cell r="M17">
            <v>26.88832833163729</v>
          </cell>
        </row>
        <row r="18">
          <cell r="M18">
            <v>3359.5600412636568</v>
          </cell>
        </row>
        <row r="20">
          <cell r="M20">
            <v>24.895720546876543</v>
          </cell>
        </row>
        <row r="21">
          <cell r="M21">
            <v>778.71451631015952</v>
          </cell>
        </row>
        <row r="23">
          <cell r="M23">
            <v>5.7705945855225194</v>
          </cell>
        </row>
        <row r="24">
          <cell r="M24">
            <v>711.93209634238144</v>
          </cell>
        </row>
        <row r="26">
          <cell r="M26">
            <v>5.27570940873116</v>
          </cell>
        </row>
      </sheetData>
      <sheetData sheetId="9">
        <row r="3">
          <cell r="B3">
            <v>31</v>
          </cell>
          <cell r="C3">
            <v>28</v>
          </cell>
          <cell r="D3">
            <v>31</v>
          </cell>
          <cell r="E3">
            <v>30</v>
          </cell>
          <cell r="F3">
            <v>31</v>
          </cell>
          <cell r="G3">
            <v>30</v>
          </cell>
          <cell r="H3">
            <v>31</v>
          </cell>
          <cell r="I3">
            <v>31</v>
          </cell>
          <cell r="J3">
            <v>30</v>
          </cell>
          <cell r="K3">
            <v>31</v>
          </cell>
          <cell r="L3">
            <v>30</v>
          </cell>
          <cell r="M3">
            <v>31</v>
          </cell>
        </row>
        <row r="4">
          <cell r="B4">
            <v>1.47E-2</v>
          </cell>
          <cell r="C4">
            <v>1.47E-2</v>
          </cell>
          <cell r="D4">
            <v>1.47E-2</v>
          </cell>
          <cell r="E4">
            <v>1.47E-2</v>
          </cell>
          <cell r="F4">
            <v>1.47E-2</v>
          </cell>
          <cell r="G4">
            <v>1.47E-2</v>
          </cell>
          <cell r="H4">
            <v>1.47E-2</v>
          </cell>
          <cell r="I4">
            <v>1.47E-2</v>
          </cell>
          <cell r="J4">
            <v>1.47E-2</v>
          </cell>
          <cell r="K4">
            <v>1.47E-2</v>
          </cell>
          <cell r="L4">
            <v>1.47E-2</v>
          </cell>
          <cell r="M4">
            <v>1.47E-2</v>
          </cell>
        </row>
        <row r="9">
          <cell r="M9">
            <v>37746.191640181059</v>
          </cell>
        </row>
        <row r="13">
          <cell r="M13">
            <v>404.35109000555406</v>
          </cell>
        </row>
        <row r="18">
          <cell r="M18">
            <v>13873.902834430826</v>
          </cell>
        </row>
        <row r="20">
          <cell r="M20">
            <v>156.14958161273051</v>
          </cell>
        </row>
        <row r="21">
          <cell r="M21">
            <v>16556.312928149353</v>
          </cell>
        </row>
        <row r="22">
          <cell r="B22">
            <v>4.1943877008324613</v>
          </cell>
        </row>
        <row r="23">
          <cell r="M23">
            <v>172.07461536837954</v>
          </cell>
        </row>
        <row r="24">
          <cell r="M24">
            <v>4535.4261850763551</v>
          </cell>
        </row>
        <row r="25">
          <cell r="B25">
            <v>0.9722197399521636</v>
          </cell>
        </row>
        <row r="26">
          <cell r="M26">
            <v>45.056475294949834</v>
          </cell>
        </row>
        <row r="27">
          <cell r="M27">
            <v>2615.6848702527473</v>
          </cell>
        </row>
        <row r="29">
          <cell r="M29">
            <v>29.848701643793635</v>
          </cell>
        </row>
        <row r="30">
          <cell r="M30">
            <v>164.86482227178084</v>
          </cell>
        </row>
        <row r="32">
          <cell r="M32">
            <v>1.2217160857005831</v>
          </cell>
        </row>
      </sheetData>
      <sheetData sheetId="10">
        <row r="3">
          <cell r="B3">
            <v>31</v>
          </cell>
        </row>
        <row r="4">
          <cell r="B4">
            <v>1.47E-2</v>
          </cell>
        </row>
        <row r="10">
          <cell r="M10">
            <v>96470.561716452707</v>
          </cell>
        </row>
        <row r="14">
          <cell r="M14">
            <v>1394.3918226841595</v>
          </cell>
        </row>
        <row r="18">
          <cell r="M18">
            <v>30461.111812465177</v>
          </cell>
        </row>
        <row r="20">
          <cell r="M20">
            <v>483.01398846732206</v>
          </cell>
        </row>
        <row r="21">
          <cell r="M21">
            <v>38363.76117791007</v>
          </cell>
        </row>
        <row r="23">
          <cell r="M23">
            <v>577.05456890793619</v>
          </cell>
        </row>
        <row r="24">
          <cell r="M24">
            <v>11611.622976743332</v>
          </cell>
        </row>
        <row r="26">
          <cell r="M26">
            <v>164.16476646790332</v>
          </cell>
        </row>
        <row r="27">
          <cell r="M27">
            <v>5000.5380458086202</v>
          </cell>
        </row>
        <row r="29">
          <cell r="M29">
            <v>85.972011344025546</v>
          </cell>
        </row>
        <row r="30">
          <cell r="M30">
            <v>11033.527703525508</v>
          </cell>
        </row>
        <row r="32">
          <cell r="M32">
            <v>84.186487496972688</v>
          </cell>
        </row>
      </sheetData>
      <sheetData sheetId="11">
        <row r="3">
          <cell r="B3">
            <v>31</v>
          </cell>
        </row>
        <row r="4">
          <cell r="B4">
            <v>1.47E-2</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General Information"/>
      <sheetName val="B. LDC Authorization"/>
      <sheetName val="C. CDM Plan Summary"/>
      <sheetName val="D. CDM Plan Milestone LDC 1"/>
      <sheetName val="D. CDM Plan Milestone LDC 2"/>
      <sheetName val="D. CDM Plan Milestone LDC 3"/>
      <sheetName val="D. CDM Plan Milestone LDC 4"/>
      <sheetName val="D. CDM Plan Milestone LDC 5"/>
      <sheetName val="D. CDM Plan Milestone LDC 6"/>
      <sheetName val="D.CDM Plan Milestone LDC 7"/>
      <sheetName val="D. CDM Plan Milestone LDC 8"/>
      <sheetName val="D. CDM Plan Milestone LDC 9"/>
      <sheetName val="D. CDM Plan Milestone LDC 10"/>
      <sheetName val="E.  Proposed Program&amp;Pilots"/>
      <sheetName val="F. Detailed Information"/>
      <sheetName val="G. Additional Documentation"/>
      <sheetName val="Dropdown Lists"/>
      <sheetName val="Sheet1"/>
      <sheetName val="Summary of Version Changes"/>
    </sheetNames>
    <sheetDataSet>
      <sheetData sheetId="0">
        <row r="13">
          <cell r="C13" t="str">
            <v>Kingston Hydro Corporation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Steve" refreshedDate="42269.95706724537" createdVersion="4" refreshedVersion="5" minRefreshableVersion="3" recordCount="136">
  <cacheSource type="worksheet">
    <worksheetSource ref="A1:AL137" sheet="KH MW Persistence Table"/>
  </cacheSource>
  <cacheFields count="38">
    <cacheField name="Portfolio" numFmtId="0">
      <sharedItems containsMixedTypes="1" containsNumber="1" containsInteger="1" minValue="1" maxValue="65"/>
    </cacheField>
    <cacheField name="Program" numFmtId="0">
      <sharedItems/>
    </cacheField>
    <cacheField name="Initiative" numFmtId="0">
      <sharedItems/>
    </cacheField>
    <cacheField name="LDC" numFmtId="0">
      <sharedItems/>
    </cacheField>
    <cacheField name="Conservation Resource Type " numFmtId="0">
      <sharedItems containsBlank="1"/>
    </cacheField>
    <cacheField name="(Implementation) Year" numFmtId="0">
      <sharedItems containsMixedTypes="1" containsNumber="1" containsInteger="1" minValue="2006" maxValue="2014" count="10">
        <n v="2006"/>
        <n v="2007"/>
        <n v="2008"/>
        <n v="2009"/>
        <n v="2010"/>
        <n v="2011"/>
        <n v="2012"/>
        <n v="2013"/>
        <n v="2014"/>
        <s v="2015- 2020"/>
      </sharedItems>
    </cacheField>
    <cacheField name="Rate Class" numFmtId="0">
      <sharedItems containsBlank="1" count="27">
        <s v="Residential"/>
        <s v="GS Greater Than 50kW"/>
        <s v="n/a"/>
        <s v="GS Less Than 50kW"/>
        <s v="DI 2011"/>
        <s v="RF 2011"/>
        <s v="AU 2011"/>
        <s v="Large User"/>
        <s v="DI 2012"/>
        <s v="RF 2012"/>
        <s v="AU 2012"/>
        <s v="HP 2012"/>
        <s v="Large User - No Rate Impact"/>
        <s v="AU 2013"/>
        <s v="HP 2013"/>
        <s v="RF 2013"/>
        <s v="DI 2013"/>
        <s v="AU 2014"/>
        <s v="HP 2014"/>
        <s v="RF 2014"/>
        <s v="DI 2014"/>
        <s v="RF 2015-20"/>
        <s v="DI 2015-20"/>
        <s v="HP 2015-20"/>
        <s v="AU 2015-20"/>
        <m u="1"/>
        <s v="GS&gt;50kW" u="1"/>
      </sharedItems>
    </cacheField>
    <cacheField name="2006" numFmtId="0">
      <sharedItems containsString="0" containsBlank="1" containsNumber="1" minValue="0" maxValue="1.8056307353830989"/>
    </cacheField>
    <cacheField name="2007" numFmtId="0">
      <sharedItems containsString="0" containsBlank="1" containsNumber="1" minValue="0" maxValue="1.9100236982573271"/>
    </cacheField>
    <cacheField name="2008" numFmtId="0">
      <sharedItems containsString="0" containsBlank="1" containsNumber="1" minValue="0" maxValue="2.9071771689317281"/>
    </cacheField>
    <cacheField name="2009" numFmtId="0">
      <sharedItems containsString="0" containsBlank="1" containsNumber="1" minValue="0" maxValue="1.1957688458910378"/>
    </cacheField>
    <cacheField name="2010" numFmtId="0">
      <sharedItems containsString="0" containsBlank="1" containsNumber="1" minValue="0" maxValue="1.67746830163979"/>
    </cacheField>
    <cacheField name="2011" numFmtId="0">
      <sharedItems containsBlank="1" containsMixedTypes="1" containsNumber="1" minValue="-2.3685847270150318E-2" maxValue="4.0183739999999997"/>
    </cacheField>
    <cacheField name="2012" numFmtId="0">
      <sharedItems containsBlank="1" containsMixedTypes="1" containsNumber="1" minValue="-2.3685847270150318E-2" maxValue="4.0302177390000002"/>
    </cacheField>
    <cacheField name="2013" numFmtId="0">
      <sharedItems containsString="0" containsBlank="1" containsNumber="1" minValue="-2.3685847270150318E-2" maxValue="3.8944540000000001"/>
    </cacheField>
    <cacheField name="2014" numFmtId="0">
      <sharedItems containsBlank="1" containsMixedTypes="1" containsNumber="1" minValue="-2.3685847270150318E-2" maxValue="0.50824574030219083"/>
    </cacheField>
    <cacheField name="2015" numFmtId="0">
      <sharedItems containsBlank="1" containsMixedTypes="1" containsNumber="1" minValue="-2.3685847270150318E-2" maxValue="0.46978124666636023"/>
    </cacheField>
    <cacheField name="2016" numFmtId="0">
      <sharedItems containsBlank="1" containsMixedTypes="1" containsNumber="1" minValue="-2.3685847270150318E-2" maxValue="0.95046664476836518"/>
    </cacheField>
    <cacheField name="2017" numFmtId="0">
      <sharedItems containsBlank="1" containsMixedTypes="1" containsNumber="1" minValue="-2.3685847270150318E-2" maxValue="1.5250063535209557"/>
    </cacheField>
    <cacheField name="2018" numFmtId="0">
      <sharedItems containsBlank="1" containsMixedTypes="1" containsNumber="1" minValue="-2.3685847270150318E-2" maxValue="2.1802734475058538"/>
    </cacheField>
    <cacheField name="2019" numFmtId="0">
      <sharedItems containsBlank="1" containsMixedTypes="1" containsNumber="1" minValue="-2.3685847270150318E-2" maxValue="2.91626792672306"/>
    </cacheField>
    <cacheField name="2020" numFmtId="0">
      <sharedItems containsBlank="1" containsMixedTypes="1" containsNumber="1" minValue="-2.3685847270150318E-2" maxValue="3.732989791172574"/>
    </cacheField>
    <cacheField name="2021" numFmtId="0">
      <sharedItems containsBlank="1" containsMixedTypes="1" containsNumber="1" minValue="-2.3685847270150318E-2" maxValue="3.732989791172574"/>
    </cacheField>
    <cacheField name="2022" numFmtId="0">
      <sharedItems containsBlank="1" containsMixedTypes="1" containsNumber="1" minValue="-2.3685847270150318E-2" maxValue="3.732989791172574"/>
    </cacheField>
    <cacheField name="2023" numFmtId="0">
      <sharedItems containsBlank="1" containsMixedTypes="1" containsNumber="1" minValue="-2.3685847270150318E-2" maxValue="3.732989791172574"/>
    </cacheField>
    <cacheField name="2024" numFmtId="0">
      <sharedItems containsBlank="1" containsMixedTypes="1" containsNumber="1" minValue="-2.3685847270150318E-2" maxValue="3.732989791172574"/>
    </cacheField>
    <cacheField name="2025" numFmtId="0">
      <sharedItems containsBlank="1" containsMixedTypes="1" containsNumber="1" minValue="-2.3685847270150318E-2" maxValue="3.6817899551084823"/>
    </cacheField>
    <cacheField name="2026" numFmtId="0">
      <sharedItems containsBlank="1" containsMixedTypes="1" containsNumber="1" minValue="-2.3685847270150318E-2" maxValue="3.1053631752938946"/>
    </cacheField>
    <cacheField name="2027" numFmtId="0">
      <sharedItems containsBlank="1" containsMixedTypes="1" containsNumber="1" minValue="-2.3685847270150318E-2" maxValue="2.7424335843601928"/>
    </cacheField>
    <cacheField name="2028" numFmtId="0">
      <sharedItems containsBlank="1" containsMixedTypes="1" containsNumber="1" minValue="-2.3685847270150318E-2" maxValue="2.3562174601787427"/>
    </cacheField>
    <cacheField name="2029" numFmtId="0">
      <sharedItems containsBlank="1" containsMixedTypes="1" containsNumber="1" minValue="-2.1446832855818238E-2" maxValue="1.9298016797403545"/>
    </cacheField>
    <cacheField name="2030" numFmtId="0">
      <sharedItems containsBlank="1" containsMixedTypes="1" containsNumber="1" minValue="0" maxValue="1.5997191392159402"/>
    </cacheField>
    <cacheField name="2031" numFmtId="0">
      <sharedItems containsBlank="1" containsMixedTypes="1" containsNumber="1" minValue="0" maxValue="1.3460222940781166"/>
    </cacheField>
    <cacheField name="2032" numFmtId="0">
      <sharedItems containsBlank="1" containsMixedTypes="1" containsNumber="1" minValue="0" maxValue="1.1578732932132343"/>
    </cacheField>
    <cacheField name="2033" numFmtId="0">
      <sharedItems containsBlank="1" containsMixedTypes="1" containsNumber="1" minValue="0" maxValue="1.0204563867199861"/>
    </cacheField>
    <cacheField name="2034" numFmtId="0">
      <sharedItems containsBlank="1" containsMixedTypes="1" containsNumber="1" minValue="0" maxValue="1.0204563867199861"/>
    </cacheField>
    <cacheField name="2035" numFmtId="0">
      <sharedItems containsBlank="1" containsMixedTypes="1" containsNumber="1" minValue="0" maxValue="1.0204563867199861"/>
    </cacheField>
    <cacheField name="2036" numFmtId="0">
      <sharedItems containsBlank="1" containsMixedTypes="1" containsNumber="1" minValue="0" maxValue="0.79368830078221142"/>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Steve" refreshedDate="42269.957068981479" createdVersion="4" refreshedVersion="5" minRefreshableVersion="3" recordCount="136">
  <cacheSource type="worksheet">
    <worksheetSource ref="A1:AS137" sheet="KH MWh Persistence Table"/>
  </cacheSource>
  <cacheFields count="45">
    <cacheField name="Portfolio" numFmtId="0">
      <sharedItems containsMixedTypes="1" containsNumber="1" containsInteger="1" minValue="1" maxValue="65"/>
    </cacheField>
    <cacheField name="Program" numFmtId="0">
      <sharedItems/>
    </cacheField>
    <cacheField name="Initiative" numFmtId="0">
      <sharedItems/>
    </cacheField>
    <cacheField name="LDC" numFmtId="0">
      <sharedItems containsBlank="1"/>
    </cacheField>
    <cacheField name="Sector" numFmtId="0">
      <sharedItems containsBlank="1"/>
    </cacheField>
    <cacheField name="Conservation Resource Type " numFmtId="0">
      <sharedItems containsBlank="1"/>
    </cacheField>
    <cacheField name="(Implementation) Year" numFmtId="0">
      <sharedItems containsMixedTypes="1" containsNumber="1" containsInteger="1" minValue="2006" maxValue="2014" count="10">
        <n v="2006"/>
        <n v="2007"/>
        <n v="2008"/>
        <n v="2009"/>
        <n v="2010"/>
        <n v="2011"/>
        <n v="2012"/>
        <n v="2013"/>
        <n v="2014"/>
        <s v="2015- 2020"/>
      </sharedItems>
    </cacheField>
    <cacheField name="Activity Unit Name" numFmtId="0">
      <sharedItems containsBlank="1"/>
    </cacheField>
    <cacheField name="Rate Class" numFmtId="0">
      <sharedItems containsBlank="1" count="27">
        <s v="Residential"/>
        <s v="GS Greater Than 50kW"/>
        <s v="n/a"/>
        <s v="GS Less Than 50kW"/>
        <s v="Large User - No Rate Impact"/>
        <s v="DI 2011"/>
        <s v="RF 2011"/>
        <s v="AU 2011"/>
        <s v="Large User"/>
        <s v="DI 2012"/>
        <s v="RF 2012"/>
        <s v="AU 2012"/>
        <s v="HP 2012"/>
        <s v="AU 2013"/>
        <s v="HP 2013"/>
        <s v="RF 2013"/>
        <s v="DI 2013"/>
        <s v="AU 2014"/>
        <s v="HP 2014"/>
        <s v="RF 2014"/>
        <s v="DI 2014"/>
        <s v="RF 2015-20"/>
        <s v="DI 2015-20"/>
        <s v="HP 2015-20"/>
        <s v="AU 2015-20"/>
        <m u="1"/>
        <s v="GS&gt;50kW" u="1"/>
      </sharedItems>
    </cacheField>
    <cacheField name="2006" numFmtId="0">
      <sharedItems containsString="0" containsBlank="1" containsNumber="1" minValue="0" maxValue="1779.857419207262"/>
    </cacheField>
    <cacheField name="2007" numFmtId="0">
      <sharedItems containsString="0" containsBlank="1" containsNumber="1" minValue="0" maxValue="1779.857419207262"/>
    </cacheField>
    <cacheField name="2008" numFmtId="0">
      <sharedItems containsString="0" containsBlank="1" containsNumber="1" minValue="0" maxValue="1779.857419207262"/>
    </cacheField>
    <cacheField name="2009" numFmtId="0">
      <sharedItems containsString="0" containsBlank="1" containsNumber="1" minValue="0" maxValue="1779.857419207262"/>
    </cacheField>
    <cacheField name="2010" numFmtId="0">
      <sharedItems containsString="0" containsBlank="1" containsNumber="1" minValue="0" maxValue="1366.6850616468018"/>
    </cacheField>
    <cacheField name="2011" numFmtId="0">
      <sharedItems containsBlank="1" containsMixedTypes="1" containsNumber="1" minValue="-46.099303587569764" maxValue="1921.8350055572723"/>
    </cacheField>
    <cacheField name="2012" numFmtId="0">
      <sharedItems containsBlank="1" containsMixedTypes="1" containsNumber="1" minValue="-46.099303587569764" maxValue="3121.717308429817"/>
    </cacheField>
    <cacheField name="2013" numFmtId="0">
      <sharedItems containsString="0" containsBlank="1" containsNumber="1" minValue="-46.099303587569764" maxValue="5089.5962697838795"/>
    </cacheField>
    <cacheField name="2014" numFmtId="0">
      <sharedItems containsBlank="1" containsMixedTypes="1" containsNumber="1" minValue="-46.099303587569764" maxValue="5089.5962697838795"/>
    </cacheField>
    <cacheField name="2015" numFmtId="0">
      <sharedItems containsMixedTypes="1" containsNumber="1" minValue="-46.099303587569764" maxValue="5089.5962697838795"/>
    </cacheField>
    <cacheField name="2016" numFmtId="0">
      <sharedItems containsMixedTypes="1" containsNumber="1" minValue="-46.099303587569764" maxValue="7554.3715739956679"/>
    </cacheField>
    <cacheField name="2017" numFmtId="0">
      <sharedItems containsMixedTypes="1" containsNumber="1" minValue="-46.099303587569764" maxValue="10194.221861938242"/>
    </cacheField>
    <cacheField name="2018" numFmtId="0">
      <sharedItems containsMixedTypes="1" containsNumber="1" minValue="-46.099303587569764" maxValue="12131.196677887034"/>
    </cacheField>
    <cacheField name="2019" numFmtId="0">
      <sharedItems containsMixedTypes="1" containsNumber="1" minValue="-46.099303587569764" maxValue="16309.040976945511"/>
    </cacheField>
    <cacheField name="2020" numFmtId="0">
      <sharedItems containsMixedTypes="1" containsNumber="1" minValue="-46.099303587569764" maxValue="20939.879288124397"/>
    </cacheField>
    <cacheField name="2021" numFmtId="0">
      <sharedItems containsMixedTypes="1" containsNumber="1" minValue="-46.099303587569764" maxValue="20939.879288124397"/>
    </cacheField>
    <cacheField name="2022" numFmtId="0">
      <sharedItems containsMixedTypes="1" containsNumber="1" minValue="-46.099303587569764" maxValue="20939.879288124397"/>
    </cacheField>
    <cacheField name="2023" numFmtId="0">
      <sharedItems containsMixedTypes="1" containsNumber="1" minValue="-46.099303587569764" maxValue="20939.879288124397"/>
    </cacheField>
    <cacheField name="2024" numFmtId="0">
      <sharedItems containsMixedTypes="1" containsNumber="1" minValue="-46.099303587569764" maxValue="20939.879288124397"/>
    </cacheField>
    <cacheField name="2025" numFmtId="0">
      <sharedItems containsMixedTypes="1" containsNumber="1" minValue="-46.099303587569764" maxValue="20620.998192887884"/>
    </cacheField>
    <cacheField name="2026" numFmtId="0">
      <sharedItems containsMixedTypes="1" containsNumber="1" minValue="-46.099303587569764" maxValue="17304.659444245222"/>
    </cacheField>
    <cacheField name="2027" numFmtId="0">
      <sharedItems containsMixedTypes="1" containsNumber="1" minValue="-46.099303587569764" maxValue="15022.604730635823"/>
    </cacheField>
    <cacheField name="2028" numFmtId="0">
      <sharedItems containsMixedTypes="1" containsNumber="1" minValue="-46.099303587569764" maxValue="12574.138128056848"/>
    </cacheField>
    <cacheField name="2029" numFmtId="0">
      <sharedItems containsMixedTypes="1" containsNumber="1" minValue="-44.100481065259707" maxValue="10194.221861938242"/>
    </cacheField>
    <cacheField name="2030" numFmtId="0">
      <sharedItems containsMixedTypes="1" containsNumber="1" minValue="0" maxValue="10194.221861938242"/>
    </cacheField>
    <cacheField name="2031" numFmtId="0">
      <sharedItems containsMixedTypes="1" containsNumber="1" minValue="0" maxValue="10194.221861938242"/>
    </cacheField>
    <cacheField name="2032" numFmtId="0">
      <sharedItems containsMixedTypes="1" containsNumber="1" minValue="0" maxValue="7554.3715739956679"/>
    </cacheField>
    <cacheField name="2033" numFmtId="0">
      <sharedItems containsMixedTypes="1" containsNumber="1" minValue="0" maxValue="7554.3715739956679"/>
    </cacheField>
    <cacheField name="2034" numFmtId="0">
      <sharedItems containsBlank="1" containsMixedTypes="1" containsNumber="1" minValue="0" maxValue="7554.3715739956679"/>
    </cacheField>
    <cacheField name="2035" numFmtId="0">
      <sharedItems containsBlank="1" containsMixedTypes="1" containsNumber="1" minValue="0" maxValue="7554.3715739956679"/>
    </cacheField>
    <cacheField name="2036" numFmtId="0">
      <sharedItems containsBlank="1" containsMixedTypes="1" containsNumber="1" minValue="0" maxValue="1406.3129387821937"/>
    </cacheField>
    <cacheField name="2037" numFmtId="0">
      <sharedItems containsBlank="1" containsMixedTypes="1" containsNumber="1" minValue="0" maxValue="1004.509241987281"/>
    </cacheField>
    <cacheField name="2038" numFmtId="0">
      <sharedItems containsBlank="1" containsMixedTypes="1" containsNumber="1" minValue="0" maxValue="602.70554519236862"/>
    </cacheField>
    <cacheField name="2039" numFmtId="0">
      <sharedItems containsBlank="1" containsMixedTypes="1" containsNumber="1" minValue="0" maxValue="301.35277259618431"/>
    </cacheField>
    <cacheField name="2040" numFmtId="0">
      <sharedItems containsBlank="1" containsMixedTypes="1" containsNumber="1" minValue="0" maxValue="6.4406369454545507"/>
    </cacheField>
    <cacheField name="2041" numFmtId="0">
      <sharedItems containsString="0" containsBlank="1"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36">
  <r>
    <n v="1"/>
    <s v="Consumer"/>
    <s v="Secondary Refrigerator Retirement Pilot"/>
    <s v="Kingston Hydro Corporation"/>
    <s v="Final"/>
    <x v="0"/>
    <x v="0"/>
    <n v="6.2983662956848426E-3"/>
    <n v="6.2983662956848426E-3"/>
    <n v="6.2983662956848426E-3"/>
    <n v="6.2983662956848426E-3"/>
    <n v="6.2983662956848426E-3"/>
    <n v="6.2983662956848426E-3"/>
    <n v="0"/>
    <n v="0"/>
    <n v="0"/>
    <n v="0"/>
    <n v="0"/>
    <n v="0"/>
    <n v="0"/>
    <n v="0"/>
    <n v="0"/>
    <n v="0"/>
    <n v="0"/>
    <n v="0"/>
    <n v="0"/>
    <n v="0"/>
    <n v="0"/>
    <n v="0"/>
    <n v="0"/>
    <n v="0"/>
    <m/>
    <m/>
    <m/>
    <m/>
    <m/>
    <m/>
    <m/>
  </r>
  <r>
    <n v="2"/>
    <s v="Consumer"/>
    <s v="Cool &amp; Hot Savings Rebate"/>
    <s v="Kingston Hydro Corporation"/>
    <s v="Final"/>
    <x v="0"/>
    <x v="0"/>
    <n v="6.3571070086416395E-2"/>
    <n v="6.3571070086416395E-2"/>
    <n v="6.3571070086416395E-2"/>
    <n v="6.3571070086416395E-2"/>
    <n v="6.3571070086416395E-2"/>
    <n v="6.3571070086416395E-2"/>
    <n v="6.3571070086416395E-2"/>
    <n v="6.3571070086416395E-2"/>
    <n v="4.514648252402656E-2"/>
    <n v="4.514648252402656E-2"/>
    <n v="4.514648252402656E-2"/>
    <n v="4.514648252402656E-2"/>
    <n v="4.514648252402656E-2"/>
    <n v="4.514648252402656E-2"/>
    <n v="1.9486147231609231E-2"/>
    <n v="1.0285373397780484E-2"/>
    <n v="1.0285373397780484E-2"/>
    <n v="1.0285373397780484E-2"/>
    <n v="0"/>
    <n v="0"/>
    <n v="0"/>
    <n v="0"/>
    <n v="0"/>
    <n v="0"/>
    <m/>
    <m/>
    <m/>
    <m/>
    <m/>
    <m/>
    <m/>
  </r>
  <r>
    <n v="3"/>
    <s v="Consumer"/>
    <s v="Every Kilowatt Counts"/>
    <s v="Kingston Hydro Corporation"/>
    <s v="Final"/>
    <x v="0"/>
    <x v="0"/>
    <n v="2.0991743803273958E-2"/>
    <n v="2.0991743803273958E-2"/>
    <n v="2.0991743803273958E-2"/>
    <n v="2.0991743803273958E-2"/>
    <n v="2.0991743803273958E-2"/>
    <n v="2.0991743803273958E-2"/>
    <n v="2.0991743803273958E-2"/>
    <n v="2.0991743803273958E-2"/>
    <n v="2.0991743803273958E-2"/>
    <n v="2.0991743803273958E-2"/>
    <n v="2.0991743803273958E-2"/>
    <n v="2.0991743803273958E-2"/>
    <n v="2.0991743803273958E-2"/>
    <n v="2.0991743803273958E-2"/>
    <n v="2.0991743803273958E-2"/>
    <n v="1.7344569381220296E-2"/>
    <n v="1.7344569381220296E-2"/>
    <n v="1.7344569381220296E-2"/>
    <n v="7.7685709105042593E-4"/>
    <n v="7.7685709105042593E-4"/>
    <n v="0"/>
    <n v="0"/>
    <n v="0"/>
    <n v="0"/>
    <m/>
    <m/>
    <m/>
    <m/>
    <m/>
    <m/>
    <m/>
  </r>
  <r>
    <n v="4"/>
    <s v="Business, Industrial"/>
    <s v="Demand Response 1"/>
    <s v="Kingston Hydro Corporation"/>
    <s v="Final"/>
    <x v="0"/>
    <x v="1"/>
    <n v="1.8056307353830989"/>
    <n v="0"/>
    <n v="0"/>
    <n v="0"/>
    <n v="0"/>
    <n v="0"/>
    <n v="0"/>
    <n v="0"/>
    <n v="0"/>
    <n v="0"/>
    <n v="0"/>
    <n v="0"/>
    <n v="0"/>
    <n v="0"/>
    <n v="0"/>
    <n v="0"/>
    <n v="0"/>
    <n v="0"/>
    <n v="0"/>
    <n v="0"/>
    <n v="0"/>
    <n v="0"/>
    <n v="0"/>
    <n v="0"/>
    <m/>
    <m/>
    <m/>
    <m/>
    <m/>
    <m/>
    <m/>
  </r>
  <r>
    <n v="5"/>
    <s v="Business, Industrial"/>
    <s v="Loblaw &amp; York Region Demand Response"/>
    <s v="Kingston Hydro Corporation"/>
    <s v="Final"/>
    <x v="0"/>
    <x v="1"/>
    <n v="8.837801039149204E-2"/>
    <n v="0"/>
    <n v="0"/>
    <n v="0"/>
    <n v="0"/>
    <n v="0"/>
    <n v="0"/>
    <n v="0"/>
    <n v="0"/>
    <n v="0"/>
    <n v="0"/>
    <n v="0"/>
    <n v="0"/>
    <n v="0"/>
    <n v="0"/>
    <n v="0"/>
    <n v="0"/>
    <n v="0"/>
    <n v="0"/>
    <n v="0"/>
    <n v="0"/>
    <n v="0"/>
    <n v="0"/>
    <n v="0"/>
    <m/>
    <m/>
    <m/>
    <m/>
    <m/>
    <m/>
    <m/>
  </r>
  <r>
    <n v="6"/>
    <s v="Consumer"/>
    <s v="Great Refrigerator Roundup"/>
    <s v="Kingston Hydro Corporation"/>
    <s v="Final"/>
    <x v="1"/>
    <x v="0"/>
    <n v="0"/>
    <n v="7.6386844005982358E-3"/>
    <n v="7.6386844005982358E-3"/>
    <n v="7.6386844005982358E-3"/>
    <n v="7.6386844005982358E-3"/>
    <n v="6.912571631395646E-3"/>
    <n v="6.912571631395646E-3"/>
    <n v="6.912571631395646E-3"/>
    <n v="6.912571631395646E-3"/>
    <n v="5.454304174645117E-3"/>
    <n v="0"/>
    <n v="0"/>
    <n v="0"/>
    <n v="0"/>
    <n v="0"/>
    <n v="0"/>
    <n v="0"/>
    <n v="0"/>
    <n v="0"/>
    <n v="0"/>
    <n v="0"/>
    <n v="0"/>
    <n v="0"/>
    <n v="0"/>
    <m/>
    <m/>
    <m/>
    <m/>
    <m/>
    <m/>
    <m/>
  </r>
  <r>
    <n v="7"/>
    <s v="Consumer"/>
    <s v="Cool &amp; Hot Savings Rebate"/>
    <s v="Kingston Hydro Corporation"/>
    <s v="Final"/>
    <x v="1"/>
    <x v="0"/>
    <n v="0"/>
    <n v="7.8646473081810886E-2"/>
    <n v="7.8646473081810886E-2"/>
    <n v="7.8646473081810886E-2"/>
    <n v="7.8646473081810886E-2"/>
    <n v="7.8646473081810886E-2"/>
    <n v="7.253551237082799E-2"/>
    <n v="7.253551237082799E-2"/>
    <n v="7.253551237082799E-2"/>
    <n v="7.253551237082799E-2"/>
    <n v="7.253551237082799E-2"/>
    <n v="7.253551237082799E-2"/>
    <n v="7.253551237082799E-2"/>
    <n v="7.253551237082799E-2"/>
    <n v="7.253551237082799E-2"/>
    <n v="7.253551237082799E-2"/>
    <n v="1.3464568800130318E-2"/>
    <n v="1.3464568800130318E-2"/>
    <n v="1.3464568800130318E-2"/>
    <n v="0"/>
    <n v="0"/>
    <n v="0"/>
    <n v="0"/>
    <n v="0"/>
    <m/>
    <m/>
    <m/>
    <m/>
    <m/>
    <m/>
    <m/>
  </r>
  <r>
    <n v="8"/>
    <s v="Consumer"/>
    <s v="Every Kilowatt Counts"/>
    <s v="Kingston Hydro Corporation"/>
    <s v="Final"/>
    <x v="1"/>
    <x v="0"/>
    <n v="0"/>
    <n v="2.7360536093088448E-2"/>
    <n v="2.4793259388238696E-2"/>
    <n v="2.4793259388238696E-2"/>
    <n v="2.4793259388238696E-2"/>
    <n v="2.4793259388238696E-2"/>
    <n v="2.4793259388238696E-2"/>
    <n v="2.4793259388238696E-2"/>
    <n v="2.4793259388238696E-2"/>
    <n v="6.0313346606187656E-3"/>
    <n v="6.0313346606187656E-3"/>
    <n v="2.435997398561046E-4"/>
    <n v="2.435997398561046E-4"/>
    <n v="2.435997398561046E-4"/>
    <n v="2.435997398561046E-4"/>
    <n v="2.435997398561046E-4"/>
    <n v="2.435997398561046E-4"/>
    <n v="9.0196762173339932E-5"/>
    <n v="9.0196762173339932E-5"/>
    <n v="0"/>
    <n v="0"/>
    <n v="0"/>
    <n v="0"/>
    <n v="0"/>
    <m/>
    <m/>
    <m/>
    <m/>
    <m/>
    <m/>
    <m/>
  </r>
  <r>
    <n v="9"/>
    <s v="Consumer, Business"/>
    <s v="peaksaver®"/>
    <s v="Kingston Hydro Corporation"/>
    <s v="Final"/>
    <x v="1"/>
    <x v="2"/>
    <n v="0"/>
    <n v="0"/>
    <n v="0"/>
    <n v="0"/>
    <n v="0"/>
    <n v="0"/>
    <n v="0"/>
    <n v="0"/>
    <n v="0"/>
    <n v="0"/>
    <n v="0"/>
    <n v="0"/>
    <n v="0"/>
    <n v="0"/>
    <n v="0"/>
    <n v="0"/>
    <n v="0"/>
    <n v="0"/>
    <n v="0"/>
    <n v="0"/>
    <n v="0"/>
    <n v="0"/>
    <n v="0"/>
    <n v="0"/>
    <m/>
    <m/>
    <m/>
    <m/>
    <m/>
    <m/>
    <m/>
  </r>
  <r>
    <n v="10"/>
    <s v="Consumer"/>
    <s v="Summer Savings"/>
    <s v="Kingston Hydro Corporation"/>
    <s v="Final"/>
    <x v="1"/>
    <x v="0"/>
    <n v="0"/>
    <n v="0.18473848769829265"/>
    <n v="5.5093734332415989E-2"/>
    <n v="2.6526442324912462E-2"/>
    <n v="2.6526442324912462E-2"/>
    <n v="2.6526442324912462E-2"/>
    <n v="2.6526442324912462E-2"/>
    <n v="2.6526442324912462E-2"/>
    <n v="2.6526442324912462E-2"/>
    <n v="2.6287774030029652E-2"/>
    <n v="2.6287774030029652E-2"/>
    <n v="2.6287774030029652E-2"/>
    <n v="2.6287774030029652E-2"/>
    <n v="2.6287774030029652E-2"/>
    <n v="2.6287774030029652E-2"/>
    <n v="0"/>
    <n v="0"/>
    <n v="0"/>
    <n v="0"/>
    <n v="0"/>
    <n v="0"/>
    <n v="0"/>
    <n v="0"/>
    <n v="0"/>
    <m/>
    <m/>
    <m/>
    <m/>
    <m/>
    <m/>
    <m/>
  </r>
  <r>
    <n v="11"/>
    <s v="Consumer"/>
    <s v="Aboriginal"/>
    <s v="Kingston Hydro Corporation"/>
    <s v="Final"/>
    <x v="1"/>
    <x v="2"/>
    <n v="0"/>
    <n v="0"/>
    <n v="0"/>
    <n v="0"/>
    <n v="0"/>
    <n v="0"/>
    <n v="0"/>
    <n v="0"/>
    <n v="0"/>
    <n v="0"/>
    <n v="0"/>
    <n v="0"/>
    <n v="0"/>
    <n v="0"/>
    <n v="0"/>
    <n v="0"/>
    <n v="0"/>
    <n v="0"/>
    <n v="0"/>
    <n v="0"/>
    <n v="0"/>
    <n v="0"/>
    <n v="0"/>
    <n v="0"/>
    <m/>
    <m/>
    <m/>
    <m/>
    <m/>
    <m/>
    <m/>
  </r>
  <r>
    <n v="12"/>
    <s v="Consumer Low-Income"/>
    <s v="Affordable Housing Pilot"/>
    <s v="Kingston Hydro Corporation"/>
    <s v="Final"/>
    <x v="1"/>
    <x v="0"/>
    <n v="0"/>
    <n v="3.7263824999999996E-3"/>
    <n v="3.7263824999999996E-3"/>
    <n v="3.7263824999999996E-3"/>
    <n v="3.7263824999999996E-3"/>
    <n v="3.7263824999999996E-3"/>
    <n v="3.7263824999999996E-3"/>
    <n v="3.7263824999999996E-3"/>
    <n v="3.7263824999999996E-3"/>
    <n v="3.7263824999999996E-3"/>
    <n v="3.7263824999999996E-3"/>
    <n v="3.7263824999999996E-3"/>
    <n v="3.7263824999999996E-3"/>
    <n v="3.7263824999999996E-3"/>
    <n v="3.7263824999999996E-3"/>
    <n v="0"/>
    <n v="0"/>
    <n v="0"/>
    <n v="0"/>
    <n v="0"/>
    <n v="0"/>
    <n v="0"/>
    <n v="0"/>
    <n v="0"/>
    <m/>
    <m/>
    <m/>
    <m/>
    <m/>
    <m/>
    <m/>
  </r>
  <r>
    <n v="13"/>
    <s v="Consumer Low-Income"/>
    <s v="Social Housing Pilot"/>
    <s v="Kingston Hydro Corporation"/>
    <s v="Final"/>
    <x v="1"/>
    <x v="0"/>
    <n v="0"/>
    <n v="7.5553826221084076E-3"/>
    <n v="7.5553826221084076E-3"/>
    <n v="7.5553826221084076E-3"/>
    <n v="7.5553826221084076E-3"/>
    <n v="7.5553826221084076E-3"/>
    <n v="7.5553826221084076E-3"/>
    <n v="7.5553826221084076E-3"/>
    <n v="7.5553826221084076E-3"/>
    <n v="7.5553826221084076E-3"/>
    <n v="7.5553826221084076E-3"/>
    <n v="0"/>
    <n v="0"/>
    <n v="0"/>
    <n v="0"/>
    <n v="0"/>
    <n v="0"/>
    <n v="0"/>
    <n v="0"/>
    <n v="0"/>
    <n v="0"/>
    <n v="0"/>
    <n v="0"/>
    <n v="0"/>
    <m/>
    <m/>
    <m/>
    <m/>
    <m/>
    <m/>
    <m/>
  </r>
  <r>
    <n v="14"/>
    <s v="Consumer Low-Income"/>
    <s v="Energy Efficiency Assistance for Houses Pilot"/>
    <s v="Kingston Hydro Corporation"/>
    <s v="Final"/>
    <x v="1"/>
    <x v="0"/>
    <n v="0"/>
    <n v="2.6126666666666666E-2"/>
    <n v="2.6126666666666666E-2"/>
    <n v="2.6126666666666666E-2"/>
    <n v="2.6126666666666666E-2"/>
    <n v="2.6126666666666666E-2"/>
    <n v="2.6126666666666666E-2"/>
    <n v="2.6126666666666666E-2"/>
    <n v="2.6126666666666666E-2"/>
    <n v="2.6126666666666666E-2"/>
    <n v="2.6126666666666666E-2"/>
    <n v="2.6126666666666666E-2"/>
    <n v="2.6126666666666666E-2"/>
    <n v="2.6126666666666666E-2"/>
    <n v="2.6126666666666666E-2"/>
    <n v="2.6126666666666666E-2"/>
    <n v="2.6126666666666666E-2"/>
    <n v="2.6126666666666666E-2"/>
    <n v="2.6126666666666666E-2"/>
    <n v="2.6126666666666666E-2"/>
    <n v="0"/>
    <n v="0"/>
    <n v="0"/>
    <n v="0"/>
    <m/>
    <m/>
    <m/>
    <m/>
    <m/>
    <m/>
    <m/>
  </r>
  <r>
    <n v="15"/>
    <s v="Business"/>
    <s v="Electricity Retrofit Incentive"/>
    <s v="Kingston Hydro Corporation"/>
    <s v="Final"/>
    <x v="1"/>
    <x v="1"/>
    <n v="0"/>
    <n v="0"/>
    <n v="0"/>
    <n v="0"/>
    <n v="0"/>
    <n v="0"/>
    <n v="0"/>
    <n v="0"/>
    <n v="0"/>
    <n v="0"/>
    <n v="0"/>
    <n v="0"/>
    <n v="0"/>
    <n v="0"/>
    <n v="0"/>
    <n v="0"/>
    <n v="0"/>
    <n v="0"/>
    <n v="0"/>
    <n v="0"/>
    <n v="0"/>
    <n v="0"/>
    <n v="0"/>
    <n v="0"/>
    <m/>
    <m/>
    <m/>
    <m/>
    <m/>
    <m/>
    <m/>
  </r>
  <r>
    <n v="16"/>
    <s v="Business"/>
    <s v="Toronto Comprehensive"/>
    <s v="Kingston Hydro Corporation"/>
    <s v="Final"/>
    <x v="1"/>
    <x v="2"/>
    <n v="0"/>
    <n v="0"/>
    <n v="0"/>
    <n v="0"/>
    <n v="0"/>
    <n v="0"/>
    <n v="0"/>
    <n v="0"/>
    <n v="0"/>
    <n v="0"/>
    <n v="0"/>
    <n v="0"/>
    <n v="0"/>
    <n v="0"/>
    <n v="0"/>
    <n v="0"/>
    <n v="0"/>
    <n v="0"/>
    <n v="0"/>
    <n v="0"/>
    <n v="0"/>
    <n v="0"/>
    <n v="0"/>
    <n v="0"/>
    <m/>
    <m/>
    <m/>
    <m/>
    <m/>
    <m/>
    <m/>
  </r>
  <r>
    <n v="17"/>
    <s v="Business, Industrial"/>
    <s v="Demand Response 1"/>
    <s v="Kingston Hydro Corporation"/>
    <s v="Final"/>
    <x v="1"/>
    <x v="1"/>
    <n v="0"/>
    <n v="1.9100236982573271"/>
    <n v="0"/>
    <n v="0"/>
    <n v="0"/>
    <n v="0"/>
    <n v="0"/>
    <n v="0"/>
    <n v="0"/>
    <n v="0"/>
    <n v="0"/>
    <n v="0"/>
    <n v="0"/>
    <n v="0"/>
    <n v="0"/>
    <n v="0"/>
    <n v="0"/>
    <n v="0"/>
    <n v="0"/>
    <n v="0"/>
    <n v="0"/>
    <n v="0"/>
    <n v="0"/>
    <n v="0"/>
    <m/>
    <m/>
    <m/>
    <m/>
    <m/>
    <m/>
    <m/>
  </r>
  <r>
    <n v="18"/>
    <s v="Business, Industrial"/>
    <s v="Loblaw &amp; York Region Demand Response"/>
    <s v="Kingston Hydro Corporation"/>
    <s v="Final"/>
    <x v="1"/>
    <x v="1"/>
    <n v="0"/>
    <n v="0.15889278599021095"/>
    <n v="0"/>
    <n v="0"/>
    <n v="0"/>
    <n v="0"/>
    <n v="0"/>
    <n v="0"/>
    <n v="0"/>
    <n v="0"/>
    <n v="0"/>
    <n v="0"/>
    <n v="0"/>
    <n v="0"/>
    <n v="0"/>
    <n v="0"/>
    <n v="0"/>
    <n v="0"/>
    <n v="0"/>
    <n v="0"/>
    <n v="0"/>
    <n v="0"/>
    <n v="0"/>
    <n v="0"/>
    <m/>
    <m/>
    <m/>
    <m/>
    <m/>
    <m/>
    <m/>
  </r>
  <r>
    <n v="19"/>
    <s v="Consumer, Business, Industrial"/>
    <s v="Renewable Energy Standard Offer"/>
    <s v="Kingston Hydro Corporation"/>
    <s v="Final"/>
    <x v="1"/>
    <x v="0"/>
    <n v="0"/>
    <n v="2.146E-2"/>
    <n v="2.146E-2"/>
    <n v="2.146E-2"/>
    <n v="2.146E-2"/>
    <n v="2.146E-2"/>
    <n v="2.146E-2"/>
    <n v="2.146E-2"/>
    <n v="2.146E-2"/>
    <n v="2.146E-2"/>
    <n v="2.146E-2"/>
    <n v="2.146E-2"/>
    <n v="2.146E-2"/>
    <n v="2.146E-2"/>
    <n v="2.146E-2"/>
    <n v="2.146E-2"/>
    <n v="2.146E-2"/>
    <n v="2.146E-2"/>
    <n v="2.146E-2"/>
    <n v="2.146E-2"/>
    <n v="2.146E-2"/>
    <n v="0"/>
    <n v="0"/>
    <n v="0"/>
    <m/>
    <m/>
    <m/>
    <m/>
    <m/>
    <m/>
    <m/>
  </r>
  <r>
    <n v="20"/>
    <s v="Consumer"/>
    <s v="Great Refrigerator Roundup"/>
    <s v="Kingston Hydro Corporation"/>
    <s v="Final"/>
    <x v="2"/>
    <x v="0"/>
    <n v="0"/>
    <n v="0"/>
    <n v="1.2514288895960003E-2"/>
    <n v="1.2514288895960003E-2"/>
    <n v="1.2514288895960003E-2"/>
    <n v="1.2514288895960003E-2"/>
    <n v="1.1941168895960003E-2"/>
    <n v="1.1941168895960003E-2"/>
    <n v="1.1941168895960003E-2"/>
    <n v="1.1941168895960003E-2"/>
    <n v="9.2565183699999994E-3"/>
    <n v="0"/>
    <n v="0"/>
    <n v="0"/>
    <n v="0"/>
    <n v="0"/>
    <n v="0"/>
    <n v="0"/>
    <n v="0"/>
    <n v="0"/>
    <n v="0"/>
    <n v="0"/>
    <n v="0"/>
    <n v="0"/>
    <m/>
    <m/>
    <m/>
    <m/>
    <m/>
    <m/>
    <m/>
  </r>
  <r>
    <n v="21"/>
    <s v="Consumer"/>
    <s v="Cool Savings Rebate"/>
    <s v="Kingston Hydro Corporation"/>
    <s v="Final"/>
    <x v="2"/>
    <x v="0"/>
    <n v="0"/>
    <n v="0"/>
    <n v="7.3226482662845205E-2"/>
    <n v="7.3226482662845205E-2"/>
    <n v="7.3226482662845205E-2"/>
    <n v="7.3226482662845205E-2"/>
    <n v="7.3226482662845205E-2"/>
    <n v="7.3226482662845205E-2"/>
    <n v="7.3226482662845205E-2"/>
    <n v="7.3226482662845205E-2"/>
    <n v="7.3226482662845205E-2"/>
    <n v="7.3226482662845205E-2"/>
    <n v="7.3226482662845205E-2"/>
    <n v="7.3226482662845205E-2"/>
    <n v="7.3226482662845205E-2"/>
    <n v="7.3226482662845205E-2"/>
    <n v="7.3226482662845205E-2"/>
    <n v="5.9382090709696744E-2"/>
    <n v="5.9382090709696744E-2"/>
    <n v="5.9382090709696744E-2"/>
    <n v="0"/>
    <n v="0"/>
    <n v="0"/>
    <n v="0"/>
    <m/>
    <m/>
    <m/>
    <m/>
    <m/>
    <m/>
    <m/>
  </r>
  <r>
    <n v="22"/>
    <s v="Consumer"/>
    <s v="Every Kilowatt Counts Power Savings Event"/>
    <s v="Kingston Hydro Corporation"/>
    <s v="Final"/>
    <x v="2"/>
    <x v="0"/>
    <n v="0"/>
    <n v="0"/>
    <n v="3.2001137256771957E-2"/>
    <n v="3.0579226462291307E-2"/>
    <n v="3.0579226462291307E-2"/>
    <n v="3.0579226462291307E-2"/>
    <n v="2.7794435564226144E-2"/>
    <n v="2.7794435564226144E-2"/>
    <n v="2.1380143290994958E-2"/>
    <n v="1.9213691127003774E-2"/>
    <n v="1.4081555003652657E-2"/>
    <n v="1.1359573148502024E-2"/>
    <n v="1.0012830430589256E-2"/>
    <n v="1.0012830430589256E-2"/>
    <n v="4.9017613883593171E-3"/>
    <n v="4.9017613883593171E-3"/>
    <n v="4.9017613883593171E-3"/>
    <n v="4.9017613883593171E-3"/>
    <n v="0"/>
    <n v="0"/>
    <n v="0"/>
    <n v="0"/>
    <n v="0"/>
    <n v="0"/>
    <m/>
    <m/>
    <m/>
    <m/>
    <m/>
    <m/>
    <m/>
  </r>
  <r>
    <n v="23"/>
    <s v="Consumer, Business"/>
    <s v="peaksaver®"/>
    <s v="Kingston Hydro Corporation"/>
    <s v="Final"/>
    <x v="2"/>
    <x v="2"/>
    <n v="0"/>
    <n v="0"/>
    <n v="0"/>
    <n v="0"/>
    <n v="0"/>
    <n v="0"/>
    <n v="0"/>
    <n v="0"/>
    <n v="0"/>
    <n v="0"/>
    <n v="0"/>
    <n v="0"/>
    <n v="0"/>
    <n v="0"/>
    <n v="0"/>
    <n v="0"/>
    <n v="0"/>
    <n v="0"/>
    <n v="0"/>
    <n v="0"/>
    <n v="0"/>
    <n v="0"/>
    <n v="0"/>
    <n v="0"/>
    <m/>
    <m/>
    <m/>
    <m/>
    <m/>
    <m/>
    <m/>
  </r>
  <r>
    <n v="24"/>
    <s v="Consumer"/>
    <s v="Summer Sweepstakes"/>
    <s v="Kingston Hydro Corporation"/>
    <s v="Final"/>
    <x v="2"/>
    <x v="0"/>
    <n v="0"/>
    <n v="0"/>
    <n v="6.6546992181266945E-2"/>
    <n v="3.8161664120042189E-2"/>
    <n v="3.8161664120042189E-2"/>
    <n v="3.8161664120042189E-2"/>
    <n v="3.8161664120042189E-2"/>
    <n v="3.8161664120042189E-2"/>
    <n v="3.8161664120042189E-2"/>
    <n v="3.8161664120042189E-2"/>
    <n v="3.6833533179924688E-2"/>
    <n v="3.6833533179924688E-2"/>
    <n v="3.6443636323965113E-2"/>
    <n v="3.6443636323965113E-2"/>
    <n v="3.6443636323965113E-2"/>
    <n v="3.5980238530188807E-2"/>
    <n v="3.580621443590911E-2"/>
    <n v="3.4039082115023371E-2"/>
    <n v="3.4039082115023371E-2"/>
    <n v="3.4039082115023371E-2"/>
    <n v="3.4039082115023371E-2"/>
    <n v="3.4039082115023371E-2"/>
    <n v="0"/>
    <n v="0"/>
    <m/>
    <m/>
    <m/>
    <m/>
    <m/>
    <m/>
    <m/>
  </r>
  <r>
    <n v="25"/>
    <s v="Consumer, Business"/>
    <s v="Electricity Retrofit Incentive"/>
    <s v="Kingston Hydro Corporation"/>
    <s v="Final"/>
    <x v="2"/>
    <x v="1"/>
    <n v="0"/>
    <n v="0"/>
    <n v="0.17699903062552166"/>
    <n v="0.17700302476915533"/>
    <n v="0.17700302476915533"/>
    <n v="0.17700302476915533"/>
    <n v="0.17700302476915533"/>
    <n v="0.17700302476915533"/>
    <n v="0.17700302476915533"/>
    <n v="0.17700302476915533"/>
    <n v="0.17436836293101649"/>
    <n v="0.17436836293101649"/>
    <n v="0.17436836293101649"/>
    <n v="0.17436836293101649"/>
    <n v="0.17436836293101649"/>
    <n v="0.17436836293101649"/>
    <n v="0.17436836293101649"/>
    <n v="0.16913731204308596"/>
    <n v="0"/>
    <n v="0"/>
    <n v="0"/>
    <n v="0"/>
    <n v="0"/>
    <n v="0"/>
    <m/>
    <m/>
    <m/>
    <m/>
    <m/>
    <m/>
    <m/>
  </r>
  <r>
    <n v="26"/>
    <s v="Consumer, Consumer Low-Income, Business"/>
    <s v="Toronto Comprehensive"/>
    <s v="Kingston Hydro Corporation"/>
    <s v="Final"/>
    <x v="2"/>
    <x v="2"/>
    <n v="0"/>
    <n v="0"/>
    <n v="0"/>
    <n v="0"/>
    <n v="0"/>
    <n v="0"/>
    <n v="0"/>
    <n v="0"/>
    <n v="0"/>
    <n v="0"/>
    <n v="0"/>
    <n v="0"/>
    <n v="0"/>
    <n v="0"/>
    <n v="0"/>
    <n v="0"/>
    <n v="0"/>
    <n v="0"/>
    <n v="0"/>
    <n v="0"/>
    <n v="0"/>
    <n v="0"/>
    <n v="0"/>
    <n v="0"/>
    <m/>
    <m/>
    <m/>
    <m/>
    <m/>
    <m/>
    <m/>
  </r>
  <r>
    <n v="27"/>
    <s v="Business"/>
    <s v="High Performance New Construction"/>
    <s v="Kingston Hydro Corporation"/>
    <s v="Final"/>
    <x v="2"/>
    <x v="1"/>
    <n v="0"/>
    <n v="0"/>
    <n v="2.2487549480987089E-3"/>
    <n v="2.2487549480987089E-3"/>
    <n v="2.2487549480987089E-3"/>
    <n v="2.2487549480987089E-3"/>
    <n v="2.2487549480987089E-3"/>
    <n v="2.2487549480987089E-3"/>
    <n v="2.2487549480987089E-3"/>
    <n v="2.2487549480987089E-3"/>
    <n v="2.2487549480987089E-3"/>
    <n v="2.2487549480987089E-3"/>
    <n v="2.2487549480987089E-3"/>
    <n v="2.2487549480987089E-3"/>
    <n v="2.2487549480987089E-3"/>
    <n v="2.2487549480987089E-3"/>
    <n v="0"/>
    <n v="0"/>
    <n v="0"/>
    <n v="0"/>
    <n v="0"/>
    <n v="0"/>
    <n v="0"/>
    <n v="0"/>
    <m/>
    <m/>
    <m/>
    <m/>
    <m/>
    <m/>
    <m/>
  </r>
  <r>
    <n v="28"/>
    <s v="Business"/>
    <s v="Power Savings Blitz"/>
    <s v="Kingston Hydro Corporation"/>
    <s v="Final"/>
    <x v="2"/>
    <x v="3"/>
    <n v="0"/>
    <n v="0"/>
    <n v="0"/>
    <n v="0"/>
    <n v="0"/>
    <n v="0"/>
    <n v="0"/>
    <n v="0"/>
    <n v="0"/>
    <n v="0"/>
    <n v="0"/>
    <n v="0"/>
    <n v="0"/>
    <n v="0"/>
    <n v="0"/>
    <n v="0"/>
    <n v="0"/>
    <n v="0"/>
    <n v="0"/>
    <n v="0"/>
    <n v="0"/>
    <n v="0"/>
    <n v="0"/>
    <n v="0"/>
    <m/>
    <m/>
    <m/>
    <m/>
    <m/>
    <m/>
    <m/>
  </r>
  <r>
    <n v="29"/>
    <s v="Business, Industrial"/>
    <s v="Demand Response 1"/>
    <s v="Kingston Hydro Corporation"/>
    <s v="Final"/>
    <x v="2"/>
    <x v="1"/>
    <n v="0"/>
    <n v="0"/>
    <n v="2.9071771689317281"/>
    <n v="0"/>
    <n v="0"/>
    <n v="0"/>
    <n v="0"/>
    <n v="0"/>
    <n v="0"/>
    <n v="0"/>
    <n v="0"/>
    <n v="0"/>
    <n v="0"/>
    <n v="0"/>
    <n v="0"/>
    <n v="0"/>
    <n v="0"/>
    <n v="0"/>
    <n v="0"/>
    <n v="0"/>
    <n v="0"/>
    <n v="0"/>
    <n v="0"/>
    <n v="0"/>
    <m/>
    <m/>
    <m/>
    <m/>
    <m/>
    <m/>
    <m/>
  </r>
  <r>
    <n v="30"/>
    <s v="Business, Industrial"/>
    <s v="Demand Response 3"/>
    <s v="Kingston Hydro Corporation"/>
    <s v="Final"/>
    <x v="2"/>
    <x v="1"/>
    <n v="0"/>
    <n v="0"/>
    <n v="0.56218873702467731"/>
    <n v="0"/>
    <n v="0"/>
    <n v="0"/>
    <n v="0"/>
    <n v="0"/>
    <n v="0"/>
    <n v="0"/>
    <n v="0"/>
    <n v="0"/>
    <n v="0"/>
    <n v="0"/>
    <n v="0"/>
    <n v="0"/>
    <n v="0"/>
    <n v="0"/>
    <n v="0"/>
    <n v="0"/>
    <n v="0"/>
    <n v="0"/>
    <n v="0"/>
    <n v="0"/>
    <m/>
    <m/>
    <m/>
    <m/>
    <m/>
    <m/>
    <m/>
  </r>
  <r>
    <n v="31"/>
    <s v="Business, Industrial"/>
    <s v="Loblaw &amp; York Region Demand Response"/>
    <s v="Kingston Hydro Corporation"/>
    <s v="Final"/>
    <x v="2"/>
    <x v="1"/>
    <n v="0"/>
    <n v="0"/>
    <n v="0.19319450598224494"/>
    <n v="0"/>
    <n v="0"/>
    <n v="0"/>
    <n v="0"/>
    <n v="0"/>
    <n v="0"/>
    <n v="0"/>
    <n v="0"/>
    <n v="0"/>
    <n v="0"/>
    <n v="0"/>
    <n v="0"/>
    <n v="0"/>
    <n v="0"/>
    <n v="0"/>
    <n v="0"/>
    <n v="0"/>
    <n v="0"/>
    <n v="0"/>
    <n v="0"/>
    <n v="0"/>
    <m/>
    <m/>
    <m/>
    <m/>
    <m/>
    <m/>
    <m/>
  </r>
  <r>
    <n v="32"/>
    <s v="Consumer, Business"/>
    <s v="Renewable Energy Standard Offer"/>
    <s v="Kingston Hydro Corporation"/>
    <s v="Final"/>
    <x v="2"/>
    <x v="0"/>
    <n v="0"/>
    <n v="0"/>
    <n v="1.2230000000000001E-2"/>
    <n v="1.2230000000000001E-2"/>
    <n v="1.2230000000000001E-2"/>
    <n v="1.2230000000000001E-2"/>
    <n v="1.2230000000000001E-2"/>
    <n v="1.2230000000000001E-2"/>
    <n v="1.2230000000000001E-2"/>
    <n v="1.2230000000000001E-2"/>
    <n v="1.2230000000000001E-2"/>
    <n v="1.2230000000000001E-2"/>
    <n v="1.2230000000000001E-2"/>
    <n v="1.2230000000000001E-2"/>
    <n v="1.2230000000000001E-2"/>
    <n v="1.2230000000000001E-2"/>
    <n v="1.2230000000000001E-2"/>
    <n v="1.2230000000000001E-2"/>
    <n v="1.2230000000000001E-2"/>
    <n v="1.2230000000000001E-2"/>
    <n v="1.2230000000000001E-2"/>
    <n v="1.2230000000000001E-2"/>
    <n v="0"/>
    <n v="0"/>
    <m/>
    <m/>
    <m/>
    <m/>
    <m/>
    <m/>
    <m/>
  </r>
  <r>
    <n v="33"/>
    <s v="Business"/>
    <s v="Other Customer Based Generation"/>
    <s v="Kingston Hydro Corporation"/>
    <s v="Final"/>
    <x v="2"/>
    <x v="0"/>
    <n v="0"/>
    <n v="0"/>
    <n v="0"/>
    <n v="0"/>
    <n v="0"/>
    <n v="0"/>
    <n v="0"/>
    <n v="0"/>
    <n v="0"/>
    <n v="0"/>
    <n v="0"/>
    <n v="0"/>
    <n v="0"/>
    <n v="0"/>
    <n v="0"/>
    <n v="0"/>
    <n v="0"/>
    <n v="0"/>
    <n v="0"/>
    <n v="0"/>
    <n v="0"/>
    <n v="0"/>
    <n v="0"/>
    <n v="0"/>
    <m/>
    <m/>
    <m/>
    <m/>
    <m/>
    <m/>
    <m/>
  </r>
  <r>
    <n v="34"/>
    <s v="Business, Industrial"/>
    <s v="LDC Custom - Hydro One Networks Inc. - Double Return"/>
    <s v="Kingston Hydro Corporation"/>
    <s v="Final"/>
    <x v="2"/>
    <x v="2"/>
    <n v="0"/>
    <n v="0"/>
    <n v="0"/>
    <n v="0"/>
    <n v="0"/>
    <n v="0"/>
    <n v="0"/>
    <n v="0"/>
    <n v="0"/>
    <n v="0"/>
    <n v="0"/>
    <n v="0"/>
    <n v="0"/>
    <n v="0"/>
    <n v="0"/>
    <n v="0"/>
    <n v="0"/>
    <n v="0"/>
    <n v="0"/>
    <n v="0"/>
    <n v="0"/>
    <n v="0"/>
    <n v="0"/>
    <n v="0"/>
    <m/>
    <m/>
    <m/>
    <m/>
    <m/>
    <m/>
    <m/>
  </r>
  <r>
    <n v="35"/>
    <s v="Consumer"/>
    <s v="Great Refrigerator Roundup"/>
    <s v="Kingston Hydro Corporation"/>
    <s v="Final"/>
    <x v="3"/>
    <x v="0"/>
    <n v="0"/>
    <n v="0"/>
    <n v="0"/>
    <n v="1.7622945066093177E-2"/>
    <n v="1.7622945066093177E-2"/>
    <n v="1.7622945066093177E-2"/>
    <n v="1.7007093418450196E-2"/>
    <n v="1.206498763490913E-2"/>
    <n v="0"/>
    <n v="0"/>
    <n v="0"/>
    <n v="0"/>
    <n v="0"/>
    <n v="0"/>
    <n v="0"/>
    <n v="0"/>
    <n v="0"/>
    <n v="0"/>
    <n v="0"/>
    <n v="0"/>
    <n v="0"/>
    <n v="0"/>
    <n v="0"/>
    <n v="0"/>
    <m/>
    <m/>
    <m/>
    <m/>
    <m/>
    <m/>
    <m/>
  </r>
  <r>
    <n v="36"/>
    <s v="Consumer"/>
    <s v="Cool Savings Rebate"/>
    <s v="Kingston Hydro Corporation"/>
    <s v="Final"/>
    <x v="3"/>
    <x v="0"/>
    <n v="0"/>
    <n v="0"/>
    <n v="0"/>
    <n v="9.6339726886089508E-2"/>
    <n v="9.6339726886089508E-2"/>
    <n v="9.6339726886089508E-2"/>
    <n v="9.5889283688434163E-2"/>
    <n v="9.5814937154006352E-2"/>
    <n v="9.5770686413772371E-2"/>
    <n v="9.5770686413772371E-2"/>
    <n v="9.5770686413772371E-2"/>
    <n v="9.5770686413772371E-2"/>
    <n v="9.5770686413772371E-2"/>
    <n v="9.4310611253790533E-2"/>
    <n v="9.4310611253790533E-2"/>
    <n v="9.4310611253790533E-2"/>
    <n v="9.4310611253790533E-2"/>
    <n v="9.4310611253790533E-2"/>
    <n v="9.201755565670848E-2"/>
    <n v="9.201755565670848E-2"/>
    <n v="9.201755565670848E-2"/>
    <n v="6.7651123459698814E-2"/>
    <n v="0"/>
    <n v="0"/>
    <m/>
    <m/>
    <m/>
    <m/>
    <m/>
    <m/>
    <m/>
  </r>
  <r>
    <n v="37"/>
    <s v="Consumer"/>
    <s v="Every Kilowatt Counts Power Savings Event"/>
    <s v="Kingston Hydro Corporation"/>
    <s v="Final"/>
    <x v="3"/>
    <x v="0"/>
    <n v="0"/>
    <n v="0"/>
    <n v="0"/>
    <n v="2.5768014820738688E-2"/>
    <n v="2.5332323263717503E-2"/>
    <n v="2.5332323263717503E-2"/>
    <n v="2.5332323263717503E-2"/>
    <n v="2.5218581648874513E-2"/>
    <n v="2.5218581648874513E-2"/>
    <n v="2.3372467239253285E-2"/>
    <n v="2.3372467239253285E-2"/>
    <n v="1.7872280585685924E-2"/>
    <n v="1.7872280585685924E-2"/>
    <n v="1.5862888668755945E-2"/>
    <n v="1.5856285998175308E-2"/>
    <n v="8.0605704408814403E-3"/>
    <n v="8.0605704408814403E-3"/>
    <n v="7.6855221651858435E-3"/>
    <n v="1.3253665025346596E-3"/>
    <n v="5.9356034643395751E-4"/>
    <n v="5.9356034643395751E-4"/>
    <n v="3.7147291538171257E-4"/>
    <n v="3.7147291538171257E-4"/>
    <n v="0"/>
    <m/>
    <m/>
    <m/>
    <m/>
    <m/>
    <m/>
    <m/>
  </r>
  <r>
    <n v="38"/>
    <s v="Consumer, Business"/>
    <s v="peaksaver®"/>
    <s v="Kingston Hydro Corporation"/>
    <s v="Final"/>
    <x v="3"/>
    <x v="2"/>
    <n v="0"/>
    <n v="0"/>
    <n v="0"/>
    <n v="0"/>
    <n v="0"/>
    <n v="0"/>
    <n v="0"/>
    <n v="0"/>
    <n v="0"/>
    <n v="0"/>
    <n v="0"/>
    <n v="0"/>
    <n v="0"/>
    <n v="0"/>
    <n v="0"/>
    <n v="0"/>
    <n v="0"/>
    <n v="0"/>
    <n v="0"/>
    <n v="0"/>
    <n v="0"/>
    <n v="0"/>
    <n v="0"/>
    <n v="0"/>
    <m/>
    <m/>
    <m/>
    <m/>
    <m/>
    <m/>
    <m/>
  </r>
  <r>
    <n v="39"/>
    <s v="Consumer, Business"/>
    <s v="Electricity Retrofit Incentive"/>
    <s v="Kingston Hydro Corporation"/>
    <s v="Final"/>
    <x v="3"/>
    <x v="1"/>
    <n v="0"/>
    <n v="0"/>
    <n v="0"/>
    <n v="8.3498803827751183E-2"/>
    <n v="8.3498803827751183E-2"/>
    <n v="8.3498803827751183E-2"/>
    <n v="8.3498803827751183E-2"/>
    <n v="8.3498803827751183E-2"/>
    <n v="8.3498803827751183E-2"/>
    <n v="8.3498803827751183E-2"/>
    <n v="6.0340909090909084E-2"/>
    <n v="6.0340909090909084E-2"/>
    <n v="6.0340909090909084E-2"/>
    <n v="6.0340909090909084E-2"/>
    <n v="0"/>
    <n v="0"/>
    <n v="0"/>
    <n v="0"/>
    <n v="0"/>
    <n v="0"/>
    <n v="0"/>
    <n v="0"/>
    <n v="0"/>
    <n v="0"/>
    <m/>
    <m/>
    <m/>
    <m/>
    <m/>
    <m/>
    <m/>
  </r>
  <r>
    <n v="40"/>
    <s v="Consumer, Consumer Low-Income, Business, Industrial"/>
    <s v="Toronto Comprehensive"/>
    <s v="Kingston Hydro Corporation"/>
    <s v="Final"/>
    <x v="3"/>
    <x v="2"/>
    <n v="0"/>
    <n v="0"/>
    <n v="0"/>
    <n v="0"/>
    <n v="0"/>
    <n v="0"/>
    <n v="0"/>
    <n v="0"/>
    <n v="0"/>
    <n v="0"/>
    <n v="0"/>
    <n v="0"/>
    <n v="0"/>
    <n v="0"/>
    <n v="0"/>
    <n v="0"/>
    <n v="0"/>
    <n v="0"/>
    <n v="0"/>
    <n v="0"/>
    <n v="0"/>
    <n v="0"/>
    <n v="0"/>
    <n v="0"/>
    <m/>
    <m/>
    <m/>
    <m/>
    <m/>
    <m/>
    <m/>
  </r>
  <r>
    <n v="41"/>
    <s v="Business"/>
    <s v="High Performance New Construction"/>
    <s v="Kingston Hydro Corporation"/>
    <s v="Final"/>
    <x v="3"/>
    <x v="1"/>
    <n v="0"/>
    <n v="0"/>
    <n v="0"/>
    <n v="2.6484318261489666E-2"/>
    <n v="2.6484318261489666E-2"/>
    <n v="2.6484318261489666E-2"/>
    <n v="2.6484318261489666E-2"/>
    <n v="2.6484318261489666E-2"/>
    <n v="2.6484318261489666E-2"/>
    <n v="2.6484318261489666E-2"/>
    <n v="2.6484318261489666E-2"/>
    <n v="2.6484318261489666E-2"/>
    <n v="2.6484318261489666E-2"/>
    <n v="2.6484318261489666E-2"/>
    <n v="2.6484318261489666E-2"/>
    <n v="2.6484318261489666E-2"/>
    <n v="2.6484318261489666E-2"/>
    <n v="2.6484318261489666E-2"/>
    <n v="2.6484318261489666E-2"/>
    <n v="2.6484318261489666E-2"/>
    <n v="2.6484318261489666E-2"/>
    <n v="2.6484318261489666E-2"/>
    <n v="2.6484318261489666E-2"/>
    <n v="0"/>
    <m/>
    <m/>
    <m/>
    <m/>
    <m/>
    <m/>
    <m/>
  </r>
  <r>
    <n v="42"/>
    <s v="Business"/>
    <s v="Power Savings Blitz"/>
    <s v="Kingston Hydro Corporation"/>
    <s v="Final"/>
    <x v="3"/>
    <x v="3"/>
    <n v="0"/>
    <n v="0"/>
    <n v="0"/>
    <n v="0.17507897077314688"/>
    <n v="0.17507897077314688"/>
    <n v="0.17507897077314688"/>
    <n v="0.17507897077314688"/>
    <n v="0.17507897077314688"/>
    <n v="0.17507897077314688"/>
    <n v="0.17507897077314688"/>
    <n v="0.17507897077314688"/>
    <n v="0.17507897077314688"/>
    <n v="0"/>
    <n v="0"/>
    <n v="0"/>
    <n v="0"/>
    <n v="0"/>
    <n v="0"/>
    <n v="0"/>
    <n v="0"/>
    <n v="0"/>
    <n v="0"/>
    <n v="0"/>
    <n v="0"/>
    <m/>
    <m/>
    <m/>
    <m/>
    <m/>
    <m/>
    <m/>
  </r>
  <r>
    <n v="43"/>
    <s v="Consumer, Consumer Low-Income"/>
    <s v="Multi-Family Energy Efficiency Rebates"/>
    <s v="Kingston Hydro Corporation"/>
    <s v="Final"/>
    <x v="3"/>
    <x v="2"/>
    <n v="0"/>
    <n v="0"/>
    <n v="0"/>
    <n v="0"/>
    <n v="0"/>
    <n v="0"/>
    <n v="0"/>
    <n v="0"/>
    <n v="0"/>
    <n v="0"/>
    <n v="0"/>
    <n v="0"/>
    <n v="0"/>
    <n v="0"/>
    <n v="0"/>
    <n v="0"/>
    <n v="0"/>
    <n v="0"/>
    <n v="0"/>
    <n v="0"/>
    <n v="0"/>
    <n v="0"/>
    <n v="0"/>
    <n v="0"/>
    <m/>
    <m/>
    <m/>
    <m/>
    <m/>
    <m/>
    <m/>
  </r>
  <r>
    <n v="44"/>
    <s v="Business, Industrial"/>
    <s v="Demand Response 1"/>
    <s v="Kingston Hydro Corporation"/>
    <s v="Final"/>
    <x v="3"/>
    <x v="1"/>
    <n v="0"/>
    <n v="0"/>
    <n v="0"/>
    <n v="1.1957688458910378"/>
    <n v="0"/>
    <n v="0"/>
    <n v="0"/>
    <n v="0"/>
    <n v="0"/>
    <n v="0"/>
    <n v="0"/>
    <n v="0"/>
    <n v="0"/>
    <n v="0"/>
    <n v="0"/>
    <n v="0"/>
    <n v="0"/>
    <n v="0"/>
    <n v="0"/>
    <n v="0"/>
    <n v="0"/>
    <n v="0"/>
    <n v="0"/>
    <n v="0"/>
    <m/>
    <m/>
    <m/>
    <m/>
    <m/>
    <m/>
    <m/>
  </r>
  <r>
    <n v="45"/>
    <s v="Business, Industrial"/>
    <s v="Demand Response 2"/>
    <s v="Kingston Hydro Corporation"/>
    <s v="Final"/>
    <x v="3"/>
    <x v="1"/>
    <n v="0"/>
    <n v="0"/>
    <n v="0"/>
    <n v="0.81196286825126107"/>
    <n v="0"/>
    <n v="0"/>
    <n v="0"/>
    <n v="0"/>
    <n v="0"/>
    <n v="0"/>
    <n v="0"/>
    <n v="0"/>
    <n v="0"/>
    <n v="0"/>
    <n v="0"/>
    <n v="0"/>
    <n v="0"/>
    <n v="0"/>
    <n v="0"/>
    <n v="0"/>
    <n v="0"/>
    <n v="0"/>
    <n v="0"/>
    <n v="0"/>
    <m/>
    <m/>
    <m/>
    <m/>
    <m/>
    <m/>
    <m/>
  </r>
  <r>
    <n v="46"/>
    <s v="Business, Industrial"/>
    <s v="Demand Response 3"/>
    <s v="Kingston Hydro Corporation"/>
    <s v="Final"/>
    <x v="3"/>
    <x v="1"/>
    <n v="0"/>
    <n v="0"/>
    <n v="0"/>
    <n v="1.1599469546446588"/>
    <n v="0"/>
    <n v="0"/>
    <n v="0"/>
    <n v="0"/>
    <n v="0"/>
    <n v="0"/>
    <n v="0"/>
    <n v="0"/>
    <n v="0"/>
    <n v="0"/>
    <n v="0"/>
    <n v="0"/>
    <n v="0"/>
    <n v="0"/>
    <n v="0"/>
    <n v="0"/>
    <n v="0"/>
    <n v="0"/>
    <n v="0"/>
    <n v="0"/>
    <m/>
    <m/>
    <m/>
    <m/>
    <m/>
    <m/>
    <m/>
  </r>
  <r>
    <n v="47"/>
    <s v="Business, Industrial"/>
    <s v="Loblaw &amp; York Region Demand Response"/>
    <s v="Kingston Hydro Corporation"/>
    <s v="Final"/>
    <x v="3"/>
    <x v="1"/>
    <n v="0"/>
    <n v="0"/>
    <n v="0"/>
    <n v="0.19930617967747344"/>
    <n v="0"/>
    <n v="0"/>
    <n v="0"/>
    <n v="0"/>
    <n v="0"/>
    <n v="0"/>
    <n v="0"/>
    <n v="0"/>
    <n v="0"/>
    <n v="0"/>
    <n v="0"/>
    <n v="0"/>
    <n v="0"/>
    <n v="0"/>
    <n v="0"/>
    <n v="0"/>
    <n v="0"/>
    <n v="0"/>
    <n v="0"/>
    <n v="0"/>
    <m/>
    <m/>
    <m/>
    <m/>
    <m/>
    <m/>
    <m/>
  </r>
  <r>
    <n v="48"/>
    <s v="Consumer"/>
    <s v="LDC Custom - Thunder Bay Hydro - Phantom Load"/>
    <s v="Kingston Hydro Corporation"/>
    <s v="Final"/>
    <x v="3"/>
    <x v="2"/>
    <n v="0"/>
    <n v="0"/>
    <n v="0"/>
    <n v="0"/>
    <n v="0"/>
    <n v="0"/>
    <n v="0"/>
    <n v="0"/>
    <n v="0"/>
    <n v="0"/>
    <n v="0"/>
    <n v="0"/>
    <n v="0"/>
    <n v="0"/>
    <n v="0"/>
    <n v="0"/>
    <n v="0"/>
    <n v="0"/>
    <n v="0"/>
    <n v="0"/>
    <n v="0"/>
    <n v="0"/>
    <n v="0"/>
    <n v="0"/>
    <m/>
    <m/>
    <m/>
    <m/>
    <m/>
    <m/>
    <m/>
  </r>
  <r>
    <n v="49"/>
    <s v="Consumer"/>
    <s v="LDC Custom - Toronto Hydro - Summer Challenge"/>
    <s v="Kingston Hydro Corporation"/>
    <s v="Final"/>
    <x v="3"/>
    <x v="2"/>
    <n v="0"/>
    <n v="0"/>
    <n v="0"/>
    <n v="0"/>
    <n v="0"/>
    <n v="0"/>
    <n v="0"/>
    <n v="0"/>
    <n v="0"/>
    <n v="0"/>
    <n v="0"/>
    <n v="0"/>
    <n v="0"/>
    <n v="0"/>
    <n v="0"/>
    <n v="0"/>
    <n v="0"/>
    <n v="0"/>
    <n v="0"/>
    <n v="0"/>
    <n v="0"/>
    <n v="0"/>
    <n v="0"/>
    <n v="0"/>
    <m/>
    <m/>
    <m/>
    <m/>
    <m/>
    <m/>
    <m/>
  </r>
  <r>
    <n v="50"/>
    <s v="Business"/>
    <s v="LDC Custom - PowerStream - Data Centers"/>
    <s v="Kingston Hydro Corporation"/>
    <s v="Final"/>
    <x v="3"/>
    <x v="2"/>
    <n v="0"/>
    <n v="0"/>
    <n v="0"/>
    <n v="0"/>
    <n v="0"/>
    <n v="0"/>
    <n v="0"/>
    <n v="0"/>
    <n v="0"/>
    <n v="0"/>
    <n v="0"/>
    <n v="0"/>
    <n v="0"/>
    <n v="0"/>
    <n v="0"/>
    <n v="0"/>
    <n v="0"/>
    <n v="0"/>
    <n v="0"/>
    <n v="0"/>
    <n v="0"/>
    <n v="0"/>
    <n v="0"/>
    <n v="0"/>
    <m/>
    <m/>
    <m/>
    <m/>
    <m/>
    <m/>
    <m/>
  </r>
  <r>
    <n v="51"/>
    <s v="Consumer, Business"/>
    <s v="Toronto Comprehensive Adjustment"/>
    <s v="Kingston Hydro Corporation"/>
    <s v="Final"/>
    <x v="2"/>
    <x v="2"/>
    <n v="0"/>
    <n v="0"/>
    <n v="0"/>
    <n v="0"/>
    <n v="0"/>
    <n v="0"/>
    <n v="0"/>
    <n v="0"/>
    <n v="0"/>
    <n v="0"/>
    <n v="0"/>
    <n v="0"/>
    <n v="0"/>
    <n v="0"/>
    <n v="0"/>
    <n v="0"/>
    <n v="0"/>
    <n v="0"/>
    <n v="0"/>
    <n v="0"/>
    <n v="0"/>
    <n v="0"/>
    <n v="0"/>
    <n v="0"/>
    <m/>
    <m/>
    <m/>
    <m/>
    <m/>
    <m/>
    <m/>
  </r>
  <r>
    <n v="52"/>
    <s v="Business, Industrial"/>
    <s v="LDC Custom - Hydro One Networks Inc. - Double Return Adjustment"/>
    <s v="Kingston Hydro Corporation"/>
    <s v="Final"/>
    <x v="2"/>
    <x v="2"/>
    <n v="0"/>
    <n v="0"/>
    <n v="0"/>
    <n v="0"/>
    <n v="0"/>
    <n v="0"/>
    <n v="0"/>
    <n v="0"/>
    <n v="0"/>
    <n v="0"/>
    <n v="0"/>
    <n v="0"/>
    <n v="0"/>
    <n v="0"/>
    <n v="0"/>
    <n v="0"/>
    <n v="0"/>
    <n v="0"/>
    <n v="0"/>
    <n v="0"/>
    <n v="0"/>
    <n v="0"/>
    <n v="0"/>
    <n v="0"/>
    <m/>
    <m/>
    <m/>
    <m/>
    <m/>
    <m/>
    <m/>
  </r>
  <r>
    <n v="53"/>
    <s v="Consumer"/>
    <s v="Great Refrigerator Roundup"/>
    <s v="Kingston Hydro Corporation"/>
    <s v="Final"/>
    <x v="4"/>
    <x v="0"/>
    <n v="0"/>
    <n v="0"/>
    <n v="0"/>
    <n v="0"/>
    <n v="1.3571767054916849E-2"/>
    <n v="1.3571767054916849E-2"/>
    <n v="1.3571767054916849E-2"/>
    <n v="1.2617838813460935E-2"/>
    <n v="9.0288108236690826E-3"/>
    <n v="0"/>
    <n v="0"/>
    <n v="0"/>
    <n v="0"/>
    <n v="0"/>
    <n v="0"/>
    <n v="0"/>
    <n v="0"/>
    <n v="0"/>
    <n v="0"/>
    <n v="0"/>
    <n v="0"/>
    <n v="0"/>
    <n v="0"/>
    <n v="0"/>
    <m/>
    <m/>
    <m/>
    <m/>
    <m/>
    <m/>
    <m/>
  </r>
  <r>
    <n v="54"/>
    <s v="Consumer"/>
    <s v="Cool Savings Rebate"/>
    <s v="Kingston Hydro Corporation"/>
    <s v="Final"/>
    <x v="4"/>
    <x v="0"/>
    <n v="0"/>
    <n v="0"/>
    <n v="0"/>
    <n v="0"/>
    <n v="4.5320049962194832E-2"/>
    <n v="4.5320049962194832E-2"/>
    <n v="4.5320049962194832E-2"/>
    <n v="4.5320049962194832E-2"/>
    <n v="4.5320049962194832E-2"/>
    <n v="4.5320049962194832E-2"/>
    <n v="4.5320049962194832E-2"/>
    <n v="4.5320049962194832E-2"/>
    <n v="4.5320049962194832E-2"/>
    <n v="4.5320049962194832E-2"/>
    <n v="4.5320049962194832E-2"/>
    <n v="4.5320049962194832E-2"/>
    <n v="4.5320049962194832E-2"/>
    <n v="4.5320049962194832E-2"/>
    <n v="4.5320049962194832E-2"/>
    <n v="4.4345889124962512E-2"/>
    <n v="4.4345889124962512E-2"/>
    <n v="4.4345889124962512E-2"/>
    <n v="3.9851884381790312E-2"/>
    <n v="0"/>
    <m/>
    <m/>
    <m/>
    <m/>
    <m/>
    <m/>
    <m/>
  </r>
  <r>
    <n v="55"/>
    <s v="Consumer"/>
    <s v="Every Kilowatt Counts Power Savings Event"/>
    <s v="Kingston Hydro Corporation"/>
    <s v="Final"/>
    <x v="4"/>
    <x v="0"/>
    <n v="0"/>
    <n v="0"/>
    <n v="0"/>
    <n v="0"/>
    <n v="7.9102505462775169E-3"/>
    <n v="7.552654102152446E-3"/>
    <n v="7.3715778473947748E-3"/>
    <n v="7.3715778473947748E-3"/>
    <n v="7.3715778473947748E-3"/>
    <n v="7.1302517976481478E-3"/>
    <n v="6.8376049226685507E-3"/>
    <n v="6.8376049226685507E-3"/>
    <n v="6.8139925801342181E-3"/>
    <n v="5.0749839832919304E-3"/>
    <n v="2.9539306412880596E-3"/>
    <n v="2.9539306412880596E-3"/>
    <n v="2.7412498847349319E-3"/>
    <n v="2.7412498847349319E-3"/>
    <n v="2.7412498847349319E-3"/>
    <n v="3.7191837741592208E-4"/>
    <n v="5.1457930911912316E-6"/>
    <n v="5.1457930911912316E-6"/>
    <n v="5.1457930911912316E-6"/>
    <n v="5.1457930911912316E-6"/>
    <m/>
    <m/>
    <m/>
    <m/>
    <m/>
    <m/>
    <m/>
  </r>
  <r>
    <n v="56"/>
    <s v="Consumer, Business"/>
    <s v="peaksaver®"/>
    <s v="Kingston Hydro Corporation"/>
    <s v="Final"/>
    <x v="4"/>
    <x v="2"/>
    <n v="0"/>
    <n v="0"/>
    <n v="0"/>
    <n v="0"/>
    <n v="0"/>
    <n v="0"/>
    <n v="0"/>
    <n v="0"/>
    <n v="0"/>
    <n v="0"/>
    <n v="0"/>
    <n v="0"/>
    <n v="0"/>
    <n v="0"/>
    <n v="0"/>
    <n v="0"/>
    <n v="0"/>
    <n v="0"/>
    <n v="0"/>
    <n v="0"/>
    <n v="0"/>
    <n v="0"/>
    <n v="0"/>
    <n v="0"/>
    <m/>
    <m/>
    <m/>
    <m/>
    <m/>
    <m/>
    <m/>
  </r>
  <r>
    <n v="57"/>
    <s v="Consumer, Business"/>
    <s v="Electricity Retrofit Incentive"/>
    <s v="Kingston Hydro Corporation"/>
    <s v="Final"/>
    <x v="4"/>
    <x v="1"/>
    <n v="0"/>
    <n v="0"/>
    <n v="0"/>
    <n v="0"/>
    <n v="4.2683321424087324E-2"/>
    <n v="4.2683321424087324E-2"/>
    <n v="4.2683321424087324E-2"/>
    <n v="4.2683321424087324E-2"/>
    <n v="4.2683321424087324E-2"/>
    <n v="4.2683321424087324E-2"/>
    <n v="4.2683321424087324E-2"/>
    <n v="4.2683321424087324E-2"/>
    <n v="4.2683321424087324E-2"/>
    <n v="4.2252176763237954E-2"/>
    <n v="0"/>
    <n v="0"/>
    <n v="0"/>
    <n v="0"/>
    <n v="0"/>
    <n v="0"/>
    <n v="0"/>
    <n v="0"/>
    <n v="0"/>
    <n v="0"/>
    <m/>
    <m/>
    <m/>
    <m/>
    <m/>
    <m/>
    <m/>
  </r>
  <r>
    <n v="58"/>
    <s v="Consumer, Consumer Low-Income, Business, Industrial"/>
    <s v="Toronto Comprehensive"/>
    <s v="Kingston Hydro Corporation"/>
    <s v="Final"/>
    <x v="4"/>
    <x v="2"/>
    <n v="0"/>
    <n v="0"/>
    <n v="0"/>
    <n v="0"/>
    <n v="0"/>
    <n v="0"/>
    <n v="0"/>
    <n v="0"/>
    <n v="0"/>
    <n v="0"/>
    <n v="0"/>
    <n v="0"/>
    <n v="0"/>
    <n v="0"/>
    <n v="0"/>
    <n v="0"/>
    <n v="0"/>
    <n v="0"/>
    <n v="0"/>
    <n v="0"/>
    <n v="0"/>
    <n v="0"/>
    <n v="0"/>
    <n v="0"/>
    <m/>
    <m/>
    <m/>
    <m/>
    <m/>
    <m/>
    <m/>
  </r>
  <r>
    <n v="59"/>
    <s v="Business"/>
    <s v="High Performance New Construction"/>
    <s v="Kingston Hydro Corporation"/>
    <s v="Final"/>
    <x v="4"/>
    <x v="1"/>
    <n v="0"/>
    <n v="0"/>
    <n v="0"/>
    <n v="0"/>
    <n v="8.6035163217314831E-2"/>
    <n v="8.6035163217314831E-2"/>
    <n v="8.6035163217314831E-2"/>
    <n v="8.6035163217314831E-2"/>
    <n v="8.6035163217314831E-2"/>
    <n v="8.6035163217314831E-2"/>
    <n v="8.6035163217314831E-2"/>
    <n v="8.6035163217314831E-2"/>
    <n v="8.6035163217314831E-2"/>
    <n v="8.6035163217314831E-2"/>
    <n v="8.6035163217314831E-2"/>
    <n v="8.6035163217314831E-2"/>
    <n v="8.6035163217314831E-2"/>
    <n v="8.6035163217314831E-2"/>
    <n v="8.6035163217314831E-2"/>
    <n v="8.6035163217314831E-2"/>
    <n v="8.6035163217314831E-2"/>
    <n v="8.6035163217314831E-2"/>
    <n v="8.6035163217314831E-2"/>
    <n v="8.6035163217314831E-2"/>
    <m/>
    <m/>
    <m/>
    <m/>
    <m/>
    <m/>
    <m/>
  </r>
  <r>
    <n v="60"/>
    <s v="Business"/>
    <s v="Power Savings Blitz"/>
    <s v="Kingston Hydro Corporation"/>
    <s v="Final"/>
    <x v="4"/>
    <x v="3"/>
    <n v="0"/>
    <n v="0"/>
    <n v="0"/>
    <n v="0"/>
    <n v="0.17577762138762623"/>
    <n v="0.17577762138762623"/>
    <n v="0.17577762138762623"/>
    <n v="0.17577762138762623"/>
    <n v="0.17577762138762623"/>
    <n v="0.17577762138762623"/>
    <n v="0.17577762138762623"/>
    <n v="0.17577762138762623"/>
    <n v="0"/>
    <n v="0"/>
    <n v="0"/>
    <n v="0"/>
    <n v="0"/>
    <n v="0"/>
    <n v="0"/>
    <n v="0"/>
    <n v="0"/>
    <n v="0"/>
    <n v="0"/>
    <n v="0"/>
    <m/>
    <m/>
    <m/>
    <m/>
    <m/>
    <m/>
    <m/>
  </r>
  <r>
    <n v="61"/>
    <s v="Consumer, Consumer Low-Income"/>
    <s v="Multi-Family Energy Efficiency Rebates"/>
    <s v="Kingston Hydro Corporation"/>
    <s v="Final"/>
    <x v="4"/>
    <x v="0"/>
    <n v="0"/>
    <n v="0"/>
    <n v="0"/>
    <n v="0"/>
    <n v="8.427273923639518E-3"/>
    <n v="8.427273923639518E-3"/>
    <n v="8.427273923639518E-3"/>
    <n v="8.427273923639518E-3"/>
    <n v="8.427273923639518E-3"/>
    <n v="8.427273923639518E-3"/>
    <n v="8.427273923639518E-3"/>
    <n v="8.427273923639518E-3"/>
    <n v="8.427273923639518E-3"/>
    <n v="8.427273923639518E-3"/>
    <n v="0"/>
    <n v="0"/>
    <n v="0"/>
    <n v="0"/>
    <n v="0"/>
    <n v="0"/>
    <n v="0"/>
    <n v="0"/>
    <n v="0"/>
    <n v="0"/>
    <m/>
    <m/>
    <m/>
    <m/>
    <m/>
    <m/>
    <m/>
  </r>
  <r>
    <n v="62"/>
    <s v="Business, Industrial"/>
    <s v="Demand Response 2"/>
    <s v="Kingston Hydro Corporation"/>
    <s v="Final"/>
    <x v="4"/>
    <x v="1"/>
    <n v="0"/>
    <n v="0"/>
    <n v="0"/>
    <n v="0"/>
    <n v="0.79308195429135875"/>
    <n v="0"/>
    <n v="0"/>
    <n v="0"/>
    <n v="0"/>
    <n v="0"/>
    <n v="0"/>
    <n v="0"/>
    <n v="0"/>
    <n v="0"/>
    <n v="0"/>
    <n v="0"/>
    <n v="0"/>
    <n v="0"/>
    <n v="0"/>
    <n v="0"/>
    <n v="0"/>
    <n v="0"/>
    <n v="0"/>
    <n v="0"/>
    <m/>
    <m/>
    <m/>
    <m/>
    <m/>
    <m/>
    <m/>
  </r>
  <r>
    <n v="63"/>
    <s v="Business, Industrial"/>
    <s v="Demand Response 3"/>
    <s v="Kingston Hydro Corporation"/>
    <s v="Final"/>
    <x v="4"/>
    <x v="1"/>
    <n v="0"/>
    <n v="0"/>
    <n v="0"/>
    <n v="0"/>
    <n v="1.67746830163979"/>
    <n v="0"/>
    <n v="0"/>
    <n v="0"/>
    <n v="0"/>
    <n v="0"/>
    <n v="0"/>
    <n v="0"/>
    <n v="0"/>
    <n v="0"/>
    <n v="0"/>
    <n v="0"/>
    <n v="0"/>
    <n v="0"/>
    <n v="0"/>
    <n v="0"/>
    <n v="0"/>
    <n v="0"/>
    <n v="0"/>
    <n v="0"/>
    <m/>
    <m/>
    <m/>
    <m/>
    <m/>
    <m/>
    <m/>
  </r>
  <r>
    <n v="64"/>
    <s v="Business, Industrial"/>
    <s v="Loblaw &amp; York Region Demand Response"/>
    <s v="Kingston Hydro Corporation"/>
    <s v="Final"/>
    <x v="4"/>
    <x v="1"/>
    <n v="0"/>
    <n v="0"/>
    <n v="0"/>
    <n v="0"/>
    <n v="0.19467162928445872"/>
    <n v="0"/>
    <n v="0"/>
    <n v="0"/>
    <n v="0"/>
    <n v="0"/>
    <n v="0"/>
    <n v="0"/>
    <n v="0"/>
    <n v="0"/>
    <n v="0"/>
    <n v="0"/>
    <n v="0"/>
    <n v="0"/>
    <n v="0"/>
    <n v="0"/>
    <n v="0"/>
    <n v="0"/>
    <n v="0"/>
    <n v="0"/>
    <m/>
    <m/>
    <m/>
    <m/>
    <m/>
    <m/>
    <m/>
  </r>
  <r>
    <n v="65"/>
    <s v="Consumer"/>
    <s v="LDC Custom - Hydro Ottawa - Small Commercial Demand Response"/>
    <s v="Kingston Hydro Corporation"/>
    <s v="Final"/>
    <x v="4"/>
    <x v="2"/>
    <n v="0"/>
    <n v="0"/>
    <n v="0"/>
    <n v="0"/>
    <n v="0"/>
    <n v="0"/>
    <n v="0"/>
    <n v="0"/>
    <n v="0"/>
    <n v="0"/>
    <n v="0"/>
    <n v="0"/>
    <n v="0"/>
    <n v="0"/>
    <n v="0"/>
    <n v="0"/>
    <n v="0"/>
    <n v="0"/>
    <n v="0"/>
    <n v="0"/>
    <n v="0"/>
    <n v="0"/>
    <n v="0"/>
    <n v="0"/>
    <m/>
    <m/>
    <m/>
    <m/>
    <m/>
    <m/>
    <m/>
  </r>
  <r>
    <s v="Tier 1"/>
    <s v="Consumer"/>
    <s v="Appliance Exchange"/>
    <s v="Kingston Hydro Corporation"/>
    <s v="EE"/>
    <x v="5"/>
    <x v="0"/>
    <m/>
    <m/>
    <m/>
    <m/>
    <m/>
    <n v="2.2087221046377999E-3"/>
    <n v="2.2087221046377999E-3"/>
    <n v="2.2087221046377999E-3"/>
    <n v="7.5426660871048378E-4"/>
    <n v="0"/>
    <n v="0"/>
    <n v="0"/>
    <n v="0"/>
    <n v="0"/>
    <n v="0"/>
    <n v="0"/>
    <n v="0"/>
    <n v="0"/>
    <n v="0"/>
    <n v="0"/>
    <n v="0"/>
    <n v="0"/>
    <n v="0"/>
    <n v="0"/>
    <n v="0"/>
    <n v="0"/>
    <n v="0"/>
    <n v="0"/>
    <n v="0"/>
    <n v="0"/>
    <n v="0"/>
  </r>
  <r>
    <s v="Tier 1"/>
    <s v="Consumer"/>
    <s v="Appliance Retirement"/>
    <s v="Kingston Hydro Corporation"/>
    <s v="EE"/>
    <x v="5"/>
    <x v="0"/>
    <m/>
    <m/>
    <m/>
    <m/>
    <m/>
    <n v="9.7587870989821034E-3"/>
    <n v="9.7587870989821034E-3"/>
    <n v="9.7587870989821034E-3"/>
    <n v="9.5320388070644791E-3"/>
    <n v="6.971248558427184E-3"/>
    <n v="0"/>
    <n v="0"/>
    <n v="0"/>
    <n v="0"/>
    <n v="0"/>
    <n v="0"/>
    <n v="0"/>
    <n v="0"/>
    <n v="0"/>
    <n v="0"/>
    <n v="0"/>
    <n v="0"/>
    <n v="0"/>
    <n v="0"/>
    <n v="0"/>
    <n v="0"/>
    <n v="0"/>
    <n v="0"/>
    <n v="0"/>
    <n v="0"/>
    <n v="0"/>
  </r>
  <r>
    <s v="Tier 1"/>
    <s v="Consumer"/>
    <s v="Bi-Annual Retailer Event"/>
    <s v="Kingston Hydro Corporation"/>
    <s v="EE"/>
    <x v="5"/>
    <x v="0"/>
    <m/>
    <m/>
    <m/>
    <m/>
    <m/>
    <n v="8.430533393957388E-3"/>
    <n v="8.430533393957388E-3"/>
    <n v="8.430533393957388E-3"/>
    <n v="8.430533393957388E-3"/>
    <n v="7.8433079422466512E-3"/>
    <n v="7.2017888719191061E-3"/>
    <n v="5.8254027079323078E-3"/>
    <n v="5.7874743031671996E-3"/>
    <n v="7.0162188252054841E-3"/>
    <n v="3.3282576576091081E-3"/>
    <n v="4.7330997280805161E-4"/>
    <n v="4.7311309875717686E-4"/>
    <n v="4.7311309875717686E-4"/>
    <n v="4.3913278278496734E-4"/>
    <n v="4.3913278278496734E-4"/>
    <n v="3.706443474060017E-4"/>
    <n v="0"/>
    <n v="0"/>
    <n v="0"/>
    <n v="0"/>
    <n v="0"/>
    <n v="0"/>
    <n v="0"/>
    <n v="0"/>
    <n v="0"/>
    <n v="0"/>
  </r>
  <r>
    <s v="Tier 1"/>
    <s v="Consumer"/>
    <s v="Conservation Instant Coupon Booklet"/>
    <s v="Kingston Hydro Corporation"/>
    <s v="EE"/>
    <x v="5"/>
    <x v="0"/>
    <m/>
    <m/>
    <m/>
    <m/>
    <m/>
    <n v="6.1033098347424682E-3"/>
    <n v="6.1033098347424682E-3"/>
    <n v="6.1033098347424682E-3"/>
    <n v="6.1033098347424682E-3"/>
    <n v="5.7376461781793791E-3"/>
    <n v="5.338174036214941E-3"/>
    <n v="4.4770737385133709E-3"/>
    <n v="4.4321616909661155E-3"/>
    <n v="5.1972974894936427E-3"/>
    <n v="2.9008143212704601E-3"/>
    <n v="3.4393170086695211E-4"/>
    <n v="3.4370242967095765E-4"/>
    <n v="3.4370242967095765E-4"/>
    <n v="3.3736606284991502E-4"/>
    <n v="3.3736606284991502E-4"/>
    <n v="3.1823150548650295E-4"/>
    <n v="0"/>
    <n v="0"/>
    <n v="0"/>
    <n v="0"/>
    <n v="0"/>
    <n v="0"/>
    <n v="0"/>
    <n v="0"/>
    <n v="0"/>
    <n v="0"/>
  </r>
  <r>
    <s v="Tier 1"/>
    <s v="Consumer"/>
    <s v="HVAC Incentives"/>
    <s v="Kingston Hydro Corporation"/>
    <s v="EE"/>
    <x v="5"/>
    <x v="0"/>
    <m/>
    <m/>
    <m/>
    <m/>
    <m/>
    <n v="0.11813922851734725"/>
    <n v="0.11813922851734725"/>
    <n v="0.11813922851734725"/>
    <n v="0.11813922851734725"/>
    <n v="0.11813922851734725"/>
    <n v="0.11813922851734725"/>
    <n v="0.11813922851734725"/>
    <n v="0.11813922851734725"/>
    <n v="0.11813922851734725"/>
    <n v="0.11813922851734725"/>
    <n v="0.11813922851734725"/>
    <n v="0.11813922851734725"/>
    <n v="0.11813922851734725"/>
    <n v="0.11813922851734725"/>
    <n v="0.11813922851734725"/>
    <n v="0.11813922851734725"/>
    <n v="0.11813922851734725"/>
    <n v="0.11813922851734725"/>
    <n v="0.10784961221401221"/>
    <n v="0"/>
    <n v="0"/>
    <n v="0"/>
    <n v="0"/>
    <n v="0"/>
    <n v="0"/>
    <n v="0"/>
  </r>
  <r>
    <s v="Tier 1"/>
    <s v="Consumer"/>
    <s v="Retailer Co-op"/>
    <s v="Kingston Hydro Corporation"/>
    <s v="EE"/>
    <x v="5"/>
    <x v="0"/>
    <m/>
    <m/>
    <m/>
    <m/>
    <m/>
    <n v="0"/>
    <n v="0"/>
    <n v="0"/>
    <n v="0"/>
    <n v="0"/>
    <n v="0"/>
    <n v="0"/>
    <n v="0"/>
    <n v="0"/>
    <n v="0"/>
    <n v="0"/>
    <n v="0"/>
    <n v="0"/>
    <n v="0"/>
    <n v="0"/>
    <n v="0"/>
    <n v="0"/>
    <n v="0"/>
    <n v="0"/>
    <n v="0"/>
    <n v="0"/>
    <n v="0"/>
    <n v="0"/>
    <n v="0"/>
    <n v="0"/>
    <n v="0"/>
  </r>
  <r>
    <s v="Tier 1"/>
    <s v="Business"/>
    <s v="Demand Response 3 (part of the Industrial program schedule)"/>
    <s v="Kingston Hydro Corporation"/>
    <s v="DR"/>
    <x v="5"/>
    <x v="2"/>
    <m/>
    <m/>
    <m/>
    <m/>
    <m/>
    <n v="4.0183739999999997"/>
    <n v="0"/>
    <n v="0"/>
    <n v="0"/>
    <n v="0"/>
    <n v="0"/>
    <n v="0"/>
    <n v="0"/>
    <n v="0"/>
    <n v="0"/>
    <n v="0"/>
    <n v="0"/>
    <n v="0"/>
    <n v="0"/>
    <n v="0"/>
    <n v="0"/>
    <n v="0"/>
    <n v="0"/>
    <n v="0"/>
    <n v="0"/>
    <n v="0"/>
    <n v="0"/>
    <n v="0"/>
    <n v="0"/>
    <n v="0"/>
    <n v="0"/>
  </r>
  <r>
    <s v="Tier 1"/>
    <s v="Business"/>
    <s v="Direct Install Lighting"/>
    <s v="Kingston Hydro Corporation"/>
    <s v="EE"/>
    <x v="5"/>
    <x v="4"/>
    <m/>
    <m/>
    <m/>
    <m/>
    <m/>
    <n v="0.10501326240581341"/>
    <n v="0.10501326240581341"/>
    <n v="0.10485196055999835"/>
    <n v="8.4607426754166479E-2"/>
    <n v="8.4607426754166479E-2"/>
    <n v="8.4607426754166479E-2"/>
    <n v="2.8341886465748044E-2"/>
    <n v="2.6020292042052674E-2"/>
    <n v="2.6020292042052674E-2"/>
    <n v="2.6020292042052674E-2"/>
    <n v="2.2473955746204373E-2"/>
    <n v="2.2473955746204373E-2"/>
    <n v="8.2955234990603616E-3"/>
    <n v="8.2955234990603616E-3"/>
    <n v="8.2955234990603616E-3"/>
    <n v="0"/>
    <n v="0"/>
    <n v="0"/>
    <n v="0"/>
    <n v="0"/>
    <n v="0"/>
    <n v="0"/>
    <n v="0"/>
    <n v="0"/>
    <n v="0"/>
    <n v="0"/>
  </r>
  <r>
    <s v="Tier 1"/>
    <s v="Business"/>
    <s v="Retrofit"/>
    <s v="Kingston Hydro Corporation"/>
    <s v="EE"/>
    <x v="5"/>
    <x v="5"/>
    <m/>
    <m/>
    <m/>
    <m/>
    <m/>
    <n v="0.36025041265358465"/>
    <n v="0.36025041265358465"/>
    <n v="0.36025041265358465"/>
    <n v="0.36025041265358465"/>
    <n v="0.36025041265358465"/>
    <n v="0.36025041265358465"/>
    <n v="0.36025041265358465"/>
    <n v="0.36025041265358465"/>
    <n v="0.36025041265358465"/>
    <n v="0.24067565572919383"/>
    <n v="0.24067565572919383"/>
    <n v="0.24067565572919383"/>
    <n v="0.24067565572919383"/>
    <n v="0.24067565572919383"/>
    <n v="1.0164256489680166E-2"/>
    <n v="0"/>
    <n v="0"/>
    <n v="0"/>
    <n v="0"/>
    <n v="0"/>
    <n v="0"/>
    <n v="0"/>
    <n v="0"/>
    <n v="0"/>
    <n v="0"/>
    <n v="0"/>
  </r>
  <r>
    <s v="Tier 1"/>
    <s v="Business"/>
    <s v="Energy Audit"/>
    <s v="Kingston Hydro Corporation"/>
    <s v="EE"/>
    <x v="5"/>
    <x v="6"/>
    <m/>
    <m/>
    <m/>
    <m/>
    <m/>
    <n v="0"/>
    <n v="0"/>
    <n v="0"/>
    <n v="0"/>
    <n v="0"/>
    <n v="0"/>
    <n v="0"/>
    <n v="0"/>
    <n v="0"/>
    <n v="0"/>
    <n v="0"/>
    <n v="0"/>
    <n v="0"/>
    <n v="0"/>
    <n v="0"/>
    <n v="0"/>
    <n v="0"/>
    <n v="0"/>
    <n v="0"/>
    <n v="0"/>
    <n v="0"/>
    <n v="0"/>
    <n v="0"/>
    <n v="0"/>
    <n v="0"/>
    <n v="0"/>
  </r>
  <r>
    <s v="Tier 1"/>
    <s v="Industrial"/>
    <s v="Demand Response 3"/>
    <s v="Kingston Hydro Corporation"/>
    <s v="DR"/>
    <x v="5"/>
    <x v="2"/>
    <m/>
    <m/>
    <m/>
    <m/>
    <m/>
    <n v="0"/>
    <n v="0"/>
    <n v="0"/>
    <n v="0"/>
    <n v="0"/>
    <n v="0"/>
    <n v="0"/>
    <n v="0"/>
    <n v="0"/>
    <n v="0"/>
    <n v="0"/>
    <n v="0"/>
    <n v="0"/>
    <n v="0"/>
    <n v="0"/>
    <n v="0"/>
    <n v="0"/>
    <n v="0"/>
    <n v="0"/>
    <n v="0"/>
    <n v="0"/>
    <n v="0"/>
    <n v="0"/>
    <n v="0"/>
    <n v="0"/>
    <n v="0"/>
  </r>
  <r>
    <s v="Tier 1"/>
    <s v="Pre-2011 Programs Completed in 2011"/>
    <s v="Electricity Retrofit Incentive Program"/>
    <s v="Kingston Hydro Corporation"/>
    <s v="EE"/>
    <x v="5"/>
    <x v="1"/>
    <m/>
    <m/>
    <m/>
    <m/>
    <m/>
    <n v="1.2423171199999999E-2"/>
    <n v="1.2423171199999999E-2"/>
    <n v="1.2423171199999999E-2"/>
    <n v="1.2423171199999999E-2"/>
    <n v="1.2423171199999999E-2"/>
    <n v="1.2423171199999999E-2"/>
    <n v="1.2423171199999999E-2"/>
    <n v="1.2423171199999999E-2"/>
    <n v="1.2423171199999999E-2"/>
    <n v="1.2423171199999999E-2"/>
    <n v="1.2423171199999999E-2"/>
    <n v="1.2423171199999999E-2"/>
    <n v="1.2423171199999999E-2"/>
    <n v="0"/>
    <n v="0"/>
    <n v="0"/>
    <n v="0"/>
    <n v="0"/>
    <n v="0"/>
    <n v="0"/>
    <n v="0"/>
    <n v="0"/>
    <n v="0"/>
    <n v="0"/>
    <n v="0"/>
    <n v="0"/>
  </r>
  <r>
    <s v="Tier 1"/>
    <s v="Pre-2011 Programs Completed in 2011"/>
    <s v="High Performance New Construction"/>
    <s v="Kingston Hydro Corporation"/>
    <s v="EE"/>
    <x v="5"/>
    <x v="7"/>
    <m/>
    <m/>
    <m/>
    <m/>
    <m/>
    <n v="6.445545105378446E-2"/>
    <n v="6.445545105378446E-2"/>
    <n v="6.445545105378446E-2"/>
    <n v="6.445545105378446E-2"/>
    <n v="6.445545105378446E-2"/>
    <n v="6.445545105378446E-2"/>
    <n v="6.445545105378446E-2"/>
    <n v="6.445545105378446E-2"/>
    <n v="6.445545105378446E-2"/>
    <n v="6.445545105378446E-2"/>
    <n v="6.445545105378446E-2"/>
    <n v="6.445545105378446E-2"/>
    <n v="6.445545105378446E-2"/>
    <n v="6.445545105378446E-2"/>
    <n v="6.445545105378446E-2"/>
    <n v="4.4645105378446223E-4"/>
    <n v="4.4645105378446223E-4"/>
    <n v="4.4645105378446223E-4"/>
    <n v="4.4645105378446223E-4"/>
    <n v="4.4645105378446223E-4"/>
    <n v="4.4645105378446223E-4"/>
    <n v="4.4645105378446223E-4"/>
    <n v="4.4645105378446223E-4"/>
    <n v="4.4645105378446223E-4"/>
    <n v="4.4645105378446223E-4"/>
    <n v="4.4645105378446223E-4"/>
  </r>
  <r>
    <s v="Tier 1"/>
    <s v="Business"/>
    <s v="Direct Install Lighting"/>
    <s v="Kingston Hydro Corporation"/>
    <s v="EE"/>
    <x v="6"/>
    <x v="8"/>
    <m/>
    <m/>
    <m/>
    <m/>
    <m/>
    <n v="0"/>
    <n v="0.2377121381276755"/>
    <n v="0.2377121381276755"/>
    <n v="0.2353244764076512"/>
    <n v="0.17424634752752116"/>
    <n v="0.17424634752752116"/>
    <n v="4.2976796593697394E-2"/>
    <n v="4.2976796593697394E-2"/>
    <n v="4.2834352189810194E-2"/>
    <n v="4.2834352189810194E-2"/>
    <n v="4.2834352189810194E-2"/>
    <n v="3.5453015330728123E-2"/>
    <n v="3.5453015330728123E-2"/>
    <n v="0"/>
    <n v="0"/>
    <n v="0"/>
    <n v="0"/>
    <n v="0"/>
    <n v="0"/>
    <n v="0"/>
    <n v="0"/>
    <n v="0"/>
    <n v="0"/>
    <n v="0"/>
    <n v="0"/>
    <n v="0"/>
  </r>
  <r>
    <s v="Tier 1"/>
    <s v="Business"/>
    <s v="Retrofit"/>
    <s v="Kingston Hydro Corporation"/>
    <s v="EE"/>
    <x v="6"/>
    <x v="9"/>
    <m/>
    <m/>
    <m/>
    <m/>
    <m/>
    <n v="0"/>
    <n v="0.53631086835715347"/>
    <n v="0.53631086835715347"/>
    <n v="0.50824574030219083"/>
    <n v="0.46978124666636023"/>
    <n v="0.46978124666636023"/>
    <n v="0.36495555142924069"/>
    <n v="0.36288057440404975"/>
    <n v="0.36288057440404975"/>
    <n v="0.35207978584178362"/>
    <n v="0.32409897434093177"/>
    <n v="0.28905886587088431"/>
    <n v="0.28905886587088431"/>
    <n v="0.15500419609239907"/>
    <n v="9.0496178911968483E-2"/>
    <n v="9.0496178911968483E-2"/>
    <n v="1.6015694575667556E-2"/>
    <n v="5.3442356042627103E-3"/>
    <n v="5.3442356042627103E-3"/>
    <n v="5.3442356042627103E-3"/>
    <n v="5.3442356042627103E-3"/>
    <n v="0"/>
    <n v="0"/>
    <n v="0"/>
    <n v="0"/>
    <n v="0"/>
  </r>
  <r>
    <s v="Tier 1"/>
    <s v="Business"/>
    <s v="Energy Audit"/>
    <s v="Kingston Hydro Corporation"/>
    <s v="EE"/>
    <x v="6"/>
    <x v="10"/>
    <m/>
    <m/>
    <m/>
    <m/>
    <m/>
    <n v="0"/>
    <n v="2.5885873147823913E-2"/>
    <n v="2.5885873147823913E-2"/>
    <n v="2.5885873147823913E-2"/>
    <n v="2.5885873147823913E-2"/>
    <n v="0"/>
    <n v="0"/>
    <n v="0"/>
    <n v="0"/>
    <n v="0"/>
    <n v="0"/>
    <n v="0"/>
    <n v="0"/>
    <n v="0"/>
    <n v="0"/>
    <n v="0"/>
    <n v="0"/>
    <n v="0"/>
    <n v="0"/>
    <n v="0"/>
    <n v="0"/>
    <n v="0"/>
    <n v="0"/>
    <n v="0"/>
    <n v="0"/>
    <n v="0"/>
  </r>
  <r>
    <s v="Tier 1"/>
    <s v="Business"/>
    <s v="High Performance New Construction"/>
    <s v="Kingston Hydro Corporation"/>
    <s v="EE"/>
    <x v="6"/>
    <x v="11"/>
    <m/>
    <m/>
    <m/>
    <m/>
    <m/>
    <n v="0"/>
    <n v="7.3548999999999999E-4"/>
    <n v="7.3548999999999999E-4"/>
    <n v="7.3548999999999999E-4"/>
    <n v="7.3548999999999999E-4"/>
    <n v="7.3548999999999999E-4"/>
    <n v="7.3548999999999999E-4"/>
    <n v="7.3548999999999999E-4"/>
    <n v="7.3548999999999999E-4"/>
    <n v="7.3548999999999999E-4"/>
    <n v="7.3548999999999999E-4"/>
    <n v="7.3548999999999999E-4"/>
    <n v="7.3548999999999999E-4"/>
    <n v="7.3548999999999999E-4"/>
    <n v="7.2862999999999997E-4"/>
    <n v="6.0661999999999999E-4"/>
    <n v="0"/>
    <n v="0"/>
    <n v="0"/>
    <n v="0"/>
    <n v="0"/>
    <n v="0"/>
    <n v="0"/>
    <n v="0"/>
    <n v="0"/>
    <n v="0"/>
  </r>
  <r>
    <s v="Tier 1"/>
    <s v="Consumer"/>
    <s v="Appliance Exchange"/>
    <s v="Kingston Hydro Corporation"/>
    <s v="EE"/>
    <x v="6"/>
    <x v="0"/>
    <m/>
    <m/>
    <m/>
    <m/>
    <m/>
    <n v="0"/>
    <n v="9.361432367923507E-3"/>
    <n v="9.361432367923507E-3"/>
    <n v="9.361432367923507E-3"/>
    <n v="8.5854502475039632E-3"/>
    <n v="0"/>
    <n v="0"/>
    <n v="0"/>
    <n v="0"/>
    <n v="0"/>
    <n v="0"/>
    <n v="0"/>
    <n v="0"/>
    <n v="0"/>
    <n v="0"/>
    <n v="0"/>
    <n v="0"/>
    <n v="0"/>
    <n v="0"/>
    <n v="0"/>
    <n v="0"/>
    <n v="0"/>
    <n v="0"/>
    <n v="0"/>
    <n v="0"/>
    <n v="0"/>
  </r>
  <r>
    <s v="Tier 1"/>
    <s v="Consumer"/>
    <s v="Appliance Retirement"/>
    <s v="Kingston Hydro Corporation"/>
    <s v="EE"/>
    <x v="6"/>
    <x v="0"/>
    <m/>
    <m/>
    <m/>
    <m/>
    <m/>
    <n v="0"/>
    <n v="5.1037180188290392E-3"/>
    <n v="5.1037180188290392E-3"/>
    <n v="5.1037180188290392E-3"/>
    <n v="5.1037180188290392E-3"/>
    <n v="2.8772237015347152E-3"/>
    <n v="0"/>
    <n v="0"/>
    <n v="0"/>
    <n v="0"/>
    <n v="0"/>
    <n v="0"/>
    <n v="0"/>
    <n v="0"/>
    <n v="0"/>
    <n v="0"/>
    <n v="0"/>
    <n v="0"/>
    <n v="0"/>
    <n v="0"/>
    <n v="0"/>
    <n v="0"/>
    <n v="0"/>
    <n v="0"/>
    <n v="0"/>
    <n v="0"/>
  </r>
  <r>
    <s v="Tier 1"/>
    <s v="Consumer"/>
    <s v="Bi-Annual Retailer Event"/>
    <s v="Kingston Hydro Corporation"/>
    <s v="EE"/>
    <x v="6"/>
    <x v="0"/>
    <m/>
    <m/>
    <m/>
    <m/>
    <m/>
    <n v="0"/>
    <n v="7.4202865281649492E-3"/>
    <n v="7.4202865281649492E-3"/>
    <n v="7.4202865281649492E-3"/>
    <n v="7.4202865281649492E-3"/>
    <n v="6.7919315565284155E-3"/>
    <n v="5.7475746556723412E-3"/>
    <n v="4.3028235072494455E-3"/>
    <n v="4.2869368937000583E-3"/>
    <n v="4.2869368937000583E-3"/>
    <n v="2.7646928861183463E-3"/>
    <n v="1.0816562553620282E-3"/>
    <n v="1.0815612839661095E-3"/>
    <n v="1.0815612839661095E-3"/>
    <n v="1.0630008934500884E-3"/>
    <n v="1.0630008934500884E-3"/>
    <n v="1.0365899507272559E-3"/>
    <n v="2.9084714567998273E-4"/>
    <n v="2.9084714567998273E-4"/>
    <n v="2.9084714567998273E-4"/>
    <n v="2.9084714567998273E-4"/>
    <n v="0"/>
    <n v="0"/>
    <n v="0"/>
    <n v="0"/>
    <n v="0"/>
  </r>
  <r>
    <s v="Tier 1"/>
    <s v="Consumer"/>
    <s v="Conservation Instant Coupon Booklet"/>
    <s v="Kingston Hydro Corporation"/>
    <s v="EE"/>
    <x v="6"/>
    <x v="0"/>
    <m/>
    <m/>
    <m/>
    <m/>
    <m/>
    <n v="0"/>
    <n v="1.1552491382742643E-3"/>
    <n v="1.1552491382742643E-3"/>
    <n v="1.1552491382742643E-3"/>
    <n v="1.1552491382742643E-3"/>
    <n v="1.1503725825611241E-3"/>
    <n v="1.1503725825611241E-3"/>
    <n v="9.8120824983549725E-4"/>
    <n v="9.7915971282518154E-4"/>
    <n v="9.7915971282518154E-4"/>
    <n v="9.7915971282518154E-4"/>
    <n v="1.8011337818279915E-5"/>
    <n v="1.7998933673902362E-5"/>
    <n v="1.7998933673902362E-5"/>
    <n v="1.7350808173443171E-5"/>
    <n v="1.7350808173443171E-5"/>
    <n v="1.6207027189383499E-5"/>
    <n v="0"/>
    <n v="0"/>
    <n v="0"/>
    <n v="0"/>
    <n v="0"/>
    <n v="0"/>
    <n v="0"/>
    <n v="0"/>
    <n v="0"/>
  </r>
  <r>
    <s v="Tier 1"/>
    <s v="Consumer"/>
    <s v="HVAC Incentives"/>
    <s v="Kingston Hydro Corporation"/>
    <s v="EE"/>
    <x v="6"/>
    <x v="0"/>
    <m/>
    <m/>
    <m/>
    <m/>
    <m/>
    <n v="0"/>
    <n v="5.2903506202825884E-2"/>
    <n v="5.2903506202825884E-2"/>
    <n v="5.2903506202825884E-2"/>
    <n v="5.2903506202825884E-2"/>
    <n v="5.2903506202825884E-2"/>
    <n v="5.2903506202825884E-2"/>
    <n v="5.2903506202825884E-2"/>
    <n v="5.2903506202825884E-2"/>
    <n v="5.2903506202825884E-2"/>
    <n v="5.2903506202825884E-2"/>
    <n v="5.2903506202825884E-2"/>
    <n v="5.2903506202825884E-2"/>
    <n v="5.2903506202825884E-2"/>
    <n v="5.2903506202825884E-2"/>
    <n v="5.2903506202825884E-2"/>
    <n v="5.2903506202825884E-2"/>
    <n v="5.2903506202825884E-2"/>
    <n v="5.2903506202825884E-2"/>
    <n v="4.6795541453567097E-2"/>
    <n v="0"/>
    <n v="0"/>
    <n v="0"/>
    <n v="0"/>
    <n v="0"/>
    <n v="0"/>
  </r>
  <r>
    <s v="Tier 1"/>
    <s v="Home Assistance"/>
    <s v="Home Assistance Program"/>
    <s v="Kingston Hydro Corporation"/>
    <s v="EE"/>
    <x v="6"/>
    <x v="0"/>
    <m/>
    <m/>
    <m/>
    <m/>
    <m/>
    <n v="0"/>
    <n v="5.8680801645386964E-3"/>
    <n v="5.740084510296584E-3"/>
    <n v="5.740084510296584E-3"/>
    <n v="5.740084510296584E-3"/>
    <n v="5.7348379353061342E-3"/>
    <n v="5.7348379353061342E-3"/>
    <n v="5.5974858012050391E-3"/>
    <n v="5.5974858012050391E-3"/>
    <n v="4.7108665630221369E-3"/>
    <n v="4.4496073946356778E-3"/>
    <n v="3.8620629180222748E-3"/>
    <n v="3.8620629180222748E-3"/>
    <n v="3.5703033376485111E-3"/>
    <n v="3.5703033376485111E-3"/>
    <n v="2.5357797909528017E-3"/>
    <n v="1.7523977309465409E-3"/>
    <n v="1.7523977309465409E-3"/>
    <n v="1.7523977309465409E-3"/>
    <n v="1.7523977309465409E-3"/>
    <n v="1.7523977309465409E-3"/>
    <n v="1.7172221839427949E-4"/>
    <n v="0"/>
    <n v="0"/>
    <n v="0"/>
    <n v="0"/>
  </r>
  <r>
    <s v="Tier 1"/>
    <s v="Industrial"/>
    <s v="Demand Response 3"/>
    <s v="Kingston Hydro Corporation"/>
    <s v="DR"/>
    <x v="6"/>
    <x v="12"/>
    <m/>
    <m/>
    <m/>
    <m/>
    <m/>
    <n v="0"/>
    <n v="0.34920435999999999"/>
    <n v="0"/>
    <n v="0"/>
    <n v="0"/>
    <n v="0"/>
    <n v="0"/>
    <n v="0"/>
    <n v="0"/>
    <n v="0"/>
    <n v="0"/>
    <n v="0"/>
    <n v="0"/>
    <n v="0"/>
    <n v="0"/>
    <n v="0"/>
    <n v="0"/>
    <n v="0"/>
    <n v="0"/>
    <n v="0"/>
    <n v="0"/>
    <n v="0"/>
    <n v="0"/>
    <n v="0"/>
    <n v="0"/>
    <n v="0"/>
  </r>
  <r>
    <s v="Tier 1"/>
    <s v="Pre-2011 Programs Completed in 2011"/>
    <s v="High Performance New Construction"/>
    <s v="Kingston Hydro Corporation"/>
    <s v="EE"/>
    <x v="6"/>
    <x v="7"/>
    <m/>
    <m/>
    <m/>
    <m/>
    <m/>
    <n v="0"/>
    <n v="9.0391555267743048E-2"/>
    <n v="9.0391555267743048E-2"/>
    <n v="9.0391555267743048E-2"/>
    <n v="9.0391555267743048E-2"/>
    <n v="9.0391555267743048E-2"/>
    <n v="9.0391555267743048E-2"/>
    <n v="9.0391555267743048E-2"/>
    <n v="9.0391555267743048E-2"/>
    <n v="9.0391555267743048E-2"/>
    <n v="9.0391555267743048E-2"/>
    <n v="9.0391555267743048E-2"/>
    <n v="9.0391555267743048E-2"/>
    <n v="0"/>
    <n v="0"/>
    <n v="0"/>
    <n v="0"/>
    <n v="0"/>
    <n v="0"/>
    <n v="0"/>
    <n v="0"/>
    <n v="0"/>
    <n v="0"/>
    <n v="0"/>
    <n v="0"/>
    <n v="0"/>
  </r>
  <r>
    <s v="Tier 1"/>
    <s v="Business"/>
    <s v="Demand Response 3 (part of the Industrial program schedule)"/>
    <s v="Kingston Hydro Corporation"/>
    <s v="DR"/>
    <x v="6"/>
    <x v="12"/>
    <m/>
    <m/>
    <m/>
    <m/>
    <m/>
    <n v="0"/>
    <n v="4.0302177390000002"/>
    <n v="0"/>
    <n v="0"/>
    <n v="0"/>
    <n v="0"/>
    <n v="0"/>
    <n v="0"/>
    <n v="0"/>
    <n v="0"/>
    <n v="0"/>
    <n v="0"/>
    <n v="0"/>
    <n v="0"/>
    <n v="0"/>
    <n v="0"/>
    <n v="0"/>
    <n v="0"/>
    <n v="0"/>
    <n v="0"/>
    <n v="0"/>
    <n v="0"/>
    <n v="0"/>
    <n v="0"/>
    <n v="0"/>
    <n v="0"/>
  </r>
  <r>
    <s v="Tier 1 - 2011 Adjustment"/>
    <s v="Business"/>
    <s v="Retrofit"/>
    <s v="Kingston Hydro Corporation"/>
    <s v="EE"/>
    <x v="5"/>
    <x v="5"/>
    <m/>
    <m/>
    <m/>
    <m/>
    <m/>
    <n v="3.378154859751618E-3"/>
    <n v="3.378154859751618E-3"/>
    <n v="3.378154859751618E-3"/>
    <n v="3.1507325252195365E-3"/>
    <n v="3.1507325252195365E-3"/>
    <n v="3.1507325252195365E-3"/>
    <n v="8.1429638321821318E-4"/>
    <n v="8.1429638321821318E-4"/>
    <n v="8.1429638321821318E-4"/>
    <n v="8.1429638321821318E-4"/>
    <n v="6.7051569755659322E-4"/>
    <n v="6.7051569755659322E-4"/>
    <n v="0"/>
    <n v="0"/>
    <n v="0"/>
    <n v="0"/>
    <n v="0"/>
    <n v="0"/>
    <n v="0"/>
    <n v="0"/>
    <n v="0"/>
    <n v="0"/>
    <n v="0"/>
    <n v="0"/>
    <n v="0"/>
    <n v="0"/>
  </r>
  <r>
    <s v="Tier 1 - 2011 Adjustment"/>
    <s v="Business"/>
    <s v="Direct Install Lighting"/>
    <s v="Kingston Hydro Corporation"/>
    <s v="EE"/>
    <x v="5"/>
    <x v="4"/>
    <m/>
    <m/>
    <m/>
    <m/>
    <m/>
    <n v="5.4381765160506929E-3"/>
    <n v="5.4381765160506929E-3"/>
    <n v="5.4381765160506929E-3"/>
    <n v="5.4381765160506929E-3"/>
    <n v="5.4381765160506929E-3"/>
    <n v="5.4381765160506929E-3"/>
    <n v="1.5335196912846338E-3"/>
    <n v="1.5335196912846338E-3"/>
    <n v="1.5335196912846338E-3"/>
    <n v="1.5335196912846338E-3"/>
    <n v="1.3779786256772517E-3"/>
    <n v="1.3779786256772517E-3"/>
    <n v="0"/>
    <n v="0"/>
    <n v="0"/>
    <n v="0"/>
    <n v="0"/>
    <n v="0"/>
    <n v="0"/>
    <n v="0"/>
    <n v="0"/>
    <n v="0"/>
    <n v="0"/>
    <n v="0"/>
    <n v="0"/>
    <n v="0"/>
  </r>
  <r>
    <s v="Tier 1 - 2011 Adjustment"/>
    <s v="Business"/>
    <s v="Energy Audit"/>
    <s v="Kingston Hydro Corporation"/>
    <s v="EE"/>
    <x v="5"/>
    <x v="6"/>
    <m/>
    <m/>
    <m/>
    <m/>
    <m/>
    <n v="1.0354349259129566E-2"/>
    <n v="1.0354349259129566E-2"/>
    <n v="1.0354349259129566E-2"/>
    <n v="1.0354349259129566E-2"/>
    <n v="1.0354349259129566E-2"/>
    <n v="0"/>
    <n v="0"/>
    <n v="0"/>
    <n v="0"/>
    <n v="0"/>
    <n v="0"/>
    <n v="0"/>
    <n v="0"/>
    <n v="0"/>
    <n v="0"/>
    <n v="0"/>
    <n v="0"/>
    <n v="0"/>
    <n v="0"/>
    <n v="0"/>
    <n v="0"/>
    <n v="0"/>
    <n v="0"/>
    <n v="0"/>
    <n v="0"/>
    <n v="0"/>
  </r>
  <r>
    <s v="Tier 1 - 2011 Adjustment"/>
    <s v="Pre-2011 Programs Completed in 2011"/>
    <s v="High Performance New Construction"/>
    <s v="Kingston Hydro Corporation"/>
    <s v="EE"/>
    <x v="5"/>
    <x v="7"/>
    <m/>
    <m/>
    <m/>
    <m/>
    <m/>
    <n v="8.6568548946215532E-2"/>
    <n v="8.6568548946215532E-2"/>
    <n v="8.6568548946215532E-2"/>
    <n v="8.6568548946215532E-2"/>
    <n v="8.6568548946215504E-2"/>
    <n v="8.6568548946215504E-2"/>
    <n v="8.6568548946215504E-2"/>
    <n v="8.6568548946215504E-2"/>
    <n v="8.6568548946215504E-2"/>
    <n v="8.6568548946215504E-2"/>
    <n v="8.6568548946215504E-2"/>
    <n v="8.6568548946215504E-2"/>
    <n v="8.6568548946215504E-2"/>
    <n v="8.6568548946215504E-2"/>
    <n v="8.6568548946215504E-2"/>
    <n v="0"/>
    <n v="0"/>
    <n v="0"/>
    <n v="0"/>
    <n v="0"/>
    <n v="0"/>
    <n v="0"/>
    <n v="0"/>
    <n v="0"/>
    <n v="0"/>
    <n v="0"/>
  </r>
  <r>
    <s v="Tier 1 - 2011 Adjustment"/>
    <s v="Consumer"/>
    <s v="HVAC Incentives"/>
    <s v="Kingston Hydro Corporation"/>
    <s v="EE"/>
    <x v="5"/>
    <x v="0"/>
    <m/>
    <m/>
    <m/>
    <m/>
    <m/>
    <n v="-2.3685847270150318E-2"/>
    <n v="-2.3685847270150318E-2"/>
    <n v="-2.3685847270150318E-2"/>
    <n v="-2.3685847270150318E-2"/>
    <n v="-2.3685847270150318E-2"/>
    <n v="-2.3685847270150318E-2"/>
    <n v="-2.3685847270150318E-2"/>
    <n v="-2.3685847270150318E-2"/>
    <n v="-2.3685847270150318E-2"/>
    <n v="-2.3685847270150318E-2"/>
    <n v="-2.3685847270150318E-2"/>
    <n v="-2.3685847270150318E-2"/>
    <n v="-2.3685847270150318E-2"/>
    <n v="-2.3685847270150318E-2"/>
    <n v="-2.3685847270150318E-2"/>
    <n v="-2.3685847270150318E-2"/>
    <n v="-2.3685847270150318E-2"/>
    <n v="-2.3685847270150318E-2"/>
    <n v="-2.1446832855818238E-2"/>
    <n v="0"/>
    <n v="0"/>
    <n v="0"/>
    <n v="0"/>
    <n v="0"/>
    <n v="0"/>
    <n v="0"/>
  </r>
  <r>
    <s v="Tier 1 - 2011 Adjustment"/>
    <s v="Consumer"/>
    <s v="Bi-Annual Retailer Event"/>
    <s v="Kingston Hydro Corporation"/>
    <s v="EE"/>
    <x v="5"/>
    <x v="0"/>
    <m/>
    <m/>
    <m/>
    <m/>
    <m/>
    <n v="5.4080493656570279E-4"/>
    <n v="5.4080493656570279E-4"/>
    <n v="5.4080493656570279E-4"/>
    <n v="5.4080493656570279E-4"/>
    <n v="5.4080493656570279E-4"/>
    <n v="4.9453369266803601E-4"/>
    <n v="2.8260324476133932E-4"/>
    <n v="2.824783436041136E-4"/>
    <n v="2.824783436041136E-4"/>
    <n v="8.8700957299895782E-5"/>
    <n v="3.6854148344642996E-5"/>
    <n v="3.6844282817465873E-5"/>
    <n v="3.6844282817465873E-5"/>
    <n v="3.5150193788265586E-5"/>
    <n v="3.5150193788265586E-5"/>
    <n v="3.5072623649487696E-5"/>
    <n v="0"/>
    <n v="0"/>
    <n v="0"/>
    <n v="0"/>
    <n v="0"/>
    <n v="0"/>
    <n v="0"/>
    <n v="0"/>
    <n v="0"/>
    <n v="0"/>
  </r>
  <r>
    <s v="Tier 1 - 2011 Adjustment"/>
    <s v="Consumer"/>
    <s v="Conservation Instant Coupon Booklet"/>
    <s v="Kingston Hydro Corporation"/>
    <s v="EE"/>
    <x v="5"/>
    <x v="0"/>
    <m/>
    <m/>
    <m/>
    <m/>
    <m/>
    <n v="8.0716536029210186E-5"/>
    <n v="8.0716536029210186E-5"/>
    <n v="8.0716536029210186E-5"/>
    <n v="8.0716536029210186E-5"/>
    <n v="8.0716536029210186E-5"/>
    <n v="7.5192632285304986E-5"/>
    <n v="5.2593472630295316E-5"/>
    <n v="5.2473064996120374E-5"/>
    <n v="5.2473064996120374E-5"/>
    <n v="2.9339742017871936E-5"/>
    <n v="3.8783157347381345E-6"/>
    <n v="3.8742248453693084E-6"/>
    <n v="3.8742248453693084E-6"/>
    <n v="3.7736336550427315E-6"/>
    <n v="3.7736336550427315E-6"/>
    <n v="3.7046160849597967E-6"/>
    <n v="0"/>
    <n v="0"/>
    <n v="0"/>
    <n v="0"/>
    <n v="0"/>
    <n v="0"/>
    <n v="0"/>
    <n v="0"/>
    <n v="0"/>
    <n v="0"/>
  </r>
  <r>
    <s v="LDC"/>
    <s v="Business"/>
    <s v="Energy Audit Funding"/>
    <s v="Kingston Hydro Corporation"/>
    <s v="EE"/>
    <x v="6"/>
    <x v="10"/>
    <m/>
    <m/>
    <m/>
    <m/>
    <m/>
    <s v=""/>
    <n v="1.0354349258999999E-2"/>
    <n v="1.0354349258999999E-2"/>
    <n v="1.0354349258999999E-2"/>
    <n v="1.0354349258999999E-2"/>
    <s v=""/>
    <s v=""/>
    <s v=""/>
    <s v=""/>
    <s v=""/>
    <s v=""/>
    <s v=""/>
    <s v=""/>
    <s v=""/>
    <s v=""/>
    <s v=""/>
    <s v=""/>
    <s v=""/>
    <s v=""/>
    <s v=""/>
    <s v=""/>
    <s v=""/>
    <s v=""/>
    <s v=""/>
    <s v=""/>
    <s v=""/>
  </r>
  <r>
    <s v="LDC"/>
    <s v="Business"/>
    <s v="Energy Audit Funding"/>
    <s v="Kingston Hydro Corporation"/>
    <s v="EE"/>
    <x v="7"/>
    <x v="13"/>
    <m/>
    <m/>
    <m/>
    <m/>
    <m/>
    <s v=""/>
    <s v=""/>
    <n v="1.7625353245999998E-2"/>
    <n v="1.7625353245999998E-2"/>
    <n v="1.7625353245999998E-2"/>
    <n v="1.7625353245999998E-2"/>
    <s v=""/>
    <s v=""/>
    <s v=""/>
    <s v=""/>
    <s v=""/>
    <s v=""/>
    <s v=""/>
    <s v=""/>
    <s v=""/>
    <s v=""/>
    <s v=""/>
    <s v=""/>
    <s v=""/>
    <s v=""/>
    <s v=""/>
    <s v=""/>
    <s v=""/>
    <s v=""/>
    <s v=""/>
    <s v=""/>
  </r>
  <r>
    <s v="LDC"/>
    <s v="Business"/>
    <s v="DR-3"/>
    <s v="Kingston Hydro Corporation"/>
    <s v="DR"/>
    <x v="7"/>
    <x v="12"/>
    <m/>
    <m/>
    <m/>
    <m/>
    <m/>
    <s v=""/>
    <s v=""/>
    <n v="3.8944540000000001"/>
    <s v=""/>
    <s v=""/>
    <s v=""/>
    <s v=""/>
    <s v=""/>
    <s v=""/>
    <s v=""/>
    <s v=""/>
    <s v=""/>
    <s v=""/>
    <s v=""/>
    <s v=""/>
    <s v=""/>
    <s v=""/>
    <s v=""/>
    <s v=""/>
    <s v=""/>
    <s v=""/>
    <s v=""/>
    <s v=""/>
    <s v=""/>
    <s v=""/>
    <s v=""/>
  </r>
  <r>
    <s v="LDC"/>
    <s v="Business"/>
    <s v="New Construction"/>
    <s v="Kingston Hydro Corporation"/>
    <s v="EE"/>
    <x v="7"/>
    <x v="14"/>
    <m/>
    <m/>
    <m/>
    <m/>
    <m/>
    <s v=""/>
    <s v=""/>
    <n v="2.1600000000000001E-2"/>
    <n v="2.1600000000000001E-2"/>
    <n v="2.1600000000000001E-2"/>
    <n v="2.1600000000000001E-2"/>
    <n v="2.1600000000000001E-2"/>
    <n v="2.1600000000000001E-2"/>
    <n v="2.1600000000000001E-2"/>
    <n v="2.1600000000000001E-2"/>
    <n v="2.1600000000000001E-2"/>
    <n v="2.1600000000000001E-2"/>
    <n v="2.1600000000000001E-2"/>
    <n v="2.1600000000000001E-2"/>
    <n v="2.1600000000000001E-2"/>
    <n v="2.1600000000000001E-2"/>
    <n v="2.1600000000000001E-2"/>
    <n v="0"/>
    <n v="0"/>
    <n v="0"/>
    <n v="0"/>
    <n v="0"/>
    <n v="0"/>
    <n v="0"/>
    <n v="0"/>
    <n v="0"/>
  </r>
  <r>
    <s v="LDC"/>
    <s v="Business"/>
    <s v="Retrofit"/>
    <s v="Kingston Hydro Corporation"/>
    <s v="EE"/>
    <x v="6"/>
    <x v="9"/>
    <m/>
    <m/>
    <m/>
    <m/>
    <m/>
    <s v=""/>
    <n v="1.3515025522E-2"/>
    <n v="1.3515025522E-2"/>
    <n v="1.3515025522E-2"/>
    <n v="1.3515025522E-2"/>
    <n v="1.3515025522E-2"/>
    <n v="1.3515025522E-2"/>
    <n v="1.3515025522E-2"/>
    <n v="1.3515025522E-2"/>
    <n v="1.3515025522E-2"/>
    <n v="1.3515025522E-2"/>
    <n v="1.3515025522E-2"/>
    <n v="1.3515025522E-2"/>
    <n v="1.3515025522E-2"/>
    <n v="1.3515025522E-2"/>
    <n v="1.3515025522E-2"/>
    <n v="9.6639943269999987E-3"/>
    <n v="0"/>
    <n v="0"/>
    <n v="0"/>
    <n v="0"/>
    <n v="0"/>
    <n v="0"/>
    <n v="0"/>
    <n v="0"/>
    <n v="0"/>
  </r>
  <r>
    <s v="LDC"/>
    <s v="Business"/>
    <s v="Retrofit"/>
    <s v="Kingston Hydro Corporation"/>
    <s v="EE"/>
    <x v="7"/>
    <x v="15"/>
    <m/>
    <m/>
    <m/>
    <m/>
    <m/>
    <s v=""/>
    <s v=""/>
    <n v="0.240247059165"/>
    <n v="0.240247059165"/>
    <n v="0.240247059165"/>
    <n v="0.15139045493600001"/>
    <n v="0.138290203567"/>
    <n v="0.136043313458"/>
    <n v="0.136043313458"/>
    <n v="0.136043313458"/>
    <n v="0.13564660698"/>
    <n v="0.122835742931"/>
    <n v="0.10722446109"/>
    <n v="0.10722446109"/>
    <n v="6.8424480384000008E-2"/>
    <n v="6.8424480384000008E-2"/>
    <n v="6.8424480384000008E-2"/>
    <n v="5.9805434121999998E-2"/>
    <n v="2.3652452804999998E-2"/>
    <n v="2.3472398347E-2"/>
    <n v="2.3472398347E-2"/>
    <n v="2.3472398347E-2"/>
    <n v="0"/>
    <n v="0"/>
    <n v="0"/>
    <n v="0"/>
  </r>
  <r>
    <s v="LDC"/>
    <s v="Business"/>
    <s v="Small Business Lighting"/>
    <s v="Kingston Hydro Corporation"/>
    <s v="EE"/>
    <x v="6"/>
    <x v="8"/>
    <m/>
    <m/>
    <m/>
    <m/>
    <m/>
    <s v=""/>
    <n v="1.9581511959999999E-2"/>
    <n v="1.9581511959999999E-2"/>
    <n v="1.9581511959999999E-2"/>
    <n v="1.5990289335000001E-2"/>
    <n v="1.5990289335000001E-2"/>
    <n v="4.8894790290000007E-3"/>
    <n v="4.8894790290000007E-3"/>
    <n v="4.8894790290000007E-3"/>
    <n v="4.8894790290000007E-3"/>
    <n v="4.8894790290000007E-3"/>
    <n v="4.2056494559999996E-3"/>
    <n v="4.2056494559999996E-3"/>
    <n v="0"/>
    <n v="0"/>
    <n v="0"/>
    <n v="0"/>
    <n v="0"/>
    <n v="0"/>
    <n v="0"/>
    <n v="0"/>
    <n v="0"/>
    <n v="0"/>
    <n v="0"/>
    <n v="0"/>
    <n v="0"/>
  </r>
  <r>
    <s v="LDC"/>
    <s v="Business"/>
    <s v="Small Business Lighting"/>
    <s v="Kingston Hydro Corporation"/>
    <s v="EE"/>
    <x v="7"/>
    <x v="16"/>
    <m/>
    <m/>
    <m/>
    <m/>
    <m/>
    <s v=""/>
    <s v=""/>
    <n v="6.4120936588000013E-2"/>
    <n v="6.4120936588000013E-2"/>
    <n v="6.2021401407E-2"/>
    <n v="4.8870097676E-2"/>
    <n v="1.9300007295000001E-2"/>
    <n v="1.9300007295000001E-2"/>
    <n v="1.9300007295000001E-2"/>
    <n v="1.9300007295000001E-2"/>
    <n v="1.9300007295000001E-2"/>
    <n v="1.9300007295000001E-2"/>
    <n v="1.7743160717999997E-2"/>
    <n v="1.5942877756E-2"/>
    <n v="0"/>
    <n v="0"/>
    <n v="0"/>
    <n v="0"/>
    <n v="0"/>
    <n v="0"/>
    <n v="0"/>
    <n v="0"/>
    <n v="0"/>
    <n v="0"/>
    <n v="0"/>
    <n v="0"/>
  </r>
  <r>
    <s v="LDC"/>
    <s v="Consumer"/>
    <s v="Annual Coupons"/>
    <s v="Kingston Hydro Corporation"/>
    <s v="EE"/>
    <x v="7"/>
    <x v="0"/>
    <m/>
    <m/>
    <m/>
    <m/>
    <m/>
    <n v="0"/>
    <n v="0"/>
    <n v="2.5900391630000004E-3"/>
    <n v="2.5900391630000004E-3"/>
    <n v="2.4965525639999999E-3"/>
    <n v="2.140165062E-3"/>
    <n v="2.140165062E-3"/>
    <n v="2.140165062E-3"/>
    <n v="2.140165062E-3"/>
    <n v="2.1371703809999996E-3"/>
    <n v="1.598479671E-3"/>
    <n v="1.598479671E-3"/>
    <n v="1.2840042039999999E-3"/>
    <n v="1.2839682709999999E-3"/>
    <n v="1.2839682709999999E-3"/>
    <n v="1.2820541219999999E-3"/>
    <n v="1.2820541219999999E-3"/>
    <n v="1.2804860680000001E-3"/>
    <n v="1.2409174000000002E-3"/>
    <n v="7.2839098099999997E-4"/>
    <n v="7.2839098099999997E-4"/>
    <n v="7.2839098099999997E-4"/>
    <n v="0"/>
    <n v="0"/>
    <n v="0"/>
    <n v="0"/>
  </r>
  <r>
    <s v="LDC"/>
    <s v="Consumer"/>
    <s v="Appliance Exchange"/>
    <s v="Kingston Hydro Corporation"/>
    <s v="EE"/>
    <x v="7"/>
    <x v="0"/>
    <m/>
    <m/>
    <m/>
    <m/>
    <m/>
    <s v=""/>
    <s v=""/>
    <n v="1.4503586930000002E-3"/>
    <n v="1.4503586930000002E-3"/>
    <n v="1.4503586930000002E-3"/>
    <n v="1.4503586930000002E-3"/>
    <n v="0"/>
    <n v="0"/>
    <n v="0"/>
    <n v="0"/>
    <n v="0"/>
    <n v="0"/>
    <n v="0"/>
    <n v="0"/>
    <n v="0"/>
    <n v="0"/>
    <n v="0"/>
    <n v="0"/>
    <n v="0"/>
    <n v="0"/>
    <n v="0"/>
    <n v="0"/>
    <n v="0"/>
    <n v="0"/>
    <n v="0"/>
    <n v="0"/>
  </r>
  <r>
    <s v="LDC"/>
    <s v="Consumer"/>
    <s v="Appliance Retirement"/>
    <s v="Kingston Hydro Corporation"/>
    <s v="EE"/>
    <x v="7"/>
    <x v="0"/>
    <m/>
    <m/>
    <m/>
    <m/>
    <m/>
    <s v=""/>
    <s v=""/>
    <n v="3.0973453819999998E-3"/>
    <n v="3.0973453819999998E-3"/>
    <n v="3.0973453819999998E-3"/>
    <n v="2.9925613520000002E-3"/>
    <n v="1.941960267E-3"/>
    <n v="0"/>
    <n v="0"/>
    <n v="0"/>
    <n v="0"/>
    <n v="0"/>
    <n v="0"/>
    <n v="0"/>
    <n v="0"/>
    <n v="0"/>
    <n v="0"/>
    <n v="0"/>
    <n v="0"/>
    <n v="0"/>
    <n v="0"/>
    <n v="0"/>
    <n v="0"/>
    <n v="0"/>
    <n v="0"/>
    <n v="0"/>
  </r>
  <r>
    <s v="LDC"/>
    <s v="Consumer"/>
    <s v="Bi-Annual Retailer Events"/>
    <s v="Kingston Hydro Corporation"/>
    <s v="EE"/>
    <x v="7"/>
    <x v="0"/>
    <m/>
    <m/>
    <m/>
    <m/>
    <m/>
    <n v="0"/>
    <n v="0"/>
    <n v="5.9345990720000002E-3"/>
    <n v="5.9345990720000002E-3"/>
    <n v="5.6087923719999998E-3"/>
    <n v="4.496896805E-3"/>
    <n v="4.496896805E-3"/>
    <n v="4.496896805E-3"/>
    <n v="4.496896805E-3"/>
    <n v="4.4883901749999998E-3"/>
    <n v="3.8577274090000001E-3"/>
    <n v="3.8577274090000001E-3"/>
    <n v="2.7992783100000002E-3"/>
    <n v="1.8081310680000001E-3"/>
    <n v="1.8081310680000001E-3"/>
    <n v="1.7725121669999999E-3"/>
    <n v="1.7725121669999999E-3"/>
    <n v="1.754238701E-3"/>
    <n v="1.5142027510000001E-3"/>
    <n v="8.8880281900000004E-4"/>
    <n v="8.8880281900000004E-4"/>
    <n v="8.8880281900000004E-4"/>
    <n v="0"/>
    <n v="0"/>
    <n v="0"/>
    <n v="0"/>
  </r>
  <r>
    <s v="LDC"/>
    <s v="Consumer"/>
    <s v="Home Assistance Program"/>
    <s v="Kingston Hydro Corporation"/>
    <s v="EE"/>
    <x v="7"/>
    <x v="0"/>
    <m/>
    <m/>
    <m/>
    <m/>
    <m/>
    <n v="0"/>
    <n v="0"/>
    <n v="2.6881332139E-2"/>
    <n v="2.6594034959E-2"/>
    <n v="2.6498184522E-2"/>
    <n v="2.5358590766999999E-2"/>
    <n v="2.4864018113E-2"/>
    <n v="2.4407409516000001E-2"/>
    <n v="2.3978436115000001E-2"/>
    <n v="2.3978436115000001E-2"/>
    <n v="1.9200819296999998E-2"/>
    <n v="1.8318592785000001E-2"/>
    <n v="1.7074210947000002E-2"/>
    <n v="1.7073214578000002E-2"/>
    <n v="1.4518080371000001E-2"/>
    <n v="1.4518080371000001E-2"/>
    <n v="5.8331719660000003E-3"/>
    <n v="4.5462213530000004E-3"/>
    <n v="4.5462213530000004E-3"/>
    <n v="4.5462213530000004E-3"/>
    <n v="4.5462213530000004E-3"/>
    <n v="4.5462213530000004E-3"/>
    <n v="2.4835860950000004E-3"/>
    <n v="0"/>
    <n v="0"/>
    <n v="0"/>
  </r>
  <r>
    <s v="LDC"/>
    <s v="Consumer"/>
    <s v="HVAC"/>
    <s v="Kingston Hydro Corporation"/>
    <s v="EE"/>
    <x v="6"/>
    <x v="0"/>
    <m/>
    <m/>
    <m/>
    <m/>
    <m/>
    <s v=""/>
    <n v="1.765202916E-3"/>
    <n v="1.765202916E-3"/>
    <n v="1.765202916E-3"/>
    <n v="1.765202916E-3"/>
    <n v="1.765202916E-3"/>
    <n v="1.765202916E-3"/>
    <n v="1.765202916E-3"/>
    <n v="1.765202916E-3"/>
    <n v="1.765202916E-3"/>
    <n v="1.765202916E-3"/>
    <n v="1.765202916E-3"/>
    <n v="1.765202916E-3"/>
    <n v="1.765202916E-3"/>
    <n v="1.765202916E-3"/>
    <n v="1.765202916E-3"/>
    <n v="1.765202916E-3"/>
    <n v="1.765202916E-3"/>
    <n v="1.765202916E-3"/>
    <n v="1.765202916E-3"/>
    <n v="1.5037883720000001E-3"/>
    <n v="0"/>
    <n v="0"/>
    <n v="0"/>
    <n v="0"/>
    <n v="0"/>
  </r>
  <r>
    <s v="LDC"/>
    <s v="Consumer"/>
    <s v="HVAC"/>
    <s v="Kingston Hydro Corporation"/>
    <s v="EE"/>
    <x v="7"/>
    <x v="0"/>
    <m/>
    <m/>
    <m/>
    <m/>
    <m/>
    <s v=""/>
    <s v=""/>
    <n v="3.8167186908999999E-2"/>
    <n v="3.8167186908999999E-2"/>
    <n v="3.8167186908999999E-2"/>
    <n v="3.8167186908999999E-2"/>
    <n v="3.8167186908999999E-2"/>
    <n v="3.8167186908999999E-2"/>
    <n v="3.8167186908999999E-2"/>
    <n v="3.8167186908999999E-2"/>
    <n v="3.8167186908999999E-2"/>
    <n v="3.8167186908999999E-2"/>
    <n v="3.8167186908999999E-2"/>
    <n v="3.8167186908999999E-2"/>
    <n v="3.8167186908999999E-2"/>
    <n v="3.8167186908999999E-2"/>
    <n v="3.8167186908999999E-2"/>
    <n v="3.8167186908999999E-2"/>
    <n v="3.8167186908999999E-2"/>
    <n v="3.8167186908999999E-2"/>
    <n v="3.4181807161999998E-2"/>
    <n v="0"/>
    <n v="0"/>
    <n v="0"/>
    <n v="0"/>
    <n v="0"/>
  </r>
  <r>
    <s v="LDC"/>
    <s v="Industrial"/>
    <s v="DR-3"/>
    <s v="Kingston Hydro Corporation"/>
    <s v="DR"/>
    <x v="7"/>
    <x v="2"/>
    <m/>
    <m/>
    <m/>
    <m/>
    <m/>
    <s v=""/>
    <s v=""/>
    <n v="0.32550490000000004"/>
    <s v=""/>
    <s v=""/>
    <s v=""/>
    <s v=""/>
    <s v=""/>
    <s v=""/>
    <s v=""/>
    <s v=""/>
    <s v=""/>
    <s v=""/>
    <s v=""/>
    <s v=""/>
    <s v=""/>
    <s v=""/>
    <s v=""/>
    <s v=""/>
    <s v=""/>
    <s v=""/>
    <s v=""/>
    <s v=""/>
    <s v=""/>
    <s v=""/>
    <s v=""/>
  </r>
  <r>
    <s v="KH Projections"/>
    <s v="Business"/>
    <s v="Energy Audit Funding"/>
    <s v="Kingston Hydro Corporation"/>
    <m/>
    <x v="8"/>
    <x v="17"/>
    <m/>
    <m/>
    <m/>
    <m/>
    <m/>
    <n v="4.9355045088638611E-4"/>
    <n v="1.3558818137834249E-3"/>
    <n v="1.3558818137834249E-3"/>
    <n v="6.8190534392882196E-2"/>
    <n v="6.7696983941995803E-2"/>
    <n v="6.6834652579098763E-2"/>
    <n v="6.6834652579098763E-2"/>
    <n v="0"/>
    <n v="0"/>
    <n v="0"/>
    <n v="0"/>
    <n v="0"/>
    <n v="0"/>
    <n v="0"/>
    <n v="0"/>
    <n v="0"/>
    <n v="0"/>
    <n v="0"/>
    <n v="0"/>
    <n v="0"/>
    <n v="0"/>
    <n v="0"/>
    <n v="0"/>
    <n v="0"/>
    <n v="0"/>
    <n v="0"/>
  </r>
  <r>
    <s v="KH Projections"/>
    <s v="Business"/>
    <s v="New Construction"/>
    <s v="Kingston Hydro Corporation"/>
    <m/>
    <x v="8"/>
    <x v="18"/>
    <m/>
    <m/>
    <m/>
    <m/>
    <m/>
    <n v="0"/>
    <n v="0"/>
    <n v="3.3683024094421522E-3"/>
    <n v="5.2273418609442152E-2"/>
    <n v="5.2273418609442152E-2"/>
    <n v="5.2273418609442152E-2"/>
    <n v="5.2273418609442152E-2"/>
    <n v="5.2273418609442152E-2"/>
    <n v="5.2273418609442152E-2"/>
    <n v="5.2273418609442152E-2"/>
    <n v="5.2273418609442152E-2"/>
    <n v="5.2273418609442152E-2"/>
    <n v="5.2273418609442152E-2"/>
    <n v="5.2273418609442152E-2"/>
    <n v="5.2273418609442152E-2"/>
    <n v="4.9970302409442155E-2"/>
    <n v="4.9970302409442155E-2"/>
    <n v="4.9970302409442155E-2"/>
    <n v="3.3683024094421522E-3"/>
    <n v="3.3683024094421522E-3"/>
    <n v="3.3683024094421522E-3"/>
    <n v="3.3683024094421522E-3"/>
    <n v="3.3683024094421522E-3"/>
    <n v="3.3683024094421522E-3"/>
    <n v="3.3683024094421522E-3"/>
    <n v="3.3683024094421522E-3"/>
  </r>
  <r>
    <s v="KH Projections"/>
    <s v="Business"/>
    <s v="Retrofit"/>
    <s v="Kingston Hydro Corporation"/>
    <m/>
    <x v="8"/>
    <x v="19"/>
    <m/>
    <m/>
    <m/>
    <m/>
    <m/>
    <n v="0"/>
    <n v="0"/>
    <n v="2.1047829802619149E-2"/>
    <n v="0.25409104635463547"/>
    <n v="0.21238527462050405"/>
    <n v="0.21238527462050405"/>
    <n v="0.19527117761777127"/>
    <n v="0.19522559561807057"/>
    <n v="0.19522559561807057"/>
    <n v="0.1929235010736656"/>
    <n v="0.1929235010736656"/>
    <n v="0.19026145744618958"/>
    <n v="0.18012752986382266"/>
    <n v="0.1660106380649583"/>
    <n v="0.164246058339547"/>
    <n v="0.14125659068306826"/>
    <n v="7.8231230629417434E-2"/>
    <n v="7.6471491247335821E-2"/>
    <n v="5.9262295634728859E-2"/>
    <n v="5.0596787400346642E-2"/>
    <n v="5.0596787400346642E-2"/>
    <n v="5.0596787400346642E-2"/>
    <n v="3.9296029001663728E-2"/>
    <n v="0"/>
    <n v="0"/>
    <n v="0"/>
  </r>
  <r>
    <s v="KH Projections"/>
    <s v="Business"/>
    <s v="Small Business Lighting"/>
    <s v="Kingston Hydro Corporation"/>
    <m/>
    <x v="8"/>
    <x v="20"/>
    <m/>
    <m/>
    <m/>
    <m/>
    <m/>
    <n v="0"/>
    <n v="0"/>
    <n v="0"/>
    <n v="9.3216427193194368E-2"/>
    <n v="8.958188716211414E-2"/>
    <n v="7.9990366335424098E-2"/>
    <n v="3.854849710549893E-2"/>
    <n v="3.854849710549893E-2"/>
    <n v="3.854849710549893E-2"/>
    <n v="3.854849710549893E-2"/>
    <n v="3.854849710549893E-2"/>
    <n v="3.854849710549893E-2"/>
    <n v="3.854849710549893E-2"/>
    <n v="3.6968337928174999E-2"/>
    <n v="1.72446175400537E-2"/>
    <n v="0"/>
    <n v="0"/>
    <n v="0"/>
    <n v="0"/>
    <n v="0"/>
    <n v="0"/>
    <n v="0"/>
    <n v="0"/>
    <n v="0"/>
    <n v="0"/>
    <n v="0"/>
  </r>
  <r>
    <s v="KH Projections"/>
    <s v="Consumer"/>
    <s v="Conservation Coupon Instant Booklet"/>
    <s v="Kingston Hydro Corporation"/>
    <m/>
    <x v="8"/>
    <x v="0"/>
    <m/>
    <m/>
    <m/>
    <m/>
    <m/>
    <n v="0"/>
    <n v="0"/>
    <n v="0"/>
    <n v="2.6323023704424098E-3"/>
    <n v="2.2258149910016826E-3"/>
    <n v="1.8193276115609561E-3"/>
    <n v="1.8193276115609561E-3"/>
    <n v="1.8193276115609561E-3"/>
    <n v="1.8193276115609561E-3"/>
    <n v="1.8193276115609561E-3"/>
    <n v="1.8113501533611792E-3"/>
    <n v="1.8113501533611792E-3"/>
    <n v="1.6316943266183666E-3"/>
    <n v="1.6224093450140659E-3"/>
    <n v="1.6224093450140659E-3"/>
    <n v="1.6224093450140659E-3"/>
    <n v="1.6224093450140659E-3"/>
    <n v="1.6224093450140659E-3"/>
    <n v="1.6224093450140659E-3"/>
    <n v="0"/>
    <n v="0"/>
    <n v="0"/>
    <n v="0"/>
    <n v="0"/>
    <n v="0"/>
    <n v="0"/>
  </r>
  <r>
    <s v="KH Projections"/>
    <s v="Consumer"/>
    <s v="Appliance Exchange"/>
    <s v="Kingston Hydro Corporation"/>
    <m/>
    <x v="8"/>
    <x v="0"/>
    <m/>
    <m/>
    <m/>
    <m/>
    <m/>
    <n v="0"/>
    <n v="0"/>
    <n v="0"/>
    <n v="8.4949580606266291E-3"/>
    <n v="8.4949580606266291E-3"/>
    <n v="8.4949580606266291E-3"/>
    <n v="8.4949580606266291E-3"/>
    <n v="0"/>
    <n v="0"/>
    <n v="0"/>
    <n v="0"/>
    <n v="0"/>
    <n v="0"/>
    <n v="0"/>
    <n v="0"/>
    <n v="0"/>
    <n v="0"/>
    <n v="0"/>
    <n v="0"/>
    <n v="0"/>
    <n v="0"/>
    <n v="0"/>
    <n v="0"/>
    <n v="0"/>
    <n v="0"/>
    <n v="0"/>
  </r>
  <r>
    <s v="KH Projections"/>
    <s v="Consumer"/>
    <s v="Appliance Retirement"/>
    <s v="Kingston Hydro Corporation"/>
    <m/>
    <x v="8"/>
    <x v="0"/>
    <m/>
    <m/>
    <m/>
    <m/>
    <m/>
    <n v="0"/>
    <n v="0"/>
    <n v="0"/>
    <n v="4.3138956591376853E-3"/>
    <n v="4.3138956591376853E-3"/>
    <n v="4.3138956591376853E-3"/>
    <n v="3.7301241717667389E-3"/>
    <n v="1.5597801034009828E-3"/>
    <n v="0"/>
    <n v="0"/>
    <n v="0"/>
    <n v="0"/>
    <n v="0"/>
    <n v="0"/>
    <n v="0"/>
    <n v="0"/>
    <n v="0"/>
    <n v="0"/>
    <n v="0"/>
    <n v="0"/>
    <n v="0"/>
    <n v="0"/>
    <n v="0"/>
    <n v="0"/>
    <n v="0"/>
    <n v="0"/>
  </r>
  <r>
    <s v="KH Projections"/>
    <s v="Consumer"/>
    <s v="Bi-Annual Retailer Events"/>
    <s v="Kingston Hydro Corporation"/>
    <m/>
    <x v="8"/>
    <x v="0"/>
    <m/>
    <m/>
    <m/>
    <m/>
    <m/>
    <m/>
    <m/>
    <m/>
    <m/>
    <m/>
    <m/>
    <m/>
    <m/>
    <m/>
    <m/>
    <m/>
    <m/>
    <m/>
    <m/>
    <m/>
    <m/>
    <m/>
    <m/>
    <m/>
    <m/>
    <m/>
    <m/>
    <m/>
    <m/>
    <m/>
    <m/>
  </r>
  <r>
    <s v="KH Projections"/>
    <s v="Consumer"/>
    <s v="Home Assistance Program"/>
    <s v="Kingston Hydro Corporation"/>
    <m/>
    <x v="8"/>
    <x v="0"/>
    <m/>
    <m/>
    <m/>
    <m/>
    <m/>
    <n v="0"/>
    <n v="0"/>
    <n v="0"/>
    <n v="7.6943772029189859E-3"/>
    <n v="7.6840771540591961E-3"/>
    <n v="7.5814879662648308E-3"/>
    <n v="7.5368515928566924E-3"/>
    <n v="7.4882416408800058E-3"/>
    <n v="7.4882416408800058E-3"/>
    <n v="7.388127152837114E-3"/>
    <n v="7.388127152837114E-3"/>
    <n v="6.9070165742014071E-3"/>
    <n v="6.9070165742014071E-3"/>
    <n v="6.3399643891316375E-3"/>
    <n v="6.3393841371871531E-3"/>
    <n v="5.4914157078601424E-3"/>
    <n v="5.4914157078601424E-3"/>
    <n v="4.922115719411522E-3"/>
    <n v="4.1974844858050347E-3"/>
    <n v="4.1974844858050347E-3"/>
    <n v="4.1974844858050347E-3"/>
    <n v="4.1974844858050347E-3"/>
    <n v="4.1974844858050347E-3"/>
    <n v="3.4360000491142273E-4"/>
    <n v="0"/>
    <n v="0"/>
  </r>
  <r>
    <s v="KH Projections"/>
    <s v="Consumer"/>
    <s v="HVAC"/>
    <s v="Kingston Hydro Corporation"/>
    <m/>
    <x v="8"/>
    <x v="0"/>
    <m/>
    <m/>
    <m/>
    <m/>
    <m/>
    <n v="0"/>
    <n v="0"/>
    <n v="3.2433412514891284E-3"/>
    <n v="6.8705910576037116E-2"/>
    <n v="6.8705910576037116E-2"/>
    <n v="6.8705910576037116E-2"/>
    <n v="6.8705910576037116E-2"/>
    <n v="6.8705910576037116E-2"/>
    <n v="6.8705910576037116E-2"/>
    <n v="6.8705910576037116E-2"/>
    <n v="6.8705910576037116E-2"/>
    <n v="6.8705910576037116E-2"/>
    <n v="6.8705910576037116E-2"/>
    <n v="6.8705910576037116E-2"/>
    <n v="6.8705910576037116E-2"/>
    <n v="6.8705910576037116E-2"/>
    <n v="6.8705910576037116E-2"/>
    <n v="6.8705910576037116E-2"/>
    <n v="6.8705910576037116E-2"/>
    <n v="6.8705910576037116E-2"/>
    <n v="6.8091939106254926E-2"/>
    <n v="6.0973651706244164E-2"/>
    <n v="0"/>
    <n v="0"/>
    <n v="0"/>
    <n v="0"/>
  </r>
  <r>
    <s v="KH Projections"/>
    <s v="Consumer"/>
    <s v="Program Enabled Savings"/>
    <s v="Kingston Hydro Corporation"/>
    <m/>
    <x v="8"/>
    <x v="0"/>
    <m/>
    <m/>
    <m/>
    <m/>
    <m/>
    <n v="0"/>
    <n v="0"/>
    <n v="0"/>
    <n v="0"/>
    <n v="0"/>
    <n v="0"/>
    <n v="0"/>
    <n v="0"/>
    <n v="0"/>
    <n v="0"/>
    <n v="0"/>
    <n v="0"/>
    <n v="0"/>
    <n v="0"/>
    <n v="0"/>
    <n v="0"/>
    <n v="0"/>
    <n v="0"/>
    <n v="0"/>
    <n v="0"/>
    <n v="0"/>
    <n v="0"/>
    <n v="0"/>
    <n v="0"/>
    <n v="0"/>
    <n v="0"/>
  </r>
  <r>
    <s v="IESO - Filed CDM Plan"/>
    <s v="Business"/>
    <s v="Retrofit"/>
    <s v="Kingston Hydro Corporation"/>
    <m/>
    <x v="9"/>
    <x v="21"/>
    <m/>
    <m/>
    <m/>
    <m/>
    <m/>
    <m/>
    <m/>
    <m/>
    <m/>
    <n v="0.4397411982388944"/>
    <n v="0.95046664476836518"/>
    <n v="1.5250063535209557"/>
    <n v="2.1802734475058538"/>
    <n v="2.91626792672306"/>
    <n v="3.732989791172574"/>
    <n v="3.732989791172574"/>
    <n v="3.732989791172574"/>
    <n v="3.732989791172574"/>
    <n v="3.732989791172574"/>
    <n v="3.6817899551084823"/>
    <n v="3.1053631752938946"/>
    <n v="2.7424335843601928"/>
    <n v="2.3562174601787427"/>
    <n v="1.9298016797403545"/>
    <n v="1.5997191392159402"/>
    <n v="1.3460222940781166"/>
    <n v="1.1578732932132343"/>
    <n v="0.92919656337298129"/>
    <n v="0.65999210455735791"/>
    <n v="0.3502599167663642"/>
    <n v="0"/>
  </r>
  <r>
    <s v="IESO - Filed CDM Plan"/>
    <s v="Consumer"/>
    <s v="Heating and Cooling"/>
    <s v="Kingston Hydro Corporation"/>
    <m/>
    <x v="9"/>
    <x v="0"/>
    <m/>
    <m/>
    <m/>
    <m/>
    <m/>
    <m/>
    <m/>
    <m/>
    <m/>
    <n v="7.6181012294899583E-2"/>
    <n v="0.12398979831807605"/>
    <n v="0.13461209392625403"/>
    <n v="0.14523438953443205"/>
    <n v="0.15585668514261003"/>
    <n v="0.16647898075078801"/>
    <n v="0.16647898075078801"/>
    <n v="0.16647898075078801"/>
    <n v="0.16647898075078801"/>
    <n v="0.16647898075078801"/>
    <n v="0.16647898075078801"/>
    <n v="0.16647898075078801"/>
    <n v="0.16647898075078801"/>
    <n v="0.16647898075078801"/>
    <n v="0.16647898075078801"/>
    <n v="0.16647898075078801"/>
    <n v="0.16647898075078801"/>
    <n v="0.16647898075078801"/>
    <n v="0.12748445887088691"/>
    <n v="8.380750511604361E-2"/>
    <n v="3.5998719092867164E-2"/>
    <n v="2.5376423484689162E-2"/>
  </r>
  <r>
    <s v="IESO - Filed CDM Plan"/>
    <s v="Consumer"/>
    <s v="Coupon"/>
    <s v="Kingston Hydro Corporation"/>
    <m/>
    <x v="9"/>
    <x v="0"/>
    <m/>
    <m/>
    <m/>
    <m/>
    <m/>
    <m/>
    <m/>
    <m/>
    <m/>
    <n v="1.7720404723722962E-2"/>
    <n v="1.8311084881180391E-2"/>
    <n v="1.8901765038637823E-2"/>
    <n v="1.9492445196095255E-2"/>
    <n v="2.0083125353552684E-2"/>
    <n v="2.0673805511010116E-2"/>
    <n v="2.0673805511010116E-2"/>
    <n v="2.0673805511010116E-2"/>
    <n v="2.0673805511010116E-2"/>
    <n v="2.0673805511010116E-2"/>
    <n v="2.9534007872871601E-3"/>
    <n v="2.3627206298297283E-3"/>
    <n v="1.7720404723722961E-3"/>
    <n v="1.1813603149148642E-3"/>
    <n v="5.9068015745743208E-4"/>
    <n v="0"/>
    <n v="0"/>
    <n v="0"/>
    <n v="0"/>
    <n v="0"/>
    <n v="0"/>
    <n v="0"/>
  </r>
  <r>
    <s v="IESO - Filed CDM Plan"/>
    <s v="Consumer"/>
    <s v="Home Assistance Program"/>
    <s v="Kingston Hydro Corporation"/>
    <m/>
    <x v="9"/>
    <x v="0"/>
    <m/>
    <m/>
    <m/>
    <m/>
    <m/>
    <m/>
    <m/>
    <m/>
    <m/>
    <n v="3.6634248921356694E-2"/>
    <n v="7.3268497842713387E-2"/>
    <n v="0.10990274676407009"/>
    <n v="0.14653699568542677"/>
    <n v="0.1831712446067835"/>
    <n v="0.21980549352814019"/>
    <n v="0.21980549352814019"/>
    <n v="0.21980549352814019"/>
    <n v="0.21980549352814019"/>
    <n v="0.1831712446067835"/>
    <n v="0.14653699568542677"/>
    <n v="0.10990274676407009"/>
    <n v="7.3268497842713387E-2"/>
    <n v="3.6634248921356694E-2"/>
    <n v="0"/>
    <n v="0"/>
    <n v="0"/>
    <n v="0"/>
    <n v="0"/>
    <n v="0"/>
    <n v="0"/>
    <n v="0"/>
  </r>
  <r>
    <s v="IESO - Filed CDM Plan"/>
    <s v="Business"/>
    <s v="Direct Install Lighting (Archetype for Enhanced Direct Install)"/>
    <s v="Kingston Hydro Corporation"/>
    <m/>
    <x v="9"/>
    <x v="22"/>
    <m/>
    <m/>
    <m/>
    <m/>
    <m/>
    <m/>
    <m/>
    <m/>
    <m/>
    <n v="0.11569634489222118"/>
    <n v="0.23139296702899312"/>
    <n v="0.3576074639054716"/>
    <n v="0.49433983552165661"/>
    <n v="0.64159008187754818"/>
    <n v="0.79935820297314641"/>
    <n v="0.79935820297314641"/>
    <n v="0.79935820297314641"/>
    <n v="0.79935820297314641"/>
    <n v="0.68366185808092528"/>
    <n v="0.56796523594415327"/>
    <n v="0.44175073906767481"/>
    <n v="0.30501836745148975"/>
    <n v="0.15776812109559812"/>
    <n v="0"/>
    <n v="0"/>
    <n v="0"/>
    <n v="0"/>
    <n v="0"/>
    <n v="0"/>
    <n v="0"/>
    <n v="0"/>
  </r>
  <r>
    <s v="IESO - Filed CDM Plan"/>
    <s v="Business"/>
    <s v="HPNC"/>
    <s v="Kingston Hydro Corporation"/>
    <m/>
    <x v="9"/>
    <x v="23"/>
    <m/>
    <m/>
    <m/>
    <m/>
    <m/>
    <m/>
    <m/>
    <m/>
    <m/>
    <n v="1.9207617595385685E-2"/>
    <n v="5.5793555872310802E-2"/>
    <n v="9.2379494149235922E-2"/>
    <n v="0.12896543242616104"/>
    <n v="0.16555137070308618"/>
    <n v="0.20213730898001131"/>
    <n v="0.20213730898001131"/>
    <n v="0.20213730898001131"/>
    <n v="0.20213730898001131"/>
    <n v="0.20213730898001131"/>
    <n v="0.20213730898001131"/>
    <n v="0.20213730898001131"/>
    <n v="0.20213730898001131"/>
    <n v="0.20213730898001131"/>
    <n v="0.18292969138462561"/>
    <n v="0.14634375310770048"/>
    <n v="0.10975781483077536"/>
    <n v="7.317187655385024E-2"/>
    <n v="3.658593827692512E-2"/>
    <n v="0"/>
    <n v="0"/>
    <n v="0"/>
  </r>
  <r>
    <s v="IESO - Filed CDM Plan"/>
    <s v="Business"/>
    <s v="Audit"/>
    <s v="Kingston Hydro Corporation"/>
    <m/>
    <x v="9"/>
    <x v="24"/>
    <m/>
    <m/>
    <m/>
    <m/>
    <m/>
    <m/>
    <m/>
    <m/>
    <m/>
    <n v="1.7515828554380618E-2"/>
    <n v="4.4054962727684582E-2"/>
    <n v="7.0594096900988543E-2"/>
    <n v="9.7133231074292517E-2"/>
    <n v="0.10615653669321586"/>
    <n v="0.10615653669321586"/>
    <n v="7.9617402519911895E-2"/>
    <n v="5.3078268346607928E-2"/>
    <n v="2.6539134173303964E-2"/>
    <n v="0"/>
    <n v="0"/>
    <n v="0"/>
    <n v="0"/>
    <n v="0"/>
    <n v="0"/>
    <n v="0"/>
    <n v="0"/>
    <n v="0"/>
    <n v="0"/>
    <n v="0"/>
    <n v="0"/>
    <n v="0"/>
  </r>
  <r>
    <s v="IESO - Filed CDM Plan"/>
    <s v="Business"/>
    <s v="Process &amp; Systems - 2015 savings"/>
    <s v="Kingston Hydro Corporation"/>
    <m/>
    <x v="9"/>
    <x v="7"/>
    <m/>
    <m/>
    <m/>
    <m/>
    <m/>
    <m/>
    <m/>
    <m/>
    <m/>
    <n v="1.1435669721379271E-2"/>
    <n v="1.1435669721379271E-2"/>
    <n v="1.1435669721379271E-2"/>
    <n v="1.1435669721379271E-2"/>
    <n v="1.1435669721379271E-2"/>
    <n v="1.1435669721379271E-2"/>
    <n v="1.1435669721379271E-2"/>
    <n v="1.1435669721379271E-2"/>
    <n v="1.1435669721379271E-2"/>
    <n v="1.1435669721379271E-2"/>
    <n v="0"/>
    <n v="0"/>
    <n v="0"/>
    <n v="0"/>
    <n v="0"/>
    <n v="0"/>
    <n v="0"/>
    <n v="0"/>
    <n v="0"/>
    <n v="0"/>
    <n v="0"/>
    <n v="0"/>
  </r>
  <r>
    <s v="IESO - Filed CDM Plan"/>
    <s v="Business"/>
    <s v="Process &amp; Systems"/>
    <s v="Kingston Hydro Corporation"/>
    <m/>
    <x v="9"/>
    <x v="7"/>
    <m/>
    <m/>
    <m/>
    <m/>
    <m/>
    <m/>
    <m/>
    <m/>
    <m/>
    <n v="0"/>
    <n v="0.2267680859377747"/>
    <n v="0.4535361718755494"/>
    <n v="0.68030425781332415"/>
    <n v="0.85038032226665505"/>
    <n v="1.0204563867199861"/>
    <n v="1.0204563867199861"/>
    <n v="1.0204563867199861"/>
    <n v="1.0204563867199861"/>
    <n v="1.0204563867199861"/>
    <n v="1.0204563867199861"/>
    <n v="1.0204563867199861"/>
    <n v="1.0204563867199861"/>
    <n v="1.0204563867199861"/>
    <n v="1.0204563867199861"/>
    <n v="1.0204563867199861"/>
    <n v="1.0204563867199861"/>
    <n v="1.0204563867199861"/>
    <n v="1.0204563867199861"/>
    <n v="1.0204563867199861"/>
    <n v="1.0204563867199861"/>
    <n v="0.79368830078221142"/>
  </r>
  <r>
    <s v="IESO - Filed CDM Plan"/>
    <s v="Business"/>
    <s v="Process &amp; Systems"/>
    <s v="Kingston Hydro Corporation"/>
    <m/>
    <x v="9"/>
    <x v="1"/>
    <m/>
    <m/>
    <m/>
    <m/>
    <m/>
    <m/>
    <m/>
    <m/>
    <m/>
    <n v="0"/>
    <n v="0.2267680859377747"/>
    <n v="0.4535361718755494"/>
    <n v="0.68030425781332415"/>
    <n v="0.85038032226665505"/>
    <n v="1.0204563867199861"/>
    <n v="1.0204563867199861"/>
    <n v="1.0204563867199861"/>
    <n v="1.0204563867199861"/>
    <n v="1.0204563867199861"/>
    <n v="1.0204563867199861"/>
    <n v="1.0204563867199861"/>
    <n v="1.0204563867199861"/>
    <n v="1.0204563867199861"/>
    <n v="1.0204563867199861"/>
    <n v="1.0204563867199861"/>
    <n v="1.0204563867199861"/>
    <n v="1.0204563867199861"/>
    <n v="1.0204563867199861"/>
    <n v="1.0204563867199861"/>
    <n v="1.0204563867199861"/>
    <n v="0.79368830078221142"/>
  </r>
  <r>
    <s v="IESO - Filed CDM Plan"/>
    <s v="Business"/>
    <s v="Process &amp; Systems - BTG - no Rate Impact"/>
    <s v="Kingston Hydro Corporation"/>
    <m/>
    <x v="9"/>
    <x v="12"/>
    <m/>
    <m/>
    <m/>
    <m/>
    <m/>
    <m/>
    <m/>
    <m/>
    <m/>
    <n v="0"/>
    <n v="0.86001497924181647"/>
    <n v="1.1605443837386027"/>
    <n v="1.1605443837386027"/>
    <n v="1.1605443837386027"/>
    <n v="1.1605443837386027"/>
    <n v="1.1605443837386027"/>
    <n v="1.1605443837386027"/>
    <n v="1.1605443837386027"/>
    <n v="1.1605443837386027"/>
    <n v="1.1605443837386027"/>
    <n v="1.1605443837386027"/>
    <n v="1.1605443837386027"/>
    <n v="1.1605443837386027"/>
    <n v="1.1605443837386027"/>
    <n v="1.1605443837386027"/>
    <n v="1.1605443837386027"/>
    <n v="0.86001497924181647"/>
    <n v="0.86001497924181647"/>
    <n v="0.86001497924181647"/>
    <n v="0.86001497924181647"/>
    <n v="0"/>
  </r>
</pivotCacheRecords>
</file>

<file path=xl/pivotCache/pivotCacheRecords2.xml><?xml version="1.0" encoding="utf-8"?>
<pivotCacheRecords xmlns="http://schemas.openxmlformats.org/spreadsheetml/2006/main" xmlns:r="http://schemas.openxmlformats.org/officeDocument/2006/relationships" count="136">
  <r>
    <n v="1"/>
    <s v="Consumer"/>
    <s v="Secondary Refrigerator Retirement Pilot"/>
    <m/>
    <m/>
    <s v="Final"/>
    <x v="0"/>
    <m/>
    <x v="0"/>
    <n v="27.786910128021361"/>
    <n v="27.786910128021361"/>
    <n v="27.786910128021361"/>
    <n v="27.786910128021361"/>
    <n v="27.786910128021361"/>
    <n v="27.786910128021361"/>
    <n v="0"/>
    <n v="0"/>
    <n v="0"/>
    <n v="0"/>
    <n v="0"/>
    <n v="0"/>
    <n v="0"/>
    <n v="0"/>
    <n v="0"/>
    <n v="0"/>
    <n v="0"/>
    <n v="0"/>
    <n v="0"/>
    <n v="0"/>
    <n v="0"/>
    <n v="0"/>
    <n v="0"/>
    <n v="0"/>
    <n v="0"/>
    <n v="0"/>
    <n v="0"/>
    <n v="0"/>
    <n v="0"/>
    <n v="0"/>
    <m/>
    <m/>
    <m/>
    <m/>
    <m/>
    <m/>
  </r>
  <r>
    <n v="2"/>
    <s v="Consumer"/>
    <s v="Cool &amp; Hot Savings Rebate"/>
    <m/>
    <m/>
    <s v="Final"/>
    <x v="0"/>
    <m/>
    <x v="0"/>
    <n v="68.594205032184831"/>
    <n v="68.594205032184831"/>
    <n v="68.594205032184831"/>
    <n v="68.594205032184831"/>
    <n v="68.594205032184831"/>
    <n v="68.594205032184831"/>
    <n v="68.594205032184831"/>
    <n v="68.594205032184831"/>
    <n v="50.606642727339562"/>
    <n v="50.606642727339562"/>
    <n v="50.606642727339562"/>
    <n v="50.606642727339562"/>
    <n v="50.606642727339562"/>
    <n v="50.606642727339562"/>
    <n v="25.517419987395233"/>
    <n v="9.9462305879994481"/>
    <n v="9.9462305879994481"/>
    <n v="9.9462305879994481"/>
    <n v="0"/>
    <n v="0"/>
    <n v="0"/>
    <n v="0"/>
    <n v="0"/>
    <n v="0"/>
    <n v="0"/>
    <n v="0"/>
    <n v="0"/>
    <n v="0"/>
    <n v="0"/>
    <n v="0"/>
    <m/>
    <m/>
    <m/>
    <m/>
    <m/>
    <m/>
  </r>
  <r>
    <n v="3"/>
    <s v="Consumer"/>
    <s v="Every Kilowatt Counts"/>
    <m/>
    <m/>
    <s v="Final"/>
    <x v="0"/>
    <m/>
    <x v="0"/>
    <n v="1779.857419207262"/>
    <n v="1779.857419207262"/>
    <n v="1779.857419207262"/>
    <n v="1779.857419207262"/>
    <n v="229.4799735529177"/>
    <n v="229.4799735529177"/>
    <n v="229.4799735529177"/>
    <n v="229.4799735529177"/>
    <n v="229.4799735529177"/>
    <n v="229.4799735529177"/>
    <n v="214.01342869268902"/>
    <n v="214.01342869268902"/>
    <n v="214.01342869268902"/>
    <n v="214.01342869268902"/>
    <n v="214.01342869268902"/>
    <n v="198.25763518941719"/>
    <n v="198.25763518941719"/>
    <n v="198.25763518941719"/>
    <n v="112.49868174790195"/>
    <n v="112.49868174790195"/>
    <n v="65.642743632997878"/>
    <n v="65.642743632997878"/>
    <n v="65.642743632997878"/>
    <n v="65.642743632997878"/>
    <n v="65.642743632997878"/>
    <n v="10.651235022659334"/>
    <n v="10.651235022659334"/>
    <n v="10.651235022659334"/>
    <n v="10.651235022659334"/>
    <n v="10.651235022659334"/>
    <m/>
    <m/>
    <m/>
    <m/>
    <m/>
    <m/>
  </r>
  <r>
    <n v="4"/>
    <s v="Business, Industrial"/>
    <s v="Demand Response 1"/>
    <m/>
    <m/>
    <s v="Final"/>
    <x v="0"/>
    <m/>
    <x v="1"/>
    <n v="0"/>
    <n v="0"/>
    <n v="0"/>
    <n v="0"/>
    <n v="0"/>
    <n v="0"/>
    <n v="0"/>
    <n v="0"/>
    <n v="0"/>
    <n v="0"/>
    <n v="0"/>
    <n v="0"/>
    <n v="0"/>
    <n v="0"/>
    <n v="0"/>
    <n v="0"/>
    <n v="0"/>
    <n v="0"/>
    <n v="0"/>
    <n v="0"/>
    <n v="0"/>
    <n v="0"/>
    <n v="0"/>
    <n v="0"/>
    <n v="0"/>
    <n v="0"/>
    <n v="0"/>
    <n v="0"/>
    <n v="0"/>
    <n v="0"/>
    <m/>
    <m/>
    <m/>
    <m/>
    <m/>
    <m/>
  </r>
  <r>
    <n v="5"/>
    <s v="Business, Industrial"/>
    <s v="Loblaw &amp; York Region Demand Response"/>
    <m/>
    <m/>
    <s v="Final"/>
    <x v="0"/>
    <m/>
    <x v="1"/>
    <n v="0"/>
    <n v="0"/>
    <n v="0"/>
    <n v="0"/>
    <n v="0"/>
    <n v="0"/>
    <n v="0"/>
    <n v="0"/>
    <n v="0"/>
    <n v="0"/>
    <n v="0"/>
    <n v="0"/>
    <n v="0"/>
    <n v="0"/>
    <n v="0"/>
    <n v="0"/>
    <n v="0"/>
    <n v="0"/>
    <n v="0"/>
    <n v="0"/>
    <n v="0"/>
    <n v="0"/>
    <n v="0"/>
    <n v="0"/>
    <n v="0"/>
    <n v="0"/>
    <n v="0"/>
    <n v="0"/>
    <n v="0"/>
    <n v="0"/>
    <m/>
    <m/>
    <m/>
    <m/>
    <m/>
    <m/>
  </r>
  <r>
    <n v="6"/>
    <s v="Consumer"/>
    <s v="Great Refrigerator Roundup"/>
    <m/>
    <m/>
    <s v="Final"/>
    <x v="1"/>
    <m/>
    <x v="0"/>
    <n v="0"/>
    <n v="61.0890258095747"/>
    <n v="61.0890258095747"/>
    <n v="61.0890258095747"/>
    <n v="61.0890258095747"/>
    <n v="60.933754501886966"/>
    <n v="60.778483194199232"/>
    <n v="60.778483194199232"/>
    <n v="60.778483194199232"/>
    <n v="50.585221194297702"/>
    <n v="0"/>
    <n v="0"/>
    <n v="0"/>
    <n v="0"/>
    <n v="0"/>
    <n v="0"/>
    <n v="0"/>
    <n v="0"/>
    <n v="0"/>
    <n v="0"/>
    <n v="0"/>
    <n v="0"/>
    <n v="0"/>
    <n v="0"/>
    <n v="0"/>
    <n v="0"/>
    <n v="0"/>
    <n v="0"/>
    <n v="0"/>
    <n v="0"/>
    <m/>
    <m/>
    <m/>
    <m/>
    <m/>
    <m/>
  </r>
  <r>
    <n v="7"/>
    <s v="Consumer"/>
    <s v="Cool &amp; Hot Savings Rebate"/>
    <m/>
    <m/>
    <s v="Final"/>
    <x v="1"/>
    <m/>
    <x v="0"/>
    <n v="0"/>
    <n v="117.87568510677875"/>
    <n v="117.87568510677875"/>
    <n v="117.87568510677875"/>
    <n v="117.87568510677875"/>
    <n v="117.87568510677875"/>
    <n v="112.2872479638088"/>
    <n v="112.2872479638088"/>
    <n v="112.2872479638088"/>
    <n v="112.2872479638088"/>
    <n v="112.2872479638088"/>
    <n v="112.2872479638088"/>
    <n v="112.2872479638088"/>
    <n v="112.2872479638088"/>
    <n v="112.2872479638088"/>
    <n v="112.2872479638088"/>
    <n v="12.313267905893658"/>
    <n v="12.313267905893658"/>
    <n v="12.313267905893658"/>
    <n v="0"/>
    <n v="0"/>
    <n v="0"/>
    <n v="0"/>
    <n v="0"/>
    <n v="0"/>
    <n v="0"/>
    <n v="0"/>
    <n v="0"/>
    <n v="0"/>
    <n v="0"/>
    <m/>
    <m/>
    <m/>
    <m/>
    <m/>
    <m/>
  </r>
  <r>
    <n v="8"/>
    <s v="Consumer"/>
    <s v="Every Kilowatt Counts"/>
    <m/>
    <m/>
    <s v="Final"/>
    <x v="1"/>
    <m/>
    <x v="0"/>
    <n v="0"/>
    <n v="706.59765787836398"/>
    <n v="697.95602111293226"/>
    <n v="697.95602111293226"/>
    <n v="697.95602111293226"/>
    <n v="697.95602111293226"/>
    <n v="674.12112793337371"/>
    <n v="674.12112793337371"/>
    <n v="674.12112793337371"/>
    <n v="54.749276375538201"/>
    <n v="54.749276375538201"/>
    <n v="10.316243513196282"/>
    <n v="10.316243513196282"/>
    <n v="10.316243513196282"/>
    <n v="10.316243513196282"/>
    <n v="10.316243513196282"/>
    <n v="6.162747119732785"/>
    <n v="2.7960996273735383"/>
    <n v="2.7960996273735383"/>
    <n v="0"/>
    <n v="0"/>
    <n v="0"/>
    <n v="0"/>
    <n v="0"/>
    <n v="0"/>
    <n v="0"/>
    <n v="0"/>
    <n v="0"/>
    <n v="0"/>
    <n v="0"/>
    <m/>
    <m/>
    <m/>
    <m/>
    <m/>
    <m/>
  </r>
  <r>
    <n v="9"/>
    <s v="Consumer, Business"/>
    <s v="peaksaver®"/>
    <m/>
    <m/>
    <s v="Final"/>
    <x v="1"/>
    <m/>
    <x v="2"/>
    <n v="0"/>
    <n v="0"/>
    <n v="0"/>
    <n v="0"/>
    <n v="0"/>
    <n v="0"/>
    <n v="0"/>
    <n v="0"/>
    <n v="0"/>
    <n v="0"/>
    <n v="0"/>
    <n v="0"/>
    <n v="0"/>
    <n v="0"/>
    <n v="0"/>
    <n v="0"/>
    <n v="0"/>
    <n v="0"/>
    <n v="0"/>
    <n v="0"/>
    <n v="0"/>
    <n v="0"/>
    <n v="0"/>
    <n v="0"/>
    <n v="0"/>
    <n v="0"/>
    <n v="0"/>
    <n v="0"/>
    <n v="0"/>
    <n v="0"/>
    <m/>
    <m/>
    <m/>
    <m/>
    <m/>
    <m/>
  </r>
  <r>
    <n v="10"/>
    <s v="Consumer"/>
    <s v="Summer Savings"/>
    <m/>
    <m/>
    <s v="Final"/>
    <x v="1"/>
    <m/>
    <x v="0"/>
    <n v="0"/>
    <n v="329.98675831798073"/>
    <n v="55.620070514863954"/>
    <n v="21.053092681750751"/>
    <n v="21.053092681750751"/>
    <n v="21.053092681750751"/>
    <n v="21.053092681750751"/>
    <n v="21.053092681750751"/>
    <n v="21.053092681750751"/>
    <n v="13.370915840510813"/>
    <n v="13.370915840510813"/>
    <n v="13.370915840510813"/>
    <n v="13.370915840510813"/>
    <n v="13.370915840510813"/>
    <n v="13.370915840510813"/>
    <n v="0"/>
    <n v="0"/>
    <n v="0"/>
    <n v="0"/>
    <n v="0"/>
    <n v="0"/>
    <n v="0"/>
    <n v="0"/>
    <n v="0"/>
    <n v="0"/>
    <n v="0"/>
    <n v="0"/>
    <n v="0"/>
    <n v="0"/>
    <n v="0"/>
    <m/>
    <m/>
    <m/>
    <m/>
    <m/>
    <m/>
  </r>
  <r>
    <n v="11"/>
    <s v="Consumer"/>
    <s v="Aboriginal"/>
    <m/>
    <m/>
    <s v="Final"/>
    <x v="1"/>
    <m/>
    <x v="2"/>
    <n v="0"/>
    <n v="0"/>
    <n v="0"/>
    <n v="0"/>
    <n v="0"/>
    <n v="0"/>
    <n v="0"/>
    <n v="0"/>
    <n v="0"/>
    <n v="0"/>
    <n v="0"/>
    <n v="0"/>
    <n v="0"/>
    <n v="0"/>
    <n v="0"/>
    <n v="0"/>
    <n v="0"/>
    <n v="0"/>
    <n v="0"/>
    <n v="0"/>
    <n v="0"/>
    <n v="0"/>
    <n v="0"/>
    <n v="0"/>
    <n v="0"/>
    <n v="0"/>
    <n v="0"/>
    <n v="0"/>
    <n v="0"/>
    <n v="0"/>
    <m/>
    <m/>
    <m/>
    <m/>
    <m/>
    <m/>
  </r>
  <r>
    <n v="12"/>
    <s v="Consumer Low-Income"/>
    <s v="Affordable Housing Pilot"/>
    <m/>
    <m/>
    <s v="Final"/>
    <x v="1"/>
    <m/>
    <x v="0"/>
    <n v="0"/>
    <n v="120.72139"/>
    <n v="120.72139"/>
    <n v="120.72139"/>
    <n v="120.72139"/>
    <n v="120.72139"/>
    <n v="120.72139"/>
    <n v="120.72139"/>
    <n v="120.72139"/>
    <n v="120.72139"/>
    <n v="120.72139"/>
    <n v="120.72139"/>
    <n v="120.72139"/>
    <n v="120.72139"/>
    <n v="120.72139"/>
    <n v="0"/>
    <n v="0"/>
    <n v="0"/>
    <n v="0"/>
    <n v="0"/>
    <n v="0"/>
    <n v="0"/>
    <n v="0"/>
    <n v="0"/>
    <n v="0"/>
    <n v="0"/>
    <n v="0"/>
    <n v="0"/>
    <n v="0"/>
    <n v="0"/>
    <m/>
    <m/>
    <m/>
    <m/>
    <m/>
    <m/>
  </r>
  <r>
    <n v="13"/>
    <s v="Consumer Low-Income"/>
    <s v="Social Housing Pilot"/>
    <m/>
    <m/>
    <s v="Final"/>
    <x v="1"/>
    <m/>
    <x v="0"/>
    <n v="0"/>
    <n v="64.220752287921457"/>
    <n v="64.220752287921457"/>
    <n v="64.220752287921457"/>
    <n v="64.220752287921457"/>
    <n v="64.220752287921457"/>
    <n v="64.220752287921457"/>
    <n v="64.220752287921457"/>
    <n v="64.220752287921457"/>
    <n v="64.220752287921457"/>
    <n v="64.220752287921457"/>
    <n v="0"/>
    <n v="0"/>
    <n v="0"/>
    <n v="0"/>
    <n v="0"/>
    <n v="0"/>
    <n v="0"/>
    <n v="0"/>
    <n v="0"/>
    <n v="0"/>
    <n v="0"/>
    <n v="0"/>
    <n v="0"/>
    <n v="0"/>
    <n v="0"/>
    <n v="0"/>
    <n v="0"/>
    <n v="0"/>
    <n v="0"/>
    <m/>
    <m/>
    <m/>
    <m/>
    <m/>
    <m/>
  </r>
  <r>
    <n v="14"/>
    <s v="Consumer Low-Income"/>
    <s v="Energy Efficiency Assistance for Houses Pilot"/>
    <m/>
    <m/>
    <s v="Final"/>
    <x v="1"/>
    <m/>
    <x v="0"/>
    <n v="0"/>
    <n v="131.6722004675193"/>
    <n v="131.6722004675193"/>
    <n v="131.6722004675193"/>
    <n v="131.6722004675193"/>
    <n v="131.6722004675193"/>
    <n v="131.6722004675193"/>
    <n v="131.6722004675193"/>
    <n v="131.6722004675193"/>
    <n v="131.6722004675193"/>
    <n v="131.6722004675193"/>
    <n v="131.6722004675193"/>
    <n v="131.6722004675193"/>
    <n v="131.6722004675193"/>
    <n v="131.6722004675193"/>
    <n v="131.6722004675193"/>
    <n v="131.6722004675193"/>
    <n v="131.6722004675193"/>
    <n v="131.6722004675193"/>
    <n v="131.6722004675193"/>
    <n v="0"/>
    <n v="0"/>
    <n v="0"/>
    <n v="0"/>
    <n v="0"/>
    <n v="0"/>
    <n v="0"/>
    <n v="0"/>
    <n v="0"/>
    <n v="0"/>
    <m/>
    <m/>
    <m/>
    <m/>
    <m/>
    <m/>
  </r>
  <r>
    <n v="15"/>
    <s v="Business"/>
    <s v="Electricity Retrofit Incentive"/>
    <m/>
    <m/>
    <s v="Final"/>
    <x v="1"/>
    <m/>
    <x v="1"/>
    <n v="0"/>
    <n v="0"/>
    <n v="0"/>
    <n v="0"/>
    <n v="0"/>
    <n v="0"/>
    <n v="0"/>
    <n v="0"/>
    <n v="0"/>
    <n v="0"/>
    <n v="0"/>
    <n v="0"/>
    <n v="0"/>
    <n v="0"/>
    <n v="0"/>
    <n v="0"/>
    <n v="0"/>
    <n v="0"/>
    <n v="0"/>
    <n v="0"/>
    <n v="0"/>
    <n v="0"/>
    <n v="0"/>
    <n v="0"/>
    <n v="0"/>
    <n v="0"/>
    <n v="0"/>
    <n v="0"/>
    <n v="0"/>
    <n v="0"/>
    <m/>
    <m/>
    <m/>
    <m/>
    <m/>
    <m/>
  </r>
  <r>
    <n v="16"/>
    <s v="Business"/>
    <s v="Toronto Comprehensive"/>
    <m/>
    <m/>
    <s v="Final"/>
    <x v="1"/>
    <m/>
    <x v="2"/>
    <n v="0"/>
    <n v="0"/>
    <n v="0"/>
    <n v="0"/>
    <n v="0"/>
    <n v="0"/>
    <n v="0"/>
    <n v="0"/>
    <n v="0"/>
    <n v="0"/>
    <n v="0"/>
    <n v="0"/>
    <n v="0"/>
    <n v="0"/>
    <n v="0"/>
    <n v="0"/>
    <n v="0"/>
    <n v="0"/>
    <n v="0"/>
    <n v="0"/>
    <n v="0"/>
    <n v="0"/>
    <n v="0"/>
    <n v="0"/>
    <n v="0"/>
    <n v="0"/>
    <n v="0"/>
    <n v="0"/>
    <n v="0"/>
    <n v="0"/>
    <m/>
    <m/>
    <m/>
    <m/>
    <m/>
    <m/>
  </r>
  <r>
    <n v="17"/>
    <s v="Business, Industrial"/>
    <s v="Demand Response 1"/>
    <m/>
    <m/>
    <s v="Final"/>
    <x v="1"/>
    <m/>
    <x v="1"/>
    <n v="0"/>
    <n v="0"/>
    <n v="0"/>
    <n v="0"/>
    <n v="0"/>
    <n v="0"/>
    <n v="0"/>
    <n v="0"/>
    <n v="0"/>
    <n v="0"/>
    <n v="0"/>
    <n v="0"/>
    <n v="0"/>
    <n v="0"/>
    <n v="0"/>
    <n v="0"/>
    <n v="0"/>
    <n v="0"/>
    <n v="0"/>
    <n v="0"/>
    <n v="0"/>
    <n v="0"/>
    <n v="0"/>
    <n v="0"/>
    <n v="0"/>
    <n v="0"/>
    <n v="0"/>
    <n v="0"/>
    <n v="0"/>
    <n v="0"/>
    <m/>
    <m/>
    <m/>
    <m/>
    <m/>
    <m/>
  </r>
  <r>
    <n v="18"/>
    <s v="Business, Industrial"/>
    <s v="Loblaw &amp; York Region Demand Response"/>
    <m/>
    <m/>
    <s v="Final"/>
    <x v="1"/>
    <m/>
    <x v="1"/>
    <n v="0"/>
    <n v="0"/>
    <n v="0"/>
    <n v="0"/>
    <n v="0"/>
    <n v="0"/>
    <n v="0"/>
    <n v="0"/>
    <n v="0"/>
    <n v="0"/>
    <n v="0"/>
    <n v="0"/>
    <n v="0"/>
    <n v="0"/>
    <n v="0"/>
    <n v="0"/>
    <n v="0"/>
    <n v="0"/>
    <n v="0"/>
    <n v="0"/>
    <n v="0"/>
    <n v="0"/>
    <n v="0"/>
    <n v="0"/>
    <n v="0"/>
    <n v="0"/>
    <n v="0"/>
    <n v="0"/>
    <n v="0"/>
    <n v="0"/>
    <m/>
    <m/>
    <m/>
    <m/>
    <m/>
    <m/>
  </r>
  <r>
    <n v="19"/>
    <s v="Consumer, Business, Industrial"/>
    <s v="Renewable Energy Standard Offer"/>
    <m/>
    <m/>
    <s v="Final"/>
    <x v="1"/>
    <m/>
    <x v="0"/>
    <n v="0"/>
    <n v="24.438648000000001"/>
    <n v="24.438648000000001"/>
    <n v="24.438648000000001"/>
    <n v="24.438648000000001"/>
    <n v="24.438648000000001"/>
    <n v="24.438648000000001"/>
    <n v="24.438648000000001"/>
    <n v="24.438648000000001"/>
    <n v="24.438648000000001"/>
    <n v="24.438648000000001"/>
    <n v="24.438648000000001"/>
    <n v="24.438648000000001"/>
    <n v="24.438648000000001"/>
    <n v="24.438648000000001"/>
    <n v="24.438648000000001"/>
    <n v="24.438648000000001"/>
    <n v="24.438648000000001"/>
    <n v="24.438648000000001"/>
    <n v="24.438648000000001"/>
    <n v="24.438648000000001"/>
    <n v="0"/>
    <n v="0"/>
    <n v="0"/>
    <n v="0"/>
    <n v="0"/>
    <n v="0"/>
    <n v="0"/>
    <n v="0"/>
    <n v="0"/>
    <m/>
    <m/>
    <m/>
    <m/>
    <m/>
    <m/>
  </r>
  <r>
    <n v="20"/>
    <s v="Consumer"/>
    <s v="Great Refrigerator Roundup"/>
    <m/>
    <m/>
    <s v="Final"/>
    <x v="2"/>
    <m/>
    <x v="0"/>
    <n v="0"/>
    <n v="0"/>
    <n v="114.40516"/>
    <n v="114.40516"/>
    <n v="114.40516"/>
    <n v="114.40516"/>
    <n v="114.12147999999998"/>
    <n v="113.83779999999999"/>
    <n v="113.83779999999999"/>
    <n v="113.83779999999999"/>
    <n v="90.364999999999995"/>
    <n v="0"/>
    <n v="0"/>
    <n v="0"/>
    <n v="0"/>
    <n v="0"/>
    <n v="0"/>
    <n v="0"/>
    <n v="0"/>
    <n v="0"/>
    <n v="0"/>
    <n v="0"/>
    <n v="0"/>
    <n v="0"/>
    <n v="0"/>
    <n v="0"/>
    <n v="0"/>
    <n v="0"/>
    <n v="0"/>
    <n v="0"/>
    <m/>
    <m/>
    <m/>
    <m/>
    <m/>
    <m/>
  </r>
  <r>
    <n v="21"/>
    <s v="Consumer"/>
    <s v="Cool Savings Rebate"/>
    <m/>
    <m/>
    <s v="Final"/>
    <x v="2"/>
    <m/>
    <x v="0"/>
    <n v="0"/>
    <n v="0"/>
    <n v="115.59733116888511"/>
    <n v="115.59733116888511"/>
    <n v="115.59733116888511"/>
    <n v="115.59733116888511"/>
    <n v="115.59733116888511"/>
    <n v="115.59733116888511"/>
    <n v="115.59733116888511"/>
    <n v="115.59733116888511"/>
    <n v="115.59733116888511"/>
    <n v="115.59733116888511"/>
    <n v="115.59733116888511"/>
    <n v="115.59733116888511"/>
    <n v="115.59733116888511"/>
    <n v="115.59733116888511"/>
    <n v="115.59733116888511"/>
    <n v="92.180854829928066"/>
    <n v="92.180854829928066"/>
    <n v="92.180854829928066"/>
    <n v="0"/>
    <n v="0"/>
    <n v="0"/>
    <n v="0"/>
    <n v="0"/>
    <n v="0"/>
    <n v="0"/>
    <n v="0"/>
    <n v="0"/>
    <n v="0"/>
    <m/>
    <m/>
    <m/>
    <m/>
    <m/>
    <m/>
  </r>
  <r>
    <n v="22"/>
    <s v="Consumer"/>
    <s v="Every Kilowatt Counts Power Savings Event"/>
    <m/>
    <m/>
    <s v="Final"/>
    <x v="2"/>
    <m/>
    <x v="0"/>
    <n v="0"/>
    <n v="0"/>
    <n v="586.80083092528616"/>
    <n v="584.24816249900425"/>
    <n v="584.24816249900425"/>
    <n v="584.24816249900425"/>
    <n v="495.89046442035021"/>
    <n v="495.89046442035021"/>
    <n v="403.88130234424233"/>
    <n v="335.1426669440844"/>
    <n v="211.5981537201412"/>
    <n v="208.9010914171856"/>
    <n v="171.30116197290698"/>
    <n v="171.30116197290698"/>
    <n v="162.49249884426379"/>
    <n v="162.49249884426379"/>
    <n v="162.49249884426379"/>
    <n v="156.421604982259"/>
    <n v="0"/>
    <n v="0"/>
    <n v="0"/>
    <n v="0"/>
    <n v="0"/>
    <n v="0"/>
    <n v="0"/>
    <n v="0"/>
    <n v="0"/>
    <n v="0"/>
    <n v="0"/>
    <n v="0"/>
    <m/>
    <m/>
    <m/>
    <m/>
    <m/>
    <m/>
  </r>
  <r>
    <n v="23"/>
    <s v="Consumer, Business"/>
    <s v="peaksaver®"/>
    <m/>
    <m/>
    <s v="Final"/>
    <x v="2"/>
    <m/>
    <x v="2"/>
    <n v="0"/>
    <n v="0"/>
    <n v="0"/>
    <n v="0"/>
    <n v="0"/>
    <n v="0"/>
    <n v="0"/>
    <n v="0"/>
    <n v="0"/>
    <n v="0"/>
    <n v="0"/>
    <n v="0"/>
    <n v="0"/>
    <n v="0"/>
    <n v="0"/>
    <n v="0"/>
    <n v="0"/>
    <n v="0"/>
    <n v="0"/>
    <n v="0"/>
    <n v="0"/>
    <n v="0"/>
    <n v="0"/>
    <n v="0"/>
    <n v="0"/>
    <n v="0"/>
    <n v="0"/>
    <n v="0"/>
    <n v="0"/>
    <n v="0"/>
    <m/>
    <m/>
    <m/>
    <m/>
    <m/>
    <m/>
  </r>
  <r>
    <n v="24"/>
    <s v="Consumer"/>
    <s v="Summer Sweepstakes"/>
    <m/>
    <m/>
    <s v="Final"/>
    <x v="2"/>
    <m/>
    <x v="0"/>
    <n v="0"/>
    <n v="0"/>
    <n v="263.04053755573591"/>
    <n v="94.919061593347493"/>
    <n v="94.919061593347493"/>
    <n v="94.919061593347493"/>
    <n v="94.919061593347493"/>
    <n v="94.919061593347493"/>
    <n v="94.919061593347493"/>
    <n v="94.919061593347493"/>
    <n v="52.000047194422017"/>
    <n v="52.000047194422017"/>
    <n v="39.400394351800976"/>
    <n v="39.400394351800976"/>
    <n v="39.400394351800976"/>
    <n v="34.858617178971095"/>
    <n v="33.240359680946696"/>
    <n v="31.603078487661914"/>
    <n v="31.603078487661914"/>
    <n v="31.603078487661914"/>
    <n v="31.603078487661914"/>
    <n v="31.603078487661914"/>
    <n v="0"/>
    <n v="0"/>
    <n v="0"/>
    <n v="0"/>
    <n v="0"/>
    <n v="0"/>
    <n v="0"/>
    <n v="0"/>
    <m/>
    <m/>
    <m/>
    <m/>
    <m/>
    <m/>
  </r>
  <r>
    <n v="25"/>
    <s v="Consumer, Business"/>
    <s v="Electricity Retrofit Incentive"/>
    <m/>
    <m/>
    <s v="Final"/>
    <x v="2"/>
    <m/>
    <x v="1"/>
    <n v="0"/>
    <n v="0"/>
    <n v="1366.6943951189435"/>
    <n v="1366.6850616468018"/>
    <n v="1366.6850616468018"/>
    <n v="1366.6850616468018"/>
    <n v="1366.6850616468018"/>
    <n v="1366.6850616468018"/>
    <n v="1366.6850616468018"/>
    <n v="1366.6850616468018"/>
    <n v="1255.2022258965644"/>
    <n v="1255.2022258965644"/>
    <n v="1255.2022258965644"/>
    <n v="1255.2022258965644"/>
    <n v="1255.2022258965644"/>
    <n v="1255.2022258965644"/>
    <n v="1255.2022258965644"/>
    <n v="1217.5461591196672"/>
    <n v="0"/>
    <n v="0"/>
    <n v="0"/>
    <n v="0"/>
    <n v="0"/>
    <n v="0"/>
    <n v="0"/>
    <n v="0"/>
    <n v="0"/>
    <n v="0"/>
    <n v="0"/>
    <n v="0"/>
    <m/>
    <m/>
    <m/>
    <m/>
    <m/>
    <m/>
  </r>
  <r>
    <n v="26"/>
    <s v="Consumer, Consumer Low-Income, Business"/>
    <s v="Toronto Comprehensive"/>
    <m/>
    <m/>
    <s v="Final"/>
    <x v="2"/>
    <m/>
    <x v="2"/>
    <n v="0"/>
    <n v="0"/>
    <n v="0"/>
    <n v="0"/>
    <n v="0"/>
    <n v="0"/>
    <n v="0"/>
    <n v="0"/>
    <n v="0"/>
    <n v="0"/>
    <n v="0"/>
    <n v="0"/>
    <n v="0"/>
    <n v="0"/>
    <n v="0"/>
    <n v="0"/>
    <n v="0"/>
    <n v="0"/>
    <n v="0"/>
    <n v="0"/>
    <n v="0"/>
    <n v="0"/>
    <n v="0"/>
    <n v="0"/>
    <n v="0"/>
    <n v="0"/>
    <n v="0"/>
    <n v="0"/>
    <n v="0"/>
    <n v="0"/>
    <m/>
    <m/>
    <m/>
    <m/>
    <m/>
    <m/>
  </r>
  <r>
    <n v="27"/>
    <s v="Business"/>
    <s v="High Performance New Construction"/>
    <m/>
    <m/>
    <s v="Final"/>
    <x v="2"/>
    <m/>
    <x v="1"/>
    <n v="0"/>
    <n v="0"/>
    <n v="1.898213735600969"/>
    <n v="1.898213735600969"/>
    <n v="1.898213735600969"/>
    <n v="1.898213735600969"/>
    <n v="1.898213735600969"/>
    <n v="1.898213735600969"/>
    <n v="1.898213735600969"/>
    <n v="1.898213735600969"/>
    <n v="1.898213735600969"/>
    <n v="1.898213735600969"/>
    <n v="1.898213735600969"/>
    <n v="1.898213735600969"/>
    <n v="1.898213735600969"/>
    <n v="1.898213735600969"/>
    <n v="0"/>
    <n v="0"/>
    <n v="0"/>
    <n v="0"/>
    <n v="0"/>
    <n v="0"/>
    <n v="0"/>
    <n v="0"/>
    <n v="0"/>
    <n v="0"/>
    <n v="0"/>
    <n v="0"/>
    <n v="0"/>
    <n v="0"/>
    <m/>
    <m/>
    <m/>
    <m/>
    <m/>
    <m/>
  </r>
  <r>
    <n v="28"/>
    <s v="Business"/>
    <s v="Power Savings Blitz"/>
    <m/>
    <m/>
    <s v="Final"/>
    <x v="2"/>
    <m/>
    <x v="3"/>
    <n v="0"/>
    <n v="0"/>
    <n v="0"/>
    <n v="0"/>
    <n v="0"/>
    <n v="0"/>
    <n v="0"/>
    <n v="0"/>
    <n v="0"/>
    <n v="0"/>
    <n v="0"/>
    <n v="0"/>
    <n v="0"/>
    <n v="0"/>
    <n v="0"/>
    <n v="0"/>
    <n v="0"/>
    <n v="0"/>
    <n v="0"/>
    <n v="0"/>
    <n v="0"/>
    <n v="0"/>
    <n v="0"/>
    <n v="0"/>
    <n v="0"/>
    <n v="0"/>
    <n v="0"/>
    <n v="0"/>
    <n v="0"/>
    <n v="0"/>
    <m/>
    <m/>
    <m/>
    <m/>
    <m/>
    <m/>
  </r>
  <r>
    <n v="29"/>
    <s v="Business, Industrial"/>
    <s v="Demand Response 1"/>
    <m/>
    <m/>
    <s v="Final"/>
    <x v="2"/>
    <m/>
    <x v="1"/>
    <n v="0"/>
    <n v="0"/>
    <n v="0"/>
    <n v="0"/>
    <n v="0"/>
    <n v="0"/>
    <n v="0"/>
    <n v="0"/>
    <n v="0"/>
    <n v="0"/>
    <n v="0"/>
    <n v="0"/>
    <n v="0"/>
    <n v="0"/>
    <n v="0"/>
    <n v="0"/>
    <n v="0"/>
    <n v="0"/>
    <n v="0"/>
    <n v="0"/>
    <n v="0"/>
    <n v="0"/>
    <n v="0"/>
    <n v="0"/>
    <n v="0"/>
    <n v="0"/>
    <n v="0"/>
    <n v="0"/>
    <n v="0"/>
    <n v="0"/>
    <m/>
    <m/>
    <m/>
    <m/>
    <m/>
    <m/>
  </r>
  <r>
    <n v="30"/>
    <s v="Business, Industrial"/>
    <s v="Demand Response 3"/>
    <m/>
    <m/>
    <s v="Final"/>
    <x v="2"/>
    <m/>
    <x v="1"/>
    <n v="0"/>
    <n v="0"/>
    <n v="0"/>
    <n v="0"/>
    <n v="0"/>
    <n v="0"/>
    <n v="0"/>
    <n v="0"/>
    <n v="0"/>
    <n v="0"/>
    <n v="0"/>
    <n v="0"/>
    <n v="0"/>
    <n v="0"/>
    <n v="0"/>
    <n v="0"/>
    <n v="0"/>
    <n v="0"/>
    <n v="0"/>
    <n v="0"/>
    <n v="0"/>
    <n v="0"/>
    <n v="0"/>
    <n v="0"/>
    <n v="0"/>
    <n v="0"/>
    <n v="0"/>
    <n v="0"/>
    <n v="0"/>
    <n v="0"/>
    <m/>
    <m/>
    <m/>
    <m/>
    <m/>
    <m/>
  </r>
  <r>
    <n v="31"/>
    <s v="Business, Industrial"/>
    <s v="Loblaw &amp; York Region Demand Response"/>
    <m/>
    <m/>
    <s v="Final"/>
    <x v="2"/>
    <m/>
    <x v="1"/>
    <n v="0"/>
    <n v="0"/>
    <n v="0"/>
    <n v="0"/>
    <n v="0"/>
    <n v="0"/>
    <n v="0"/>
    <n v="0"/>
    <n v="0"/>
    <n v="0"/>
    <n v="0"/>
    <n v="0"/>
    <n v="0"/>
    <n v="0"/>
    <n v="0"/>
    <n v="0"/>
    <n v="0"/>
    <n v="0"/>
    <n v="0"/>
    <n v="0"/>
    <n v="0"/>
    <n v="0"/>
    <n v="0"/>
    <n v="0"/>
    <n v="0"/>
    <n v="0"/>
    <n v="0"/>
    <n v="0"/>
    <n v="0"/>
    <n v="0"/>
    <m/>
    <m/>
    <m/>
    <m/>
    <m/>
    <m/>
  </r>
  <r>
    <n v="32"/>
    <s v="Consumer, Business"/>
    <s v="Renewable Energy Standard Offer"/>
    <m/>
    <m/>
    <s v="Final"/>
    <x v="2"/>
    <m/>
    <x v="0"/>
    <n v="0"/>
    <n v="0"/>
    <n v="13.927524000000002"/>
    <n v="13.927524000000002"/>
    <n v="13.927524000000002"/>
    <n v="13.927524000000002"/>
    <n v="13.927524000000002"/>
    <n v="13.927524000000002"/>
    <n v="13.927524000000002"/>
    <n v="13.927524000000002"/>
    <n v="13.927524000000002"/>
    <n v="13.927524000000002"/>
    <n v="13.927524000000002"/>
    <n v="13.927524000000002"/>
    <n v="13.927524000000002"/>
    <n v="13.927524000000002"/>
    <n v="13.927524000000002"/>
    <n v="13.927524000000002"/>
    <n v="13.927524000000002"/>
    <n v="13.927524000000002"/>
    <n v="13.927524000000002"/>
    <n v="13.927524000000002"/>
    <n v="0"/>
    <n v="0"/>
    <n v="0"/>
    <n v="0"/>
    <n v="0"/>
    <n v="0"/>
    <n v="0"/>
    <n v="0"/>
    <m/>
    <m/>
    <m/>
    <m/>
    <m/>
    <m/>
  </r>
  <r>
    <n v="33"/>
    <s v="Business"/>
    <s v="Other Customer Based Generation"/>
    <m/>
    <m/>
    <s v="Final"/>
    <x v="2"/>
    <m/>
    <x v="0"/>
    <n v="0"/>
    <n v="0"/>
    <n v="0"/>
    <n v="0"/>
    <n v="0"/>
    <n v="0"/>
    <n v="0"/>
    <n v="0"/>
    <n v="0"/>
    <n v="0"/>
    <n v="0"/>
    <n v="0"/>
    <n v="0"/>
    <n v="0"/>
    <n v="0"/>
    <n v="0"/>
    <n v="0"/>
    <n v="0"/>
    <n v="0"/>
    <n v="0"/>
    <n v="0"/>
    <n v="0"/>
    <n v="0"/>
    <n v="0"/>
    <n v="0"/>
    <n v="0"/>
    <n v="0"/>
    <n v="0"/>
    <n v="0"/>
    <n v="0"/>
    <m/>
    <m/>
    <m/>
    <m/>
    <m/>
    <m/>
  </r>
  <r>
    <n v="34"/>
    <s v="Business, Industrial"/>
    <s v="LDC Custom - Hydro One Networks Inc. - Double Return"/>
    <m/>
    <m/>
    <s v="Final"/>
    <x v="2"/>
    <m/>
    <x v="2"/>
    <n v="0"/>
    <n v="0"/>
    <n v="0"/>
    <n v="0"/>
    <n v="0"/>
    <n v="0"/>
    <n v="0"/>
    <n v="0"/>
    <n v="0"/>
    <n v="0"/>
    <n v="0"/>
    <n v="0"/>
    <n v="0"/>
    <n v="0"/>
    <n v="0"/>
    <n v="0"/>
    <n v="0"/>
    <n v="0"/>
    <n v="0"/>
    <n v="0"/>
    <n v="0"/>
    <n v="0"/>
    <n v="0"/>
    <n v="0"/>
    <n v="0"/>
    <n v="0"/>
    <n v="0"/>
    <n v="0"/>
    <n v="0"/>
    <n v="0"/>
    <m/>
    <m/>
    <m/>
    <m/>
    <m/>
    <m/>
  </r>
  <r>
    <n v="35"/>
    <s v="Consumer"/>
    <s v="Great Refrigerator Roundup"/>
    <m/>
    <m/>
    <s v="Final"/>
    <x v="3"/>
    <m/>
    <x v="0"/>
    <n v="0"/>
    <n v="0"/>
    <n v="0"/>
    <n v="115.53187274032652"/>
    <n v="115.53187274032652"/>
    <n v="115.53187274032652"/>
    <n v="114.92346649327011"/>
    <n v="86.561788416999903"/>
    <n v="0"/>
    <n v="0"/>
    <n v="0"/>
    <n v="0"/>
    <n v="0"/>
    <n v="0"/>
    <n v="0"/>
    <n v="0"/>
    <n v="0"/>
    <n v="0"/>
    <n v="0"/>
    <n v="0"/>
    <n v="0"/>
    <n v="0"/>
    <n v="0"/>
    <n v="0"/>
    <n v="0"/>
    <n v="0"/>
    <n v="0"/>
    <n v="0"/>
    <n v="0"/>
    <n v="0"/>
    <m/>
    <m/>
    <m/>
    <m/>
    <m/>
    <m/>
  </r>
  <r>
    <n v="36"/>
    <s v="Consumer"/>
    <s v="Cool Savings Rebate"/>
    <m/>
    <m/>
    <s v="Final"/>
    <x v="3"/>
    <m/>
    <x v="0"/>
    <n v="0"/>
    <n v="0"/>
    <n v="0"/>
    <n v="146.27561780700796"/>
    <n v="146.27561780700796"/>
    <n v="146.27561780700796"/>
    <n v="145.7554166277709"/>
    <n v="145.00734750560989"/>
    <n v="144.12717321009495"/>
    <n v="144.12717321009495"/>
    <n v="144.12717321009495"/>
    <n v="144.12717321009495"/>
    <n v="144.12717321009495"/>
    <n v="140.90734238703621"/>
    <n v="140.90734238703621"/>
    <n v="140.90734238703621"/>
    <n v="140.90734238703621"/>
    <n v="140.90734238703621"/>
    <n v="137.90318261341815"/>
    <n v="137.90318261341815"/>
    <n v="137.90318261341815"/>
    <n v="115.61685465596388"/>
    <n v="0"/>
    <n v="0"/>
    <n v="0"/>
    <n v="0"/>
    <n v="0"/>
    <n v="0"/>
    <n v="0"/>
    <n v="0"/>
    <m/>
    <m/>
    <m/>
    <m/>
    <m/>
    <m/>
  </r>
  <r>
    <n v="37"/>
    <s v="Consumer"/>
    <s v="Every Kilowatt Counts Power Savings Event"/>
    <m/>
    <m/>
    <s v="Final"/>
    <x v="3"/>
    <m/>
    <x v="0"/>
    <n v="0"/>
    <n v="0"/>
    <n v="0"/>
    <n v="254.35094570686604"/>
    <n v="243.79656096353168"/>
    <n v="243.79656096353168"/>
    <n v="243.78165986686457"/>
    <n v="242.15973280654072"/>
    <n v="232.60722200927268"/>
    <n v="185.19224877707308"/>
    <n v="184.15768808863157"/>
    <n v="117.78468384098097"/>
    <n v="117.78468384098097"/>
    <n v="85.320398492060008"/>
    <n v="85.256618646107654"/>
    <n v="59.751179372802049"/>
    <n v="59.751179372802049"/>
    <n v="56.116607131619212"/>
    <n v="28.989888578139634"/>
    <n v="10.292550046651648"/>
    <n v="6.5772055770340474"/>
    <n v="6.3874237982064335"/>
    <n v="6.3874237982064335"/>
    <n v="0"/>
    <n v="0"/>
    <n v="0"/>
    <n v="0"/>
    <n v="0"/>
    <n v="0"/>
    <n v="0"/>
    <m/>
    <m/>
    <m/>
    <m/>
    <m/>
    <m/>
  </r>
  <r>
    <n v="38"/>
    <s v="Consumer, Business"/>
    <s v="peaksaver®"/>
    <m/>
    <m/>
    <s v="Final"/>
    <x v="3"/>
    <m/>
    <x v="2"/>
    <n v="0"/>
    <n v="0"/>
    <n v="0"/>
    <n v="0"/>
    <n v="0"/>
    <n v="0"/>
    <n v="0"/>
    <n v="0"/>
    <n v="0"/>
    <n v="0"/>
    <n v="0"/>
    <n v="0"/>
    <n v="0"/>
    <n v="0"/>
    <n v="0"/>
    <n v="0"/>
    <n v="0"/>
    <n v="0"/>
    <n v="0"/>
    <n v="0"/>
    <n v="0"/>
    <n v="0"/>
    <n v="0"/>
    <n v="0"/>
    <n v="0"/>
    <n v="0"/>
    <n v="0"/>
    <n v="0"/>
    <n v="0"/>
    <n v="0"/>
    <m/>
    <m/>
    <m/>
    <m/>
    <m/>
    <m/>
  </r>
  <r>
    <n v="39"/>
    <s v="Consumer, Business"/>
    <s v="Electricity Retrofit Incentive"/>
    <m/>
    <m/>
    <s v="Final"/>
    <x v="3"/>
    <m/>
    <x v="1"/>
    <n v="0"/>
    <n v="0"/>
    <n v="0"/>
    <n v="658.28349282296642"/>
    <n v="658.28349282296642"/>
    <n v="658.28349282296642"/>
    <n v="658.28349282296642"/>
    <n v="658.28349282296642"/>
    <n v="658.28349282296642"/>
    <n v="509.85191387561861"/>
    <n v="406.70454545454544"/>
    <n v="406.70454545454544"/>
    <n v="406.70454545454544"/>
    <n v="329.4306818181596"/>
    <n v="0"/>
    <n v="0"/>
    <n v="0"/>
    <n v="0"/>
    <n v="0"/>
    <n v="0"/>
    <n v="0"/>
    <n v="0"/>
    <n v="0"/>
    <n v="0"/>
    <n v="0"/>
    <n v="0"/>
    <n v="0"/>
    <n v="0"/>
    <n v="0"/>
    <n v="0"/>
    <m/>
    <m/>
    <m/>
    <m/>
    <m/>
    <m/>
  </r>
  <r>
    <n v="40"/>
    <s v="Consumer, Consumer Low-Income, Business, Industrial"/>
    <s v="Toronto Comprehensive"/>
    <m/>
    <m/>
    <s v="Final"/>
    <x v="3"/>
    <m/>
    <x v="2"/>
    <n v="0"/>
    <n v="0"/>
    <n v="0"/>
    <n v="0"/>
    <n v="0"/>
    <n v="0"/>
    <n v="0"/>
    <n v="0"/>
    <n v="0"/>
    <n v="0"/>
    <n v="0"/>
    <n v="0"/>
    <n v="0"/>
    <n v="0"/>
    <n v="0"/>
    <n v="0"/>
    <n v="0"/>
    <n v="0"/>
    <n v="0"/>
    <n v="0"/>
    <n v="0"/>
    <n v="0"/>
    <n v="0"/>
    <n v="0"/>
    <n v="0"/>
    <n v="0"/>
    <n v="0"/>
    <n v="0"/>
    <n v="0"/>
    <n v="0"/>
    <m/>
    <m/>
    <m/>
    <m/>
    <m/>
    <m/>
  </r>
  <r>
    <n v="41"/>
    <s v="Business"/>
    <s v="High Performance New Construction"/>
    <m/>
    <m/>
    <s v="Final"/>
    <x v="3"/>
    <m/>
    <x v="1"/>
    <n v="0"/>
    <n v="0"/>
    <n v="0"/>
    <n v="60.381379884896717"/>
    <n v="60.381379884896717"/>
    <n v="60.381379884896717"/>
    <n v="60.381379884896717"/>
    <n v="60.381379884896717"/>
    <n v="60.381379884896717"/>
    <n v="60.381379884896717"/>
    <n v="60.381379884896717"/>
    <n v="60.381379884896717"/>
    <n v="60.381379884896717"/>
    <n v="60.381379884896717"/>
    <n v="60.381379884896717"/>
    <n v="60.381379884896717"/>
    <n v="60.381379884896717"/>
    <n v="60.381379884896717"/>
    <n v="60.381379884896717"/>
    <n v="60.381379884896717"/>
    <n v="60.381379884896717"/>
    <n v="60.381379884896717"/>
    <n v="60.381379884896717"/>
    <n v="0"/>
    <n v="0"/>
    <n v="0"/>
    <n v="0"/>
    <n v="0"/>
    <n v="0"/>
    <n v="0"/>
    <m/>
    <m/>
    <m/>
    <m/>
    <m/>
    <m/>
  </r>
  <r>
    <n v="42"/>
    <s v="Business"/>
    <s v="Power Savings Blitz"/>
    <m/>
    <m/>
    <s v="Final"/>
    <x v="3"/>
    <m/>
    <x v="3"/>
    <n v="0"/>
    <n v="0"/>
    <n v="0"/>
    <n v="683.04351826294976"/>
    <n v="683.04351826294976"/>
    <n v="683.04351826294976"/>
    <n v="683.04351826294976"/>
    <n v="683.04351826294976"/>
    <n v="683.04351826294976"/>
    <n v="683.04351826294976"/>
    <n v="683.04351826294976"/>
    <n v="384.7026712056051"/>
    <n v="0"/>
    <n v="0"/>
    <n v="0"/>
    <n v="0"/>
    <n v="0"/>
    <n v="0"/>
    <n v="0"/>
    <n v="0"/>
    <n v="0"/>
    <n v="0"/>
    <n v="0"/>
    <n v="0"/>
    <n v="0"/>
    <n v="0"/>
    <n v="0"/>
    <n v="0"/>
    <n v="0"/>
    <n v="0"/>
    <m/>
    <m/>
    <m/>
    <m/>
    <m/>
    <m/>
  </r>
  <r>
    <n v="43"/>
    <s v="Consumer, Consumer Low-Income"/>
    <s v="Multi-Family Energy Efficiency Rebates"/>
    <m/>
    <m/>
    <s v="Final"/>
    <x v="3"/>
    <m/>
    <x v="2"/>
    <n v="0"/>
    <n v="0"/>
    <n v="0"/>
    <n v="0"/>
    <n v="0"/>
    <n v="0"/>
    <n v="0"/>
    <n v="0"/>
    <n v="0"/>
    <n v="0"/>
    <n v="0"/>
    <n v="0"/>
    <n v="0"/>
    <n v="0"/>
    <n v="0"/>
    <n v="0"/>
    <n v="0"/>
    <n v="0"/>
    <n v="0"/>
    <n v="0"/>
    <n v="0"/>
    <n v="0"/>
    <n v="0"/>
    <n v="0"/>
    <n v="0"/>
    <n v="0"/>
    <n v="0"/>
    <n v="0"/>
    <n v="0"/>
    <n v="0"/>
    <m/>
    <m/>
    <m/>
    <m/>
    <m/>
    <m/>
  </r>
  <r>
    <n v="44"/>
    <s v="Business, Industrial"/>
    <s v="Demand Response 1"/>
    <m/>
    <m/>
    <s v="Final"/>
    <x v="3"/>
    <m/>
    <x v="1"/>
    <n v="0"/>
    <n v="0"/>
    <n v="0"/>
    <n v="52.538773828022777"/>
    <n v="0"/>
    <n v="0"/>
    <n v="0"/>
    <n v="0"/>
    <n v="0"/>
    <n v="0"/>
    <n v="0"/>
    <n v="0"/>
    <n v="0"/>
    <n v="0"/>
    <n v="0"/>
    <n v="0"/>
    <n v="0"/>
    <n v="0"/>
    <n v="0"/>
    <n v="0"/>
    <n v="0"/>
    <n v="0"/>
    <n v="0"/>
    <n v="0"/>
    <n v="0"/>
    <n v="0"/>
    <n v="0"/>
    <n v="0"/>
    <n v="0"/>
    <n v="0"/>
    <m/>
    <m/>
    <m/>
    <m/>
    <m/>
    <m/>
  </r>
  <r>
    <n v="45"/>
    <s v="Business, Industrial"/>
    <s v="Demand Response 2"/>
    <m/>
    <m/>
    <s v="Final"/>
    <x v="3"/>
    <m/>
    <x v="1"/>
    <n v="0"/>
    <n v="0"/>
    <n v="0"/>
    <n v="500.14183397325576"/>
    <n v="0"/>
    <n v="0"/>
    <n v="0"/>
    <n v="0"/>
    <n v="0"/>
    <n v="0"/>
    <n v="0"/>
    <n v="0"/>
    <n v="0"/>
    <n v="0"/>
    <n v="0"/>
    <n v="0"/>
    <n v="0"/>
    <n v="0"/>
    <n v="0"/>
    <n v="0"/>
    <n v="0"/>
    <n v="0"/>
    <n v="0"/>
    <n v="0"/>
    <n v="0"/>
    <n v="0"/>
    <n v="0"/>
    <n v="0"/>
    <n v="0"/>
    <n v="0"/>
    <m/>
    <m/>
    <m/>
    <m/>
    <m/>
    <m/>
  </r>
  <r>
    <n v="46"/>
    <s v="Business, Industrial"/>
    <s v="Demand Response 3"/>
    <m/>
    <m/>
    <s v="Final"/>
    <x v="3"/>
    <m/>
    <x v="1"/>
    <n v="0"/>
    <n v="0"/>
    <n v="0"/>
    <n v="9.5525043323677785"/>
    <n v="0"/>
    <n v="0"/>
    <n v="0"/>
    <n v="0"/>
    <n v="0"/>
    <n v="0"/>
    <n v="0"/>
    <n v="0"/>
    <n v="0"/>
    <n v="0"/>
    <n v="0"/>
    <n v="0"/>
    <n v="0"/>
    <n v="0"/>
    <n v="0"/>
    <n v="0"/>
    <n v="0"/>
    <n v="0"/>
    <n v="0"/>
    <n v="0"/>
    <n v="0"/>
    <n v="0"/>
    <n v="0"/>
    <n v="0"/>
    <n v="0"/>
    <n v="0"/>
    <m/>
    <m/>
    <m/>
    <m/>
    <m/>
    <m/>
  </r>
  <r>
    <n v="47"/>
    <s v="Business, Industrial"/>
    <s v="Loblaw &amp; York Region Demand Response"/>
    <m/>
    <m/>
    <s v="Final"/>
    <x v="3"/>
    <m/>
    <x v="1"/>
    <n v="0"/>
    <n v="0"/>
    <n v="0"/>
    <n v="0"/>
    <n v="0"/>
    <n v="0"/>
    <n v="0"/>
    <n v="0"/>
    <n v="0"/>
    <n v="0"/>
    <n v="0"/>
    <n v="0"/>
    <n v="0"/>
    <n v="0"/>
    <n v="0"/>
    <n v="0"/>
    <n v="0"/>
    <n v="0"/>
    <n v="0"/>
    <n v="0"/>
    <n v="0"/>
    <n v="0"/>
    <n v="0"/>
    <n v="0"/>
    <n v="0"/>
    <n v="0"/>
    <n v="0"/>
    <n v="0"/>
    <n v="0"/>
    <n v="0"/>
    <m/>
    <m/>
    <m/>
    <m/>
    <m/>
    <m/>
  </r>
  <r>
    <n v="48"/>
    <s v="Consumer"/>
    <s v="LDC Custom - Thunder Bay Hydro - Phantom Load"/>
    <m/>
    <m/>
    <s v="Final"/>
    <x v="3"/>
    <m/>
    <x v="2"/>
    <n v="0"/>
    <n v="0"/>
    <n v="0"/>
    <n v="0"/>
    <n v="0"/>
    <n v="0"/>
    <n v="0"/>
    <n v="0"/>
    <n v="0"/>
    <n v="0"/>
    <n v="0"/>
    <n v="0"/>
    <n v="0"/>
    <n v="0"/>
    <n v="0"/>
    <n v="0"/>
    <n v="0"/>
    <n v="0"/>
    <n v="0"/>
    <n v="0"/>
    <n v="0"/>
    <n v="0"/>
    <n v="0"/>
    <n v="0"/>
    <n v="0"/>
    <n v="0"/>
    <n v="0"/>
    <n v="0"/>
    <n v="0"/>
    <n v="0"/>
    <m/>
    <m/>
    <m/>
    <m/>
    <m/>
    <m/>
  </r>
  <r>
    <n v="49"/>
    <s v="Consumer"/>
    <s v="LDC Custom - Toronto Hydro - Summer Challenge"/>
    <m/>
    <m/>
    <s v="Final"/>
    <x v="3"/>
    <m/>
    <x v="2"/>
    <n v="0"/>
    <n v="0"/>
    <n v="0"/>
    <n v="0"/>
    <n v="0"/>
    <n v="0"/>
    <n v="0"/>
    <n v="0"/>
    <n v="0"/>
    <n v="0"/>
    <n v="0"/>
    <n v="0"/>
    <n v="0"/>
    <n v="0"/>
    <n v="0"/>
    <n v="0"/>
    <n v="0"/>
    <n v="0"/>
    <n v="0"/>
    <n v="0"/>
    <n v="0"/>
    <n v="0"/>
    <n v="0"/>
    <n v="0"/>
    <n v="0"/>
    <n v="0"/>
    <n v="0"/>
    <n v="0"/>
    <n v="0"/>
    <n v="0"/>
    <m/>
    <m/>
    <m/>
    <m/>
    <m/>
    <m/>
  </r>
  <r>
    <n v="50"/>
    <s v="Business"/>
    <s v="LDC Custom - PowerStream - Data Centers"/>
    <m/>
    <m/>
    <s v="Final"/>
    <x v="3"/>
    <m/>
    <x v="2"/>
    <n v="0"/>
    <n v="0"/>
    <n v="0"/>
    <n v="0"/>
    <n v="0"/>
    <n v="0"/>
    <n v="0"/>
    <n v="0"/>
    <n v="0"/>
    <n v="0"/>
    <n v="0"/>
    <n v="0"/>
    <n v="0"/>
    <n v="0"/>
    <n v="0"/>
    <n v="0"/>
    <n v="0"/>
    <n v="0"/>
    <n v="0"/>
    <n v="0"/>
    <n v="0"/>
    <n v="0"/>
    <n v="0"/>
    <n v="0"/>
    <n v="0"/>
    <n v="0"/>
    <n v="0"/>
    <n v="0"/>
    <n v="0"/>
    <n v="0"/>
    <m/>
    <m/>
    <m/>
    <m/>
    <m/>
    <m/>
  </r>
  <r>
    <n v="51"/>
    <s v="Consumer, Business"/>
    <s v="Toronto Comprehensive Adjustment"/>
    <m/>
    <m/>
    <s v="Final"/>
    <x v="2"/>
    <m/>
    <x v="2"/>
    <n v="0"/>
    <n v="0"/>
    <n v="0"/>
    <n v="0"/>
    <n v="0"/>
    <n v="0"/>
    <n v="0"/>
    <n v="0"/>
    <n v="0"/>
    <n v="0"/>
    <n v="0"/>
    <n v="0"/>
    <n v="0"/>
    <n v="0"/>
    <n v="0"/>
    <n v="0"/>
    <n v="0"/>
    <n v="0"/>
    <n v="0"/>
    <n v="0"/>
    <n v="0"/>
    <n v="0"/>
    <n v="0"/>
    <n v="0"/>
    <n v="0"/>
    <n v="0"/>
    <n v="0"/>
    <n v="0"/>
    <n v="0"/>
    <n v="0"/>
    <m/>
    <m/>
    <m/>
    <m/>
    <m/>
    <m/>
  </r>
  <r>
    <n v="52"/>
    <s v="Business, Industrial"/>
    <s v="LDC Custom - Hydro One Networks Inc. - Double Return Adjustment"/>
    <m/>
    <m/>
    <s v="Final"/>
    <x v="2"/>
    <m/>
    <x v="2"/>
    <n v="0"/>
    <n v="0"/>
    <n v="0"/>
    <n v="0"/>
    <n v="0"/>
    <n v="0"/>
    <n v="0"/>
    <n v="0"/>
    <n v="0"/>
    <n v="0"/>
    <n v="0"/>
    <n v="0"/>
    <n v="0"/>
    <n v="0"/>
    <n v="0"/>
    <n v="0"/>
    <n v="0"/>
    <n v="0"/>
    <n v="0"/>
    <n v="0"/>
    <n v="0"/>
    <n v="0"/>
    <n v="0"/>
    <n v="0"/>
    <n v="0"/>
    <n v="0"/>
    <n v="0"/>
    <n v="0"/>
    <n v="0"/>
    <n v="0"/>
    <m/>
    <m/>
    <m/>
    <m/>
    <m/>
    <m/>
  </r>
  <r>
    <n v="53"/>
    <s v="Consumer"/>
    <s v="Great Refrigerator Roundup"/>
    <m/>
    <m/>
    <s v="Final"/>
    <x v="4"/>
    <m/>
    <x v="0"/>
    <n v="0"/>
    <n v="0"/>
    <n v="0"/>
    <n v="0"/>
    <n v="90.761836237952139"/>
    <n v="90.761836237952139"/>
    <n v="90.761836237952139"/>
    <n v="89.819440608149833"/>
    <n v="64.78083902315845"/>
    <n v="0"/>
    <n v="0"/>
    <n v="0"/>
    <n v="0"/>
    <n v="0"/>
    <n v="0"/>
    <n v="0"/>
    <n v="0"/>
    <n v="0"/>
    <n v="0"/>
    <n v="0"/>
    <n v="0"/>
    <n v="0"/>
    <n v="0"/>
    <n v="0"/>
    <n v="0"/>
    <n v="0"/>
    <n v="0"/>
    <n v="0"/>
    <n v="0"/>
    <n v="0"/>
    <m/>
    <m/>
    <m/>
    <m/>
    <m/>
    <m/>
  </r>
  <r>
    <n v="54"/>
    <s v="Consumer"/>
    <s v="Cool Savings Rebate"/>
    <m/>
    <m/>
    <s v="Final"/>
    <x v="4"/>
    <m/>
    <x v="0"/>
    <n v="0"/>
    <n v="0"/>
    <n v="0"/>
    <n v="0"/>
    <n v="73.788540411879836"/>
    <n v="73.788540411879836"/>
    <n v="73.788540411879836"/>
    <n v="73.788540411879836"/>
    <n v="73.788540411879836"/>
    <n v="73.788540411879836"/>
    <n v="73.788540411879836"/>
    <n v="73.788540411879836"/>
    <n v="73.788540411879836"/>
    <n v="73.788540411879836"/>
    <n v="73.788540411879836"/>
    <n v="73.788540411879836"/>
    <n v="73.788540411879836"/>
    <n v="73.788540411879836"/>
    <n v="73.788540411879836"/>
    <n v="72.650584633795674"/>
    <n v="72.650584633795674"/>
    <n v="72.650584633795674"/>
    <n v="68.492976820811506"/>
    <n v="0"/>
    <n v="0"/>
    <n v="0"/>
    <n v="0"/>
    <n v="0"/>
    <n v="0"/>
    <n v="0"/>
    <m/>
    <m/>
    <m/>
    <m/>
    <m/>
    <m/>
  </r>
  <r>
    <n v="55"/>
    <s v="Consumer"/>
    <s v="Every Kilowatt Counts Power Savings Event"/>
    <m/>
    <m/>
    <s v="Final"/>
    <x v="4"/>
    <m/>
    <x v="0"/>
    <n v="0"/>
    <n v="0"/>
    <n v="0"/>
    <n v="0"/>
    <n v="89.169325477264849"/>
    <n v="78.373205665959077"/>
    <n v="75.878908270781039"/>
    <n v="75.878908270781039"/>
    <n v="75.878908270781039"/>
    <n v="39.056265787903357"/>
    <n v="29.820787209951266"/>
    <n v="29.820787209951266"/>
    <n v="29.060493047651505"/>
    <n v="27.342906458006642"/>
    <n v="21.033030181417733"/>
    <n v="21.033030181417733"/>
    <n v="18.579670473626194"/>
    <n v="18.579670473626194"/>
    <n v="18.579670473626194"/>
    <n v="10.576196620479793"/>
    <n v="0.25818335244921631"/>
    <n v="0.25818335244921631"/>
    <n v="0.25818335244921631"/>
    <n v="0.25818335244921631"/>
    <n v="0"/>
    <n v="0"/>
    <n v="0"/>
    <n v="0"/>
    <n v="0"/>
    <n v="0"/>
    <m/>
    <m/>
    <m/>
    <m/>
    <m/>
    <m/>
  </r>
  <r>
    <n v="56"/>
    <s v="Consumer, Business"/>
    <s v="peaksaver®"/>
    <m/>
    <m/>
    <s v="Final"/>
    <x v="4"/>
    <m/>
    <x v="2"/>
    <n v="0"/>
    <n v="0"/>
    <n v="0"/>
    <n v="0"/>
    <n v="0"/>
    <n v="0"/>
    <n v="0"/>
    <n v="0"/>
    <n v="0"/>
    <n v="0"/>
    <n v="0"/>
    <n v="0"/>
    <n v="0"/>
    <n v="0"/>
    <n v="0"/>
    <n v="0"/>
    <n v="0"/>
    <n v="0"/>
    <n v="0"/>
    <n v="0"/>
    <n v="0"/>
    <n v="0"/>
    <n v="0"/>
    <n v="0"/>
    <n v="0"/>
    <n v="0"/>
    <n v="0"/>
    <n v="0"/>
    <n v="0"/>
    <n v="0"/>
    <m/>
    <m/>
    <m/>
    <m/>
    <m/>
    <m/>
  </r>
  <r>
    <n v="57"/>
    <s v="Consumer, Business"/>
    <s v="Electricity Retrofit Incentive"/>
    <m/>
    <m/>
    <s v="Final"/>
    <x v="4"/>
    <m/>
    <x v="1"/>
    <n v="0"/>
    <n v="0"/>
    <n v="0"/>
    <n v="0"/>
    <n v="240.79429308437139"/>
    <n v="240.79429308437139"/>
    <n v="240.79429308437139"/>
    <n v="240.79429308437139"/>
    <n v="240.79429308437139"/>
    <n v="240.79429308437139"/>
    <n v="240.79429308437139"/>
    <n v="240.79429308437139"/>
    <n v="238.20742511927511"/>
    <n v="53.893082606184144"/>
    <n v="0"/>
    <n v="0"/>
    <n v="0"/>
    <n v="0"/>
    <n v="0"/>
    <n v="0"/>
    <n v="0"/>
    <n v="0"/>
    <n v="0"/>
    <n v="0"/>
    <n v="0"/>
    <n v="0"/>
    <n v="0"/>
    <n v="0"/>
    <n v="0"/>
    <n v="0"/>
    <m/>
    <m/>
    <m/>
    <m/>
    <m/>
    <m/>
  </r>
  <r>
    <n v="58"/>
    <s v="Consumer, Consumer Low-Income, Business, Industrial"/>
    <s v="Toronto Comprehensive"/>
    <m/>
    <m/>
    <s v="Final"/>
    <x v="4"/>
    <m/>
    <x v="2"/>
    <n v="0"/>
    <n v="0"/>
    <n v="0"/>
    <n v="0"/>
    <n v="0"/>
    <n v="0"/>
    <n v="0"/>
    <n v="0"/>
    <n v="0"/>
    <n v="0"/>
    <n v="0"/>
    <n v="0"/>
    <n v="0"/>
    <n v="0"/>
    <n v="0"/>
    <n v="0"/>
    <n v="0"/>
    <n v="0"/>
    <n v="0"/>
    <n v="0"/>
    <n v="0"/>
    <n v="0"/>
    <n v="0"/>
    <n v="0"/>
    <n v="0"/>
    <n v="0"/>
    <n v="0"/>
    <n v="0"/>
    <n v="0"/>
    <n v="0"/>
    <m/>
    <m/>
    <m/>
    <m/>
    <m/>
    <m/>
  </r>
  <r>
    <n v="59"/>
    <s v="Business"/>
    <s v="High Performance New Construction"/>
    <m/>
    <m/>
    <s v="Final"/>
    <x v="4"/>
    <m/>
    <x v="1"/>
    <n v="0"/>
    <n v="0"/>
    <n v="0"/>
    <n v="0"/>
    <n v="196.16017213547786"/>
    <n v="196.16017213547786"/>
    <n v="196.16017213547786"/>
    <n v="196.16017213547786"/>
    <n v="196.16017213547786"/>
    <n v="196.16017213547786"/>
    <n v="196.16017213547786"/>
    <n v="196.16017213547786"/>
    <n v="196.16017213547786"/>
    <n v="196.16017213547786"/>
    <n v="196.16017213547786"/>
    <n v="196.16017213547786"/>
    <n v="196.16017213547786"/>
    <n v="196.16017213547786"/>
    <n v="196.16017213547786"/>
    <n v="196.16017213547786"/>
    <n v="196.16017213547786"/>
    <n v="196.16017213547786"/>
    <n v="196.16017213547786"/>
    <n v="196.16017213547786"/>
    <n v="0"/>
    <n v="0"/>
    <n v="0"/>
    <n v="0"/>
    <n v="0"/>
    <n v="0"/>
    <m/>
    <m/>
    <m/>
    <m/>
    <m/>
    <m/>
  </r>
  <r>
    <n v="60"/>
    <s v="Business"/>
    <s v="Power Savings Blitz"/>
    <m/>
    <m/>
    <s v="Final"/>
    <x v="4"/>
    <m/>
    <x v="3"/>
    <n v="0"/>
    <n v="0"/>
    <n v="0"/>
    <n v="0"/>
    <n v="539.41236895018005"/>
    <n v="539.41236895018005"/>
    <n v="539.41236895018005"/>
    <n v="539.41236895018005"/>
    <n v="539.41236895018005"/>
    <n v="539.41236895018005"/>
    <n v="539.41236895018005"/>
    <n v="364.05128221036796"/>
    <n v="0"/>
    <n v="0"/>
    <n v="0"/>
    <n v="0"/>
    <n v="0"/>
    <n v="0"/>
    <n v="0"/>
    <n v="0"/>
    <n v="0"/>
    <n v="0"/>
    <n v="0"/>
    <n v="0"/>
    <n v="0"/>
    <n v="0"/>
    <n v="0"/>
    <n v="0"/>
    <n v="0"/>
    <n v="0"/>
    <m/>
    <m/>
    <m/>
    <m/>
    <m/>
    <m/>
  </r>
  <r>
    <n v="61"/>
    <s v="Consumer, Consumer Low-Income"/>
    <s v="Multi-Family Energy Efficiency Rebates"/>
    <m/>
    <m/>
    <s v="Final"/>
    <x v="4"/>
    <m/>
    <x v="0"/>
    <n v="0"/>
    <n v="0"/>
    <n v="0"/>
    <n v="0"/>
    <n v="99.460353780097165"/>
    <n v="99.460353780097165"/>
    <n v="99.460353780097165"/>
    <n v="99.460353780097165"/>
    <n v="99.460353780097165"/>
    <n v="99.460353780097165"/>
    <n v="99.460353780097165"/>
    <n v="99.460353780097165"/>
    <n v="99.460353780097165"/>
    <n v="8.8903109524138273"/>
    <n v="0"/>
    <n v="0"/>
    <n v="0"/>
    <n v="0"/>
    <n v="0"/>
    <n v="0"/>
    <n v="0"/>
    <n v="0"/>
    <n v="0"/>
    <n v="0"/>
    <n v="0"/>
    <n v="0"/>
    <n v="0"/>
    <n v="0"/>
    <n v="0"/>
    <n v="0"/>
    <m/>
    <m/>
    <m/>
    <m/>
    <m/>
    <m/>
  </r>
  <r>
    <n v="62"/>
    <s v="Business, Industrial"/>
    <s v="Demand Response 2"/>
    <m/>
    <m/>
    <s v="Final"/>
    <x v="4"/>
    <m/>
    <x v="1"/>
    <n v="0"/>
    <n v="0"/>
    <n v="0"/>
    <n v="0"/>
    <n v="927.03949446998331"/>
    <n v="0"/>
    <n v="0"/>
    <n v="0"/>
    <n v="0"/>
    <n v="0"/>
    <n v="0"/>
    <n v="0"/>
    <n v="0"/>
    <n v="0"/>
    <n v="0"/>
    <n v="0"/>
    <n v="0"/>
    <n v="0"/>
    <n v="0"/>
    <n v="0"/>
    <n v="0"/>
    <n v="0"/>
    <n v="0"/>
    <n v="0"/>
    <n v="0"/>
    <n v="0"/>
    <n v="0"/>
    <n v="0"/>
    <n v="0"/>
    <n v="0"/>
    <m/>
    <m/>
    <m/>
    <m/>
    <m/>
    <m/>
  </r>
  <r>
    <n v="63"/>
    <s v="Business, Industrial"/>
    <s v="Demand Response 3"/>
    <m/>
    <m/>
    <s v="Final"/>
    <x v="4"/>
    <m/>
    <x v="1"/>
    <n v="0"/>
    <n v="0"/>
    <n v="0"/>
    <n v="0"/>
    <n v="32.85625239207058"/>
    <n v="0"/>
    <n v="0"/>
    <n v="0"/>
    <n v="0"/>
    <n v="0"/>
    <n v="0"/>
    <n v="0"/>
    <n v="0"/>
    <n v="0"/>
    <n v="0"/>
    <n v="0"/>
    <n v="0"/>
    <n v="0"/>
    <n v="0"/>
    <n v="0"/>
    <n v="0"/>
    <n v="0"/>
    <n v="0"/>
    <n v="0"/>
    <n v="0"/>
    <n v="0"/>
    <n v="0"/>
    <n v="0"/>
    <n v="0"/>
    <n v="0"/>
    <m/>
    <m/>
    <m/>
    <m/>
    <m/>
    <m/>
  </r>
  <r>
    <n v="64"/>
    <s v="Business, Industrial"/>
    <s v="Loblaw &amp; York Region Demand Response"/>
    <m/>
    <m/>
    <s v="Final"/>
    <x v="4"/>
    <m/>
    <x v="1"/>
    <n v="0"/>
    <n v="0"/>
    <n v="0"/>
    <n v="0"/>
    <n v="0"/>
    <n v="0"/>
    <n v="0"/>
    <n v="0"/>
    <n v="0"/>
    <n v="0"/>
    <n v="0"/>
    <n v="0"/>
    <n v="0"/>
    <n v="0"/>
    <n v="0"/>
    <n v="0"/>
    <n v="0"/>
    <n v="0"/>
    <n v="0"/>
    <n v="0"/>
    <n v="0"/>
    <n v="0"/>
    <n v="0"/>
    <n v="0"/>
    <n v="0"/>
    <n v="0"/>
    <n v="0"/>
    <n v="0"/>
    <n v="0"/>
    <n v="0"/>
    <m/>
    <m/>
    <m/>
    <m/>
    <m/>
    <m/>
  </r>
  <r>
    <n v="65"/>
    <s v="Consumer"/>
    <s v="LDC Custom - Hydro Ottawa - Small Commercial Demand Response"/>
    <m/>
    <m/>
    <s v="Final"/>
    <x v="4"/>
    <m/>
    <x v="2"/>
    <n v="0"/>
    <n v="0"/>
    <n v="0"/>
    <n v="0"/>
    <n v="0"/>
    <n v="0"/>
    <n v="0"/>
    <n v="0"/>
    <n v="0"/>
    <n v="0"/>
    <n v="0"/>
    <n v="0"/>
    <n v="0"/>
    <n v="0"/>
    <n v="0"/>
    <n v="0"/>
    <n v="0"/>
    <n v="0"/>
    <n v="0"/>
    <n v="0"/>
    <n v="0"/>
    <n v="0"/>
    <n v="0"/>
    <n v="0"/>
    <n v="0"/>
    <n v="0"/>
    <n v="0"/>
    <n v="0"/>
    <n v="0"/>
    <n v="0"/>
    <m/>
    <m/>
    <m/>
    <m/>
    <m/>
    <m/>
  </r>
  <r>
    <s v="Tier 1"/>
    <s v="Consumer"/>
    <s v="Appliance Exchange"/>
    <s v="Kingston Hydro Corporation"/>
    <s v="Residential"/>
    <s v="EE"/>
    <x v="5"/>
    <s v="Appliances"/>
    <x v="0"/>
    <m/>
    <m/>
    <m/>
    <m/>
    <m/>
    <n v="2.6455572143763835"/>
    <n v="2.6455572143763835"/>
    <n v="2.6455572143763835"/>
    <n v="1.3449039579844146"/>
    <n v="0"/>
    <n v="0"/>
    <n v="0"/>
    <n v="0"/>
    <n v="0"/>
    <n v="0"/>
    <n v="0"/>
    <n v="0"/>
    <n v="0"/>
    <n v="0"/>
    <n v="0"/>
    <n v="0"/>
    <n v="0"/>
    <n v="0"/>
    <n v="0"/>
    <n v="0"/>
    <n v="0"/>
    <n v="0"/>
    <n v="0"/>
    <n v="0"/>
    <n v="0"/>
    <n v="0"/>
    <n v="0"/>
    <m/>
    <m/>
    <m/>
    <m/>
  </r>
  <r>
    <s v="Tier 1"/>
    <s v="Consumer"/>
    <s v="Appliance Retirement"/>
    <s v="Kingston Hydro Corporation"/>
    <s v="Residential"/>
    <s v="EE"/>
    <x v="5"/>
    <s v="Appliances"/>
    <x v="0"/>
    <m/>
    <m/>
    <m/>
    <m/>
    <m/>
    <n v="69.601599460639406"/>
    <n v="69.601599460639406"/>
    <n v="69.601599460639406"/>
    <n v="69.39882879829203"/>
    <n v="53.021472672112083"/>
    <n v="0"/>
    <n v="0"/>
    <n v="0"/>
    <n v="0"/>
    <n v="0"/>
    <n v="0"/>
    <n v="0"/>
    <n v="0"/>
    <n v="0"/>
    <n v="0"/>
    <n v="0"/>
    <n v="0"/>
    <n v="0"/>
    <n v="0"/>
    <n v="0"/>
    <n v="0"/>
    <n v="0"/>
    <n v="0"/>
    <n v="0"/>
    <n v="0"/>
    <n v="0"/>
    <n v="0"/>
    <m/>
    <m/>
    <m/>
    <m/>
  </r>
  <r>
    <s v="Tier 1"/>
    <s v="Consumer"/>
    <s v="Bi-Annual Retailer Event"/>
    <s v="Kingston Hydro Corporation"/>
    <s v="Residential"/>
    <s v="EE"/>
    <x v="5"/>
    <s v="Products"/>
    <x v="0"/>
    <m/>
    <m/>
    <m/>
    <m/>
    <m/>
    <n v="147.34181483343073"/>
    <n v="147.34181483343073"/>
    <n v="147.34181483343073"/>
    <n v="147.34181483343073"/>
    <n v="134.6595677972341"/>
    <n v="120.80474712380592"/>
    <n v="91.079078220949626"/>
    <n v="90.746825395207281"/>
    <n v="117.2838931048321"/>
    <n v="37.635379146352172"/>
    <n v="13.551282440501565"/>
    <n v="11.928815044419586"/>
    <n v="11.928815044419586"/>
    <n v="8.8099309406581483"/>
    <n v="8.8099309406581483"/>
    <n v="8.004767440986658"/>
    <n v="0"/>
    <n v="0"/>
    <n v="0"/>
    <n v="0"/>
    <n v="0"/>
    <n v="0"/>
    <n v="0"/>
    <n v="0"/>
    <n v="0"/>
    <n v="0"/>
    <n v="0"/>
    <n v="0"/>
    <n v="0"/>
    <n v="0"/>
    <m/>
  </r>
  <r>
    <s v="Tier 1"/>
    <s v="Consumer"/>
    <s v="Conservation Instant Coupon Booklet"/>
    <s v="Kingston Hydro Corporation"/>
    <s v="Residential"/>
    <s v="EE"/>
    <x v="5"/>
    <s v="Products"/>
    <x v="0"/>
    <m/>
    <m/>
    <m/>
    <m/>
    <m/>
    <n v="98.588392128109732"/>
    <n v="98.588392128109732"/>
    <n v="98.588392128109732"/>
    <n v="98.588392128109732"/>
    <n v="90.691192149495038"/>
    <n v="82.063833826192706"/>
    <n v="63.466740211501737"/>
    <n v="63.073310674987773"/>
    <n v="79.59786897690482"/>
    <n v="30.00096072126539"/>
    <n v="9.5688028688967588"/>
    <n v="7.6793459358531697"/>
    <n v="7.6793459358531697"/>
    <n v="7.0977623575864515"/>
    <n v="7.0977623575864515"/>
    <n v="6.8728127425727399"/>
    <n v="0"/>
    <n v="0"/>
    <n v="0"/>
    <n v="0"/>
    <n v="0"/>
    <n v="0"/>
    <n v="0"/>
    <n v="0"/>
    <n v="0"/>
    <n v="0"/>
    <n v="0"/>
    <n v="0"/>
    <n v="0"/>
    <n v="0"/>
    <m/>
  </r>
  <r>
    <s v="Tier 1"/>
    <s v="Consumer"/>
    <s v="HVAC Incentives"/>
    <s v="Kingston Hydro Corporation"/>
    <s v="Residential"/>
    <s v="EE"/>
    <x v="5"/>
    <s v="Installations"/>
    <x v="0"/>
    <m/>
    <m/>
    <m/>
    <m/>
    <m/>
    <n v="230.81965448490041"/>
    <n v="230.81965448490041"/>
    <n v="230.81965448490041"/>
    <n v="230.81965448490041"/>
    <n v="230.81965448490041"/>
    <n v="230.81965448490041"/>
    <n v="230.81965448490041"/>
    <n v="230.81965448490041"/>
    <n v="230.81965448490041"/>
    <n v="230.81965448490041"/>
    <n v="230.81965448490041"/>
    <n v="230.81965448490041"/>
    <n v="230.81965448490041"/>
    <n v="230.81965448490041"/>
    <n v="230.81965448490041"/>
    <n v="230.81965448490041"/>
    <n v="230.81965448490041"/>
    <n v="230.81965448490041"/>
    <n v="221.61809416401363"/>
    <n v="0"/>
    <n v="0"/>
    <n v="0"/>
    <n v="0"/>
    <n v="0"/>
    <n v="0"/>
    <n v="0"/>
    <n v="0"/>
    <n v="0"/>
    <n v="0"/>
    <n v="0"/>
    <m/>
  </r>
  <r>
    <s v="Tier 1"/>
    <s v="Consumer"/>
    <s v="Retailer Co-op"/>
    <s v="Kingston Hydro Corporation"/>
    <s v="Residential"/>
    <s v="EE"/>
    <x v="5"/>
    <s v="Products"/>
    <x v="0"/>
    <m/>
    <m/>
    <m/>
    <m/>
    <m/>
    <n v="0"/>
    <n v="0"/>
    <n v="0"/>
    <n v="0"/>
    <n v="0"/>
    <n v="0"/>
    <n v="0"/>
    <n v="0"/>
    <n v="0"/>
    <n v="0"/>
    <n v="0"/>
    <n v="0"/>
    <n v="0"/>
    <n v="0"/>
    <n v="0"/>
    <n v="0"/>
    <n v="0"/>
    <n v="0"/>
    <n v="0"/>
    <n v="0"/>
    <n v="0"/>
    <n v="0"/>
    <n v="0"/>
    <n v="0"/>
    <n v="0"/>
    <n v="0"/>
    <n v="0"/>
    <n v="0"/>
    <n v="0"/>
    <n v="0"/>
    <m/>
  </r>
  <r>
    <s v="Tier 1"/>
    <s v="Business"/>
    <s v="Demand Response 3 (part of the Industrial program schedule)"/>
    <s v="Kingston Hydro Corporation"/>
    <s v="Commercial &amp; Institutional"/>
    <s v="DR"/>
    <x v="5"/>
    <s v="Facilities"/>
    <x v="4"/>
    <m/>
    <m/>
    <m/>
    <m/>
    <m/>
    <n v="156.88929999999999"/>
    <n v="0"/>
    <n v="0"/>
    <n v="0"/>
    <n v="0"/>
    <n v="0"/>
    <n v="0"/>
    <n v="0"/>
    <n v="0"/>
    <n v="0"/>
    <n v="0"/>
    <n v="0"/>
    <n v="0"/>
    <n v="0"/>
    <n v="0"/>
    <n v="0"/>
    <n v="0"/>
    <n v="0"/>
    <n v="0"/>
    <n v="0"/>
    <n v="0"/>
    <n v="0"/>
    <n v="0"/>
    <n v="0"/>
    <n v="0"/>
    <n v="0"/>
    <n v="0"/>
    <n v="0"/>
    <n v="0"/>
    <n v="0"/>
    <m/>
  </r>
  <r>
    <s v="Tier 1"/>
    <s v="Business"/>
    <s v="Direct Install Lighting"/>
    <s v="Kingston Hydro Corporation"/>
    <s v="Commercial &amp; Institutional"/>
    <s v="EE"/>
    <x v="5"/>
    <s v="Projects"/>
    <x v="5"/>
    <m/>
    <m/>
    <m/>
    <m/>
    <m/>
    <n v="264.37571118334665"/>
    <n v="264.37571118334665"/>
    <n v="263.79150502727242"/>
    <n v="207.20964262103513"/>
    <n v="207.20964262103513"/>
    <n v="207.20964262103513"/>
    <n v="66.328488080987924"/>
    <n v="64.585815387443134"/>
    <n v="64.585815387443134"/>
    <n v="64.585815387443134"/>
    <n v="41.266623434886171"/>
    <n v="41.266623434886171"/>
    <n v="6.2269197982741717"/>
    <n v="6.2269197982741717"/>
    <n v="6.2269197982741717"/>
    <n v="0"/>
    <n v="0"/>
    <n v="0"/>
    <n v="0"/>
    <n v="0"/>
    <n v="0"/>
    <n v="0"/>
    <n v="0"/>
    <n v="0"/>
    <n v="0"/>
    <n v="0"/>
    <n v="0"/>
    <n v="0"/>
    <n v="0"/>
    <n v="0"/>
    <m/>
  </r>
  <r>
    <s v="Tier 1"/>
    <s v="Business"/>
    <s v="Retrofit"/>
    <s v="Kingston Hydro Corporation"/>
    <s v="Commercial &amp; Institutional"/>
    <s v="EE"/>
    <x v="5"/>
    <s v="Projects"/>
    <x v="6"/>
    <m/>
    <m/>
    <m/>
    <m/>
    <m/>
    <n v="1921.8350055572723"/>
    <n v="1921.8350055572723"/>
    <n v="1921.8350055572723"/>
    <n v="1921.8350055572723"/>
    <n v="1921.8350055572723"/>
    <n v="1921.8350055572723"/>
    <n v="1921.8350055572723"/>
    <n v="1921.8350055572723"/>
    <n v="1921.8350055572723"/>
    <n v="1404.474747747041"/>
    <n v="1404.474747747041"/>
    <n v="1404.474747747041"/>
    <n v="1404.474747747041"/>
    <n v="1404.474747747041"/>
    <n v="32.013294315175727"/>
    <n v="0"/>
    <n v="0"/>
    <n v="0"/>
    <n v="0"/>
    <n v="0"/>
    <n v="0"/>
    <n v="0"/>
    <n v="0"/>
    <n v="0"/>
    <n v="0"/>
    <n v="0"/>
    <n v="0"/>
    <n v="0"/>
    <n v="0"/>
    <n v="0"/>
    <m/>
  </r>
  <r>
    <s v="Tier 1"/>
    <s v="Business"/>
    <s v="Energy Audit"/>
    <s v="Kingston Hydro Corporation"/>
    <s v="Commercial &amp; Institutional"/>
    <s v="EE"/>
    <x v="5"/>
    <s v="Audits"/>
    <x v="7"/>
    <m/>
    <m/>
    <m/>
    <m/>
    <m/>
    <n v="0"/>
    <n v="0"/>
    <n v="0"/>
    <n v="0"/>
    <n v="0"/>
    <n v="0"/>
    <n v="0"/>
    <n v="0"/>
    <n v="0"/>
    <n v="0"/>
    <n v="0"/>
    <n v="0"/>
    <n v="0"/>
    <n v="0"/>
    <n v="0"/>
    <n v="0"/>
    <n v="0"/>
    <n v="0"/>
    <n v="0"/>
    <n v="0"/>
    <n v="0"/>
    <n v="0"/>
    <n v="0"/>
    <n v="0"/>
    <n v="0"/>
    <n v="0"/>
    <n v="0"/>
    <n v="0"/>
    <n v="0"/>
    <n v="0"/>
    <m/>
  </r>
  <r>
    <s v="Tier 1"/>
    <s v="Industrial"/>
    <s v="Demand Response 3"/>
    <s v="Kingston Hydro Corporation"/>
    <s v="Industrial"/>
    <s v="DR"/>
    <x v="5"/>
    <s v="Facilities"/>
    <x v="2"/>
    <m/>
    <m/>
    <m/>
    <m/>
    <m/>
    <n v="0"/>
    <n v="0"/>
    <n v="0"/>
    <n v="0"/>
    <n v="0"/>
    <n v="0"/>
    <n v="0"/>
    <n v="0"/>
    <n v="0"/>
    <n v="0"/>
    <n v="0"/>
    <n v="0"/>
    <n v="0"/>
    <n v="0"/>
    <n v="0"/>
    <n v="0"/>
    <n v="0"/>
    <n v="0"/>
    <n v="0"/>
    <n v="0"/>
    <n v="0"/>
    <n v="0"/>
    <n v="0"/>
    <n v="0"/>
    <n v="0"/>
    <n v="0"/>
    <n v="0"/>
    <n v="0"/>
    <n v="0"/>
    <n v="0"/>
    <m/>
  </r>
  <r>
    <s v="Tier 1"/>
    <s v="Pre-2011 Programs Completed in 2011"/>
    <s v="Electricity Retrofit Incentive Program"/>
    <s v="Kingston Hydro Corporation"/>
    <s v="Commercial &amp; Institutional"/>
    <s v="EE"/>
    <x v="5"/>
    <s v="Projects"/>
    <x v="1"/>
    <m/>
    <m/>
    <m/>
    <m/>
    <m/>
    <n v="79.337020424640002"/>
    <n v="79.337020424640002"/>
    <n v="79.337020424640002"/>
    <n v="79.337020424640002"/>
    <n v="79.337020424640002"/>
    <n v="79.337020424640002"/>
    <n v="79.337020424640002"/>
    <n v="79.337020424640002"/>
    <n v="79.337020424640002"/>
    <n v="79.337020424640002"/>
    <n v="79.337020424640002"/>
    <n v="79.337020424640002"/>
    <n v="79.337020424640002"/>
    <n v="0"/>
    <n v="0"/>
    <n v="0"/>
    <n v="0"/>
    <n v="0"/>
    <n v="0"/>
    <n v="0"/>
    <n v="0"/>
    <n v="0"/>
    <n v="0"/>
    <n v="0"/>
    <n v="0"/>
    <n v="0"/>
    <m/>
    <n v="0"/>
    <n v="0"/>
    <n v="0"/>
    <m/>
  </r>
  <r>
    <s v="Tier 1"/>
    <s v="Pre-2011 Programs Completed in 2011"/>
    <s v="High Performance New Construction"/>
    <s v="Kingston Hydro Corporation"/>
    <s v="Commercial &amp; Institutional"/>
    <s v="EE"/>
    <x v="5"/>
    <s v="Projects"/>
    <x v="8"/>
    <m/>
    <m/>
    <m/>
    <m/>
    <m/>
    <n v="331.04319661223701"/>
    <n v="331.04319661223701"/>
    <n v="331.04319661223701"/>
    <n v="331.04319661223701"/>
    <n v="331.04319661223701"/>
    <n v="331.04319661223701"/>
    <n v="331.04319661223701"/>
    <n v="331.04319661223701"/>
    <n v="331.04319661223701"/>
    <n v="331.04319661223701"/>
    <n v="331.04319661223701"/>
    <n v="331.04319661223701"/>
    <n v="331.04319661223701"/>
    <n v="331.04319661223701"/>
    <n v="331.04319661223701"/>
    <n v="2.2929726122369978"/>
    <n v="2.2929726122369978"/>
    <n v="2.2929726122369978"/>
    <n v="2.2929726122369978"/>
    <n v="2.2929726122369978"/>
    <n v="2.2929726122369978"/>
    <n v="2.2929726122369978"/>
    <n v="2.2929726122369978"/>
    <n v="2.2929726122369978"/>
    <n v="2.2929726122369978"/>
    <n v="2.2929726122369978"/>
    <n v="0"/>
    <n v="0"/>
    <n v="0"/>
    <n v="0"/>
    <m/>
  </r>
  <r>
    <s v="Tier 1"/>
    <s v="Business"/>
    <s v="Direct Install Lighting"/>
    <s v="Kingston Hydro Corporation"/>
    <s v="C&amp;I"/>
    <s v="EE"/>
    <x v="6"/>
    <s v="Projects"/>
    <x v="9"/>
    <m/>
    <m/>
    <m/>
    <m/>
    <m/>
    <n v="0"/>
    <n v="942.75488539143726"/>
    <n v="942.75488539143919"/>
    <n v="932.58993517580222"/>
    <n v="680.42820020590477"/>
    <n v="680.42820020590477"/>
    <n v="202.28361735145376"/>
    <n v="202.28361735145376"/>
    <n v="202.14136948749851"/>
    <n v="202.14136948749851"/>
    <n v="202.14136948749851"/>
    <n v="129.91659578001384"/>
    <n v="129.91659578001384"/>
    <n v="0"/>
    <n v="0"/>
    <n v="0"/>
    <n v="0"/>
    <n v="0"/>
    <n v="0"/>
    <n v="0"/>
    <n v="0"/>
    <n v="0"/>
    <n v="0"/>
    <n v="0"/>
    <n v="0"/>
    <n v="0"/>
    <n v="0"/>
    <n v="0"/>
    <n v="0"/>
    <n v="0"/>
    <m/>
  </r>
  <r>
    <s v="Tier 1"/>
    <s v="Business"/>
    <s v="Retrofit"/>
    <s v="Kingston Hydro Corporation"/>
    <s v="C&amp;I"/>
    <s v="EE"/>
    <x v="6"/>
    <s v="Projects"/>
    <x v="10"/>
    <m/>
    <m/>
    <m/>
    <m/>
    <m/>
    <n v="0"/>
    <n v="3121.717308429817"/>
    <n v="3121.717308429817"/>
    <n v="3030.0343761923968"/>
    <n v="2902.8460085189131"/>
    <n v="2902.8460085189131"/>
    <n v="2560.2117156916943"/>
    <n v="2552.0690301517311"/>
    <n v="2552.0690301517311"/>
    <n v="2487.0579018221497"/>
    <n v="2377.25478282932"/>
    <n v="2077.3692122737866"/>
    <n v="2077.3692122737866"/>
    <n v="1377.5835359257972"/>
    <n v="1166.8492696740534"/>
    <n v="1166.8492696740534"/>
    <n v="22.108148722950784"/>
    <n v="14.372345387948656"/>
    <n v="14.372345387948656"/>
    <n v="14.372345387948656"/>
    <n v="14.372345387948656"/>
    <n v="0"/>
    <n v="0"/>
    <n v="0"/>
    <n v="0"/>
    <n v="0"/>
    <n v="0"/>
    <m/>
    <m/>
    <m/>
    <m/>
  </r>
  <r>
    <s v="Tier 1"/>
    <s v="Business"/>
    <s v="Energy Audit"/>
    <s v="Kingston Hydro Corporation"/>
    <s v="C&amp;I"/>
    <s v="EE"/>
    <x v="6"/>
    <s v="Audits"/>
    <x v="11"/>
    <m/>
    <m/>
    <m/>
    <m/>
    <m/>
    <n v="0"/>
    <n v="125.88127231281538"/>
    <n v="125.88127231281538"/>
    <n v="125.88127231281538"/>
    <n v="125.88127231281538"/>
    <n v="0"/>
    <n v="0"/>
    <n v="0"/>
    <n v="0"/>
    <n v="0"/>
    <n v="0"/>
    <n v="0"/>
    <n v="0"/>
    <n v="0"/>
    <n v="0"/>
    <n v="0"/>
    <n v="0"/>
    <n v="0"/>
    <n v="0"/>
    <n v="0"/>
    <n v="0"/>
    <n v="0"/>
    <n v="0"/>
    <n v="0"/>
    <n v="0"/>
    <n v="0"/>
    <n v="0"/>
    <n v="0"/>
    <n v="0"/>
    <n v="0"/>
    <m/>
  </r>
  <r>
    <s v="Tier 1"/>
    <s v="Business"/>
    <s v="High Performance New Construction"/>
    <s v="Kingston Hydro Corporation"/>
    <s v="C&amp;I"/>
    <s v="EE"/>
    <x v="6"/>
    <s v="Projects"/>
    <x v="12"/>
    <m/>
    <m/>
    <m/>
    <m/>
    <m/>
    <n v="0"/>
    <n v="1.5969099999999998"/>
    <n v="1.5969099999999998"/>
    <n v="1.5969099999999998"/>
    <n v="1.5969099999999998"/>
    <n v="1.5969099999999998"/>
    <n v="1.5969099999999998"/>
    <n v="1.5969099999999998"/>
    <n v="1.5969099999999998"/>
    <n v="1.5969099999999998"/>
    <n v="1.5969099999999998"/>
    <n v="1.5969099999999998"/>
    <n v="1.5969099999999998"/>
    <n v="1.5969099999999998"/>
    <n v="1.50773"/>
    <n v="0.70511000000000001"/>
    <n v="0"/>
    <n v="0"/>
    <n v="0"/>
    <n v="0"/>
    <n v="0"/>
    <n v="0"/>
    <n v="0"/>
    <n v="0"/>
    <n v="0"/>
    <n v="0"/>
    <n v="0"/>
    <n v="0"/>
    <n v="0"/>
    <n v="0"/>
    <m/>
  </r>
  <r>
    <s v="Tier 1"/>
    <s v="Consumer"/>
    <s v="Appliance Exchange"/>
    <s v="Kingston Hydro Corporation"/>
    <s v="Residential"/>
    <s v="EE"/>
    <x v="6"/>
    <s v="Appliances"/>
    <x v="0"/>
    <m/>
    <m/>
    <m/>
    <m/>
    <m/>
    <n v="0"/>
    <n v="16.002313596872199"/>
    <n v="16.002313596872199"/>
    <n v="16.002313596872199"/>
    <n v="15.308388155597605"/>
    <n v="0"/>
    <n v="0"/>
    <n v="0"/>
    <n v="0"/>
    <n v="0"/>
    <n v="0"/>
    <n v="0"/>
    <n v="0"/>
    <n v="0"/>
    <n v="0"/>
    <n v="0"/>
    <n v="0"/>
    <n v="0"/>
    <n v="0"/>
    <n v="0"/>
    <n v="0"/>
    <n v="0"/>
    <n v="0"/>
    <n v="0"/>
    <n v="0"/>
    <n v="0"/>
    <n v="0"/>
    <n v="0"/>
    <n v="0"/>
    <n v="0"/>
    <m/>
  </r>
  <r>
    <s v="Tier 1"/>
    <s v="Consumer"/>
    <s v="Appliance Retirement"/>
    <s v="Kingston Hydro Corporation"/>
    <s v="Residential"/>
    <s v="EE"/>
    <x v="6"/>
    <s v="Appliances"/>
    <x v="0"/>
    <m/>
    <m/>
    <m/>
    <m/>
    <m/>
    <n v="0"/>
    <n v="36.436022200215092"/>
    <n v="36.436022200215092"/>
    <n v="36.436022200215092"/>
    <n v="36.436022200215092"/>
    <n v="21.883402461394159"/>
    <n v="0"/>
    <n v="0"/>
    <n v="0"/>
    <n v="0"/>
    <n v="0"/>
    <n v="0"/>
    <n v="0"/>
    <n v="0"/>
    <n v="0"/>
    <n v="0"/>
    <n v="0"/>
    <n v="0"/>
    <n v="0"/>
    <n v="0"/>
    <n v="0"/>
    <n v="0"/>
    <n v="0"/>
    <n v="0"/>
    <n v="0"/>
    <n v="0"/>
    <n v="0"/>
    <n v="0"/>
    <n v="0"/>
    <n v="0"/>
    <m/>
  </r>
  <r>
    <s v="Tier 1"/>
    <s v="Consumer"/>
    <s v="Bi-Annual Retailer Event"/>
    <s v="Kingston Hydro Corporation"/>
    <s v="Residential"/>
    <s v="EE"/>
    <x v="6"/>
    <s v="Products"/>
    <x v="0"/>
    <m/>
    <m/>
    <m/>
    <m/>
    <m/>
    <n v="0"/>
    <n v="134.27697918912932"/>
    <n v="134.27697918912932"/>
    <n v="134.27697918912932"/>
    <n v="134.27697918912932"/>
    <n v="120.70646218667096"/>
    <n v="98.151594763898402"/>
    <n v="66.949454398985381"/>
    <n v="66.810287664292744"/>
    <n v="66.810287664292744"/>
    <n v="33.934542075814811"/>
    <n v="25.183856466825137"/>
    <n v="24.401183520574612"/>
    <n v="24.401183520574612"/>
    <n v="22.697617638863399"/>
    <n v="22.697617638863399"/>
    <n v="22.387125408245581"/>
    <n v="6.2813955705434577"/>
    <n v="6.2813955705434577"/>
    <n v="6.2813955705434577"/>
    <n v="6.2813955705434577"/>
    <n v="0"/>
    <n v="0"/>
    <n v="0"/>
    <n v="0"/>
    <n v="0"/>
    <n v="0"/>
    <n v="0"/>
    <n v="0"/>
    <n v="0"/>
    <m/>
  </r>
  <r>
    <s v="Tier 1"/>
    <s v="Consumer"/>
    <s v="Conservation Instant Coupon Booklet"/>
    <s v="Kingston Hydro Corporation"/>
    <s v="Residential"/>
    <s v="EE"/>
    <x v="6"/>
    <s v="Products"/>
    <x v="0"/>
    <m/>
    <m/>
    <m/>
    <m/>
    <m/>
    <n v="0"/>
    <n v="7.0102533294220546"/>
    <n v="7.0102533294220546"/>
    <n v="7.0102533294220546"/>
    <n v="7.0102533294220546"/>
    <n v="6.9049348626225528"/>
    <n v="6.9049348626225528"/>
    <n v="3.2515103540463097"/>
    <n v="3.2335651698359436"/>
    <n v="3.2335651698359436"/>
    <n v="3.2335651698359436"/>
    <n v="0.52518054927926128"/>
    <n v="0.42295620971060455"/>
    <n v="0.42295620971060455"/>
    <n v="0.36346799534915469"/>
    <n v="0.36346799534915469"/>
    <n v="0.35002148142476119"/>
    <n v="0"/>
    <n v="0"/>
    <n v="0"/>
    <n v="0"/>
    <n v="0"/>
    <n v="0"/>
    <n v="0"/>
    <n v="0"/>
    <n v="0"/>
    <n v="0"/>
    <n v="0"/>
    <n v="0"/>
    <n v="0"/>
    <m/>
  </r>
  <r>
    <s v="Tier 1"/>
    <s v="Consumer"/>
    <s v="HVAC Incentives"/>
    <s v="Kingston Hydro Corporation"/>
    <s v="Residential"/>
    <s v="EE"/>
    <x v="6"/>
    <s v="Installations"/>
    <x v="0"/>
    <m/>
    <m/>
    <m/>
    <m/>
    <m/>
    <n v="0"/>
    <n v="95.798091245599494"/>
    <n v="95.798091245599494"/>
    <n v="95.798091245599494"/>
    <n v="95.798091245599494"/>
    <n v="95.798091245599494"/>
    <n v="95.798091245599494"/>
    <n v="95.798091245599494"/>
    <n v="95.798091245599494"/>
    <n v="95.798091245599494"/>
    <n v="95.798091245599494"/>
    <n v="95.798091245599494"/>
    <n v="95.798091245599494"/>
    <n v="95.798091245599494"/>
    <n v="95.798091245599494"/>
    <n v="95.798091245599494"/>
    <n v="95.798091245599494"/>
    <n v="95.798091245599494"/>
    <n v="95.798091245599494"/>
    <n v="90.336016769415181"/>
    <n v="0"/>
    <n v="0"/>
    <n v="0"/>
    <n v="0"/>
    <n v="0"/>
    <n v="0"/>
    <n v="0"/>
    <n v="0"/>
    <n v="0"/>
    <n v="0"/>
    <m/>
  </r>
  <r>
    <s v="Tier 1"/>
    <s v="Home Assistance"/>
    <s v="Home Assistance Program"/>
    <s v="Kingston Hydro Corporation"/>
    <s v="Residential"/>
    <s v="EE"/>
    <x v="6"/>
    <s v="Projects"/>
    <x v="0"/>
    <m/>
    <m/>
    <m/>
    <m/>
    <m/>
    <n v="0"/>
    <n v="48.513360427856455"/>
    <n v="48.513360794067381"/>
    <n v="48.513360794067381"/>
    <n v="46.049360427856442"/>
    <n v="45.738360427856442"/>
    <n v="45.738360427856442"/>
    <n v="43.094242019653322"/>
    <n v="43.020220016479492"/>
    <n v="25.952220016479494"/>
    <n v="25.708220016479491"/>
    <n v="20.795999999999996"/>
    <n v="20.795999999999996"/>
    <n v="19.826000000000001"/>
    <n v="19.826000000000001"/>
    <n v="11.726000000000001"/>
    <n v="5.266"/>
    <n v="5.266"/>
    <n v="5.266"/>
    <n v="5.266"/>
    <n v="5.266"/>
    <n v="1.266"/>
    <n v="0"/>
    <n v="0"/>
    <n v="0"/>
    <n v="0"/>
    <n v="0"/>
    <n v="0"/>
    <n v="0"/>
    <n v="0"/>
    <m/>
  </r>
  <r>
    <s v="Tier 1"/>
    <s v="Industrial"/>
    <s v="Demand Response 3"/>
    <s v="Kingston Hydro Corporation"/>
    <s v="Industrial"/>
    <s v="DR"/>
    <x v="6"/>
    <s v="Facilities"/>
    <x v="8"/>
    <m/>
    <m/>
    <m/>
    <m/>
    <m/>
    <n v="0"/>
    <n v="8.415673"/>
    <n v="0"/>
    <n v="0"/>
    <n v="0"/>
    <n v="0"/>
    <n v="0"/>
    <n v="0"/>
    <n v="0"/>
    <n v="0"/>
    <n v="0"/>
    <n v="0"/>
    <n v="0"/>
    <n v="0"/>
    <n v="0"/>
    <n v="0"/>
    <n v="0"/>
    <n v="0"/>
    <n v="0"/>
    <n v="0"/>
    <n v="0"/>
    <n v="0"/>
    <n v="0"/>
    <n v="0"/>
    <n v="0"/>
    <n v="0"/>
    <n v="0"/>
    <n v="0"/>
    <n v="0"/>
    <n v="0"/>
    <m/>
  </r>
  <r>
    <s v="Tier 1"/>
    <s v="Pre-2011 Programs Completed in 2011"/>
    <s v="High Performance New Construction"/>
    <s v="Kingston Hydro Corporation"/>
    <s v="C&amp;I"/>
    <s v="EE"/>
    <x v="6"/>
    <s v="Projects"/>
    <x v="8"/>
    <m/>
    <m/>
    <m/>
    <m/>
    <m/>
    <n v="0"/>
    <n v="327.22569929981955"/>
    <n v="327.22569929981955"/>
    <n v="327.22569929981955"/>
    <n v="327.22569929981955"/>
    <n v="327.22569929981955"/>
    <n v="327.22569929981955"/>
    <n v="327.22569929981955"/>
    <n v="327.22569929981955"/>
    <n v="327.22569929981955"/>
    <n v="327.22569929981955"/>
    <n v="327.22569929981955"/>
    <n v="327.22569929981955"/>
    <n v="0"/>
    <n v="0"/>
    <n v="0"/>
    <n v="0"/>
    <n v="0"/>
    <n v="0"/>
    <n v="0"/>
    <n v="0"/>
    <n v="0"/>
    <n v="0"/>
    <n v="0"/>
    <n v="0"/>
    <n v="0"/>
    <n v="0"/>
    <n v="0"/>
    <n v="0"/>
    <n v="0"/>
    <m/>
  </r>
  <r>
    <s v="Tier 1"/>
    <s v="Business"/>
    <s v="Demand Response 3 (part of the Industrial program schedule)"/>
    <s v="Kingston Hydro Corporation"/>
    <s v="C&amp;I"/>
    <s v="DR"/>
    <x v="6"/>
    <s v="Facilities"/>
    <x v="4"/>
    <m/>
    <m/>
    <m/>
    <m/>
    <m/>
    <n v="0"/>
    <n v="58.580500000000001"/>
    <n v="0"/>
    <n v="0"/>
    <n v="0"/>
    <n v="0"/>
    <n v="0"/>
    <n v="0"/>
    <n v="0"/>
    <n v="0"/>
    <n v="0"/>
    <n v="0"/>
    <n v="0"/>
    <n v="0"/>
    <n v="0"/>
    <n v="0"/>
    <n v="0"/>
    <n v="0"/>
    <n v="0"/>
    <n v="0"/>
    <n v="0"/>
    <n v="0"/>
    <n v="0"/>
    <n v="0"/>
    <n v="0"/>
    <n v="0"/>
    <n v="0"/>
    <n v="0"/>
    <n v="0"/>
    <n v="0"/>
    <m/>
  </r>
  <r>
    <s v="Tier 1 - 2011 Adjustment"/>
    <s v="Business"/>
    <s v="Retrofit"/>
    <s v="Kingston Hydro Corporation"/>
    <s v="C&amp;I"/>
    <s v="EE"/>
    <x v="5"/>
    <s v="Projects"/>
    <x v="6"/>
    <m/>
    <m/>
    <m/>
    <m/>
    <m/>
    <n v="14.398130945537527"/>
    <n v="14.398130945537527"/>
    <n v="14.398130945537527"/>
    <n v="13.517882939259444"/>
    <n v="13.517882939259444"/>
    <n v="13.517882939259444"/>
    <n v="4.4746055495332433"/>
    <n v="4.4746055495332433"/>
    <n v="4.4746055495332433"/>
    <n v="4.4746055495332433"/>
    <n v="2.5952600793001244"/>
    <n v="2.5952600793001244"/>
    <n v="0"/>
    <n v="0"/>
    <n v="0"/>
    <n v="0"/>
    <n v="0"/>
    <n v="0"/>
    <n v="0"/>
    <n v="0"/>
    <n v="0"/>
    <n v="0"/>
    <n v="0"/>
    <n v="0"/>
    <n v="0"/>
    <n v="0"/>
    <n v="0"/>
    <n v="0"/>
    <n v="0"/>
    <n v="0"/>
    <m/>
  </r>
  <r>
    <s v="Tier 1 - 2011 Adjustment"/>
    <s v="Business"/>
    <s v="Direct Install Lighting"/>
    <s v="Kingston Hydro Corporation"/>
    <s v="C&amp;I"/>
    <s v="EE"/>
    <x v="5"/>
    <s v="Projects"/>
    <x v="5"/>
    <m/>
    <m/>
    <m/>
    <m/>
    <m/>
    <n v="15.858094920564891"/>
    <n v="15.858094920564891"/>
    <n v="15.858094920564891"/>
    <n v="15.858094920564891"/>
    <n v="15.858094920564891"/>
    <n v="15.858094920564891"/>
    <n v="4.9969907076186661"/>
    <n v="4.9969907076186661"/>
    <n v="4.9969907076186661"/>
    <n v="4.9969907076186661"/>
    <n v="3.9742191307521328"/>
    <n v="3.9742191307521328"/>
    <n v="0"/>
    <n v="0"/>
    <n v="0"/>
    <n v="0"/>
    <n v="0"/>
    <n v="0"/>
    <n v="0"/>
    <n v="0"/>
    <n v="0"/>
    <n v="0"/>
    <n v="0"/>
    <n v="0"/>
    <n v="0"/>
    <n v="0"/>
    <n v="0"/>
    <n v="0"/>
    <n v="0"/>
    <n v="0"/>
    <m/>
  </r>
  <r>
    <s v="Tier 1 - 2011 Adjustment"/>
    <s v="Business"/>
    <s v="Energy Audit"/>
    <s v="Kingston Hydro Corporation"/>
    <s v="C&amp;I"/>
    <s v="EE"/>
    <x v="5"/>
    <s v="Projects"/>
    <x v="7"/>
    <m/>
    <m/>
    <m/>
    <m/>
    <m/>
    <n v="50.352508925126152"/>
    <n v="50.352508925126152"/>
    <n v="50.352508925126152"/>
    <n v="50.352508925126152"/>
    <n v="50.352508925126152"/>
    <n v="0"/>
    <n v="0"/>
    <n v="0"/>
    <n v="0"/>
    <n v="0"/>
    <n v="0"/>
    <n v="0"/>
    <n v="0"/>
    <n v="0"/>
    <n v="0"/>
    <n v="0"/>
    <n v="0"/>
    <n v="0"/>
    <n v="0"/>
    <n v="0"/>
    <n v="0"/>
    <n v="0"/>
    <n v="0"/>
    <n v="0"/>
    <n v="0"/>
    <n v="0"/>
    <n v="0"/>
    <n v="0"/>
    <n v="0"/>
    <n v="0"/>
    <m/>
  </r>
  <r>
    <s v="Tier 1 - 2011 Adjustment"/>
    <s v="Pre-2011 Programs Completed in 2011"/>
    <s v="High Performance New Construction"/>
    <s v="Kingston Hydro Corporation"/>
    <s v="C&amp;I"/>
    <s v="EE"/>
    <x v="5"/>
    <s v="Buildings"/>
    <x v="8"/>
    <m/>
    <m/>
    <m/>
    <m/>
    <m/>
    <n v="444.61606738776311"/>
    <n v="444.61606738776311"/>
    <n v="444.61606738776311"/>
    <n v="444.61606738776311"/>
    <n v="444.616067387763"/>
    <n v="444.616067387763"/>
    <n v="444.616067387763"/>
    <n v="444.616067387763"/>
    <n v="444.616067387763"/>
    <n v="444.616067387763"/>
    <n v="444.616067387763"/>
    <n v="444.616067387763"/>
    <n v="444.616067387763"/>
    <n v="444.616067387763"/>
    <n v="444.616067387763"/>
    <n v="0"/>
    <n v="0"/>
    <n v="0"/>
    <n v="0"/>
    <n v="0"/>
    <n v="0"/>
    <n v="0"/>
    <n v="0"/>
    <n v="0"/>
    <n v="0"/>
    <n v="0"/>
    <n v="0"/>
    <n v="0"/>
    <n v="0"/>
    <n v="0"/>
    <m/>
  </r>
  <r>
    <s v="Tier 1 - 2011 Adjustment"/>
    <s v="Consumer"/>
    <s v="HVAC Incentives"/>
    <s v="Kingston Hydro Corporation"/>
    <s v="Residential"/>
    <s v="EE"/>
    <x v="5"/>
    <s v="Installations"/>
    <x v="0"/>
    <m/>
    <m/>
    <m/>
    <m/>
    <m/>
    <n v="-46.099303587569764"/>
    <n v="-46.099303587569764"/>
    <n v="-46.099303587569764"/>
    <n v="-46.099303587569764"/>
    <n v="-46.099303587569764"/>
    <n v="-46.099303587569764"/>
    <n v="-46.099303587569764"/>
    <n v="-46.099303587569764"/>
    <n v="-46.099303587569764"/>
    <n v="-46.099303587569764"/>
    <n v="-46.099303587569764"/>
    <n v="-46.099303587569764"/>
    <n v="-46.099303587569764"/>
    <n v="-46.099303587569764"/>
    <n v="-46.099303587569764"/>
    <n v="-46.099303587569764"/>
    <n v="-46.099303587569764"/>
    <n v="-46.099303587569764"/>
    <n v="-44.100481065259707"/>
    <n v="0"/>
    <n v="0"/>
    <n v="0"/>
    <n v="0"/>
    <n v="0"/>
    <n v="0"/>
    <n v="0"/>
    <n v="0"/>
    <n v="0"/>
    <n v="0"/>
    <n v="0"/>
    <m/>
  </r>
  <r>
    <s v="Tier 1 - 2011 Adjustment"/>
    <s v="Consumer"/>
    <s v="Bi-Annual Retailer Event"/>
    <s v="Kingston Hydro Corporation"/>
    <s v="Residential"/>
    <s v="EE"/>
    <x v="5"/>
    <s v="Products"/>
    <x v="0"/>
    <m/>
    <m/>
    <m/>
    <m/>
    <m/>
    <n v="10.947004820254898"/>
    <n v="10.947004820254898"/>
    <n v="10.947004820254898"/>
    <n v="10.947004820254898"/>
    <n v="10.947004820254898"/>
    <n v="9.9476895758751613"/>
    <n v="5.3706497234395885"/>
    <n v="5.3695555893022915"/>
    <n v="5.3695555893022915"/>
    <n v="1.1845655212131565"/>
    <n v="0.99516696810053751"/>
    <n v="0.91386373835073487"/>
    <n v="0.91386373835073487"/>
    <n v="0.75837173680929437"/>
    <n v="0.75837173680929437"/>
    <n v="0.75745980702052318"/>
    <n v="0"/>
    <n v="0"/>
    <n v="0"/>
    <n v="0"/>
    <n v="0"/>
    <n v="0"/>
    <n v="0"/>
    <n v="0"/>
    <n v="0"/>
    <n v="0"/>
    <m/>
    <n v="0"/>
    <n v="0"/>
    <n v="0"/>
    <m/>
  </r>
  <r>
    <s v="Tier 1 - 2011 Adjustment"/>
    <s v="Consumer"/>
    <s v="Conservation Instant Coupon Booklet"/>
    <s v="Kingston Hydro Corporation"/>
    <s v="Residential"/>
    <s v="EE"/>
    <x v="5"/>
    <s v="Products"/>
    <x v="0"/>
    <m/>
    <m/>
    <m/>
    <m/>
    <m/>
    <n v="1.3820696418156644"/>
    <n v="1.3820696418156644"/>
    <n v="1.3820696418156644"/>
    <n v="1.3820696418156644"/>
    <n v="1.3820696418156644"/>
    <n v="1.2627704668901096"/>
    <n v="0.77469876509258329"/>
    <n v="0.77364399421721075"/>
    <n v="0.77364399421721075"/>
    <n v="0.27403602265608018"/>
    <n v="0.12376596559791235"/>
    <n v="9.0052357367638641E-2"/>
    <n v="9.0052357367638641E-2"/>
    <n v="8.0819592588624048E-2"/>
    <n v="8.0819592588624048E-2"/>
    <n v="8.0008208477433423E-2"/>
    <n v="0"/>
    <n v="0"/>
    <n v="0"/>
    <n v="0"/>
    <n v="0"/>
    <n v="0"/>
    <n v="0"/>
    <n v="0"/>
    <n v="0"/>
    <n v="0"/>
    <s v=""/>
    <n v="0"/>
    <n v="0"/>
    <n v="0"/>
    <m/>
  </r>
  <r>
    <s v="LDC"/>
    <s v="Business"/>
    <s v="Energy Audit Funding"/>
    <s v="Kingston Hydro Corporation"/>
    <s v="Commercial &amp; Institutional"/>
    <s v="EE"/>
    <x v="6"/>
    <s v="Audit"/>
    <x v="11"/>
    <m/>
    <m/>
    <m/>
    <m/>
    <m/>
    <s v=""/>
    <n v="50.352508925126003"/>
    <n v="50.352508925126003"/>
    <n v="50.352508925126003"/>
    <n v="50.352508925126003"/>
    <s v=""/>
    <s v=""/>
    <s v=""/>
    <s v=""/>
    <s v=""/>
    <s v=""/>
    <s v=""/>
    <s v=""/>
    <s v=""/>
    <s v=""/>
    <s v=""/>
    <s v=""/>
    <s v=""/>
    <s v=""/>
    <s v=""/>
    <s v=""/>
    <s v=""/>
    <s v=""/>
    <s v=""/>
    <s v=""/>
    <s v=""/>
    <s v=""/>
    <m/>
    <m/>
    <m/>
    <m/>
  </r>
  <r>
    <s v="LDC"/>
    <s v="Business"/>
    <s v="Energy Audit Funding"/>
    <s v="Kingston Hydro Corporation"/>
    <s v="Commercial &amp; Institutional"/>
    <s v="EE"/>
    <x v="7"/>
    <s v="Audit"/>
    <x v="13"/>
    <m/>
    <m/>
    <m/>
    <m/>
    <m/>
    <s v=""/>
    <s v=""/>
    <n v="96.901535593948992"/>
    <n v="96.901535593948992"/>
    <n v="96.901535593948992"/>
    <n v="96.901535593948992"/>
    <s v=""/>
    <s v=""/>
    <s v=""/>
    <s v=""/>
    <s v=""/>
    <s v=""/>
    <s v=""/>
    <s v=""/>
    <s v=""/>
    <s v=""/>
    <s v=""/>
    <s v=""/>
    <s v=""/>
    <s v=""/>
    <s v=""/>
    <s v=""/>
    <s v=""/>
    <s v=""/>
    <s v=""/>
    <s v=""/>
    <n v="0"/>
    <m/>
    <m/>
    <m/>
    <m/>
  </r>
  <r>
    <s v="LDC"/>
    <s v="Business"/>
    <s v="DR-3"/>
    <s v="Kingston Hydro Corporation"/>
    <s v="Commercial &amp; Institutional"/>
    <s v="DR"/>
    <x v="7"/>
    <s v="Facilities"/>
    <x v="4"/>
    <m/>
    <m/>
    <m/>
    <m/>
    <m/>
    <s v=""/>
    <s v=""/>
    <n v="52.001860000000001"/>
    <s v=""/>
    <s v=""/>
    <s v=""/>
    <s v=""/>
    <s v=""/>
    <s v=""/>
    <s v=""/>
    <s v=""/>
    <s v=""/>
    <s v=""/>
    <s v=""/>
    <s v=""/>
    <s v=""/>
    <s v=""/>
    <s v=""/>
    <s v=""/>
    <s v=""/>
    <s v=""/>
    <s v=""/>
    <s v=""/>
    <s v=""/>
    <s v=""/>
    <s v=""/>
    <n v="0"/>
    <s v=""/>
    <s v=""/>
    <s v=""/>
    <m/>
  </r>
  <r>
    <s v="LDC"/>
    <s v="Business"/>
    <s v="New Construction"/>
    <s v="Kingston Hydro Corporation"/>
    <s v="Commercial &amp; Institutional"/>
    <s v="EE"/>
    <x v="7"/>
    <s v=""/>
    <x v="14"/>
    <m/>
    <m/>
    <m/>
    <m/>
    <m/>
    <n v="0"/>
    <n v="0"/>
    <n v="58.802057999999995"/>
    <n v="58.802057999999995"/>
    <n v="58.802057999999995"/>
    <n v="58.802057999999995"/>
    <n v="58.802057999999995"/>
    <n v="58.802057999999995"/>
    <n v="58.802057999999995"/>
    <n v="58.802057999999995"/>
    <n v="58.802057999999995"/>
    <n v="58.802057999999995"/>
    <n v="58.802057999999995"/>
    <n v="58.802057999999995"/>
    <n v="58.802057999999995"/>
    <n v="58.802057999999995"/>
    <n v="58.802057999999995"/>
    <n v="0"/>
    <n v="0"/>
    <n v="0"/>
    <n v="0"/>
    <n v="0"/>
    <n v="0"/>
    <n v="0"/>
    <n v="0"/>
    <n v="0"/>
    <n v="0"/>
    <s v=""/>
    <s v=""/>
    <s v=""/>
    <m/>
  </r>
  <r>
    <s v="LDC"/>
    <s v="Business"/>
    <s v="Retrofit"/>
    <s v="Kingston Hydro Corporation"/>
    <s v="Commercial &amp; Institutional"/>
    <s v="EE"/>
    <x v="6"/>
    <s v="Projects"/>
    <x v="10"/>
    <m/>
    <m/>
    <m/>
    <m/>
    <m/>
    <n v="0"/>
    <n v="23.308799162745999"/>
    <n v="23.308799162745999"/>
    <n v="23.308799162745999"/>
    <n v="23.308799162745999"/>
    <n v="23.308799162745999"/>
    <n v="23.308799162745999"/>
    <n v="23.308799162745999"/>
    <n v="23.308799162745999"/>
    <n v="23.308799162745999"/>
    <n v="23.308799162745999"/>
    <n v="23.308799162745999"/>
    <n v="23.308799162745999"/>
    <n v="23.308799162745999"/>
    <n v="23.308799162745999"/>
    <n v="23.308799162745999"/>
    <n v="16.667086755421003"/>
    <n v="0"/>
    <n v="0"/>
    <n v="0"/>
    <n v="0"/>
    <n v="0"/>
    <n v="0"/>
    <n v="0"/>
    <n v="0"/>
    <n v="0"/>
    <n v="0"/>
    <s v=""/>
    <s v=""/>
    <s v=""/>
    <m/>
  </r>
  <r>
    <s v="LDC"/>
    <s v="Business"/>
    <s v="Retrofit"/>
    <s v="Kingston Hydro Corporation"/>
    <s v="Commercial &amp; Institutional"/>
    <s v="EE"/>
    <x v="7"/>
    <s v="Projects"/>
    <x v="15"/>
    <m/>
    <m/>
    <m/>
    <m/>
    <m/>
    <n v="0"/>
    <n v="0"/>
    <n v="5089.5962697838795"/>
    <n v="5089.5962697838795"/>
    <n v="5089.5962697838795"/>
    <n v="4813.2624402286901"/>
    <n v="4772.3693252412395"/>
    <n v="4761.5441525611195"/>
    <n v="4761.5441525611195"/>
    <n v="4601.4212858973397"/>
    <n v="4511.6581197145997"/>
    <n v="4443.8364820332799"/>
    <n v="2844.4306194780702"/>
    <n v="1516.77778440969"/>
    <n v="1297.57617174352"/>
    <n v="1297.57617174352"/>
    <n v="1297.57617174352"/>
    <n v="1056.9783464164"/>
    <n v="66.769627944270994"/>
    <n v="66.306895921514993"/>
    <n v="66.306895921514993"/>
    <n v="66.306895921514993"/>
    <n v="0"/>
    <n v="0"/>
    <n v="0"/>
    <n v="0"/>
    <n v="0"/>
    <n v="0"/>
    <n v="0"/>
    <n v="0"/>
    <m/>
  </r>
  <r>
    <s v="LDC"/>
    <s v="Business"/>
    <s v="Small Business Lighting"/>
    <s v="Kingston Hydro Corporation"/>
    <s v="Commercial &amp; Institutional"/>
    <s v="EE"/>
    <x v="6"/>
    <s v="Projects"/>
    <x v="9"/>
    <m/>
    <m/>
    <m/>
    <m/>
    <m/>
    <s v=""/>
    <n v="65.451467311612006"/>
    <n v="65.451467311612006"/>
    <n v="65.451467311612006"/>
    <n v="52.853312831827004"/>
    <n v="52.853312831827004"/>
    <n v="19.258700829643999"/>
    <n v="19.258700829643999"/>
    <n v="19.258700829643999"/>
    <n v="19.258700829643999"/>
    <n v="19.258700829643999"/>
    <n v="12.567577379904"/>
    <n v="12.567577379904"/>
    <n v="0"/>
    <n v="0"/>
    <n v="0"/>
    <n v="0"/>
    <n v="0"/>
    <n v="0"/>
    <n v="0"/>
    <n v="0"/>
    <n v="0"/>
    <n v="0"/>
    <n v="0"/>
    <n v="0"/>
    <n v="0"/>
    <n v="0"/>
    <n v="0"/>
    <n v="0"/>
    <n v="0"/>
    <m/>
  </r>
  <r>
    <s v="LDC"/>
    <s v="Business"/>
    <s v="Small Business Lighting"/>
    <s v="Kingston Hydro Corporation"/>
    <s v="Commercial &amp; Institutional"/>
    <s v="EE"/>
    <x v="7"/>
    <s v="Projects"/>
    <x v="16"/>
    <m/>
    <m/>
    <m/>
    <m/>
    <m/>
    <s v=""/>
    <s v=""/>
    <n v="222.93187639852499"/>
    <n v="222.93187639852499"/>
    <n v="215.90294163568399"/>
    <n v="171.45635630098403"/>
    <n v="74.14139567185299"/>
    <n v="74.14139567185299"/>
    <n v="74.14139567185299"/>
    <n v="74.14139567185299"/>
    <n v="74.14139567185299"/>
    <n v="74.14139567185299"/>
    <n v="60.017878307090001"/>
    <n v="53.241809320589006"/>
    <n v="0"/>
    <n v="0"/>
    <n v="0"/>
    <n v="0"/>
    <n v="0"/>
    <n v="0"/>
    <n v="0"/>
    <n v="0"/>
    <n v="0"/>
    <n v="0"/>
    <n v="0"/>
    <n v="0"/>
    <n v="0"/>
    <n v="0"/>
    <n v="0"/>
    <n v="0"/>
    <m/>
  </r>
  <r>
    <s v="LDC"/>
    <s v="Consumer"/>
    <s v="Annual Coupons"/>
    <s v="Kingston Hydro Corporation"/>
    <s v="Residential"/>
    <s v="EE"/>
    <x v="7"/>
    <s v="measures"/>
    <x v="0"/>
    <m/>
    <m/>
    <m/>
    <m/>
    <m/>
    <n v="0"/>
    <n v="0"/>
    <n v="38.643947383874"/>
    <n v="38.643947383874"/>
    <n v="37.154768956587006"/>
    <n v="31.477756601667"/>
    <n v="31.477756601667"/>
    <n v="31.477756601667"/>
    <n v="31.477756601667"/>
    <n v="31.451523195309001"/>
    <n v="22.870543798629001"/>
    <n v="22.870543798629001"/>
    <n v="20.794953332483001"/>
    <n v="20.498824050601002"/>
    <n v="20.498824050601002"/>
    <n v="20.414556491500001"/>
    <n v="20.414556491500001"/>
    <n v="20.397278755197998"/>
    <n v="19.766976581778"/>
    <n v="11.602776670879001"/>
    <n v="11.602776670879001"/>
    <n v="11.602776670879001"/>
    <n v="0"/>
    <n v="0"/>
    <n v="0"/>
    <n v="0"/>
    <n v="0"/>
    <n v="0"/>
    <n v="0"/>
    <n v="0"/>
    <m/>
  </r>
  <r>
    <s v="LDC"/>
    <s v="Consumer"/>
    <s v="Appliance Exchange"/>
    <s v="Kingston Hydro Corporation"/>
    <s v="Residential"/>
    <s v="EE"/>
    <x v="7"/>
    <s v="Appliances"/>
    <x v="0"/>
    <m/>
    <m/>
    <m/>
    <m/>
    <m/>
    <s v=""/>
    <s v=""/>
    <n v="2.5860791459999999"/>
    <n v="2.5860791459999999"/>
    <n v="2.5860791459999999"/>
    <n v="2.5860791459999999"/>
    <n v="0"/>
    <n v="0"/>
    <n v="0"/>
    <n v="0"/>
    <n v="0"/>
    <n v="0"/>
    <n v="0"/>
    <n v="0"/>
    <n v="0"/>
    <n v="0"/>
    <n v="0"/>
    <n v="0"/>
    <n v="0"/>
    <n v="0"/>
    <n v="0"/>
    <n v="0"/>
    <n v="0"/>
    <n v="0"/>
    <n v="0"/>
    <n v="0"/>
    <n v="0"/>
    <n v="0"/>
    <n v="0"/>
    <n v="0"/>
    <m/>
  </r>
  <r>
    <s v="LDC"/>
    <s v="Consumer"/>
    <s v="Appliance Retirement"/>
    <s v="Kingston Hydro Corporation"/>
    <s v="Residential"/>
    <s v="EE"/>
    <x v="7"/>
    <s v="Appliances"/>
    <x v="0"/>
    <m/>
    <m/>
    <m/>
    <m/>
    <m/>
    <s v=""/>
    <s v=""/>
    <n v="19.102625289632005"/>
    <n v="19.102625289632005"/>
    <n v="19.102625289632005"/>
    <n v="19.000080771299004"/>
    <n v="13.213418502687"/>
    <n v="0"/>
    <n v="0"/>
    <n v="0"/>
    <n v="0"/>
    <n v="0"/>
    <n v="0"/>
    <n v="0"/>
    <n v="0"/>
    <n v="0"/>
    <n v="0"/>
    <n v="0"/>
    <n v="0"/>
    <n v="0"/>
    <n v="0"/>
    <n v="0"/>
    <n v="0"/>
    <n v="0"/>
    <n v="0"/>
    <n v="0"/>
    <n v="0"/>
    <n v="0"/>
    <n v="0"/>
    <n v="0"/>
    <m/>
  </r>
  <r>
    <s v="LDC"/>
    <s v="Consumer"/>
    <s v="Bi-Annual Retailer Events"/>
    <s v="Kingston Hydro Corporation"/>
    <s v="Residential"/>
    <s v="EE"/>
    <x v="7"/>
    <s v="measures"/>
    <x v="0"/>
    <m/>
    <m/>
    <m/>
    <m/>
    <m/>
    <n v="0"/>
    <n v="0"/>
    <n v="86.135658340274006"/>
    <n v="86.135658340274006"/>
    <n v="80.945777527922999"/>
    <n v="63.234031666148006"/>
    <n v="63.234031666148006"/>
    <n v="63.234031666148006"/>
    <n v="63.234031666148006"/>
    <n v="63.159513584319996"/>
    <n v="53.113481410571005"/>
    <n v="53.113481410571005"/>
    <n v="46.217296963313999"/>
    <n v="29.71325522403"/>
    <n v="29.71325522403"/>
    <n v="28.145186154384998"/>
    <n v="28.145186154384998"/>
    <n v="27.943838416954002"/>
    <n v="24.120227751277998"/>
    <n v="14.158028969536002"/>
    <n v="14.158028969536002"/>
    <n v="14.158028969536002"/>
    <n v="0"/>
    <n v="0"/>
    <n v="0"/>
    <n v="0"/>
    <n v="0"/>
    <n v="0"/>
    <n v="0"/>
    <n v="0"/>
    <m/>
  </r>
  <r>
    <s v="LDC"/>
    <s v="Consumer"/>
    <s v="Home Assistance Program"/>
    <s v="Kingston Hydro Corporation"/>
    <s v="Residential"/>
    <s v="EE"/>
    <x v="7"/>
    <s v="Projects Completed"/>
    <x v="0"/>
    <m/>
    <m/>
    <m/>
    <m/>
    <m/>
    <n v="0"/>
    <n v="0"/>
    <n v="272.01625510406501"/>
    <n v="266.48559613800001"/>
    <n v="264.64041334152199"/>
    <n v="242.70248827362101"/>
    <n v="233.18164343261702"/>
    <n v="224.39162893676797"/>
    <n v="216.13360990905801"/>
    <n v="214.81384707641598"/>
    <n v="122.841596008301"/>
    <n v="122.01765067291301"/>
    <n v="111.372562728882"/>
    <n v="110.6372212677"/>
    <n v="102.142280899048"/>
    <n v="102.142280899048"/>
    <n v="34.142126052856"/>
    <n v="23.529550903320001"/>
    <n v="23.529550903320001"/>
    <n v="23.529550903320001"/>
    <n v="23.529550903320001"/>
    <n v="23.529550903320001"/>
    <n v="18.309921020508003"/>
    <n v="0"/>
    <n v="0"/>
    <n v="0"/>
    <n v="0"/>
    <n v="0"/>
    <n v="0"/>
    <n v="0"/>
    <m/>
  </r>
  <r>
    <s v="LDC"/>
    <s v="Consumer"/>
    <s v="HVAC"/>
    <s v="Kingston Hydro Corporation"/>
    <s v="Residential"/>
    <s v="EE"/>
    <x v="6"/>
    <s v="Equipment"/>
    <x v="0"/>
    <m/>
    <m/>
    <m/>
    <m/>
    <m/>
    <s v=""/>
    <n v="3.5737338950369999"/>
    <n v="3.5737338950369999"/>
    <n v="3.5737338950369999"/>
    <n v="3.5737338950369999"/>
    <n v="3.5737338950369999"/>
    <n v="3.5737338950369999"/>
    <n v="3.5737338950369999"/>
    <n v="3.5737338950369999"/>
    <n v="3.5737338950369999"/>
    <n v="3.5737338950369999"/>
    <n v="3.5737338950369999"/>
    <n v="3.5737338950369999"/>
    <n v="3.5737338950369999"/>
    <n v="3.5737338950369999"/>
    <n v="3.5737338950369999"/>
    <n v="3.5737338950369999"/>
    <n v="3.5737338950369999"/>
    <n v="3.5737338950369999"/>
    <n v="3.3107602472719999"/>
    <n v="0"/>
    <n v="0"/>
    <n v="0"/>
    <n v="0"/>
    <n v="0"/>
    <n v="0"/>
    <s v=""/>
    <n v="0"/>
    <n v="0"/>
    <n v="0"/>
    <m/>
  </r>
  <r>
    <s v="LDC"/>
    <s v="Consumer"/>
    <s v="HVAC"/>
    <s v="Kingston Hydro Corporation"/>
    <s v="Residential"/>
    <s v="EE"/>
    <x v="7"/>
    <s v="Equipment"/>
    <x v="0"/>
    <m/>
    <m/>
    <m/>
    <m/>
    <m/>
    <s v=""/>
    <s v=""/>
    <n v="69.935745293343999"/>
    <n v="69.935745293343999"/>
    <n v="69.935745293343999"/>
    <n v="69.935745293343999"/>
    <n v="69.935745293343999"/>
    <n v="69.935745293343999"/>
    <n v="69.935745293343999"/>
    <n v="69.935745293343999"/>
    <n v="69.935745293343999"/>
    <n v="69.935745293343999"/>
    <n v="69.935745293343999"/>
    <n v="69.935745293343999"/>
    <n v="69.935745293343999"/>
    <n v="69.935745293343999"/>
    <n v="69.935745293343999"/>
    <n v="69.935745293343999"/>
    <n v="69.935745293343999"/>
    <n v="69.935745293343999"/>
    <n v="66.371801837909999"/>
    <n v="0"/>
    <n v="0"/>
    <n v="0"/>
    <n v="0"/>
    <n v="0"/>
    <n v="0"/>
    <n v="0"/>
    <n v="0"/>
    <n v="0"/>
    <m/>
  </r>
  <r>
    <s v="LDC"/>
    <s v="Industrial"/>
    <s v="DR-3"/>
    <s v="Kingston Hydro Corporation"/>
    <s v="Industrial"/>
    <s v="DR"/>
    <x v="7"/>
    <s v="Facilities"/>
    <x v="1"/>
    <m/>
    <m/>
    <m/>
    <m/>
    <m/>
    <s v=""/>
    <s v=""/>
    <n v="7.4119459999999995"/>
    <s v=""/>
    <s v=""/>
    <s v=""/>
    <s v=""/>
    <s v=""/>
    <s v=""/>
    <s v=""/>
    <s v=""/>
    <s v=""/>
    <s v=""/>
    <s v=""/>
    <s v=""/>
    <s v=""/>
    <s v=""/>
    <s v=""/>
    <s v=""/>
    <s v=""/>
    <s v=""/>
    <s v=""/>
    <s v=""/>
    <s v=""/>
    <s v=""/>
    <s v=""/>
    <n v="0"/>
    <n v="0"/>
    <n v="0"/>
    <n v="0"/>
    <m/>
  </r>
  <r>
    <s v="KH Projections"/>
    <s v="Business"/>
    <s v="Energy Audit Funding"/>
    <s v="Kingston Hydro Corporation"/>
    <s v="Commercial"/>
    <m/>
    <x v="8"/>
    <m/>
    <x v="17"/>
    <m/>
    <m/>
    <m/>
    <m/>
    <m/>
    <n v="2.4440812378097587"/>
    <n v="6.7143800513280896"/>
    <n v="6.7143800513280896"/>
    <n v="333.08223032911212"/>
    <n v="330.6381490913023"/>
    <n v="326.36785027778404"/>
    <n v="326.36785027778404"/>
    <n v="0"/>
    <n v="0"/>
    <n v="0"/>
    <n v="0"/>
    <n v="0"/>
    <n v="0"/>
    <n v="0"/>
    <n v="0"/>
    <n v="0"/>
    <n v="0"/>
    <n v="0"/>
    <n v="0"/>
    <n v="0"/>
    <n v="0"/>
    <n v="0"/>
    <n v="0"/>
    <n v="0"/>
    <n v="0"/>
    <n v="0"/>
    <n v="0"/>
    <n v="0"/>
    <n v="0"/>
    <n v="0"/>
    <m/>
  </r>
  <r>
    <s v="KH Projections"/>
    <s v="Business"/>
    <s v="New Construction"/>
    <s v="Kingston Hydro Corporation"/>
    <s v="Commercial"/>
    <m/>
    <x v="8"/>
    <m/>
    <x v="18"/>
    <m/>
    <m/>
    <m/>
    <m/>
    <m/>
    <n v="0"/>
    <n v="0"/>
    <n v="6.4406369454545507"/>
    <n v="84.927365999999992"/>
    <n v="84.927365999999992"/>
    <n v="84.927365999999992"/>
    <n v="84.927365999999992"/>
    <n v="84.927365999999992"/>
    <n v="84.927365999999992"/>
    <n v="84.927365999999992"/>
    <n v="84.927365999999992"/>
    <n v="84.927365999999992"/>
    <n v="84.927365999999992"/>
    <n v="91.368002945454563"/>
    <n v="91.368002945454563"/>
    <n v="85.385882945454554"/>
    <n v="85.385882945454554"/>
    <n v="85.385882945454554"/>
    <n v="6.4406369454545507"/>
    <n v="6.4406369454545507"/>
    <n v="6.4406369454545507"/>
    <n v="6.4406369454545507"/>
    <n v="6.4406369454545507"/>
    <n v="6.4406369454545507"/>
    <n v="6.4406369454545507"/>
    <n v="6.4406369454545507"/>
    <n v="6.4406369454545507"/>
    <n v="6.4406369454545507"/>
    <n v="6.4406369454545507"/>
    <n v="6.4406369454545507"/>
    <m/>
  </r>
  <r>
    <s v="KH Projections"/>
    <s v="Business"/>
    <s v="Retrofit"/>
    <s v="Kingston Hydro Corporation"/>
    <s v="Commercial"/>
    <m/>
    <x v="8"/>
    <m/>
    <x v="19"/>
    <m/>
    <m/>
    <m/>
    <m/>
    <m/>
    <n v="0"/>
    <n v="0"/>
    <n v="112.57062990494396"/>
    <n v="1946.8084576206322"/>
    <n v="1800.3787427811519"/>
    <n v="1800.3787427811519"/>
    <n v="1740.761982199391"/>
    <n v="1740.4971916925429"/>
    <n v="1740.4971916925429"/>
    <n v="1726.5012241468369"/>
    <n v="1726.3306940421508"/>
    <n v="1602.692750749987"/>
    <n v="1506.0897549927029"/>
    <n v="1320.3097660989765"/>
    <n v="1202.7622838465547"/>
    <n v="1015.5444606357355"/>
    <n v="794.37102868485431"/>
    <n v="777.40721409668208"/>
    <n v="577.36879730903831"/>
    <n v="154.54899037423419"/>
    <n v="154.54899037423419"/>
    <n v="154.54899037423419"/>
    <n v="138.98138210589519"/>
    <n v="0"/>
    <n v="0"/>
    <n v="0"/>
    <n v="0"/>
    <n v="0"/>
    <n v="0"/>
    <n v="0"/>
    <m/>
  </r>
  <r>
    <s v="KH Projections"/>
    <s v="Business"/>
    <s v="Small Business Lighting"/>
    <s v="Kingston Hydro Corporation"/>
    <s v="Commercial"/>
    <m/>
    <x v="8"/>
    <m/>
    <x v="20"/>
    <m/>
    <m/>
    <m/>
    <m/>
    <m/>
    <n v="0"/>
    <n v="0"/>
    <n v="0"/>
    <n v="338.65834623230353"/>
    <n v="325.08119123952611"/>
    <n v="289.5037201066724"/>
    <n v="147.17665924911427"/>
    <n v="147.17665924911427"/>
    <n v="147.17665924911427"/>
    <n v="147.17665924911427"/>
    <n v="147.17665924911427"/>
    <n v="147.17665924911427"/>
    <n v="147.17665924911427"/>
    <n v="132.60596040422755"/>
    <n v="56.773177311061076"/>
    <n v="0"/>
    <n v="0"/>
    <n v="0"/>
    <n v="0"/>
    <n v="0"/>
    <n v="0"/>
    <n v="0"/>
    <n v="0"/>
    <n v="0"/>
    <n v="0"/>
    <n v="0"/>
    <n v="0"/>
    <n v="0"/>
    <n v="0"/>
    <n v="0"/>
    <m/>
  </r>
  <r>
    <s v="KH Projections"/>
    <s v="Consumer"/>
    <s v="Conservation Coupon Instant Booklet"/>
    <s v="Kingston Hydro Corporation"/>
    <s v="Residential"/>
    <m/>
    <x v="8"/>
    <m/>
    <x v="0"/>
    <m/>
    <m/>
    <m/>
    <m/>
    <m/>
    <n v="0"/>
    <n v="0"/>
    <n v="0"/>
    <n v="43.508262866811577"/>
    <n v="36.9440141854259"/>
    <n v="30.379765504040215"/>
    <n v="30.379765504040215"/>
    <n v="30.379765504040215"/>
    <n v="30.379765504040215"/>
    <n v="30.379765504040215"/>
    <n v="29.949666022929005"/>
    <n v="29.949666022929005"/>
    <n v="27.087869968172235"/>
    <n v="25.733422450736779"/>
    <n v="25.733422450736779"/>
    <n v="25.733422450736779"/>
    <n v="25.733422450736779"/>
    <n v="25.733422450736779"/>
    <n v="25.733422450736779"/>
    <n v="0"/>
    <n v="0"/>
    <n v="0"/>
    <n v="0"/>
    <n v="0"/>
    <n v="0"/>
    <n v="0"/>
    <n v="0"/>
    <n v="0"/>
    <n v="0"/>
    <n v="0"/>
    <m/>
  </r>
  <r>
    <s v="KH Projections"/>
    <s v="Consumer"/>
    <s v="Appliance Exchange"/>
    <s v="Kingston Hydro Corporation"/>
    <s v="Residential"/>
    <m/>
    <x v="8"/>
    <m/>
    <x v="0"/>
    <m/>
    <m/>
    <m/>
    <m/>
    <m/>
    <n v="0"/>
    <n v="0"/>
    <n v="0"/>
    <n v="15.147034996260425"/>
    <n v="15.147034996260425"/>
    <n v="15.147034996260425"/>
    <n v="15.147034996260425"/>
    <n v="0"/>
    <n v="0"/>
    <n v="0"/>
    <n v="0"/>
    <n v="0"/>
    <n v="0"/>
    <n v="0"/>
    <n v="0"/>
    <n v="0"/>
    <n v="0"/>
    <n v="0"/>
    <n v="0"/>
    <n v="0"/>
    <n v="0"/>
    <n v="0"/>
    <n v="0"/>
    <n v="0"/>
    <n v="0"/>
    <n v="0"/>
    <n v="0"/>
    <n v="0"/>
    <n v="0"/>
    <n v="0"/>
    <m/>
  </r>
  <r>
    <s v="KH Projections"/>
    <s v="Consumer"/>
    <s v="Appliance Retirement"/>
    <s v="Kingston Hydro Corporation"/>
    <s v="Residential"/>
    <m/>
    <x v="8"/>
    <m/>
    <x v="0"/>
    <m/>
    <m/>
    <m/>
    <m/>
    <m/>
    <n v="0"/>
    <n v="0"/>
    <n v="0"/>
    <n v="22.986209548705268"/>
    <n v="22.986209548705268"/>
    <n v="22.986209548705268"/>
    <n v="22.464169315666918"/>
    <n v="10.613337171072953"/>
    <n v="0"/>
    <n v="0"/>
    <n v="0"/>
    <n v="0"/>
    <n v="0"/>
    <n v="0"/>
    <n v="0"/>
    <n v="0"/>
    <n v="0"/>
    <n v="0"/>
    <n v="0"/>
    <n v="0"/>
    <n v="0"/>
    <n v="0"/>
    <n v="0"/>
    <n v="0"/>
    <n v="0"/>
    <n v="0"/>
    <n v="0"/>
    <n v="0"/>
    <n v="0"/>
    <n v="0"/>
    <m/>
  </r>
  <r>
    <s v="KH Projections"/>
    <s v="Consumer"/>
    <s v="Bi-Annual Retailer Events"/>
    <s v="Kingston Hydro Corporation"/>
    <s v="Residential"/>
    <m/>
    <x v="8"/>
    <m/>
    <x v="0"/>
    <m/>
    <m/>
    <m/>
    <m/>
    <m/>
    <m/>
    <m/>
    <m/>
    <n v="616.20540900000003"/>
    <n v="616.20540900000003"/>
    <n v="579.07754940900043"/>
    <n v="452.36958881335846"/>
    <n v="452.36958881335846"/>
    <n v="452.36958881335846"/>
    <n v="452.36958881335846"/>
    <n v="451.83649432060696"/>
    <n v="379.96824040888487"/>
    <n v="379.96824040888487"/>
    <n v="330.63366469723047"/>
    <n v="212.56549193267068"/>
    <n v="212.56549193267068"/>
    <n v="201.3476913026027"/>
    <n v="201.3476913026027"/>
    <n v="199.90727083928246"/>
    <n v="172.55356368130279"/>
    <n v="101.28504500821383"/>
    <n v="101.28504500821383"/>
    <n v="101.28504500821383"/>
    <m/>
    <m/>
    <m/>
    <m/>
    <m/>
    <m/>
    <m/>
    <m/>
  </r>
  <r>
    <s v="KH Projections"/>
    <s v="Consumer"/>
    <s v="Home Assistance Program"/>
    <s v="Kingston Hydro Corporation"/>
    <s v="Residential"/>
    <m/>
    <x v="8"/>
    <m/>
    <x v="0"/>
    <m/>
    <m/>
    <m/>
    <m/>
    <m/>
    <n v="0"/>
    <n v="0"/>
    <n v="0"/>
    <n v="46.219709436416629"/>
    <n v="46.020642461776731"/>
    <n v="44.048580066680906"/>
    <n v="43.192650634765627"/>
    <n v="42.259081008911132"/>
    <n v="42.259081008911132"/>
    <n v="40.338517333984377"/>
    <n v="40.07783922576904"/>
    <n v="30.834909832000733"/>
    <n v="30.834909832000733"/>
    <n v="26.135010498046874"/>
    <n v="25.769451782226561"/>
    <n v="22.951062499999999"/>
    <n v="22.951062499999999"/>
    <n v="18.270062500000002"/>
    <n v="12.2845"/>
    <n v="12.2845"/>
    <n v="12.2845"/>
    <n v="12.2845"/>
    <n v="12.2845"/>
    <n v="2.532"/>
    <n v="0"/>
    <n v="0"/>
    <n v="0"/>
    <n v="0"/>
    <n v="0"/>
    <n v="0"/>
    <m/>
  </r>
  <r>
    <s v="KH Projections"/>
    <s v="Consumer"/>
    <s v="HVAC"/>
    <s v="Kingston Hydro Corporation"/>
    <s v="Residential"/>
    <m/>
    <x v="8"/>
    <m/>
    <x v="0"/>
    <m/>
    <m/>
    <m/>
    <m/>
    <m/>
    <n v="0"/>
    <n v="0"/>
    <n v="5.6545699191040546"/>
    <n v="128.8745896495424"/>
    <n v="128.8745896495424"/>
    <n v="128.8745896495424"/>
    <n v="128.8745896495424"/>
    <n v="128.8745896495424"/>
    <n v="128.8745896495424"/>
    <n v="128.8745896495424"/>
    <n v="128.8745896495424"/>
    <n v="128.8745896495424"/>
    <n v="128.8745896495424"/>
    <n v="128.8745896495424"/>
    <n v="128.8745896495424"/>
    <n v="128.8745896495424"/>
    <n v="128.8745896495424"/>
    <n v="128.8745896495424"/>
    <n v="128.8745896495424"/>
    <n v="128.8745896495424"/>
    <n v="128.32554294873913"/>
    <n v="119.20578530781752"/>
    <n v="0"/>
    <n v="0"/>
    <n v="0"/>
    <n v="0"/>
    <n v="0"/>
    <n v="0"/>
    <n v="0"/>
    <n v="0"/>
    <m/>
  </r>
  <r>
    <s v="KH Projections"/>
    <s v="Consumer"/>
    <s v="Program Enabled Savings"/>
    <s v="Kingston Hydro Corporation"/>
    <s v="Residential"/>
    <m/>
    <x v="8"/>
    <m/>
    <x v="0"/>
    <m/>
    <m/>
    <m/>
    <m/>
    <m/>
    <n v="42.408000000000001"/>
    <n v="56.543999999999997"/>
    <n v="84.816000000000003"/>
    <n v="84.816000000000003"/>
    <n v="84.816000000000003"/>
    <n v="84.816000000000003"/>
    <n v="84.816000000000003"/>
    <n v="84.816000000000003"/>
    <n v="84.816000000000003"/>
    <n v="84.816000000000003"/>
    <n v="84.816000000000003"/>
    <n v="84.816000000000003"/>
    <n v="84.816000000000003"/>
    <n v="42.408000000000001"/>
    <n v="28.271999999999998"/>
    <n v="0"/>
    <n v="0"/>
    <n v="0"/>
    <n v="0"/>
    <n v="0"/>
    <n v="0"/>
    <n v="0"/>
    <n v="0"/>
    <n v="0"/>
    <n v="0"/>
    <n v="0"/>
    <n v="0"/>
    <n v="0"/>
    <n v="0"/>
    <n v="0"/>
    <m/>
  </r>
  <r>
    <s v="IESO - Filed CDM Plan"/>
    <s v="Business"/>
    <s v="Retrofit"/>
    <s v="Kingston Hydro Corporation"/>
    <m/>
    <m/>
    <x v="9"/>
    <m/>
    <x v="21"/>
    <m/>
    <m/>
    <m/>
    <m/>
    <m/>
    <m/>
    <m/>
    <m/>
    <m/>
    <n v="2229.8638588624331"/>
    <n v="5134.4901161313128"/>
    <n v="8406.3463909489692"/>
    <n v="12131.196677887034"/>
    <n v="16309.040976945511"/>
    <n v="20939.879288124397"/>
    <n v="20939.879288124397"/>
    <n v="20939.879288124397"/>
    <n v="20939.879288124397"/>
    <n v="20939.879288124397"/>
    <n v="20620.998192887884"/>
    <n v="17304.659444245222"/>
    <n v="15022.604730635823"/>
    <n v="12574.138128056848"/>
    <n v="9873.4956419366517"/>
    <n v="7771.026859572622"/>
    <n v="6484.566940998141"/>
    <n v="5589.2898099568974"/>
    <n v="4493.1945503364605"/>
    <n v="3196.2811621368323"/>
    <n v="1698.5496453580122"/>
    <n v="0"/>
    <n v="0"/>
    <n v="0"/>
    <n v="0"/>
    <n v="0"/>
    <n v="0"/>
  </r>
  <r>
    <s v="IESO - Filed CDM Plan"/>
    <s v="Consumer"/>
    <s v="Heating and Cooling"/>
    <s v="Kingston Hydro Corporation"/>
    <m/>
    <m/>
    <x v="9"/>
    <m/>
    <x v="0"/>
    <m/>
    <m/>
    <m/>
    <m/>
    <m/>
    <m/>
    <m/>
    <m/>
    <m/>
    <n v="100.86900763646848"/>
    <n v="204.79430893309342"/>
    <n v="216.40579558635216"/>
    <n v="228.01728223961086"/>
    <n v="239.62876889286957"/>
    <n v="251.24025554612831"/>
    <n v="251.24025554612831"/>
    <n v="251.24025554612831"/>
    <n v="251.24025554612831"/>
    <n v="251.24025554612831"/>
    <n v="251.24025554612831"/>
    <n v="251.24025554612831"/>
    <n v="251.24025554612831"/>
    <n v="251.24025554612831"/>
    <n v="251.24025554612831"/>
    <n v="251.24025554612831"/>
    <n v="251.24025554612831"/>
    <n v="251.24025554612831"/>
    <n v="242.68506255302603"/>
    <n v="149.01685177233068"/>
    <n v="45.091550475705759"/>
    <n v="33.480063822447036"/>
    <n v="21.868577169188306"/>
    <n v="10.25709051592958"/>
    <n v="0"/>
    <n v="0"/>
    <n v="0"/>
  </r>
  <r>
    <s v="IESO - Filed CDM Plan"/>
    <s v="Consumer"/>
    <s v="Coupon"/>
    <s v="Kingston Hydro Corporation"/>
    <m/>
    <m/>
    <x v="9"/>
    <m/>
    <x v="0"/>
    <m/>
    <m/>
    <m/>
    <m/>
    <m/>
    <m/>
    <m/>
    <m/>
    <m/>
    <n v="254.37317506450952"/>
    <n v="262.85228089999322"/>
    <n v="271.33138673547683"/>
    <n v="279.81049257096049"/>
    <n v="288.28959840644416"/>
    <n v="296.76870424192771"/>
    <n v="296.76870424192771"/>
    <n v="296.76870424192771"/>
    <n v="296.76870424192771"/>
    <n v="296.76870424192771"/>
    <n v="42.395529177418254"/>
    <n v="33.916423341934603"/>
    <n v="25.437317506450952"/>
    <n v="16.958211670967302"/>
    <n v="8.4791058354836508"/>
    <n v="0"/>
    <n v="0"/>
    <n v="0"/>
    <n v="0"/>
    <n v="0"/>
    <n v="0"/>
    <n v="0"/>
    <n v="0"/>
    <n v="0"/>
    <n v="0"/>
    <n v="0"/>
    <n v="0"/>
  </r>
  <r>
    <s v="IESO - Filed CDM Plan"/>
    <s v="Consumer"/>
    <s v="Home Assistance Program"/>
    <s v="Kingston Hydro Corporation"/>
    <m/>
    <m/>
    <x v="9"/>
    <m/>
    <x v="0"/>
    <m/>
    <m/>
    <m/>
    <m/>
    <m/>
    <m/>
    <m/>
    <m/>
    <m/>
    <n v="0"/>
    <n v="31.517284423008814"/>
    <n v="63.034568846017628"/>
    <n v="94.551853269026438"/>
    <n v="126.06913769203526"/>
    <n v="157.58642211504406"/>
    <n v="157.58642211504406"/>
    <n v="157.58642211504406"/>
    <n v="157.58642211504406"/>
    <n v="157.58642211504406"/>
    <n v="126.06913769203526"/>
    <n v="94.551853269026438"/>
    <n v="63.034568846017628"/>
    <n v="31.517284423008814"/>
    <n v="0"/>
    <n v="0"/>
    <n v="0"/>
    <n v="0"/>
    <n v="0"/>
    <n v="0"/>
    <n v="0"/>
    <n v="0"/>
    <n v="0"/>
    <n v="0"/>
    <n v="0"/>
    <n v="0"/>
    <n v="0"/>
  </r>
  <r>
    <s v="IESO - Filed CDM Plan"/>
    <s v="Business"/>
    <s v="Direct Install Lighting (Archetype for Enhanced Direct Install)"/>
    <s v="Kingston Hydro Corporation"/>
    <m/>
    <m/>
    <x v="9"/>
    <m/>
    <x v="22"/>
    <m/>
    <m/>
    <m/>
    <m/>
    <m/>
    <m/>
    <m/>
    <m/>
    <m/>
    <n v="0"/>
    <n v="397.99679561551812"/>
    <n v="832.17511810517431"/>
    <n v="1302.5349674689683"/>
    <n v="1809.0763437069004"/>
    <n v="2351.7992468189709"/>
    <n v="2351.7992468189709"/>
    <n v="2351.7992468189709"/>
    <n v="2351.7992468189709"/>
    <n v="2351.7992468189709"/>
    <n v="1953.8024512034524"/>
    <n v="1519.6241287137964"/>
    <n v="1049.264279350002"/>
    <n v="542.72290311207018"/>
    <n v="0"/>
    <n v="0"/>
    <n v="0"/>
    <n v="0"/>
    <n v="0"/>
    <n v="0"/>
    <n v="0"/>
    <n v="0"/>
    <n v="0"/>
    <n v="0"/>
    <n v="0"/>
    <n v="0"/>
    <n v="0"/>
  </r>
  <r>
    <s v="IESO - Filed CDM Plan"/>
    <s v="Business"/>
    <s v="HPNC"/>
    <s v="Kingston Hydro Corporation"/>
    <m/>
    <m/>
    <x v="9"/>
    <m/>
    <x v="23"/>
    <m/>
    <m/>
    <m/>
    <m/>
    <m/>
    <m/>
    <m/>
    <m/>
    <m/>
    <n v="60.119840795330255"/>
    <n v="174.63382326262595"/>
    <n v="289.14780572992163"/>
    <n v="403.66178819721739"/>
    <n v="518.17577066451315"/>
    <n v="632.68975313180886"/>
    <n v="632.68975313180886"/>
    <n v="632.68975313180886"/>
    <n v="632.68975313180886"/>
    <n v="632.68975313180886"/>
    <n v="632.68975313180886"/>
    <n v="632.68975313180886"/>
    <n v="632.68975313180886"/>
    <n v="632.68975313180886"/>
    <n v="572.56991233647864"/>
    <n v="458.05592986918288"/>
    <n v="343.54194740188711"/>
    <n v="229.02796493459144"/>
    <n v="114.51398246729572"/>
    <n v="0"/>
    <n v="0"/>
    <n v="0"/>
    <n v="0"/>
    <n v="0"/>
    <n v="0"/>
    <n v="0"/>
    <n v="0"/>
  </r>
  <r>
    <s v="IESO - Filed CDM Plan"/>
    <s v="Business"/>
    <s v="Audit"/>
    <s v="Kingston Hydro Corporation"/>
    <m/>
    <m/>
    <x v="9"/>
    <m/>
    <x v="24"/>
    <m/>
    <m/>
    <m/>
    <m/>
    <m/>
    <m/>
    <m/>
    <m/>
    <m/>
    <n v="100.57815493751451"/>
    <n v="252.96929878223347"/>
    <n v="405.36044262695242"/>
    <n v="557.75158647167143"/>
    <n v="609.56457537887582"/>
    <n v="609.56457537887582"/>
    <n v="457.17343153415686"/>
    <n v="304.78228768943791"/>
    <n v="152.39114384471895"/>
    <n v="0"/>
    <n v="0"/>
    <n v="0"/>
    <n v="0"/>
    <n v="0"/>
    <n v="0"/>
    <n v="0"/>
    <n v="0"/>
    <n v="0"/>
    <n v="0"/>
    <n v="0"/>
    <n v="0"/>
    <n v="0"/>
    <n v="0"/>
    <n v="0"/>
    <n v="0"/>
    <n v="0"/>
    <n v="0"/>
  </r>
  <r>
    <s v="IESO - Filed CDM Plan"/>
    <s v="Business"/>
    <s v="Process &amp; Systems - 2015 savings"/>
    <s v="Kingston Hydro Corporation"/>
    <m/>
    <m/>
    <x v="9"/>
    <m/>
    <x v="8"/>
    <m/>
    <m/>
    <m/>
    <m/>
    <m/>
    <m/>
    <m/>
    <m/>
    <m/>
    <n v="100.4509241987281"/>
    <n v="100.4509241987281"/>
    <n v="100.4509241987281"/>
    <n v="100.4509241987281"/>
    <n v="100.4509241987281"/>
    <n v="100.4509241987281"/>
    <n v="100.4509241987281"/>
    <n v="100.4509241987281"/>
    <n v="100.4509241987281"/>
    <n v="100.4509241987281"/>
    <n v="0"/>
    <n v="0"/>
    <n v="0"/>
    <n v="0"/>
    <n v="0"/>
    <n v="0"/>
    <n v="0"/>
    <n v="0"/>
    <n v="0"/>
    <n v="0"/>
    <n v="0"/>
    <n v="0"/>
    <n v="0"/>
    <n v="0"/>
    <n v="0"/>
    <n v="0"/>
    <n v="0"/>
  </r>
  <r>
    <s v="IESO - Filed CDM Plan"/>
    <s v="Business"/>
    <s v="Process &amp; Systems"/>
    <s v="Kingston Hydro Corporation"/>
    <m/>
    <m/>
    <x v="9"/>
    <m/>
    <x v="8"/>
    <m/>
    <m/>
    <m/>
    <m/>
    <m/>
    <m/>
    <m/>
    <m/>
    <m/>
    <n v="0"/>
    <n v="401.80369679491241"/>
    <n v="803.60739358982482"/>
    <n v="1205.4110903847372"/>
    <n v="1506.7638629809217"/>
    <n v="1808.1166355771061"/>
    <n v="1808.1166355771061"/>
    <n v="1808.1166355771061"/>
    <n v="1808.1166355771061"/>
    <n v="1808.1166355771061"/>
    <n v="1808.1166355771061"/>
    <n v="1808.1166355771061"/>
    <n v="1808.1166355771061"/>
    <n v="1808.1166355771061"/>
    <n v="1808.1166355771061"/>
    <n v="1808.1166355771061"/>
    <n v="1808.1166355771061"/>
    <n v="1808.1166355771061"/>
    <n v="1808.1166355771061"/>
    <n v="1808.1166355771061"/>
    <n v="1808.1166355771061"/>
    <n v="1406.3129387821937"/>
    <n v="1004.509241987281"/>
    <n v="602.70554519236862"/>
    <n v="301.35277259618431"/>
    <n v="0"/>
    <n v="0"/>
  </r>
  <r>
    <s v="IESO - Filed CDM Plan"/>
    <s v="Business"/>
    <s v="Process &amp; Systems"/>
    <s v="Kingston Hydro Corporation"/>
    <m/>
    <m/>
    <x v="9"/>
    <m/>
    <x v="1"/>
    <m/>
    <m/>
    <m/>
    <m/>
    <m/>
    <m/>
    <m/>
    <m/>
    <m/>
    <n v="0"/>
    <n v="401.80369679491241"/>
    <n v="803.60739358982482"/>
    <n v="1205.4110903847372"/>
    <n v="1506.7638629809217"/>
    <n v="1808.1166355771061"/>
    <n v="1808.1166355771061"/>
    <n v="1808.1166355771061"/>
    <n v="1808.1166355771061"/>
    <n v="1808.1166355771061"/>
    <n v="1808.1166355771061"/>
    <n v="1808.1166355771061"/>
    <n v="1808.1166355771061"/>
    <n v="1808.1166355771061"/>
    <n v="1808.1166355771061"/>
    <n v="1808.1166355771061"/>
    <n v="1808.1166355771061"/>
    <n v="1808.1166355771061"/>
    <n v="1808.1166355771061"/>
    <n v="1808.1166355771061"/>
    <n v="1808.1166355771061"/>
    <n v="1406.3129387821937"/>
    <n v="1004.509241987281"/>
    <n v="602.70554519236862"/>
    <n v="301.35277259618431"/>
    <n v="0"/>
    <n v="0"/>
  </r>
  <r>
    <s v="IESO - Filed CDM Plan"/>
    <s v="Business"/>
    <s v="Process &amp; Systems - BTG - no Rate Impact on MW"/>
    <s v="Kingston Hydro Corporation"/>
    <m/>
    <m/>
    <x v="9"/>
    <m/>
    <x v="8"/>
    <m/>
    <m/>
    <m/>
    <m/>
    <m/>
    <m/>
    <m/>
    <m/>
    <m/>
    <n v="0"/>
    <n v="7554.3715739956679"/>
    <n v="10194.221861938242"/>
    <n v="10194.221861938242"/>
    <n v="10194.221861938242"/>
    <n v="10194.221861938242"/>
    <n v="10194.221861938242"/>
    <n v="10194.221861938242"/>
    <n v="10194.221861938242"/>
    <n v="10194.221861938242"/>
    <n v="10194.221861938242"/>
    <n v="10194.221861938242"/>
    <n v="10194.221861938242"/>
    <n v="10194.221861938242"/>
    <n v="10194.221861938242"/>
    <n v="10194.221861938242"/>
    <n v="10194.221861938242"/>
    <n v="7554.3715739956679"/>
    <n v="7554.3715739956679"/>
    <n v="7554.3715739956679"/>
    <n v="7554.3715739956679"/>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PivotTable25" cacheId="0" applyNumberFormats="0" applyBorderFormats="0" applyFontFormats="0" applyPatternFormats="0" applyAlignmentFormats="0" applyWidthHeightFormats="1" dataCaption="Values" updatedVersion="5" minRefreshableVersion="3" useAutoFormatting="1" itemPrintTitles="1" createdVersion="4" indent="0" outline="1" outlineData="1" multipleFieldFilters="0">
  <location ref="A76:G85" firstHeaderRow="0" firstDataRow="1" firstDataCol="1" rowPageCount="1" colPageCount="1"/>
  <pivotFields count="38">
    <pivotField showAll="0"/>
    <pivotField showAll="0"/>
    <pivotField showAll="0"/>
    <pivotField showAll="0"/>
    <pivotField showAll="0"/>
    <pivotField axis="axisPage" multipleItemSelectionAllowed="1" showAll="0">
      <items count="11">
        <item h="1" x="0"/>
        <item h="1" x="1"/>
        <item h="1" x="2"/>
        <item h="1" x="3"/>
        <item h="1" x="4"/>
        <item h="1" x="5"/>
        <item h="1" x="6"/>
        <item h="1" x="7"/>
        <item h="1" x="8"/>
        <item x="9"/>
        <item t="default"/>
      </items>
    </pivotField>
    <pivotField axis="axisRow" showAll="0">
      <items count="28">
        <item x="6"/>
        <item x="10"/>
        <item x="13"/>
        <item x="17"/>
        <item x="24"/>
        <item x="4"/>
        <item x="8"/>
        <item x="16"/>
        <item x="20"/>
        <item x="22"/>
        <item x="1"/>
        <item x="3"/>
        <item m="1" x="26"/>
        <item x="11"/>
        <item x="14"/>
        <item x="18"/>
        <item x="23"/>
        <item x="7"/>
        <item x="12"/>
        <item x="2"/>
        <item x="0"/>
        <item x="5"/>
        <item x="9"/>
        <item x="15"/>
        <item x="19"/>
        <item x="21"/>
        <item m="1" x="25"/>
        <item t="default"/>
      </items>
    </pivotField>
    <pivotField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9">
    <i>
      <x v="4"/>
    </i>
    <i>
      <x v="9"/>
    </i>
    <i>
      <x v="10"/>
    </i>
    <i>
      <x v="16"/>
    </i>
    <i>
      <x v="17"/>
    </i>
    <i>
      <x v="18"/>
    </i>
    <i>
      <x v="20"/>
    </i>
    <i>
      <x v="25"/>
    </i>
    <i t="grand">
      <x/>
    </i>
  </rowItems>
  <colFields count="1">
    <field x="-2"/>
  </colFields>
  <colItems count="6">
    <i>
      <x/>
    </i>
    <i i="1">
      <x v="1"/>
    </i>
    <i i="2">
      <x v="2"/>
    </i>
    <i i="3">
      <x v="3"/>
    </i>
    <i i="4">
      <x v="4"/>
    </i>
    <i i="5">
      <x v="5"/>
    </i>
  </colItems>
  <pageFields count="1">
    <pageField fld="5" hier="-1"/>
  </pageFields>
  <dataFields count="6">
    <dataField name="Sum of 2015" fld="16" baseField="6" baseItem="4"/>
    <dataField name="Sum of 2016" fld="17" baseField="6" baseItem="4"/>
    <dataField name="Sum of 2017" fld="18" baseField="6" baseItem="4"/>
    <dataField name="Sum of 2018" fld="19" baseField="6" baseItem="4"/>
    <dataField name="Sum of 2019" fld="20" baseField="6" baseItem="4"/>
    <dataField name="Sum of 2020" fld="21" baseField="6" baseItem="4"/>
  </dataFields>
  <formats count="1">
    <format dxfId="14">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xml><?xml version="1.0" encoding="utf-8"?>
<pivotTableDefinition xmlns="http://schemas.openxmlformats.org/spreadsheetml/2006/main" name="PivotTable23" cacheId="1" applyNumberFormats="0" applyBorderFormats="0" applyFontFormats="0" applyPatternFormats="0" applyAlignmentFormats="0" applyWidthHeightFormats="1" dataCaption="Values" updatedVersion="5" minRefreshableVersion="3" useAutoFormatting="1" itemPrintTitles="1" createdVersion="4" indent="0" outline="1" outlineData="1" multipleFieldFilters="0">
  <location ref="A93:M99" firstHeaderRow="0" firstDataRow="1" firstDataCol="1" rowPageCount="1" colPageCount="1"/>
  <pivotFields count="45">
    <pivotField showAll="0"/>
    <pivotField showAll="0"/>
    <pivotField showAll="0"/>
    <pivotField showAll="0"/>
    <pivotField showAll="0"/>
    <pivotField showAll="0"/>
    <pivotField axis="axisPage" multipleItemSelectionAllowed="1" showAll="0">
      <items count="11">
        <item h="1" x="0"/>
        <item h="1" x="1"/>
        <item h="1" x="2"/>
        <item h="1" x="3"/>
        <item h="1" x="4"/>
        <item h="1" x="5"/>
        <item h="1" x="6"/>
        <item h="1" x="7"/>
        <item x="8"/>
        <item h="1" x="9"/>
        <item t="default"/>
      </items>
    </pivotField>
    <pivotField showAll="0"/>
    <pivotField axis="axisRow" showAll="0">
      <items count="28">
        <item x="7"/>
        <item x="11"/>
        <item x="13"/>
        <item x="17"/>
        <item x="24"/>
        <item x="5"/>
        <item x="9"/>
        <item x="16"/>
        <item x="20"/>
        <item x="22"/>
        <item x="1"/>
        <item x="3"/>
        <item m="1" x="26"/>
        <item x="12"/>
        <item x="14"/>
        <item x="18"/>
        <item x="23"/>
        <item x="8"/>
        <item x="4"/>
        <item x="2"/>
        <item x="0"/>
        <item x="6"/>
        <item x="10"/>
        <item x="15"/>
        <item x="19"/>
        <item x="21"/>
        <item m="1" x="25"/>
        <item t="default"/>
      </items>
    </pivotField>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6">
    <i>
      <x v="3"/>
    </i>
    <i>
      <x v="8"/>
    </i>
    <i>
      <x v="15"/>
    </i>
    <i>
      <x v="20"/>
    </i>
    <i>
      <x v="24"/>
    </i>
    <i t="grand">
      <x/>
    </i>
  </rowItems>
  <colFields count="1">
    <field x="-2"/>
  </colFields>
  <colItems count="12">
    <i>
      <x/>
    </i>
    <i i="1">
      <x v="1"/>
    </i>
    <i i="2">
      <x v="2"/>
    </i>
    <i i="3">
      <x v="3"/>
    </i>
    <i i="4">
      <x v="4"/>
    </i>
    <i i="5">
      <x v="5"/>
    </i>
    <i i="6">
      <x v="6"/>
    </i>
    <i i="7">
      <x v="7"/>
    </i>
    <i i="8">
      <x v="8"/>
    </i>
    <i i="9">
      <x v="9"/>
    </i>
    <i i="10">
      <x v="10"/>
    </i>
    <i i="11">
      <x v="11"/>
    </i>
  </colItems>
  <pageFields count="1">
    <pageField fld="6" hier="-1"/>
  </pageFields>
  <dataFields count="12">
    <dataField name="Sum of 2009" fld="12" baseField="8" baseItem="10"/>
    <dataField name="Sum of 2010" fld="13" baseField="8" baseItem="10"/>
    <dataField name="Sum of 2011" fld="14" baseField="8" baseItem="0"/>
    <dataField name="Sum of 2012" fld="15" baseField="8" baseItem="0"/>
    <dataField name="Sum of 2013" fld="16" baseField="8" baseItem="0"/>
    <dataField name="Sum of 2014" fld="17" baseField="8" baseItem="0"/>
    <dataField name="Sum of 2015" fld="18" baseField="8" baseItem="10"/>
    <dataField name="Sum of 2016" fld="19" baseField="8" baseItem="10"/>
    <dataField name="Sum of 2017" fld="20" baseField="8" baseItem="10"/>
    <dataField name="Sum of 2018" fld="21" baseField="8" baseItem="10"/>
    <dataField name="Sum of 2019" fld="22" baseField="8" baseItem="10"/>
    <dataField name="Sum of 2020" fld="23" baseField="8" baseItem="10"/>
  </dataFields>
  <formats count="1">
    <format dxfId="1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1.xml><?xml version="1.0" encoding="utf-8"?>
<pivotTableDefinition xmlns="http://schemas.openxmlformats.org/spreadsheetml/2006/main" name="PivotTable21" cacheId="1" applyNumberFormats="0" applyBorderFormats="0" applyFontFormats="0" applyPatternFormats="0" applyAlignmentFormats="0" applyWidthHeightFormats="1" dataCaption="Values" updatedVersion="5" minRefreshableVersion="3" useAutoFormatting="1" itemPrintTitles="1" createdVersion="4" indent="0" outline="1" outlineData="1" multipleFieldFilters="0">
  <location ref="A53:M61" firstHeaderRow="0" firstDataRow="1" firstDataCol="1" rowPageCount="1" colPageCount="1"/>
  <pivotFields count="45">
    <pivotField showAll="0"/>
    <pivotField showAll="0"/>
    <pivotField showAll="0"/>
    <pivotField showAll="0"/>
    <pivotField showAll="0"/>
    <pivotField showAll="0"/>
    <pivotField axis="axisPage" multipleItemSelectionAllowed="1" showAll="0">
      <items count="11">
        <item h="1" x="0"/>
        <item h="1" x="1"/>
        <item h="1" x="2"/>
        <item h="1" x="3"/>
        <item h="1" x="4"/>
        <item h="1" x="5"/>
        <item x="6"/>
        <item h="1" x="7"/>
        <item h="1" x="8"/>
        <item h="1" x="9"/>
        <item t="default"/>
      </items>
    </pivotField>
    <pivotField showAll="0"/>
    <pivotField axis="axisRow" showAll="0">
      <items count="28">
        <item x="7"/>
        <item x="11"/>
        <item x="13"/>
        <item x="17"/>
        <item x="24"/>
        <item x="5"/>
        <item x="9"/>
        <item x="16"/>
        <item x="20"/>
        <item x="22"/>
        <item x="1"/>
        <item x="3"/>
        <item m="1" x="26"/>
        <item x="12"/>
        <item x="14"/>
        <item x="18"/>
        <item x="23"/>
        <item x="8"/>
        <item x="4"/>
        <item x="2"/>
        <item x="0"/>
        <item x="6"/>
        <item x="10"/>
        <item x="15"/>
        <item x="19"/>
        <item x="21"/>
        <item m="1" x="25"/>
        <item t="default"/>
      </items>
    </pivotField>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8">
    <i>
      <x v="1"/>
    </i>
    <i>
      <x v="6"/>
    </i>
    <i>
      <x v="13"/>
    </i>
    <i>
      <x v="17"/>
    </i>
    <i>
      <x v="18"/>
    </i>
    <i>
      <x v="20"/>
    </i>
    <i>
      <x v="22"/>
    </i>
    <i t="grand">
      <x/>
    </i>
  </rowItems>
  <colFields count="1">
    <field x="-2"/>
  </colFields>
  <colItems count="12">
    <i>
      <x/>
    </i>
    <i i="1">
      <x v="1"/>
    </i>
    <i i="2">
      <x v="2"/>
    </i>
    <i i="3">
      <x v="3"/>
    </i>
    <i i="4">
      <x v="4"/>
    </i>
    <i i="5">
      <x v="5"/>
    </i>
    <i i="6">
      <x v="6"/>
    </i>
    <i i="7">
      <x v="7"/>
    </i>
    <i i="8">
      <x v="8"/>
    </i>
    <i i="9">
      <x v="9"/>
    </i>
    <i i="10">
      <x v="10"/>
    </i>
    <i i="11">
      <x v="11"/>
    </i>
  </colItems>
  <pageFields count="1">
    <pageField fld="6" hier="-1"/>
  </pageFields>
  <dataFields count="12">
    <dataField name="Sum of 2009" fld="12" baseField="8" baseItem="10"/>
    <dataField name="Sum of 2010" fld="13" baseField="8" baseItem="10"/>
    <dataField name="Sum of 2011" fld="14" baseField="8" baseItem="0"/>
    <dataField name="Sum of 2012" fld="15" baseField="8" baseItem="0"/>
    <dataField name="Sum of 2013" fld="16" baseField="8" baseItem="0"/>
    <dataField name="Sum of 2014" fld="17" baseField="8" baseItem="0"/>
    <dataField name="Sum of 2015" fld="18" baseField="8" baseItem="10"/>
    <dataField name="Sum of 2016" fld="19" baseField="8" baseItem="10"/>
    <dataField name="Sum of 2017" fld="20" baseField="8" baseItem="10"/>
    <dataField name="Sum of 2018" fld="21" baseField="8" baseItem="10"/>
    <dataField name="Sum of 2019" fld="22" baseField="8" baseItem="10"/>
    <dataField name="Sum of 2020" fld="23" baseField="8" baseItem="10"/>
  </dataFields>
  <formats count="1">
    <format dxfId="1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2.xml><?xml version="1.0" encoding="utf-8"?>
<pivotTableDefinition xmlns="http://schemas.openxmlformats.org/spreadsheetml/2006/main" name="PivotTable19" cacheId="1" applyNumberFormats="0" applyBorderFormats="0" applyFontFormats="0" applyPatternFormats="0" applyAlignmentFormats="0" applyWidthHeightFormats="1" dataCaption="Values" updatedVersion="5" minRefreshableVersion="3" useAutoFormatting="1" itemPrintTitles="1" createdVersion="4" indent="0" outline="1" outlineData="1" multipleFieldFilters="0">
  <location ref="A18:M23" firstHeaderRow="0" firstDataRow="1" firstDataCol="1" rowPageCount="1" colPageCount="1"/>
  <pivotFields count="45">
    <pivotField showAll="0"/>
    <pivotField showAll="0"/>
    <pivotField showAll="0"/>
    <pivotField showAll="0"/>
    <pivotField showAll="0"/>
    <pivotField showAll="0"/>
    <pivotField axis="axisPage" multipleItemSelectionAllowed="1" showAll="0">
      <items count="11">
        <item h="1" x="0"/>
        <item h="1" x="1"/>
        <item h="1" x="2"/>
        <item h="1" x="3"/>
        <item x="4"/>
        <item h="1" x="5"/>
        <item h="1" x="6"/>
        <item h="1" x="7"/>
        <item h="1" x="8"/>
        <item h="1" x="9"/>
        <item t="default"/>
      </items>
    </pivotField>
    <pivotField showAll="0"/>
    <pivotField axis="axisRow" showAll="0">
      <items count="28">
        <item x="7"/>
        <item x="11"/>
        <item x="13"/>
        <item x="17"/>
        <item x="24"/>
        <item x="5"/>
        <item x="9"/>
        <item x="16"/>
        <item x="20"/>
        <item x="22"/>
        <item x="1"/>
        <item x="3"/>
        <item m="1" x="26"/>
        <item x="12"/>
        <item x="14"/>
        <item x="18"/>
        <item x="23"/>
        <item x="8"/>
        <item x="4"/>
        <item x="2"/>
        <item x="0"/>
        <item x="6"/>
        <item x="10"/>
        <item x="15"/>
        <item x="19"/>
        <item x="21"/>
        <item m="1" x="25"/>
        <item t="default"/>
      </items>
    </pivotField>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5">
    <i>
      <x v="10"/>
    </i>
    <i>
      <x v="11"/>
    </i>
    <i>
      <x v="19"/>
    </i>
    <i>
      <x v="20"/>
    </i>
    <i t="grand">
      <x/>
    </i>
  </rowItems>
  <colFields count="1">
    <field x="-2"/>
  </colFields>
  <colItems count="12">
    <i>
      <x/>
    </i>
    <i i="1">
      <x v="1"/>
    </i>
    <i i="2">
      <x v="2"/>
    </i>
    <i i="3">
      <x v="3"/>
    </i>
    <i i="4">
      <x v="4"/>
    </i>
    <i i="5">
      <x v="5"/>
    </i>
    <i i="6">
      <x v="6"/>
    </i>
    <i i="7">
      <x v="7"/>
    </i>
    <i i="8">
      <x v="8"/>
    </i>
    <i i="9">
      <x v="9"/>
    </i>
    <i i="10">
      <x v="10"/>
    </i>
    <i i="11">
      <x v="11"/>
    </i>
  </colItems>
  <pageFields count="1">
    <pageField fld="6" hier="-1"/>
  </pageFields>
  <dataFields count="12">
    <dataField name="Sum of 2009" fld="12" baseField="8" baseItem="10"/>
    <dataField name="Sum of 2010" fld="13" baseField="8" baseItem="10"/>
    <dataField name="Sum of 2011" fld="14" baseField="8" baseItem="0"/>
    <dataField name="Sum of 2012" fld="15" baseField="8" baseItem="0"/>
    <dataField name="Sum of 2013" fld="16" baseField="8" baseItem="0"/>
    <dataField name="Sum of 2014" fld="17" baseField="8" baseItem="0"/>
    <dataField name="Sum of 2015" fld="18" baseField="8" baseItem="10"/>
    <dataField name="Sum of 2016" fld="19" baseField="8" baseItem="10"/>
    <dataField name="Sum of 2017" fld="20" baseField="8" baseItem="10"/>
    <dataField name="Sum of 2018" fld="21" baseField="8" baseItem="10"/>
    <dataField name="Sum of 2019" fld="22" baseField="8" baseItem="10"/>
    <dataField name="Sum of 2020" fld="23" baseField="8" baseItem="10"/>
  </dataFields>
  <formats count="2">
    <format dxfId="13">
      <pivotArea collapsedLevelsAreSubtotals="1" fieldPosition="0">
        <references count="1">
          <reference field="8" count="4">
            <x v="10"/>
            <x v="11"/>
            <x v="19"/>
            <x v="20"/>
          </reference>
        </references>
      </pivotArea>
    </format>
    <format dxfId="12">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4" cacheId="0" applyNumberFormats="0" applyBorderFormats="0" applyFontFormats="0" applyPatternFormats="0" applyAlignmentFormats="0" applyWidthHeightFormats="1" dataCaption="Values" updatedVersion="5" minRefreshableVersion="3" useAutoFormatting="1" itemPrintTitles="1" createdVersion="4" indent="0" outline="1" outlineData="1" multipleFieldFilters="0">
  <location ref="A40:E48" firstHeaderRow="0" firstDataRow="1" firstDataCol="1" rowPageCount="1" colPageCount="1"/>
  <pivotFields count="38">
    <pivotField showAll="0"/>
    <pivotField showAll="0"/>
    <pivotField showAll="0"/>
    <pivotField showAll="0"/>
    <pivotField showAll="0"/>
    <pivotField axis="axisPage" multipleItemSelectionAllowed="1" showAll="0">
      <items count="11">
        <item h="1" x="0"/>
        <item h="1" x="1"/>
        <item h="1" x="2"/>
        <item h="1" x="3"/>
        <item h="1" x="4"/>
        <item h="1" x="5"/>
        <item h="1" x="6"/>
        <item x="7"/>
        <item h="1" x="8"/>
        <item h="1" x="9"/>
        <item t="default"/>
      </items>
    </pivotField>
    <pivotField axis="axisRow" showAll="0">
      <items count="28">
        <item x="6"/>
        <item x="10"/>
        <item x="13"/>
        <item x="17"/>
        <item x="24"/>
        <item x="4"/>
        <item x="8"/>
        <item x="16"/>
        <item x="20"/>
        <item x="22"/>
        <item x="1"/>
        <item x="3"/>
        <item m="1" x="26"/>
        <item x="11"/>
        <item x="14"/>
        <item x="18"/>
        <item x="23"/>
        <item x="7"/>
        <item x="12"/>
        <item x="2"/>
        <item x="0"/>
        <item x="5"/>
        <item x="9"/>
        <item x="15"/>
        <item x="19"/>
        <item x="21"/>
        <item m="1" x="25"/>
        <item t="default"/>
      </items>
    </pivotField>
    <pivotField showAll="0"/>
    <pivotField showAll="0"/>
    <pivotField showAll="0"/>
    <pivotField showAll="0"/>
    <pivotField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8">
    <i>
      <x v="2"/>
    </i>
    <i>
      <x v="7"/>
    </i>
    <i>
      <x v="14"/>
    </i>
    <i>
      <x v="18"/>
    </i>
    <i>
      <x v="19"/>
    </i>
    <i>
      <x v="20"/>
    </i>
    <i>
      <x v="23"/>
    </i>
    <i t="grand">
      <x/>
    </i>
  </rowItems>
  <colFields count="1">
    <field x="-2"/>
  </colFields>
  <colItems count="4">
    <i>
      <x/>
    </i>
    <i i="1">
      <x v="1"/>
    </i>
    <i i="2">
      <x v="2"/>
    </i>
    <i i="3">
      <x v="3"/>
    </i>
  </colItems>
  <pageFields count="1">
    <pageField fld="5" hier="-1"/>
  </pageFields>
  <dataFields count="4">
    <dataField name="Sum of 2011" fld="12" baseField="6" baseItem="0"/>
    <dataField name="Sum of 2012" fld="13" baseField="6" baseItem="0"/>
    <dataField name="Sum of 2013" fld="14" baseField="6" baseItem="0"/>
    <dataField name="Sum of 2014" fld="15" baseField="6" baseItem="0"/>
  </dataFields>
  <formats count="1">
    <format dxfId="15">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3" cacheId="0" applyNumberFormats="0" applyBorderFormats="0" applyFontFormats="0" applyPatternFormats="0" applyAlignmentFormats="0" applyWidthHeightFormats="1" dataCaption="Values" updatedVersion="5" minRefreshableVersion="3" useAutoFormatting="1" itemPrintTitles="1" createdVersion="4" indent="0" outline="1" outlineData="1" multipleFieldFilters="0">
  <location ref="A22:E30" firstHeaderRow="0" firstDataRow="1" firstDataCol="1" rowPageCount="1" colPageCount="1"/>
  <pivotFields count="38">
    <pivotField showAll="0"/>
    <pivotField showAll="0"/>
    <pivotField showAll="0"/>
    <pivotField showAll="0"/>
    <pivotField showAll="0"/>
    <pivotField axis="axisPage" multipleItemSelectionAllowed="1" showAll="0">
      <items count="11">
        <item h="1" x="0"/>
        <item h="1" x="1"/>
        <item h="1" x="2"/>
        <item h="1" x="3"/>
        <item h="1" x="4"/>
        <item h="1" x="5"/>
        <item x="6"/>
        <item h="1" x="7"/>
        <item h="1" x="8"/>
        <item h="1" x="9"/>
        <item t="default"/>
      </items>
    </pivotField>
    <pivotField axis="axisRow" showAll="0">
      <items count="28">
        <item x="6"/>
        <item x="10"/>
        <item x="13"/>
        <item x="17"/>
        <item x="24"/>
        <item x="4"/>
        <item x="8"/>
        <item x="16"/>
        <item x="20"/>
        <item x="22"/>
        <item x="1"/>
        <item x="3"/>
        <item m="1" x="26"/>
        <item x="11"/>
        <item x="14"/>
        <item x="18"/>
        <item x="23"/>
        <item x="7"/>
        <item x="12"/>
        <item x="2"/>
        <item x="0"/>
        <item x="5"/>
        <item x="9"/>
        <item x="15"/>
        <item x="19"/>
        <item x="21"/>
        <item m="1" x="25"/>
        <item t="default"/>
      </items>
    </pivotField>
    <pivotField showAll="0"/>
    <pivotField showAll="0"/>
    <pivotField showAll="0"/>
    <pivotField showAll="0"/>
    <pivotField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8">
    <i>
      <x v="1"/>
    </i>
    <i>
      <x v="6"/>
    </i>
    <i>
      <x v="13"/>
    </i>
    <i>
      <x v="17"/>
    </i>
    <i>
      <x v="18"/>
    </i>
    <i>
      <x v="20"/>
    </i>
    <i>
      <x v="22"/>
    </i>
    <i t="grand">
      <x/>
    </i>
  </rowItems>
  <colFields count="1">
    <field x="-2"/>
  </colFields>
  <colItems count="4">
    <i>
      <x/>
    </i>
    <i i="1">
      <x v="1"/>
    </i>
    <i i="2">
      <x v="2"/>
    </i>
    <i i="3">
      <x v="3"/>
    </i>
  </colItems>
  <pageFields count="1">
    <pageField fld="5" hier="-1"/>
  </pageFields>
  <dataFields count="4">
    <dataField name="Sum of 2011" fld="12" baseField="6" baseItem="1"/>
    <dataField name="Sum of 2012" fld="13" baseField="6" baseItem="1"/>
    <dataField name="Sum of 2013" fld="14" baseField="6" baseItem="1"/>
    <dataField name="Sum of 2014" fld="15" baseField="6" baseItem="1"/>
  </dataFields>
  <formats count="1">
    <format dxfId="16">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5" minRefreshableVersion="3" useAutoFormatting="1" itemPrintTitles="1" createdVersion="4" indent="0" outline="1" outlineData="1" multipleFieldFilters="0">
  <location ref="A3:E11" firstHeaderRow="0" firstDataRow="1" firstDataCol="1" rowPageCount="1" colPageCount="1"/>
  <pivotFields count="38">
    <pivotField showAll="0"/>
    <pivotField showAll="0"/>
    <pivotField showAll="0"/>
    <pivotField showAll="0"/>
    <pivotField showAll="0"/>
    <pivotField axis="axisPage" multipleItemSelectionAllowed="1" showAll="0">
      <items count="11">
        <item h="1" x="0"/>
        <item h="1" x="1"/>
        <item h="1" x="2"/>
        <item h="1" x="3"/>
        <item h="1" x="4"/>
        <item x="5"/>
        <item h="1" x="6"/>
        <item h="1" x="7"/>
        <item h="1" x="8"/>
        <item h="1" x="9"/>
        <item t="default"/>
      </items>
    </pivotField>
    <pivotField axis="axisRow" showAll="0">
      <items count="28">
        <item x="6"/>
        <item x="10"/>
        <item x="13"/>
        <item x="17"/>
        <item x="24"/>
        <item x="4"/>
        <item x="8"/>
        <item x="16"/>
        <item x="20"/>
        <item x="22"/>
        <item x="1"/>
        <item x="3"/>
        <item m="1" x="26"/>
        <item x="11"/>
        <item x="14"/>
        <item x="18"/>
        <item x="23"/>
        <item x="7"/>
        <item x="12"/>
        <item x="2"/>
        <item x="0"/>
        <item x="5"/>
        <item x="9"/>
        <item x="15"/>
        <item x="19"/>
        <item x="21"/>
        <item m="1" x="25"/>
        <item t="default"/>
      </items>
    </pivotField>
    <pivotField showAll="0"/>
    <pivotField showAll="0"/>
    <pivotField showAll="0"/>
    <pivotField showAll="0"/>
    <pivotField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8">
    <i>
      <x/>
    </i>
    <i>
      <x v="5"/>
    </i>
    <i>
      <x v="10"/>
    </i>
    <i>
      <x v="17"/>
    </i>
    <i>
      <x v="19"/>
    </i>
    <i>
      <x v="20"/>
    </i>
    <i>
      <x v="21"/>
    </i>
    <i t="grand">
      <x/>
    </i>
  </rowItems>
  <colFields count="1">
    <field x="-2"/>
  </colFields>
  <colItems count="4">
    <i>
      <x/>
    </i>
    <i i="1">
      <x v="1"/>
    </i>
    <i i="2">
      <x v="2"/>
    </i>
    <i i="3">
      <x v="3"/>
    </i>
  </colItems>
  <pageFields count="1">
    <pageField fld="5" hier="-1"/>
  </pageFields>
  <dataFields count="4">
    <dataField name="Sum of 2011" fld="12" baseField="6" baseItem="3"/>
    <dataField name="Sum of 2012" fld="13" baseField="6" baseItem="3"/>
    <dataField name="Sum of 2013" fld="14" baseField="6" baseItem="3"/>
    <dataField name="Sum of 2014" fld="15" baseField="6" baseItem="3"/>
  </dataFields>
  <formats count="1">
    <format dxfId="17">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PivotTable5" cacheId="0" applyNumberFormats="0" applyBorderFormats="0" applyFontFormats="0" applyPatternFormats="0" applyAlignmentFormats="0" applyWidthHeightFormats="1" dataCaption="Values" updatedVersion="5" minRefreshableVersion="3" useAutoFormatting="1" itemPrintTitles="1" createdVersion="4" indent="0" outline="1" outlineData="1" multipleFieldFilters="0">
  <location ref="A58:E64" firstHeaderRow="0" firstDataRow="1" firstDataCol="1" rowPageCount="1" colPageCount="1"/>
  <pivotFields count="38">
    <pivotField showAll="0"/>
    <pivotField showAll="0"/>
    <pivotField showAll="0"/>
    <pivotField showAll="0"/>
    <pivotField showAll="0"/>
    <pivotField axis="axisPage" multipleItemSelectionAllowed="1" showAll="0">
      <items count="11">
        <item h="1" x="0"/>
        <item h="1" x="1"/>
        <item h="1" x="2"/>
        <item h="1" x="3"/>
        <item h="1" x="4"/>
        <item h="1" x="5"/>
        <item h="1" x="6"/>
        <item h="1" x="7"/>
        <item x="8"/>
        <item h="1" x="9"/>
        <item t="default"/>
      </items>
    </pivotField>
    <pivotField axis="axisRow" showAll="0">
      <items count="28">
        <item x="6"/>
        <item x="10"/>
        <item x="13"/>
        <item x="17"/>
        <item x="24"/>
        <item x="4"/>
        <item x="8"/>
        <item x="16"/>
        <item x="20"/>
        <item x="22"/>
        <item x="1"/>
        <item x="3"/>
        <item m="1" x="26"/>
        <item x="11"/>
        <item x="14"/>
        <item x="18"/>
        <item x="23"/>
        <item x="7"/>
        <item x="12"/>
        <item x="2"/>
        <item x="0"/>
        <item x="5"/>
        <item x="9"/>
        <item x="15"/>
        <item x="19"/>
        <item x="21"/>
        <item m="1" x="25"/>
        <item t="default"/>
      </items>
    </pivotField>
    <pivotField showAll="0"/>
    <pivotField showAll="0"/>
    <pivotField showAll="0"/>
    <pivotField showAll="0"/>
    <pivotField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6">
    <i>
      <x v="3"/>
    </i>
    <i>
      <x v="8"/>
    </i>
    <i>
      <x v="15"/>
    </i>
    <i>
      <x v="20"/>
    </i>
    <i>
      <x v="24"/>
    </i>
    <i t="grand">
      <x/>
    </i>
  </rowItems>
  <colFields count="1">
    <field x="-2"/>
  </colFields>
  <colItems count="4">
    <i>
      <x/>
    </i>
    <i i="1">
      <x v="1"/>
    </i>
    <i i="2">
      <x v="2"/>
    </i>
    <i i="3">
      <x v="3"/>
    </i>
  </colItems>
  <pageFields count="1">
    <pageField fld="5" hier="-1"/>
  </pageFields>
  <dataFields count="4">
    <dataField name="Sum of 2011" fld="12" baseField="6" baseItem="0"/>
    <dataField name="Sum of 2012" fld="13" baseField="6" baseItem="0"/>
    <dataField name="Sum of 2013" fld="14" baseField="6" baseItem="0"/>
    <dataField name="Sum of 2014" fld="15" baseField="6" baseItem="0"/>
  </dataFields>
  <formats count="1">
    <format dxfId="18">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PivotTable24" cacheId="1" applyNumberFormats="0" applyBorderFormats="0" applyFontFormats="0" applyPatternFormats="0" applyAlignmentFormats="0" applyWidthHeightFormats="1" dataCaption="Values" updatedVersion="5" minRefreshableVersion="3" useAutoFormatting="1" itemPrintTitles="1" createdVersion="4" indent="0" outline="1" outlineData="1" multipleFieldFilters="0">
  <location ref="A111:M119" firstHeaderRow="0" firstDataRow="1" firstDataCol="1" rowPageCount="1" colPageCount="1"/>
  <pivotFields count="45">
    <pivotField showAll="0"/>
    <pivotField showAll="0"/>
    <pivotField showAll="0"/>
    <pivotField showAll="0"/>
    <pivotField showAll="0"/>
    <pivotField showAll="0"/>
    <pivotField axis="axisPage" multipleItemSelectionAllowed="1" showAll="0">
      <items count="11">
        <item h="1" x="0"/>
        <item h="1" x="1"/>
        <item h="1" x="2"/>
        <item h="1" x="3"/>
        <item h="1" x="4"/>
        <item h="1" x="5"/>
        <item h="1" x="6"/>
        <item h="1" x="7"/>
        <item h="1" x="8"/>
        <item x="9"/>
        <item t="default"/>
      </items>
    </pivotField>
    <pivotField showAll="0"/>
    <pivotField axis="axisRow" showAll="0">
      <items count="28">
        <item x="7"/>
        <item x="11"/>
        <item x="13"/>
        <item x="17"/>
        <item x="24"/>
        <item x="5"/>
        <item x="9"/>
        <item x="16"/>
        <item x="20"/>
        <item x="22"/>
        <item x="1"/>
        <item x="3"/>
        <item m="1" x="26"/>
        <item x="12"/>
        <item x="14"/>
        <item x="18"/>
        <item x="23"/>
        <item x="8"/>
        <item x="4"/>
        <item x="2"/>
        <item x="0"/>
        <item x="6"/>
        <item x="10"/>
        <item x="15"/>
        <item x="19"/>
        <item x="21"/>
        <item m="1" x="25"/>
        <item t="default"/>
      </items>
    </pivotField>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8">
    <i>
      <x v="4"/>
    </i>
    <i>
      <x v="9"/>
    </i>
    <i>
      <x v="10"/>
    </i>
    <i>
      <x v="16"/>
    </i>
    <i>
      <x v="17"/>
    </i>
    <i>
      <x v="20"/>
    </i>
    <i>
      <x v="25"/>
    </i>
    <i t="grand">
      <x/>
    </i>
  </rowItems>
  <colFields count="1">
    <field x="-2"/>
  </colFields>
  <colItems count="12">
    <i>
      <x/>
    </i>
    <i i="1">
      <x v="1"/>
    </i>
    <i i="2">
      <x v="2"/>
    </i>
    <i i="3">
      <x v="3"/>
    </i>
    <i i="4">
      <x v="4"/>
    </i>
    <i i="5">
      <x v="5"/>
    </i>
    <i i="6">
      <x v="6"/>
    </i>
    <i i="7">
      <x v="7"/>
    </i>
    <i i="8">
      <x v="8"/>
    </i>
    <i i="9">
      <x v="9"/>
    </i>
    <i i="10">
      <x v="10"/>
    </i>
    <i i="11">
      <x v="11"/>
    </i>
  </colItems>
  <pageFields count="1">
    <pageField fld="6" hier="-1"/>
  </pageFields>
  <dataFields count="12">
    <dataField name="Sum of 2009" fld="12" baseField="8" baseItem="10"/>
    <dataField name="Sum of 2010" fld="13" baseField="8" baseItem="10"/>
    <dataField name="Sum of 2011" fld="14" baseField="8" baseItem="0"/>
    <dataField name="Sum of 2012" fld="15" baseField="8" baseItem="0"/>
    <dataField name="Sum of 2013" fld="16" baseField="8" baseItem="0"/>
    <dataField name="Sum of 2014" fld="17" baseField="8" baseItem="0"/>
    <dataField name="Sum of 2015" fld="18" baseField="8" baseItem="10"/>
    <dataField name="Sum of 2016" fld="19" baseField="8" baseItem="10"/>
    <dataField name="Sum of 2017" fld="20" baseField="8" baseItem="10"/>
    <dataField name="Sum of 2018" fld="21" baseField="8" baseItem="10"/>
    <dataField name="Sum of 2019" fld="22" baseField="8" baseItem="10"/>
    <dataField name="Sum of 2020" fld="23" baseField="8" baseItem="10"/>
  </dataFields>
  <formats count="3">
    <format dxfId="5">
      <pivotArea collapsedLevelsAreSubtotals="1" fieldPosition="0">
        <references count="2">
          <reference field="4294967294" count="7" selected="0">
            <x v="0"/>
            <x v="1"/>
            <x v="2"/>
            <x v="3"/>
            <x v="4"/>
            <x v="5"/>
            <x v="6"/>
          </reference>
          <reference field="8" count="2">
            <x v="9"/>
            <x v="10"/>
          </reference>
        </references>
      </pivotArea>
    </format>
    <format dxfId="4">
      <pivotArea dataOnly="0" labelOnly="1" fieldPosition="0">
        <references count="1">
          <reference field="8" count="2">
            <x v="9"/>
            <x v="10"/>
          </reference>
        </references>
      </pivotArea>
    </format>
    <format dxfId="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PivotTable20" cacheId="1" applyNumberFormats="0" applyBorderFormats="0" applyFontFormats="0" applyPatternFormats="0" applyAlignmentFormats="0" applyWidthHeightFormats="1" dataCaption="Values" updatedVersion="5" minRefreshableVersion="3" useAutoFormatting="1" itemPrintTitles="1" createdVersion="4" indent="0" outline="1" outlineData="1" multipleFieldFilters="0">
  <location ref="A33:M42" firstHeaderRow="0" firstDataRow="1" firstDataCol="1" rowPageCount="1" colPageCount="1"/>
  <pivotFields count="45">
    <pivotField showAll="0"/>
    <pivotField showAll="0"/>
    <pivotField showAll="0"/>
    <pivotField showAll="0"/>
    <pivotField showAll="0"/>
    <pivotField showAll="0"/>
    <pivotField axis="axisPage" multipleItemSelectionAllowed="1" showAll="0">
      <items count="11">
        <item h="1" x="0"/>
        <item h="1" x="1"/>
        <item h="1" x="2"/>
        <item h="1" x="3"/>
        <item h="1" x="4"/>
        <item x="5"/>
        <item h="1" x="6"/>
        <item h="1" x="7"/>
        <item h="1" x="8"/>
        <item h="1" x="9"/>
        <item t="default"/>
      </items>
    </pivotField>
    <pivotField showAll="0"/>
    <pivotField axis="axisRow" showAll="0">
      <items count="28">
        <item x="7"/>
        <item x="11"/>
        <item x="13"/>
        <item x="17"/>
        <item x="24"/>
        <item x="5"/>
        <item x="9"/>
        <item x="16"/>
        <item x="20"/>
        <item x="22"/>
        <item x="1"/>
        <item x="3"/>
        <item m="1" x="26"/>
        <item x="12"/>
        <item x="14"/>
        <item x="18"/>
        <item x="23"/>
        <item x="8"/>
        <item x="4"/>
        <item x="2"/>
        <item x="0"/>
        <item x="6"/>
        <item x="10"/>
        <item x="15"/>
        <item x="19"/>
        <item x="21"/>
        <item m="1" x="25"/>
        <item t="default"/>
      </items>
    </pivotField>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9">
    <i>
      <x/>
    </i>
    <i>
      <x v="5"/>
    </i>
    <i>
      <x v="10"/>
    </i>
    <i>
      <x v="17"/>
    </i>
    <i>
      <x v="18"/>
    </i>
    <i>
      <x v="19"/>
    </i>
    <i>
      <x v="20"/>
    </i>
    <i>
      <x v="21"/>
    </i>
    <i t="grand">
      <x/>
    </i>
  </rowItems>
  <colFields count="1">
    <field x="-2"/>
  </colFields>
  <colItems count="12">
    <i>
      <x/>
    </i>
    <i i="1">
      <x v="1"/>
    </i>
    <i i="2">
      <x v="2"/>
    </i>
    <i i="3">
      <x v="3"/>
    </i>
    <i i="4">
      <x v="4"/>
    </i>
    <i i="5">
      <x v="5"/>
    </i>
    <i i="6">
      <x v="6"/>
    </i>
    <i i="7">
      <x v="7"/>
    </i>
    <i i="8">
      <x v="8"/>
    </i>
    <i i="9">
      <x v="9"/>
    </i>
    <i i="10">
      <x v="10"/>
    </i>
    <i i="11">
      <x v="11"/>
    </i>
  </colItems>
  <pageFields count="1">
    <pageField fld="6" hier="-1"/>
  </pageFields>
  <dataFields count="12">
    <dataField name="Sum of 2009" fld="12" baseField="8" baseItem="10"/>
    <dataField name="Sum of 2010" fld="13" baseField="8" baseItem="10"/>
    <dataField name="Sum of 2011" fld="14" baseField="8" baseItem="0"/>
    <dataField name="Sum of 2012" fld="15" baseField="8" baseItem="0"/>
    <dataField name="Sum of 2013" fld="16" baseField="8" baseItem="0"/>
    <dataField name="Sum of 2014" fld="17" baseField="8" baseItem="0"/>
    <dataField name="Sum of 2015" fld="18" baseField="8" baseItem="10"/>
    <dataField name="Sum of 2016" fld="19" baseField="8" baseItem="10"/>
    <dataField name="Sum of 2017" fld="20" baseField="8" baseItem="10"/>
    <dataField name="Sum of 2018" fld="21" baseField="8" baseItem="10"/>
    <dataField name="Sum of 2019" fld="22" baseField="8" baseItem="10"/>
    <dataField name="Sum of 2020" fld="23" baseField="8" baseItem="10"/>
  </dataFields>
  <formats count="2">
    <format dxfId="7">
      <pivotArea collapsedLevelsAreSubtotals="1" fieldPosition="0">
        <references count="1">
          <reference field="8" count="8">
            <x v="0"/>
            <x v="5"/>
            <x v="10"/>
            <x v="17"/>
            <x v="18"/>
            <x v="19"/>
            <x v="20"/>
            <x v="21"/>
          </reference>
        </references>
      </pivotArea>
    </format>
    <format dxfId="6">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xml><?xml version="1.0" encoding="utf-8"?>
<pivotTableDefinition xmlns="http://schemas.openxmlformats.org/spreadsheetml/2006/main" name="PivotTable22" cacheId="1" applyNumberFormats="0" applyBorderFormats="0" applyFontFormats="0" applyPatternFormats="0" applyAlignmentFormats="0" applyWidthHeightFormats="1" dataCaption="Values" updatedVersion="5" minRefreshableVersion="3" useAutoFormatting="1" itemPrintTitles="1" createdVersion="4" indent="0" outline="1" outlineData="1" multipleFieldFilters="0">
  <location ref="A73:M81" firstHeaderRow="0" firstDataRow="1" firstDataCol="1" rowPageCount="1" colPageCount="1"/>
  <pivotFields count="45">
    <pivotField showAll="0"/>
    <pivotField showAll="0"/>
    <pivotField showAll="0"/>
    <pivotField showAll="0"/>
    <pivotField showAll="0"/>
    <pivotField showAll="0"/>
    <pivotField axis="axisPage" multipleItemSelectionAllowed="1" showAll="0">
      <items count="11">
        <item h="1" x="0"/>
        <item h="1" x="1"/>
        <item h="1" x="2"/>
        <item h="1" x="3"/>
        <item h="1" x="4"/>
        <item h="1" x="5"/>
        <item h="1" x="6"/>
        <item x="7"/>
        <item h="1" x="8"/>
        <item h="1" x="9"/>
        <item t="default"/>
      </items>
    </pivotField>
    <pivotField showAll="0"/>
    <pivotField axis="axisRow" showAll="0">
      <items count="28">
        <item x="7"/>
        <item x="11"/>
        <item x="13"/>
        <item x="17"/>
        <item x="24"/>
        <item x="5"/>
        <item x="9"/>
        <item x="16"/>
        <item x="20"/>
        <item x="22"/>
        <item x="1"/>
        <item x="3"/>
        <item m="1" x="26"/>
        <item x="12"/>
        <item x="14"/>
        <item x="18"/>
        <item x="23"/>
        <item x="8"/>
        <item x="4"/>
        <item x="2"/>
        <item x="0"/>
        <item x="6"/>
        <item x="10"/>
        <item x="15"/>
        <item x="19"/>
        <item x="21"/>
        <item m="1" x="25"/>
        <item t="default"/>
      </items>
    </pivotField>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8">
    <i>
      <x v="2"/>
    </i>
    <i>
      <x v="7"/>
    </i>
    <i>
      <x v="10"/>
    </i>
    <i>
      <x v="14"/>
    </i>
    <i>
      <x v="18"/>
    </i>
    <i>
      <x v="20"/>
    </i>
    <i>
      <x v="23"/>
    </i>
    <i t="grand">
      <x/>
    </i>
  </rowItems>
  <colFields count="1">
    <field x="-2"/>
  </colFields>
  <colItems count="12">
    <i>
      <x/>
    </i>
    <i i="1">
      <x v="1"/>
    </i>
    <i i="2">
      <x v="2"/>
    </i>
    <i i="3">
      <x v="3"/>
    </i>
    <i i="4">
      <x v="4"/>
    </i>
    <i i="5">
      <x v="5"/>
    </i>
    <i i="6">
      <x v="6"/>
    </i>
    <i i="7">
      <x v="7"/>
    </i>
    <i i="8">
      <x v="8"/>
    </i>
    <i i="9">
      <x v="9"/>
    </i>
    <i i="10">
      <x v="10"/>
    </i>
    <i i="11">
      <x v="11"/>
    </i>
  </colItems>
  <pageFields count="1">
    <pageField fld="6" hier="-1"/>
  </pageFields>
  <dataFields count="12">
    <dataField name="Sum of 2009" fld="12" baseField="8" baseItem="10"/>
    <dataField name="Sum of 2010" fld="13" baseField="8" baseItem="10"/>
    <dataField name="Sum of 2011" fld="14" baseField="8" baseItem="0"/>
    <dataField name="Sum of 2012" fld="15" baseField="8" baseItem="0"/>
    <dataField name="Sum of 2013" fld="16" baseField="8" baseItem="0"/>
    <dataField name="Sum of 2014" fld="17" baseField="8" baseItem="0"/>
    <dataField name="Sum of 2015" fld="18" baseField="8" baseItem="10"/>
    <dataField name="Sum of 2016" fld="19" baseField="8" baseItem="10"/>
    <dataField name="Sum of 2017" fld="20" baseField="8" baseItem="10"/>
    <dataField name="Sum of 2018" fld="21" baseField="8" baseItem="10"/>
    <dataField name="Sum of 2019" fld="22" baseField="8" baseItem="10"/>
    <dataField name="Sum of 2020" fld="23" baseField="8" baseItem="10"/>
  </dataFields>
  <formats count="1">
    <format dxfId="8">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xml><?xml version="1.0" encoding="utf-8"?>
<pivotTableDefinition xmlns="http://schemas.openxmlformats.org/spreadsheetml/2006/main" name="PivotTable6" cacheId="1" applyNumberFormats="0" applyBorderFormats="0" applyFontFormats="0" applyPatternFormats="0" applyAlignmentFormats="0" applyWidthHeightFormats="1" dataCaption="Values" updatedVersion="5" minRefreshableVersion="3" useAutoFormatting="1" itemPrintTitles="1" createdVersion="4" indent="0" outline="1" outlineData="1" multipleFieldFilters="0">
  <location ref="A3:M8" firstHeaderRow="0" firstDataRow="1" firstDataCol="1" rowPageCount="1" colPageCount="1"/>
  <pivotFields count="45">
    <pivotField showAll="0"/>
    <pivotField showAll="0"/>
    <pivotField showAll="0"/>
    <pivotField showAll="0"/>
    <pivotField showAll="0"/>
    <pivotField showAll="0"/>
    <pivotField axis="axisPage" multipleItemSelectionAllowed="1" showAll="0">
      <items count="11">
        <item h="1" x="0"/>
        <item h="1" x="1"/>
        <item h="1" x="2"/>
        <item x="3"/>
        <item h="1" x="4"/>
        <item h="1" x="5"/>
        <item h="1" x="6"/>
        <item h="1" x="7"/>
        <item h="1" x="8"/>
        <item h="1" x="9"/>
        <item t="default"/>
      </items>
    </pivotField>
    <pivotField showAll="0"/>
    <pivotField axis="axisRow" showAll="0">
      <items count="28">
        <item x="7"/>
        <item x="11"/>
        <item x="13"/>
        <item x="17"/>
        <item x="24"/>
        <item x="5"/>
        <item x="9"/>
        <item x="16"/>
        <item x="20"/>
        <item x="22"/>
        <item x="1"/>
        <item x="3"/>
        <item m="1" x="26"/>
        <item x="12"/>
        <item x="14"/>
        <item x="18"/>
        <item x="23"/>
        <item x="8"/>
        <item x="4"/>
        <item x="2"/>
        <item x="0"/>
        <item x="6"/>
        <item x="10"/>
        <item x="15"/>
        <item x="19"/>
        <item x="21"/>
        <item m="1" x="25"/>
        <item t="default"/>
      </items>
    </pivotField>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5">
    <i>
      <x v="10"/>
    </i>
    <i>
      <x v="11"/>
    </i>
    <i>
      <x v="19"/>
    </i>
    <i>
      <x v="20"/>
    </i>
    <i t="grand">
      <x/>
    </i>
  </rowItems>
  <colFields count="1">
    <field x="-2"/>
  </colFields>
  <colItems count="12">
    <i>
      <x/>
    </i>
    <i i="1">
      <x v="1"/>
    </i>
    <i i="2">
      <x v="2"/>
    </i>
    <i i="3">
      <x v="3"/>
    </i>
    <i i="4">
      <x v="4"/>
    </i>
    <i i="5">
      <x v="5"/>
    </i>
    <i i="6">
      <x v="6"/>
    </i>
    <i i="7">
      <x v="7"/>
    </i>
    <i i="8">
      <x v="8"/>
    </i>
    <i i="9">
      <x v="9"/>
    </i>
    <i i="10">
      <x v="10"/>
    </i>
    <i i="11">
      <x v="11"/>
    </i>
  </colItems>
  <pageFields count="1">
    <pageField fld="6" hier="-1"/>
  </pageFields>
  <dataFields count="12">
    <dataField name="Sum of 2009" fld="12" baseField="8" baseItem="10"/>
    <dataField name="Sum of 2010" fld="13" baseField="8" baseItem="10"/>
    <dataField name="Sum of 2011" fld="14" baseField="8" baseItem="0"/>
    <dataField name="Sum of 2012" fld="15" baseField="8" baseItem="0"/>
    <dataField name="Sum of 2013" fld="16" baseField="8" baseItem="0"/>
    <dataField name="Sum of 2014" fld="17" baseField="8" baseItem="0"/>
    <dataField name="Sum of 2015" fld="18" baseField="8" baseItem="10"/>
    <dataField name="Sum of 2016" fld="19" baseField="8" baseItem="10"/>
    <dataField name="Sum of 2017" fld="20" baseField="8" baseItem="10"/>
    <dataField name="Sum of 2018" fld="21" baseField="8" baseItem="10"/>
    <dataField name="Sum of 2019" fld="22" baseField="8" baseItem="10"/>
    <dataField name="Sum of 2020" fld="23" baseField="8" baseItem="10"/>
  </dataFields>
  <formats count="1">
    <format dxfId="9">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pivotTable" Target="../pivotTables/pivotTable3.xml"/><Relationship Id="rId7" Type="http://schemas.openxmlformats.org/officeDocument/2006/relationships/vmlDrawing" Target="../drawings/vmlDrawing3.v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rinterSettings" Target="../printerSettings/printerSettings3.bin"/><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pivotTable" Target="../pivotTables/pivotTable8.xml"/><Relationship Id="rId7" Type="http://schemas.openxmlformats.org/officeDocument/2006/relationships/pivotTable" Target="../pivotTables/pivotTable12.xml"/><Relationship Id="rId2" Type="http://schemas.openxmlformats.org/officeDocument/2006/relationships/pivotTable" Target="../pivotTables/pivotTable7.xml"/><Relationship Id="rId1" Type="http://schemas.openxmlformats.org/officeDocument/2006/relationships/pivotTable" Target="../pivotTables/pivotTable6.xml"/><Relationship Id="rId6" Type="http://schemas.openxmlformats.org/officeDocument/2006/relationships/pivotTable" Target="../pivotTables/pivotTable11.xml"/><Relationship Id="rId5" Type="http://schemas.openxmlformats.org/officeDocument/2006/relationships/pivotTable" Target="../pivotTables/pivotTable10.xml"/><Relationship Id="rId10" Type="http://schemas.openxmlformats.org/officeDocument/2006/relationships/comments" Target="../comments5.xml"/><Relationship Id="rId4" Type="http://schemas.openxmlformats.org/officeDocument/2006/relationships/pivotTable" Target="../pivotTables/pivotTable9.xml"/><Relationship Id="rId9"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133"/>
  <sheetViews>
    <sheetView topLeftCell="A61" zoomScaleNormal="100" workbookViewId="0">
      <selection activeCell="A14" sqref="A14:H14"/>
    </sheetView>
  </sheetViews>
  <sheetFormatPr defaultColWidth="9.1796875" defaultRowHeight="14.5"/>
  <cols>
    <col min="1" max="1" width="30.81640625" style="55" customWidth="1"/>
    <col min="2" max="2" width="21.08984375" style="55" customWidth="1"/>
    <col min="3" max="8" width="15.1796875" style="55" customWidth="1"/>
    <col min="9" max="9" width="12.453125" style="55" customWidth="1"/>
    <col min="10" max="12" width="9.1796875" style="55" hidden="1" customWidth="1"/>
    <col min="13" max="14" width="0" style="55" hidden="1" customWidth="1"/>
    <col min="15" max="16384" width="9.1796875" style="55"/>
  </cols>
  <sheetData>
    <row r="1" spans="1:23" s="109" customFormat="1">
      <c r="G1" s="113" t="s">
        <v>198</v>
      </c>
      <c r="H1" s="660" t="s">
        <v>631</v>
      </c>
      <c r="I1" s="55"/>
      <c r="J1" s="114"/>
    </row>
    <row r="2" spans="1:23" s="109" customFormat="1">
      <c r="G2" s="113" t="s">
        <v>197</v>
      </c>
      <c r="H2" s="116">
        <v>3</v>
      </c>
      <c r="I2" s="55"/>
      <c r="J2" s="115"/>
      <c r="P2" s="55"/>
      <c r="Q2" s="55"/>
      <c r="R2" s="55"/>
      <c r="S2" s="55"/>
      <c r="T2" s="55"/>
      <c r="U2" s="55"/>
      <c r="V2" s="55"/>
      <c r="W2" s="55"/>
    </row>
    <row r="3" spans="1:23" s="109" customFormat="1">
      <c r="G3" s="113" t="s">
        <v>196</v>
      </c>
      <c r="H3" s="116">
        <v>1</v>
      </c>
      <c r="I3" s="55"/>
      <c r="J3" s="115"/>
      <c r="P3" s="55"/>
      <c r="Q3" s="55"/>
      <c r="R3" s="55"/>
      <c r="S3" s="55"/>
      <c r="T3" s="55"/>
      <c r="U3" s="55"/>
      <c r="V3" s="55"/>
      <c r="W3" s="55"/>
    </row>
    <row r="4" spans="1:23" s="109" customFormat="1">
      <c r="G4" s="113" t="s">
        <v>195</v>
      </c>
      <c r="H4" s="116">
        <v>3</v>
      </c>
      <c r="I4" s="55"/>
      <c r="J4" s="115"/>
      <c r="P4" s="55"/>
      <c r="Q4" s="55"/>
      <c r="R4" s="55"/>
      <c r="S4" s="55"/>
      <c r="T4" s="55"/>
      <c r="U4" s="55"/>
      <c r="V4" s="55"/>
      <c r="W4" s="55"/>
    </row>
    <row r="5" spans="1:23" s="109" customFormat="1">
      <c r="G5" s="113" t="s">
        <v>194</v>
      </c>
      <c r="H5" s="112" t="s">
        <v>632</v>
      </c>
      <c r="I5" s="55"/>
      <c r="J5" s="111"/>
      <c r="P5" s="55"/>
      <c r="Q5" s="55"/>
      <c r="R5" s="55"/>
      <c r="S5" s="55"/>
      <c r="T5" s="55"/>
      <c r="U5" s="55"/>
      <c r="V5" s="55"/>
      <c r="W5" s="55"/>
    </row>
    <row r="6" spans="1:23" s="109" customFormat="1">
      <c r="G6" s="113"/>
      <c r="H6" s="114"/>
      <c r="I6" s="55"/>
      <c r="J6" s="111"/>
      <c r="P6" s="55"/>
      <c r="Q6" s="55"/>
      <c r="R6" s="55"/>
      <c r="S6" s="55"/>
      <c r="T6" s="55"/>
      <c r="U6" s="55"/>
      <c r="V6" s="55"/>
      <c r="W6" s="55"/>
    </row>
    <row r="7" spans="1:23" s="109" customFormat="1">
      <c r="G7" s="113" t="s">
        <v>193</v>
      </c>
      <c r="H7" s="659">
        <v>42256</v>
      </c>
      <c r="I7" s="55"/>
      <c r="J7" s="111"/>
      <c r="P7" s="55"/>
      <c r="Q7" s="55"/>
      <c r="R7" s="55"/>
      <c r="S7" s="55"/>
      <c r="T7" s="55"/>
      <c r="U7" s="55"/>
      <c r="V7" s="55"/>
      <c r="W7" s="55"/>
    </row>
    <row r="8" spans="1:23" s="109" customFormat="1">
      <c r="G8" s="110"/>
      <c r="P8" s="55"/>
      <c r="Q8" s="55"/>
      <c r="R8" s="55"/>
      <c r="S8" s="55"/>
      <c r="T8" s="55"/>
      <c r="U8" s="55"/>
      <c r="V8" s="55"/>
      <c r="W8" s="55"/>
    </row>
    <row r="9" spans="1:23" s="109" customFormat="1" ht="18">
      <c r="A9" s="822" t="s">
        <v>192</v>
      </c>
      <c r="B9" s="822"/>
      <c r="C9" s="822"/>
      <c r="D9" s="822"/>
      <c r="E9" s="822"/>
      <c r="F9" s="822"/>
      <c r="G9" s="822"/>
      <c r="H9" s="822"/>
      <c r="P9" s="55"/>
      <c r="Q9" s="55"/>
      <c r="R9" s="55"/>
      <c r="S9" s="55"/>
      <c r="T9" s="55"/>
      <c r="U9" s="55"/>
      <c r="V9" s="55"/>
      <c r="W9" s="55"/>
    </row>
    <row r="10" spans="1:23" s="109" customFormat="1" ht="18">
      <c r="A10" s="822" t="s">
        <v>191</v>
      </c>
      <c r="B10" s="822"/>
      <c r="C10" s="822"/>
      <c r="D10" s="822"/>
      <c r="E10" s="822"/>
      <c r="F10" s="822"/>
      <c r="G10" s="822"/>
      <c r="H10" s="822"/>
      <c r="P10" s="55"/>
      <c r="Q10" s="55"/>
      <c r="R10" s="55"/>
      <c r="S10" s="55"/>
      <c r="T10" s="55"/>
      <c r="U10" s="55"/>
      <c r="V10" s="55"/>
      <c r="W10" s="55"/>
    </row>
    <row r="12" spans="1:23">
      <c r="A12" s="823" t="s">
        <v>458</v>
      </c>
      <c r="B12" s="824"/>
      <c r="C12" s="824"/>
      <c r="D12" s="824"/>
      <c r="E12" s="824"/>
      <c r="F12" s="824"/>
      <c r="G12" s="824"/>
      <c r="H12" s="824"/>
    </row>
    <row r="14" spans="1:23" ht="70.5" customHeight="1">
      <c r="A14" s="825" t="s">
        <v>190</v>
      </c>
      <c r="B14" s="826"/>
      <c r="C14" s="826"/>
      <c r="D14" s="826"/>
      <c r="E14" s="826"/>
      <c r="F14" s="826"/>
      <c r="G14" s="826"/>
      <c r="H14" s="826"/>
    </row>
    <row r="16" spans="1:23" ht="42" customHeight="1">
      <c r="A16" s="823" t="s">
        <v>581</v>
      </c>
      <c r="B16" s="824"/>
      <c r="C16" s="824"/>
      <c r="D16" s="824"/>
      <c r="E16" s="824"/>
      <c r="F16" s="824"/>
      <c r="G16" s="824"/>
      <c r="H16" s="824"/>
    </row>
    <row r="18" spans="1:14" ht="30" customHeight="1">
      <c r="A18" s="823" t="s">
        <v>582</v>
      </c>
      <c r="B18" s="824"/>
      <c r="C18" s="824"/>
      <c r="D18" s="824"/>
      <c r="E18" s="824"/>
      <c r="F18" s="824"/>
      <c r="G18" s="824"/>
      <c r="H18" s="824"/>
    </row>
    <row r="19" spans="1:14">
      <c r="A19" s="457"/>
      <c r="B19" s="456"/>
      <c r="C19" s="456"/>
      <c r="D19" s="456"/>
      <c r="E19" s="456"/>
      <c r="F19" s="456"/>
      <c r="G19" s="456"/>
      <c r="H19" s="456"/>
    </row>
    <row r="20" spans="1:14" ht="50" customHeight="1">
      <c r="A20" s="823" t="s">
        <v>583</v>
      </c>
      <c r="B20" s="823"/>
      <c r="C20" s="823"/>
      <c r="D20" s="823"/>
      <c r="E20" s="823"/>
      <c r="F20" s="823"/>
      <c r="G20" s="823"/>
      <c r="H20" s="823"/>
    </row>
    <row r="22" spans="1:14" ht="18.5">
      <c r="A22" s="829" t="s">
        <v>189</v>
      </c>
      <c r="B22" s="829"/>
      <c r="C22" s="829"/>
      <c r="D22" s="829"/>
      <c r="E22" s="829"/>
      <c r="F22" s="829"/>
      <c r="G22" s="829"/>
      <c r="H22" s="829"/>
    </row>
    <row r="24" spans="1:14">
      <c r="A24" s="830" t="s">
        <v>459</v>
      </c>
      <c r="B24" s="831"/>
      <c r="C24" s="831"/>
      <c r="D24" s="831"/>
      <c r="E24" s="831"/>
      <c r="F24" s="831"/>
      <c r="G24" s="831"/>
      <c r="H24" s="831"/>
    </row>
    <row r="25" spans="1:14">
      <c r="A25" s="56"/>
      <c r="B25" s="56"/>
      <c r="C25" s="56"/>
      <c r="D25" s="56"/>
      <c r="E25" s="56"/>
      <c r="F25" s="56"/>
    </row>
    <row r="26" spans="1:14">
      <c r="A26" s="832" t="s">
        <v>644</v>
      </c>
      <c r="B26" s="832"/>
      <c r="C26" s="832"/>
      <c r="D26" s="832"/>
      <c r="E26" s="832"/>
      <c r="F26" s="832"/>
      <c r="G26" s="832"/>
      <c r="H26" s="832"/>
    </row>
    <row r="27" spans="1:14" ht="15" thickBot="1">
      <c r="A27" s="108"/>
      <c r="B27" s="107"/>
      <c r="C27" s="107"/>
      <c r="D27" s="107"/>
      <c r="E27" s="107"/>
      <c r="F27" s="107"/>
    </row>
    <row r="28" spans="1:14">
      <c r="A28" s="834" t="s">
        <v>188</v>
      </c>
      <c r="B28" s="835"/>
      <c r="C28" s="835"/>
      <c r="D28" s="835"/>
      <c r="E28" s="835"/>
      <c r="F28" s="836"/>
      <c r="G28" s="837" t="s">
        <v>187</v>
      </c>
      <c r="H28" s="838"/>
    </row>
    <row r="29" spans="1:14">
      <c r="A29" s="841">
        <v>37160000</v>
      </c>
      <c r="B29" s="842"/>
      <c r="C29" s="842"/>
      <c r="D29" s="842"/>
      <c r="E29" s="842"/>
      <c r="F29" s="843"/>
      <c r="G29" s="839"/>
      <c r="H29" s="840"/>
    </row>
    <row r="30" spans="1:14">
      <c r="A30" s="106"/>
      <c r="B30" s="105">
        <v>2011</v>
      </c>
      <c r="C30" s="105">
        <v>2012</v>
      </c>
      <c r="D30" s="105">
        <v>2013</v>
      </c>
      <c r="E30" s="105">
        <v>2014</v>
      </c>
      <c r="F30" s="104" t="s">
        <v>82</v>
      </c>
      <c r="G30" s="99">
        <v>2015</v>
      </c>
      <c r="H30" s="103">
        <v>2016</v>
      </c>
      <c r="K30" s="55">
        <f>B30</f>
        <v>2011</v>
      </c>
      <c r="L30" s="55">
        <f>C30</f>
        <v>2012</v>
      </c>
      <c r="M30" s="55">
        <f>D30</f>
        <v>2013</v>
      </c>
      <c r="N30" s="55">
        <f>E30</f>
        <v>2014</v>
      </c>
    </row>
    <row r="31" spans="1:14">
      <c r="A31" s="76" t="s">
        <v>186</v>
      </c>
      <c r="B31" s="90">
        <f>B37/$A$29</f>
        <v>8.8871831297093654E-2</v>
      </c>
      <c r="C31" s="90">
        <f>C37/$A$29</f>
        <v>8.8871831297093654E-2</v>
      </c>
      <c r="D31" s="90">
        <f>D37/$A$29</f>
        <v>8.8871831297093654E-2</v>
      </c>
      <c r="E31" s="90">
        <f>E37/$A$29</f>
        <v>8.8871831297093654E-2</v>
      </c>
      <c r="F31" s="88">
        <f>SUM(B31:E31)</f>
        <v>0.35548732518837461</v>
      </c>
      <c r="G31" s="59"/>
      <c r="H31" s="96"/>
      <c r="J31" s="55" t="str">
        <f>A31</f>
        <v>2011 CDM Programs</v>
      </c>
      <c r="K31" s="102">
        <f>50%</f>
        <v>0.5</v>
      </c>
      <c r="L31" s="101">
        <v>1</v>
      </c>
      <c r="M31" s="100">
        <v>1</v>
      </c>
      <c r="N31" s="100">
        <v>1</v>
      </c>
    </row>
    <row r="32" spans="1:14">
      <c r="A32" s="76" t="s">
        <v>185</v>
      </c>
      <c r="B32" s="60"/>
      <c r="C32" s="90">
        <f>C38/$A$29</f>
        <v>0.14573906996770722</v>
      </c>
      <c r="D32" s="90">
        <f>D38/$A$29</f>
        <v>0.14573906996770722</v>
      </c>
      <c r="E32" s="90">
        <f>E38/$A$29</f>
        <v>0.14573906996770722</v>
      </c>
      <c r="F32" s="88">
        <f>SUM(B32:E32)</f>
        <v>0.43721720990312163</v>
      </c>
      <c r="G32" s="59"/>
      <c r="H32" s="96"/>
      <c r="J32" s="55" t="str">
        <f>A32</f>
        <v>2012 CDM Programs</v>
      </c>
      <c r="L32" s="101">
        <v>0.5</v>
      </c>
      <c r="M32" s="100">
        <v>1</v>
      </c>
      <c r="N32" s="100">
        <v>1</v>
      </c>
    </row>
    <row r="33" spans="1:14">
      <c r="A33" s="76" t="s">
        <v>184</v>
      </c>
      <c r="B33" s="60"/>
      <c r="C33" s="60"/>
      <c r="D33" s="90">
        <f>D39/$A$29</f>
        <v>0.16573801506996769</v>
      </c>
      <c r="E33" s="90">
        <f>E39/$A$29</f>
        <v>0.16573801506996769</v>
      </c>
      <c r="F33" s="88">
        <f>SUM(B33:E33)</f>
        <v>0.33147603013993537</v>
      </c>
      <c r="G33" s="59"/>
      <c r="H33" s="96"/>
      <c r="J33" s="55" t="str">
        <f>A33</f>
        <v>2013 CDM Programs</v>
      </c>
      <c r="M33" s="100">
        <v>0.5</v>
      </c>
      <c r="N33" s="100">
        <v>1</v>
      </c>
    </row>
    <row r="34" spans="1:14" ht="15" thickBot="1">
      <c r="A34" s="70" t="s">
        <v>183</v>
      </c>
      <c r="B34" s="87"/>
      <c r="C34" s="87"/>
      <c r="D34" s="87"/>
      <c r="E34" s="86">
        <f>E40/$A$29</f>
        <v>0.10566652117868676</v>
      </c>
      <c r="F34" s="86">
        <f>SUM(B34:E34)</f>
        <v>0.10566652117868676</v>
      </c>
      <c r="G34" s="59"/>
      <c r="H34" s="96"/>
      <c r="J34" s="55" t="str">
        <f>A34</f>
        <v>2014 CDM Programs</v>
      </c>
      <c r="N34" s="100">
        <v>0.5</v>
      </c>
    </row>
    <row r="35" spans="1:14" ht="15" thickTop="1">
      <c r="A35" s="99" t="s">
        <v>172</v>
      </c>
      <c r="B35" s="98">
        <f>SUM(B31:B34)</f>
        <v>8.8871831297093654E-2</v>
      </c>
      <c r="C35" s="98">
        <f>SUM(C31:C34)</f>
        <v>0.23461090126480089</v>
      </c>
      <c r="D35" s="98">
        <f>SUM(D31:D34)</f>
        <v>0.40034891633476855</v>
      </c>
      <c r="E35" s="98">
        <f>SUM(E31:E34)</f>
        <v>0.50601543751345535</v>
      </c>
      <c r="F35" s="97">
        <f>'Kingston Hydro - Results (Net)'!T70</f>
        <v>1.236776726184069</v>
      </c>
      <c r="G35" s="59"/>
      <c r="H35" s="96"/>
    </row>
    <row r="36" spans="1:14">
      <c r="A36" s="819" t="s">
        <v>78</v>
      </c>
      <c r="B36" s="820"/>
      <c r="C36" s="820"/>
      <c r="D36" s="820"/>
      <c r="E36" s="820"/>
      <c r="F36" s="821"/>
      <c r="G36" s="59"/>
      <c r="H36" s="96"/>
    </row>
    <row r="37" spans="1:14">
      <c r="A37" s="76" t="s">
        <v>186</v>
      </c>
      <c r="B37" s="73">
        <f>'Kingston Hydro - Results (Net)'!$N$67</f>
        <v>3302477.2510000002</v>
      </c>
      <c r="C37" s="73">
        <f>'Kingston Hydro - Results (Net)'!$N$67</f>
        <v>3302477.2510000002</v>
      </c>
      <c r="D37" s="73">
        <f>'Kingston Hydro - Results (Net)'!$N$67</f>
        <v>3302477.2510000002</v>
      </c>
      <c r="E37" s="73">
        <f>'Kingston Hydro - Results (Net)'!$N$67</f>
        <v>3302477.2510000002</v>
      </c>
      <c r="F37" s="71">
        <f>SUM(B37:E37)</f>
        <v>13209909.004000001</v>
      </c>
      <c r="G37" s="163"/>
      <c r="H37" s="164"/>
    </row>
    <row r="38" spans="1:14">
      <c r="A38" s="76" t="s">
        <v>185</v>
      </c>
      <c r="B38" s="75"/>
      <c r="C38" s="80">
        <f>'Kingston Hydro - Results (Net)'!$O$67</f>
        <v>5415663.8399999999</v>
      </c>
      <c r="D38" s="80">
        <f>'Kingston Hydro - Results (Net)'!$O$67</f>
        <v>5415663.8399999999</v>
      </c>
      <c r="E38" s="80">
        <f>'Kingston Hydro - Results (Net)'!$O$67</f>
        <v>5415663.8399999999</v>
      </c>
      <c r="F38" s="71">
        <f>SUM(B38:E38)</f>
        <v>16246991.52</v>
      </c>
      <c r="G38" s="59"/>
      <c r="H38" s="96"/>
    </row>
    <row r="39" spans="1:14">
      <c r="A39" s="76" t="s">
        <v>184</v>
      </c>
      <c r="B39" s="75"/>
      <c r="C39" s="75"/>
      <c r="D39" s="80">
        <f>'Kingston Hydro - Results (Net)'!$P$67</f>
        <v>6158824.6399999997</v>
      </c>
      <c r="E39" s="80">
        <f>'Kingston Hydro - Results (Net)'!$P$67</f>
        <v>6158824.6399999997</v>
      </c>
      <c r="F39" s="71">
        <f>SUM(B39:E39)</f>
        <v>12317649.279999999</v>
      </c>
      <c r="G39" s="59"/>
      <c r="H39" s="96"/>
    </row>
    <row r="40" spans="1:14" ht="15" thickBot="1">
      <c r="A40" s="70" t="s">
        <v>183</v>
      </c>
      <c r="B40" s="69"/>
      <c r="C40" s="69"/>
      <c r="D40" s="69"/>
      <c r="E40" s="68">
        <f>'Kingston Hydro - Results (Net)'!$Q$67</f>
        <v>3926567.9270000001</v>
      </c>
      <c r="F40" s="69">
        <f>SUM(B40:E40)</f>
        <v>3926567.9270000001</v>
      </c>
      <c r="G40" s="165">
        <f>GETPIVOTDATA("Sum of 2015",'KH MWh Savings Pivot'!$A$93)*1000</f>
        <v>3492019.3489536913</v>
      </c>
      <c r="H40" s="165">
        <f>GETPIVOTDATA("Sum of 2016",'KH MWh Savings Pivot'!$A$93)*1000</f>
        <v>3406507.4083398376</v>
      </c>
    </row>
    <row r="41" spans="1:14" ht="15.5" thickTop="1" thickBot="1">
      <c r="A41" s="66" t="s">
        <v>172</v>
      </c>
      <c r="B41" s="65">
        <f>SUM(B37:B40)</f>
        <v>3302477.2510000002</v>
      </c>
      <c r="C41" s="65">
        <f>SUM(C37:C40)</f>
        <v>8718141.091</v>
      </c>
      <c r="D41" s="65">
        <f>SUM(D37:D40)</f>
        <v>14876965.730999999</v>
      </c>
      <c r="E41" s="65">
        <f>SUM(E37:E40)</f>
        <v>18803533.658</v>
      </c>
      <c r="F41" s="63">
        <f>'Kingston Hydro - Results (Net)'!T67</f>
        <v>45958623.145000003</v>
      </c>
      <c r="G41" s="95"/>
      <c r="H41" s="94"/>
      <c r="I41" s="429"/>
    </row>
    <row r="42" spans="1:14">
      <c r="A42" s="62"/>
      <c r="B42" s="61"/>
      <c r="C42" s="61"/>
      <c r="D42" s="61"/>
      <c r="E42" s="61"/>
      <c r="F42" s="61"/>
      <c r="I42" s="430"/>
    </row>
    <row r="43" spans="1:14" ht="18.5">
      <c r="A43" s="829" t="s">
        <v>182</v>
      </c>
      <c r="B43" s="829"/>
      <c r="C43" s="829"/>
      <c r="D43" s="829"/>
      <c r="E43" s="829"/>
      <c r="F43" s="829"/>
      <c r="I43" s="431"/>
    </row>
    <row r="44" spans="1:14">
      <c r="A44" s="62"/>
      <c r="B44" s="61"/>
      <c r="C44" s="61"/>
      <c r="D44" s="61"/>
      <c r="E44" s="61"/>
      <c r="F44" s="61"/>
    </row>
    <row r="45" spans="1:14">
      <c r="A45" s="844" t="s">
        <v>181</v>
      </c>
      <c r="B45" s="845"/>
      <c r="C45" s="845"/>
      <c r="D45" s="845"/>
      <c r="E45" s="845"/>
      <c r="F45" s="845"/>
      <c r="G45" s="845"/>
      <c r="H45" s="845"/>
    </row>
    <row r="46" spans="1:14" ht="15" thickBot="1">
      <c r="A46" s="62"/>
      <c r="B46" s="61"/>
      <c r="C46" s="61"/>
      <c r="D46" s="61"/>
      <c r="E46" s="61"/>
      <c r="F46" s="61"/>
    </row>
    <row r="47" spans="1:14">
      <c r="A47" s="810" t="s">
        <v>180</v>
      </c>
      <c r="B47" s="811"/>
      <c r="C47" s="811"/>
      <c r="D47" s="811"/>
      <c r="E47" s="811"/>
      <c r="F47" s="811"/>
      <c r="G47" s="811"/>
      <c r="H47" s="812"/>
    </row>
    <row r="48" spans="1:14">
      <c r="A48" s="813">
        <v>34500000</v>
      </c>
      <c r="B48" s="814"/>
      <c r="C48" s="814"/>
      <c r="D48" s="814"/>
      <c r="E48" s="814"/>
      <c r="F48" s="814"/>
      <c r="G48" s="814"/>
      <c r="H48" s="815"/>
    </row>
    <row r="49" spans="1:8">
      <c r="A49" s="93"/>
      <c r="B49" s="92">
        <v>2015</v>
      </c>
      <c r="C49" s="92">
        <v>2016</v>
      </c>
      <c r="D49" s="92">
        <v>2017</v>
      </c>
      <c r="E49" s="92">
        <v>2018</v>
      </c>
      <c r="F49" s="92">
        <v>2019</v>
      </c>
      <c r="G49" s="92">
        <v>2020</v>
      </c>
      <c r="H49" s="91" t="s">
        <v>82</v>
      </c>
    </row>
    <row r="50" spans="1:8">
      <c r="A50" s="816" t="s">
        <v>179</v>
      </c>
      <c r="B50" s="817"/>
      <c r="C50" s="817"/>
      <c r="D50" s="817"/>
      <c r="E50" s="817"/>
      <c r="F50" s="817"/>
      <c r="G50" s="817"/>
      <c r="H50" s="818"/>
    </row>
    <row r="51" spans="1:8">
      <c r="A51" s="76" t="s">
        <v>178</v>
      </c>
      <c r="B51" s="90">
        <f>B59/$A$48</f>
        <v>7.9420289855072462E-2</v>
      </c>
      <c r="C51" s="81"/>
      <c r="D51" s="81"/>
      <c r="E51" s="81"/>
      <c r="F51" s="81"/>
      <c r="G51" s="89"/>
      <c r="H51" s="88">
        <f>SUM(B51:G51)</f>
        <v>7.9420289855072462E-2</v>
      </c>
    </row>
    <row r="52" spans="1:8">
      <c r="A52" s="76" t="s">
        <v>177</v>
      </c>
      <c r="B52" s="60"/>
      <c r="C52" s="90">
        <f>C60/$A$48</f>
        <v>0.33234110409137213</v>
      </c>
      <c r="D52" s="81"/>
      <c r="E52" s="81"/>
      <c r="F52" s="81"/>
      <c r="G52" s="89"/>
      <c r="H52" s="88">
        <f>SUM(B52:G52)</f>
        <v>0.33234110409137213</v>
      </c>
    </row>
    <row r="53" spans="1:8">
      <c r="A53" s="76" t="s">
        <v>176</v>
      </c>
      <c r="B53" s="60"/>
      <c r="C53" s="60"/>
      <c r="D53" s="90">
        <f>D61/$A$48</f>
        <v>0.20390461748472191</v>
      </c>
      <c r="E53" s="81"/>
      <c r="F53" s="81"/>
      <c r="G53" s="89"/>
      <c r="H53" s="88">
        <f>SUM(B53:G53)</f>
        <v>0.20390461748472191</v>
      </c>
    </row>
    <row r="54" spans="1:8">
      <c r="A54" s="76" t="s">
        <v>175</v>
      </c>
      <c r="B54" s="60"/>
      <c r="C54" s="60"/>
      <c r="D54" s="90"/>
      <c r="E54" s="90">
        <f>E62/$A$48</f>
        <v>0.14184626067312769</v>
      </c>
      <c r="F54" s="81"/>
      <c r="G54" s="89"/>
      <c r="H54" s="88">
        <f>SUM(E54:G54)</f>
        <v>0.14184626067312769</v>
      </c>
    </row>
    <row r="55" spans="1:8">
      <c r="A55" s="76" t="s">
        <v>174</v>
      </c>
      <c r="B55" s="60"/>
      <c r="C55" s="60"/>
      <c r="D55" s="90"/>
      <c r="E55" s="90"/>
      <c r="F55" s="90">
        <f>F63/$A$48</f>
        <v>0.15306306154269292</v>
      </c>
      <c r="G55" s="89"/>
      <c r="H55" s="88">
        <f>SUM(F55:G55)</f>
        <v>0.15306306154269292</v>
      </c>
    </row>
    <row r="56" spans="1:8" ht="15" thickBot="1">
      <c r="A56" s="70" t="s">
        <v>173</v>
      </c>
      <c r="B56" s="87"/>
      <c r="C56" s="87"/>
      <c r="D56" s="87"/>
      <c r="E56" s="87"/>
      <c r="F56" s="87"/>
      <c r="G56" s="90">
        <f>G64/$A$48</f>
        <v>0.16717841313689585</v>
      </c>
      <c r="H56" s="86">
        <f>SUM(B56:G56)</f>
        <v>0.16717841313689585</v>
      </c>
    </row>
    <row r="57" spans="1:8" ht="15" thickTop="1">
      <c r="A57" s="85" t="s">
        <v>172</v>
      </c>
      <c r="B57" s="84">
        <f>SUM(B51:B56)</f>
        <v>7.9420289855072462E-2</v>
      </c>
      <c r="C57" s="84">
        <f>SUM(C51:C56)</f>
        <v>0.33234110409137213</v>
      </c>
      <c r="D57" s="84">
        <f>SUM(D51:D56)</f>
        <v>0.20390461748472191</v>
      </c>
      <c r="E57" s="84">
        <f>SUM(E51:E54)</f>
        <v>0.14184626067312769</v>
      </c>
      <c r="F57" s="84">
        <f>SUM(F51:F55)</f>
        <v>0.15306306154269292</v>
      </c>
      <c r="G57" s="83">
        <f>SUM(G51:G56)</f>
        <v>0.16717841313689585</v>
      </c>
      <c r="H57" s="82">
        <f>SUM(B57:G57)</f>
        <v>1.0777537467838829</v>
      </c>
    </row>
    <row r="58" spans="1:8">
      <c r="A58" s="819" t="s">
        <v>78</v>
      </c>
      <c r="B58" s="820"/>
      <c r="C58" s="820"/>
      <c r="D58" s="820"/>
      <c r="E58" s="820"/>
      <c r="F58" s="820"/>
      <c r="G58" s="820"/>
      <c r="H58" s="821"/>
    </row>
    <row r="59" spans="1:8">
      <c r="A59" s="76" t="str">
        <f t="shared" ref="A59:A64" si="0">A51</f>
        <v>2015 CDM Programs</v>
      </c>
      <c r="B59" s="73">
        <f>'KH 2015-2020 CDM Plan Milestone'!O80*1000</f>
        <v>2740000</v>
      </c>
      <c r="C59" s="73"/>
      <c r="D59" s="81"/>
      <c r="E59" s="77"/>
      <c r="F59" s="77"/>
      <c r="G59" s="72"/>
      <c r="H59" s="71">
        <f>SUM(B59:G59)</f>
        <v>2740000</v>
      </c>
    </row>
    <row r="60" spans="1:8">
      <c r="A60" s="76" t="str">
        <f t="shared" si="0"/>
        <v>2016 CDM Programs</v>
      </c>
      <c r="B60" s="75"/>
      <c r="C60" s="80">
        <f>'KH 2015-2020 CDM Plan Milestone'!Q80*1000</f>
        <v>11465768.091152338</v>
      </c>
      <c r="D60" s="79"/>
      <c r="E60" s="79"/>
      <c r="F60" s="79"/>
      <c r="G60" s="78"/>
      <c r="H60" s="71">
        <f>SUM(B60:G60)</f>
        <v>11465768.091152338</v>
      </c>
    </row>
    <row r="61" spans="1:8">
      <c r="A61" s="76" t="str">
        <f t="shared" si="0"/>
        <v>2017 CDM Programs</v>
      </c>
      <c r="B61" s="75"/>
      <c r="C61" s="75"/>
      <c r="D61" s="80">
        <f>'KH 2015-2020 CDM Plan Milestone'!S80*1000</f>
        <v>7034709.3032229058</v>
      </c>
      <c r="E61" s="79"/>
      <c r="F61" s="79"/>
      <c r="G61" s="78"/>
      <c r="H61" s="71">
        <f>SUM(B61:G61)</f>
        <v>7034709.3032229058</v>
      </c>
    </row>
    <row r="62" spans="1:8">
      <c r="A62" s="76" t="str">
        <f t="shared" si="0"/>
        <v>2018 CDM Programs</v>
      </c>
      <c r="B62" s="75"/>
      <c r="C62" s="75"/>
      <c r="D62" s="74"/>
      <c r="E62" s="73">
        <f>'KH 2015-2020 CDM Plan Milestone'!U80*1000</f>
        <v>4893695.9932229053</v>
      </c>
      <c r="F62" s="77"/>
      <c r="G62" s="72"/>
      <c r="H62" s="71">
        <f>SUM(E62:G62)</f>
        <v>4893695.9932229053</v>
      </c>
    </row>
    <row r="63" spans="1:8">
      <c r="A63" s="76" t="str">
        <f t="shared" si="0"/>
        <v>2019 CDM Programs</v>
      </c>
      <c r="B63" s="75"/>
      <c r="C63" s="75"/>
      <c r="D63" s="74"/>
      <c r="E63" s="74"/>
      <c r="F63" s="73">
        <f>'KH 2015-2020 CDM Plan Milestone'!W80*1000</f>
        <v>5280675.6232229061</v>
      </c>
      <c r="G63" s="72"/>
      <c r="H63" s="71">
        <f>SUM(F63:G63)</f>
        <v>5280675.6232229061</v>
      </c>
    </row>
    <row r="64" spans="1:8" ht="15" thickBot="1">
      <c r="A64" s="70" t="str">
        <f t="shared" si="0"/>
        <v>2020 CDM Programs</v>
      </c>
      <c r="B64" s="69"/>
      <c r="C64" s="69"/>
      <c r="D64" s="69"/>
      <c r="E64" s="69"/>
      <c r="F64" s="69"/>
      <c r="G64" s="68">
        <f>'KH 2015-2020 CDM Plan Milestone'!Y80*1000</f>
        <v>5767655.253222907</v>
      </c>
      <c r="H64" s="67">
        <f>SUM(B64:G64)</f>
        <v>5767655.253222907</v>
      </c>
    </row>
    <row r="65" spans="1:33" ht="15.5" thickTop="1" thickBot="1">
      <c r="A65" s="66" t="s">
        <v>172</v>
      </c>
      <c r="B65" s="65">
        <f>SUM(B59:B64)</f>
        <v>2740000</v>
      </c>
      <c r="C65" s="65">
        <f>SUM(C59:C64)</f>
        <v>11465768.091152338</v>
      </c>
      <c r="D65" s="65">
        <f>SUM(D59:D64)</f>
        <v>7034709.3032229058</v>
      </c>
      <c r="E65" s="65">
        <f>SUM(E59:E62)</f>
        <v>4893695.9932229053</v>
      </c>
      <c r="F65" s="65">
        <f>SUM(F59:F63)</f>
        <v>5280675.6232229061</v>
      </c>
      <c r="G65" s="64">
        <f>SUM(G59:G64)</f>
        <v>5767655.253222907</v>
      </c>
      <c r="H65" s="63">
        <f>SUM(B65:G65)</f>
        <v>37182504.264043964</v>
      </c>
    </row>
    <row r="66" spans="1:33">
      <c r="A66" s="62"/>
      <c r="B66" s="61"/>
      <c r="C66" s="61"/>
      <c r="D66" s="61"/>
      <c r="E66" s="61"/>
      <c r="F66" s="61"/>
    </row>
    <row r="67" spans="1:33" ht="18.5">
      <c r="A67" s="833" t="s">
        <v>171</v>
      </c>
      <c r="B67" s="833"/>
      <c r="C67" s="833"/>
      <c r="D67" s="833"/>
      <c r="E67" s="833"/>
      <c r="F67" s="833"/>
      <c r="G67" s="833"/>
      <c r="H67" s="833"/>
    </row>
    <row r="68" spans="1:33">
      <c r="A68" s="62"/>
      <c r="B68" s="61"/>
      <c r="C68" s="61"/>
      <c r="D68" s="61"/>
      <c r="E68" s="61"/>
      <c r="F68" s="61"/>
    </row>
    <row r="69" spans="1:33" ht="32" customHeight="1">
      <c r="A69" s="827" t="s">
        <v>482</v>
      </c>
      <c r="B69" s="827"/>
      <c r="C69" s="827"/>
      <c r="D69" s="827"/>
      <c r="E69" s="827"/>
      <c r="F69" s="827"/>
      <c r="G69" s="827"/>
      <c r="H69" s="827"/>
    </row>
    <row r="70" spans="1:33" ht="31" customHeight="1">
      <c r="A70" s="827" t="s">
        <v>485</v>
      </c>
      <c r="B70" s="827"/>
      <c r="C70" s="827"/>
      <c r="D70" s="827"/>
      <c r="E70" s="827"/>
      <c r="F70" s="827"/>
      <c r="G70" s="827"/>
      <c r="H70" s="827"/>
    </row>
    <row r="71" spans="1:33" ht="27" customHeight="1">
      <c r="A71" s="827" t="s">
        <v>483</v>
      </c>
      <c r="B71" s="827"/>
      <c r="C71" s="827"/>
      <c r="D71" s="827"/>
      <c r="E71" s="827"/>
      <c r="F71" s="827"/>
      <c r="G71" s="827"/>
      <c r="H71" s="827"/>
    </row>
    <row r="72" spans="1:33" ht="24.5" customHeight="1">
      <c r="A72" s="827" t="s">
        <v>484</v>
      </c>
      <c r="B72" s="827"/>
      <c r="C72" s="827"/>
      <c r="D72" s="827"/>
      <c r="E72" s="827"/>
      <c r="F72" s="827"/>
      <c r="G72" s="827"/>
      <c r="H72" s="827"/>
    </row>
    <row r="73" spans="1:33" ht="28.5" customHeight="1">
      <c r="A73" s="827" t="s">
        <v>487</v>
      </c>
      <c r="B73" s="827"/>
      <c r="C73" s="827"/>
      <c r="D73" s="827"/>
      <c r="E73" s="827"/>
      <c r="F73" s="827"/>
      <c r="G73" s="827"/>
      <c r="H73" s="827"/>
    </row>
    <row r="74" spans="1:33">
      <c r="A74" s="827" t="s">
        <v>498</v>
      </c>
      <c r="B74" s="827"/>
      <c r="C74" s="827"/>
      <c r="D74" s="827"/>
      <c r="E74" s="827"/>
      <c r="F74" s="827"/>
      <c r="G74" s="827"/>
      <c r="H74" s="827"/>
    </row>
    <row r="75" spans="1:33" ht="46" customHeight="1">
      <c r="A75" s="828" t="s">
        <v>167</v>
      </c>
      <c r="B75" s="828"/>
      <c r="C75" s="828"/>
      <c r="D75" s="828"/>
      <c r="E75" s="828"/>
      <c r="F75" s="828"/>
      <c r="G75" s="828"/>
      <c r="H75" s="828"/>
    </row>
    <row r="76" spans="1:33">
      <c r="A76" s="55" t="s">
        <v>169</v>
      </c>
      <c r="E76" s="431">
        <v>3.2500000000000001E-2</v>
      </c>
      <c r="I76" s="109"/>
      <c r="J76" s="109"/>
      <c r="K76" s="109"/>
      <c r="L76" s="109"/>
      <c r="M76" s="109"/>
      <c r="N76" s="109"/>
      <c r="O76" s="109"/>
      <c r="P76" s="109"/>
      <c r="Q76" s="109"/>
      <c r="R76" s="109"/>
      <c r="S76" s="109"/>
      <c r="T76" s="109"/>
      <c r="U76" s="109"/>
      <c r="V76" s="109"/>
      <c r="W76" s="109"/>
      <c r="X76" s="109"/>
      <c r="Y76" s="109"/>
      <c r="Z76" s="109"/>
      <c r="AA76" s="109"/>
      <c r="AB76" s="109"/>
      <c r="AC76" s="109"/>
      <c r="AD76" s="109"/>
      <c r="AE76" s="109"/>
      <c r="AF76" s="109"/>
      <c r="AG76" s="109"/>
    </row>
    <row r="77" spans="1:33">
      <c r="I77" s="109"/>
      <c r="J77" s="109"/>
      <c r="K77" s="109"/>
      <c r="L77" s="109"/>
      <c r="M77" s="109"/>
      <c r="N77" s="109"/>
      <c r="O77" s="109"/>
      <c r="P77" s="109"/>
      <c r="Q77" s="109"/>
      <c r="R77" s="109"/>
      <c r="S77" s="109"/>
      <c r="T77" s="109"/>
      <c r="U77" s="109"/>
      <c r="V77" s="109"/>
      <c r="W77" s="109"/>
      <c r="X77" s="109"/>
      <c r="Y77" s="109"/>
      <c r="Z77" s="109"/>
      <c r="AA77" s="109"/>
      <c r="AB77" s="109"/>
      <c r="AC77" s="109"/>
      <c r="AD77" s="109"/>
      <c r="AE77" s="109"/>
      <c r="AF77" s="109"/>
      <c r="AG77" s="109"/>
    </row>
    <row r="78" spans="1:33">
      <c r="A78" s="55" t="s">
        <v>168</v>
      </c>
      <c r="I78" s="109"/>
      <c r="J78" s="109"/>
      <c r="K78" s="109"/>
      <c r="L78" s="109"/>
      <c r="M78" s="109"/>
      <c r="N78" s="109"/>
      <c r="O78" s="109"/>
      <c r="P78" s="109"/>
      <c r="Q78" s="109"/>
      <c r="R78" s="109"/>
      <c r="S78" s="109"/>
      <c r="T78" s="109"/>
      <c r="U78" s="109"/>
      <c r="V78" s="109"/>
      <c r="W78" s="109"/>
      <c r="X78" s="109"/>
      <c r="Y78" s="109"/>
      <c r="Z78" s="109"/>
      <c r="AA78" s="109"/>
      <c r="AB78" s="109"/>
      <c r="AC78" s="109"/>
      <c r="AD78" s="109"/>
      <c r="AE78" s="109"/>
      <c r="AF78" s="109"/>
      <c r="AG78" s="109"/>
    </row>
    <row r="80" spans="1:33" ht="36.5" customHeight="1">
      <c r="A80" s="828" t="s">
        <v>166</v>
      </c>
      <c r="B80" s="828"/>
      <c r="C80" s="828"/>
      <c r="D80" s="828"/>
      <c r="E80" s="828"/>
      <c r="F80" s="828"/>
      <c r="G80" s="828"/>
      <c r="H80" s="828"/>
    </row>
    <row r="81" spans="1:13">
      <c r="A81" s="597"/>
      <c r="B81" s="597"/>
      <c r="C81" s="597"/>
      <c r="D81" s="597"/>
      <c r="E81" s="597"/>
      <c r="F81" s="597"/>
      <c r="G81" s="597"/>
      <c r="H81" s="597"/>
      <c r="J81" s="55">
        <v>581568.95207366417</v>
      </c>
      <c r="K81" s="55">
        <v>646823.06211642653</v>
      </c>
      <c r="L81" s="55">
        <v>713736.74540915934</v>
      </c>
      <c r="M81" s="55">
        <v>782310.00195186271</v>
      </c>
    </row>
    <row r="82" spans="1:13" ht="61" customHeight="1">
      <c r="A82" s="828" t="s">
        <v>170</v>
      </c>
      <c r="B82" s="828"/>
      <c r="C82" s="828"/>
      <c r="D82" s="828"/>
      <c r="E82" s="828"/>
      <c r="F82" s="828"/>
      <c r="G82" s="828"/>
      <c r="H82" s="828"/>
      <c r="J82" s="55">
        <v>2903282.5082077589</v>
      </c>
      <c r="K82" s="55">
        <v>2878829.9332918855</v>
      </c>
      <c r="L82" s="55">
        <v>2834864.039886198</v>
      </c>
      <c r="M82" s="55">
        <v>2733258.6746989344</v>
      </c>
    </row>
    <row r="84" spans="1:13">
      <c r="J84" s="55">
        <v>2017</v>
      </c>
      <c r="K84" s="55">
        <v>2018</v>
      </c>
      <c r="L84" s="55">
        <v>2019</v>
      </c>
      <c r="M84" s="55">
        <v>2020</v>
      </c>
    </row>
    <row r="85" spans="1:13">
      <c r="J85" s="55">
        <v>384702.67120560509</v>
      </c>
      <c r="K85" s="55">
        <v>0</v>
      </c>
      <c r="L85" s="55">
        <v>0</v>
      </c>
      <c r="M85" s="55">
        <v>0</v>
      </c>
    </row>
    <row r="86" spans="1:13">
      <c r="J86" s="55">
        <v>364051.28221036796</v>
      </c>
      <c r="K86" s="55">
        <v>0</v>
      </c>
      <c r="L86" s="55">
        <v>0</v>
      </c>
      <c r="M86" s="55">
        <v>0</v>
      </c>
    </row>
    <row r="87" spans="1:13">
      <c r="J87" s="55">
        <v>456298.80260920519</v>
      </c>
      <c r="K87" s="55">
        <v>454572.26577393396</v>
      </c>
      <c r="L87" s="55">
        <v>454572.26577393396</v>
      </c>
      <c r="M87" s="55">
        <v>351000.35161120637</v>
      </c>
    </row>
    <row r="88" spans="1:13">
      <c r="J88" s="55">
        <v>402560.47244965931</v>
      </c>
      <c r="K88" s="55">
        <v>401953.76436251891</v>
      </c>
      <c r="L88" s="55">
        <v>401818.88685420895</v>
      </c>
      <c r="M88" s="55">
        <v>396974.93492728006</v>
      </c>
    </row>
    <row r="89" spans="1:13">
      <c r="J89" s="55">
        <v>306323.51801151602</v>
      </c>
      <c r="K89" s="55">
        <v>305753.45893553353</v>
      </c>
      <c r="L89" s="55">
        <v>305753.45893553353</v>
      </c>
      <c r="M89" s="55">
        <v>297321.30767926335</v>
      </c>
    </row>
    <row r="90" spans="1:13">
      <c r="J90" s="55">
        <v>724669.55422772828</v>
      </c>
      <c r="K90" s="55">
        <v>533687.61351288133</v>
      </c>
      <c r="L90" s="55">
        <v>532784.71835315006</v>
      </c>
      <c r="M90" s="55">
        <v>532784.71835315006</v>
      </c>
    </row>
    <row r="91" spans="1:13">
      <c r="J91" s="55">
        <v>1795482.0288606647</v>
      </c>
      <c r="K91" s="55">
        <v>2673492.4927453413</v>
      </c>
      <c r="L91" s="55">
        <v>3606696.2467060839</v>
      </c>
      <c r="M91" s="55">
        <v>4607284.5822504694</v>
      </c>
    </row>
    <row r="92" spans="1:13" ht="18.5" customHeight="1">
      <c r="J92" s="55">
        <v>4434088.329574747</v>
      </c>
      <c r="K92" s="55">
        <v>4369459.5953302085</v>
      </c>
      <c r="L92" s="55">
        <v>5301625.5766229108</v>
      </c>
      <c r="M92" s="55">
        <v>6185365.8948213691</v>
      </c>
    </row>
    <row r="94" spans="1:13" ht="14.5" customHeight="1">
      <c r="J94" s="55">
        <v>2017</v>
      </c>
      <c r="K94" s="55">
        <v>2018</v>
      </c>
      <c r="L94" s="55">
        <v>2019</v>
      </c>
      <c r="M94" s="55">
        <v>2020</v>
      </c>
    </row>
    <row r="95" spans="1:13">
      <c r="J95" s="55">
        <v>467085.92533944215</v>
      </c>
      <c r="K95" s="55">
        <v>467085.92533944215</v>
      </c>
      <c r="L95" s="55">
        <v>389812.06170305633</v>
      </c>
      <c r="M95" s="55">
        <v>60381.37988489672</v>
      </c>
    </row>
    <row r="96" spans="1:13" ht="14.5" customHeight="1">
      <c r="J96" s="55">
        <v>436954.46521984925</v>
      </c>
      <c r="K96" s="55">
        <v>434367.597254753</v>
      </c>
      <c r="L96" s="55">
        <v>250053.25474166201</v>
      </c>
      <c r="M96" s="55">
        <v>196160.17213547786</v>
      </c>
    </row>
    <row r="97" spans="10:13">
      <c r="J97" s="55">
        <v>1160690.0654416622</v>
      </c>
      <c r="K97" s="55">
        <v>1160673.9295833888</v>
      </c>
      <c r="L97" s="55">
        <v>1160673.9295833888</v>
      </c>
      <c r="M97" s="55">
        <v>870425.9801885183</v>
      </c>
    </row>
    <row r="98" spans="10:13">
      <c r="J98" s="55">
        <v>2150344.7675654688</v>
      </c>
      <c r="K98" s="55">
        <v>2143603.5351029313</v>
      </c>
      <c r="L98" s="55">
        <v>2143596.1647472861</v>
      </c>
      <c r="M98" s="55">
        <v>2089774.2252200027</v>
      </c>
    </row>
    <row r="99" spans="10:13">
      <c r="J99" s="55">
        <v>1348682.1463392228</v>
      </c>
      <c r="K99" s="55">
        <v>1345799.7093618636</v>
      </c>
      <c r="L99" s="55">
        <v>1345799.7093618636</v>
      </c>
      <c r="M99" s="55">
        <v>1303163.5237386962</v>
      </c>
    </row>
    <row r="100" spans="10:13" ht="14.5" customHeight="1">
      <c r="J100" s="55">
        <v>1556710.6668591488</v>
      </c>
      <c r="K100" s="55">
        <v>1259817.2536432093</v>
      </c>
      <c r="L100" s="55">
        <v>1257100.0564459104</v>
      </c>
      <c r="M100" s="55">
        <v>1257100.0564459104</v>
      </c>
    </row>
    <row r="101" spans="10:13">
      <c r="J101" s="55">
        <v>5440897.9306131564</v>
      </c>
      <c r="K101" s="55">
        <v>7896258.8785567386</v>
      </c>
      <c r="L101" s="55">
        <v>10464955.738313606</v>
      </c>
      <c r="M101" s="55">
        <v>13259630.725590058</v>
      </c>
    </row>
    <row r="102" spans="10:13" ht="14.5" customHeight="1">
      <c r="J102" s="55">
        <v>12561365.96737795</v>
      </c>
      <c r="K102" s="55">
        <v>14707606.828842327</v>
      </c>
      <c r="L102" s="55">
        <v>17011990.914896771</v>
      </c>
      <c r="M102" s="55">
        <v>19036636.063203558</v>
      </c>
    </row>
    <row r="104" spans="10:13" ht="14.5" customHeight="1">
      <c r="J104" s="55">
        <v>2017</v>
      </c>
      <c r="K104" s="55">
        <v>2018</v>
      </c>
      <c r="L104" s="55">
        <v>2019</v>
      </c>
      <c r="M104" s="55">
        <v>2020</v>
      </c>
    </row>
    <row r="105" spans="10:13" ht="13.5" customHeight="1"/>
    <row r="107" spans="10:13">
      <c r="J107" s="55">
        <v>1232534.8671232576</v>
      </c>
      <c r="K107" s="55">
        <v>1232534.8671232576</v>
      </c>
      <c r="L107" s="55">
        <v>1232534.8671232576</v>
      </c>
      <c r="M107" s="55">
        <v>1109829.1097225861</v>
      </c>
    </row>
    <row r="108" spans="10:13">
      <c r="J108" s="55">
        <v>555454.94731698581</v>
      </c>
      <c r="K108" s="55">
        <v>554735.61918046011</v>
      </c>
      <c r="L108" s="55">
        <v>554735.61918046011</v>
      </c>
      <c r="M108" s="55">
        <v>548992.50978918676</v>
      </c>
    </row>
    <row r="109" spans="10:13">
      <c r="J109" s="55">
        <v>1215624.0150079487</v>
      </c>
      <c r="K109" s="55">
        <v>1212866.6131851347</v>
      </c>
      <c r="L109" s="55">
        <v>1212866.6131851347</v>
      </c>
      <c r="M109" s="55">
        <v>1172079.9119047245</v>
      </c>
    </row>
    <row r="110" spans="10:13">
      <c r="J110" s="55">
        <v>95736.011101675365</v>
      </c>
      <c r="K110" s="55">
        <v>94922.645165569309</v>
      </c>
      <c r="L110" s="55">
        <v>94707.33198355377</v>
      </c>
      <c r="M110" s="55">
        <v>94707.33198355377</v>
      </c>
    </row>
    <row r="111" spans="10:13" ht="12" customHeight="1">
      <c r="J111" s="55">
        <v>13021489.306941688</v>
      </c>
      <c r="K111" s="55">
        <v>14255050.891496196</v>
      </c>
      <c r="L111" s="55">
        <v>15422796.191126009</v>
      </c>
      <c r="M111" s="55">
        <v>16649558.713045008</v>
      </c>
    </row>
    <row r="112" spans="10:13">
      <c r="J112" s="55">
        <v>16120839.147491556</v>
      </c>
      <c r="K112" s="55">
        <v>17350110.636150617</v>
      </c>
      <c r="L112" s="55">
        <v>18517640.622598417</v>
      </c>
      <c r="M112" s="55">
        <v>19575167.576445058</v>
      </c>
    </row>
    <row r="113" spans="1:15" ht="12" customHeight="1"/>
    <row r="114" spans="1:15">
      <c r="J114" s="55">
        <v>2017</v>
      </c>
      <c r="K114" s="55">
        <v>2018</v>
      </c>
      <c r="L114" s="55">
        <v>2019</v>
      </c>
      <c r="M114" s="55">
        <v>2020</v>
      </c>
    </row>
    <row r="115" spans="1:15" ht="12" customHeight="1"/>
    <row r="117" spans="1:15">
      <c r="I117" s="59"/>
      <c r="J117" s="58"/>
      <c r="O117" s="58"/>
    </row>
    <row r="118" spans="1:15" ht="12" customHeight="1">
      <c r="J118" s="55">
        <v>23928.345003243598</v>
      </c>
      <c r="K118" s="55">
        <v>23852.928149484211</v>
      </c>
      <c r="L118" s="55">
        <v>23852.928149484211</v>
      </c>
      <c r="M118" s="55">
        <v>23250.800665387953</v>
      </c>
    </row>
    <row r="119" spans="1:15" ht="31.5" customHeight="1">
      <c r="J119" s="55">
        <v>2014530.1600265454</v>
      </c>
      <c r="K119" s="55">
        <v>2009960.5981663065</v>
      </c>
      <c r="L119" s="55">
        <v>2009960.5981663065</v>
      </c>
      <c r="M119" s="55">
        <v>1942368.9424874391</v>
      </c>
    </row>
    <row r="120" spans="1:15">
      <c r="A120" s="56"/>
      <c r="B120" s="56"/>
      <c r="C120" s="56"/>
      <c r="D120" s="56"/>
      <c r="E120" s="56"/>
      <c r="F120" s="56"/>
    </row>
    <row r="121" spans="1:15">
      <c r="A121" s="57"/>
      <c r="B121" s="56"/>
      <c r="C121" s="56"/>
      <c r="D121" s="56"/>
      <c r="E121" s="56"/>
      <c r="F121" s="56"/>
    </row>
    <row r="122" spans="1:15">
      <c r="A122" s="56"/>
      <c r="B122" s="56"/>
      <c r="C122" s="56"/>
      <c r="D122" s="56"/>
      <c r="E122" s="56"/>
      <c r="F122" s="56"/>
      <c r="J122" s="55">
        <v>2038458.5050297889</v>
      </c>
      <c r="K122" s="55">
        <v>2033813.5263157906</v>
      </c>
      <c r="L122" s="55">
        <v>2033813.5263157906</v>
      </c>
      <c r="M122" s="55">
        <v>1965619.743152827</v>
      </c>
    </row>
    <row r="123" spans="1:15">
      <c r="A123" s="56"/>
      <c r="B123" s="56"/>
      <c r="C123" s="56"/>
      <c r="D123" s="56"/>
      <c r="E123" s="56"/>
      <c r="F123" s="56"/>
    </row>
    <row r="124" spans="1:15">
      <c r="A124" s="56"/>
      <c r="B124" s="56"/>
      <c r="C124" s="56"/>
      <c r="D124" s="56"/>
      <c r="E124" s="56"/>
      <c r="F124" s="56"/>
      <c r="J124" s="55">
        <v>2017</v>
      </c>
      <c r="K124" s="55">
        <v>2018</v>
      </c>
      <c r="L124" s="55">
        <v>2019</v>
      </c>
      <c r="M124" s="55">
        <v>2020</v>
      </c>
    </row>
    <row r="125" spans="1:15">
      <c r="A125" s="56"/>
      <c r="B125" s="56"/>
      <c r="C125" s="56"/>
      <c r="D125" s="56"/>
      <c r="E125" s="56"/>
      <c r="F125" s="56"/>
      <c r="J125" s="55">
        <v>38058034.457681805</v>
      </c>
      <c r="K125" s="55">
        <v>41339820.519930825</v>
      </c>
      <c r="L125" s="55">
        <v>45699934.680320084</v>
      </c>
      <c r="M125" s="55">
        <v>49496047.952321745</v>
      </c>
    </row>
    <row r="126" spans="1:15">
      <c r="A126" s="56"/>
      <c r="B126" s="56"/>
      <c r="C126" s="56"/>
      <c r="D126" s="56"/>
      <c r="E126" s="56"/>
      <c r="F126" s="56"/>
    </row>
    <row r="127" spans="1:15">
      <c r="A127" s="56"/>
      <c r="B127" s="56"/>
      <c r="C127" s="56"/>
      <c r="D127" s="56"/>
      <c r="E127" s="56"/>
      <c r="F127" s="56"/>
    </row>
    <row r="128" spans="1:15">
      <c r="A128" s="56"/>
      <c r="B128" s="56"/>
      <c r="C128" s="56"/>
      <c r="D128" s="56"/>
      <c r="E128" s="56"/>
      <c r="F128" s="56"/>
    </row>
    <row r="129" spans="1:6">
      <c r="A129" s="56"/>
      <c r="B129" s="56"/>
      <c r="C129" s="56"/>
      <c r="D129" s="56"/>
      <c r="E129" s="56"/>
      <c r="F129" s="56"/>
    </row>
    <row r="130" spans="1:6">
      <c r="A130" s="56"/>
      <c r="B130" s="56"/>
      <c r="C130" s="56"/>
      <c r="D130" s="56"/>
      <c r="E130" s="56"/>
      <c r="F130" s="56"/>
    </row>
    <row r="131" spans="1:6">
      <c r="A131" s="56"/>
      <c r="B131" s="56"/>
      <c r="C131" s="56"/>
      <c r="D131" s="56"/>
      <c r="E131" s="56"/>
      <c r="F131" s="56"/>
    </row>
    <row r="132" spans="1:6">
      <c r="A132" s="56"/>
      <c r="B132" s="56"/>
      <c r="C132" s="56"/>
      <c r="D132" s="56"/>
      <c r="E132" s="56"/>
      <c r="F132" s="56"/>
    </row>
    <row r="133" spans="1:6">
      <c r="A133" s="56"/>
      <c r="B133" s="56"/>
      <c r="C133" s="56"/>
      <c r="D133" s="56"/>
      <c r="E133" s="56"/>
      <c r="F133" s="56"/>
    </row>
  </sheetData>
  <mergeCells count="30">
    <mergeCell ref="A69:H69"/>
    <mergeCell ref="A70:H70"/>
    <mergeCell ref="A71:H71"/>
    <mergeCell ref="A72:H72"/>
    <mergeCell ref="A73:H73"/>
    <mergeCell ref="A74:H74"/>
    <mergeCell ref="A75:H75"/>
    <mergeCell ref="A80:H80"/>
    <mergeCell ref="A82:H82"/>
    <mergeCell ref="A18:H18"/>
    <mergeCell ref="A22:H22"/>
    <mergeCell ref="A24:H24"/>
    <mergeCell ref="A26:H26"/>
    <mergeCell ref="A20:H20"/>
    <mergeCell ref="A67:H67"/>
    <mergeCell ref="A28:F28"/>
    <mergeCell ref="G28:H29"/>
    <mergeCell ref="A29:F29"/>
    <mergeCell ref="A36:F36"/>
    <mergeCell ref="A43:F43"/>
    <mergeCell ref="A45:H45"/>
    <mergeCell ref="A47:H47"/>
    <mergeCell ref="A48:H48"/>
    <mergeCell ref="A50:H50"/>
    <mergeCell ref="A58:H58"/>
    <mergeCell ref="A9:H9"/>
    <mergeCell ref="A10:H10"/>
    <mergeCell ref="A12:H12"/>
    <mergeCell ref="A14:H14"/>
    <mergeCell ref="A16:H16"/>
  </mergeCells>
  <conditionalFormatting sqref="F41">
    <cfRule type="expression" dxfId="2" priority="1">
      <formula>$F$41&lt;$A$29</formula>
    </cfRule>
  </conditionalFormatting>
  <dataValidations disablePrompts="1" count="1">
    <dataValidation type="list" allowBlank="1" showInputMessage="1" showErrorMessage="1" sqref="B89:G89">
      <formula1>"0, 0.5, 1"</formula1>
    </dataValidation>
  </dataValidations>
  <pageMargins left="0.7" right="0.7" top="0.75" bottom="0.75" header="0.3" footer="0.3"/>
  <pageSetup scale="58" orientation="portrait" r:id="rId1"/>
  <rowBreaks count="1" manualBreakCount="1">
    <brk id="66" max="7" man="1"/>
  </row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2"/>
  <sheetViews>
    <sheetView topLeftCell="A40" zoomScaleNormal="100" workbookViewId="0">
      <selection activeCell="D58" sqref="D58"/>
    </sheetView>
  </sheetViews>
  <sheetFormatPr defaultRowHeight="14.5"/>
  <cols>
    <col min="1" max="1" width="22.81640625" style="45" bestFit="1" customWidth="1"/>
    <col min="2" max="2" width="20.453125" style="45" bestFit="1" customWidth="1"/>
    <col min="3" max="3" width="22.7265625" style="45" customWidth="1"/>
    <col min="4" max="4" width="14.36328125" style="45" bestFit="1" customWidth="1"/>
    <col min="5" max="7" width="9.1796875" style="45" customWidth="1"/>
    <col min="8" max="13" width="8.7265625" style="45"/>
    <col min="14" max="14" width="14.54296875" style="45" bestFit="1" customWidth="1"/>
    <col min="15" max="16" width="8.7265625" style="45"/>
    <col min="17" max="17" width="7.7265625" style="45" bestFit="1" customWidth="1"/>
    <col min="18" max="18" width="14.1796875" style="45" customWidth="1"/>
    <col min="19" max="19" width="8.7265625" style="45"/>
    <col min="20" max="21" width="11.26953125" style="45" bestFit="1" customWidth="1"/>
    <col min="22" max="23" width="8.7265625" style="45"/>
    <col min="24" max="24" width="12.26953125" style="45" bestFit="1" customWidth="1"/>
    <col min="25" max="26" width="9.81640625" style="45" bestFit="1" customWidth="1"/>
    <col min="27" max="16384" width="8.7265625" style="45"/>
  </cols>
  <sheetData>
    <row r="1" spans="1:18">
      <c r="A1" s="45" t="s">
        <v>475</v>
      </c>
    </row>
    <row r="3" spans="1:18" ht="14.5" customHeight="1">
      <c r="A3" s="854" t="s">
        <v>148</v>
      </c>
      <c r="B3" s="854"/>
      <c r="C3" s="854"/>
      <c r="D3" s="854"/>
      <c r="E3" s="854"/>
      <c r="F3" s="53"/>
      <c r="G3" s="855" t="s">
        <v>129</v>
      </c>
      <c r="H3" s="855"/>
      <c r="I3" s="855"/>
      <c r="J3" s="855"/>
      <c r="K3" s="855"/>
      <c r="L3" s="855"/>
      <c r="M3" s="53"/>
      <c r="N3" s="849" t="s">
        <v>476</v>
      </c>
      <c r="O3" s="849"/>
      <c r="P3" s="849"/>
      <c r="Q3" s="849"/>
      <c r="R3" s="849"/>
    </row>
    <row r="4" spans="1:18" ht="14.5" customHeight="1">
      <c r="A4" s="854"/>
      <c r="B4" s="854"/>
      <c r="C4" s="854"/>
      <c r="D4" s="854"/>
      <c r="E4" s="854"/>
      <c r="F4" s="53"/>
      <c r="G4" s="855"/>
      <c r="H4" s="855"/>
      <c r="I4" s="855"/>
      <c r="J4" s="855"/>
      <c r="K4" s="855"/>
      <c r="L4" s="855"/>
      <c r="M4" s="53"/>
      <c r="N4" s="849"/>
      <c r="O4" s="849"/>
      <c r="P4" s="849"/>
      <c r="Q4" s="849"/>
      <c r="R4" s="849"/>
    </row>
    <row r="5" spans="1:18">
      <c r="A5" s="854"/>
      <c r="B5" s="854"/>
      <c r="C5" s="854"/>
      <c r="D5" s="854"/>
      <c r="E5" s="854"/>
      <c r="F5" s="53"/>
      <c r="G5" s="855"/>
      <c r="H5" s="855"/>
      <c r="I5" s="855"/>
      <c r="J5" s="855"/>
      <c r="K5" s="855"/>
      <c r="L5" s="855"/>
      <c r="M5" s="53"/>
      <c r="N5" s="849"/>
      <c r="O5" s="849"/>
      <c r="P5" s="849"/>
      <c r="Q5" s="849"/>
      <c r="R5" s="849"/>
    </row>
    <row r="6" spans="1:18">
      <c r="A6" s="854"/>
      <c r="B6" s="854"/>
      <c r="C6" s="854"/>
      <c r="D6" s="854"/>
      <c r="E6" s="854"/>
      <c r="F6" s="53"/>
      <c r="G6" s="855"/>
      <c r="H6" s="855"/>
      <c r="I6" s="855"/>
      <c r="J6" s="855"/>
      <c r="K6" s="855"/>
      <c r="L6" s="855"/>
      <c r="M6" s="53"/>
      <c r="N6" s="849"/>
      <c r="O6" s="849"/>
      <c r="P6" s="849"/>
      <c r="Q6" s="849"/>
      <c r="R6" s="849"/>
    </row>
    <row r="7" spans="1:18" ht="14.5" customHeight="1">
      <c r="A7" s="849" t="s">
        <v>554</v>
      </c>
      <c r="B7" s="849"/>
      <c r="C7" s="849"/>
      <c r="D7" s="849"/>
      <c r="E7" s="849"/>
      <c r="F7" s="53"/>
      <c r="G7" s="855"/>
      <c r="H7" s="855"/>
      <c r="I7" s="855"/>
      <c r="J7" s="855"/>
      <c r="K7" s="855"/>
      <c r="L7" s="855"/>
      <c r="M7" s="53"/>
      <c r="N7" s="849"/>
      <c r="O7" s="849"/>
      <c r="P7" s="849"/>
      <c r="Q7" s="849"/>
      <c r="R7" s="849"/>
    </row>
    <row r="8" spans="1:18">
      <c r="A8" s="849"/>
      <c r="B8" s="849"/>
      <c r="C8" s="849"/>
      <c r="D8" s="849"/>
      <c r="E8" s="849"/>
      <c r="F8" s="53"/>
      <c r="G8" s="855"/>
      <c r="H8" s="855"/>
      <c r="I8" s="855"/>
      <c r="J8" s="855"/>
      <c r="K8" s="855"/>
      <c r="L8" s="855"/>
      <c r="M8" s="53"/>
      <c r="N8" s="849"/>
      <c r="O8" s="849"/>
      <c r="P8" s="849"/>
      <c r="Q8" s="849"/>
      <c r="R8" s="849"/>
    </row>
    <row r="9" spans="1:18">
      <c r="A9" s="849"/>
      <c r="B9" s="849"/>
      <c r="C9" s="849"/>
      <c r="D9" s="849"/>
      <c r="E9" s="849"/>
      <c r="F9" s="53"/>
      <c r="G9" s="855"/>
      <c r="H9" s="855"/>
      <c r="I9" s="855"/>
      <c r="J9" s="855"/>
      <c r="K9" s="855"/>
      <c r="L9" s="855"/>
      <c r="M9" s="53"/>
      <c r="N9" s="849"/>
      <c r="O9" s="849"/>
      <c r="P9" s="849"/>
      <c r="Q9" s="849"/>
      <c r="R9" s="849"/>
    </row>
    <row r="10" spans="1:18" ht="9.5" customHeight="1">
      <c r="A10" s="849"/>
      <c r="B10" s="849"/>
      <c r="C10" s="849"/>
      <c r="D10" s="849"/>
      <c r="E10" s="849"/>
      <c r="F10" s="53"/>
      <c r="G10" s="855"/>
      <c r="H10" s="855"/>
      <c r="I10" s="855"/>
      <c r="J10" s="855"/>
      <c r="K10" s="855"/>
      <c r="L10" s="855"/>
      <c r="M10" s="53"/>
      <c r="N10" s="849"/>
      <c r="O10" s="849"/>
      <c r="P10" s="849"/>
      <c r="Q10" s="849"/>
      <c r="R10" s="849"/>
    </row>
    <row r="11" spans="1:18">
      <c r="A11" s="849"/>
      <c r="B11" s="849"/>
      <c r="C11" s="849"/>
      <c r="D11" s="849"/>
      <c r="E11" s="849"/>
      <c r="F11" s="53"/>
      <c r="G11" s="855"/>
      <c r="H11" s="855"/>
      <c r="I11" s="855"/>
      <c r="J11" s="855"/>
      <c r="K11" s="855"/>
      <c r="L11" s="855"/>
      <c r="M11" s="53"/>
      <c r="N11" s="849"/>
      <c r="O11" s="849"/>
      <c r="P11" s="849"/>
      <c r="Q11" s="849"/>
      <c r="R11" s="849"/>
    </row>
    <row r="12" spans="1:18">
      <c r="A12" s="849"/>
      <c r="B12" s="849"/>
      <c r="C12" s="849"/>
      <c r="D12" s="849"/>
      <c r="E12" s="849"/>
      <c r="F12" s="53"/>
      <c r="G12" s="855"/>
      <c r="H12" s="855"/>
      <c r="I12" s="855"/>
      <c r="J12" s="855"/>
      <c r="K12" s="855"/>
      <c r="L12" s="855"/>
      <c r="M12" s="53"/>
      <c r="N12" s="849"/>
      <c r="O12" s="849"/>
      <c r="P12" s="849"/>
      <c r="Q12" s="849"/>
      <c r="R12" s="849"/>
    </row>
    <row r="13" spans="1:18">
      <c r="A13" s="849"/>
      <c r="B13" s="849"/>
      <c r="C13" s="849"/>
      <c r="D13" s="849"/>
      <c r="E13" s="849"/>
      <c r="F13" s="53"/>
      <c r="G13" s="855"/>
      <c r="H13" s="855"/>
      <c r="I13" s="855"/>
      <c r="J13" s="855"/>
      <c r="K13" s="855"/>
      <c r="L13" s="855"/>
      <c r="M13" s="53"/>
      <c r="N13" s="849"/>
      <c r="O13" s="849"/>
      <c r="P13" s="849"/>
      <c r="Q13" s="849"/>
      <c r="R13" s="849"/>
    </row>
    <row r="14" spans="1:18">
      <c r="A14" s="849"/>
      <c r="B14" s="849"/>
      <c r="C14" s="849"/>
      <c r="D14" s="849"/>
      <c r="E14" s="849"/>
      <c r="F14" s="53"/>
      <c r="G14" s="855"/>
      <c r="H14" s="855"/>
      <c r="I14" s="855"/>
      <c r="J14" s="855"/>
      <c r="K14" s="855"/>
      <c r="L14" s="855"/>
      <c r="M14" s="53"/>
      <c r="N14" s="849"/>
      <c r="O14" s="849"/>
      <c r="P14" s="849"/>
      <c r="Q14" s="849"/>
      <c r="R14" s="849"/>
    </row>
    <row r="15" spans="1:18">
      <c r="A15" s="849"/>
      <c r="B15" s="849"/>
      <c r="C15" s="849"/>
      <c r="D15" s="849"/>
      <c r="E15" s="849"/>
      <c r="F15" s="53"/>
      <c r="G15" s="855"/>
      <c r="H15" s="855"/>
      <c r="I15" s="855"/>
      <c r="J15" s="855"/>
      <c r="K15" s="855"/>
      <c r="L15" s="855"/>
      <c r="M15" s="53"/>
      <c r="N15" s="849"/>
      <c r="O15" s="849"/>
      <c r="P15" s="849"/>
      <c r="Q15" s="849"/>
      <c r="R15" s="849"/>
    </row>
    <row r="16" spans="1:18">
      <c r="N16" s="437"/>
      <c r="O16" s="437"/>
      <c r="P16" s="437"/>
      <c r="Q16" s="437"/>
      <c r="R16" s="437"/>
    </row>
    <row r="18" spans="1:26">
      <c r="A18" s="46">
        <v>2011</v>
      </c>
      <c r="B18" s="851" t="s">
        <v>72</v>
      </c>
      <c r="C18" s="853"/>
      <c r="D18" s="46"/>
      <c r="E18" s="851" t="s">
        <v>73</v>
      </c>
      <c r="F18" s="853"/>
      <c r="G18" s="46"/>
      <c r="H18" s="851" t="s">
        <v>74</v>
      </c>
      <c r="I18" s="852"/>
      <c r="J18" s="852"/>
      <c r="K18" s="853"/>
      <c r="L18" s="46"/>
      <c r="M18" s="851" t="s">
        <v>75</v>
      </c>
      <c r="N18" s="852"/>
      <c r="O18" s="853"/>
      <c r="P18" s="46"/>
      <c r="Q18" s="851" t="s">
        <v>76</v>
      </c>
      <c r="R18" s="853"/>
      <c r="S18" s="28"/>
      <c r="T18" s="18"/>
    </row>
    <row r="19" spans="1:26" ht="14.5" customHeight="1">
      <c r="A19" s="46" t="s">
        <v>77</v>
      </c>
      <c r="B19" s="438" t="s">
        <v>78</v>
      </c>
      <c r="C19" s="439" t="s">
        <v>79</v>
      </c>
      <c r="D19" s="46"/>
      <c r="E19" s="438" t="s">
        <v>78</v>
      </c>
      <c r="F19" s="439" t="s">
        <v>79</v>
      </c>
      <c r="G19" s="46"/>
      <c r="H19" s="438" t="s">
        <v>80</v>
      </c>
      <c r="I19" s="440" t="s">
        <v>80</v>
      </c>
      <c r="J19" s="440" t="s">
        <v>81</v>
      </c>
      <c r="K19" s="439" t="s">
        <v>81</v>
      </c>
      <c r="L19" s="46"/>
      <c r="M19" s="438" t="s">
        <v>78</v>
      </c>
      <c r="N19" s="440" t="s">
        <v>79</v>
      </c>
      <c r="O19" s="439" t="s">
        <v>82</v>
      </c>
      <c r="P19" s="46"/>
      <c r="Q19" s="438"/>
      <c r="R19" s="441"/>
      <c r="S19" s="28"/>
      <c r="T19" s="18"/>
    </row>
    <row r="20" spans="1:26">
      <c r="B20" s="4"/>
      <c r="C20" s="5"/>
      <c r="E20" s="4"/>
      <c r="F20" s="5"/>
      <c r="H20" s="6" t="s">
        <v>83</v>
      </c>
      <c r="I20" s="7" t="s">
        <v>84</v>
      </c>
      <c r="J20" s="8" t="s">
        <v>83</v>
      </c>
      <c r="K20" s="5" t="s">
        <v>84</v>
      </c>
      <c r="M20" s="4"/>
      <c r="N20" s="8"/>
      <c r="O20" s="5"/>
      <c r="Q20" s="9"/>
      <c r="R20" s="10"/>
      <c r="S20" s="28"/>
      <c r="T20" s="18"/>
    </row>
    <row r="21" spans="1:26">
      <c r="A21" s="45" t="s">
        <v>17</v>
      </c>
      <c r="B21" s="442">
        <f>'KH MWh Savings Pivot'!D46</f>
        <v>259175.21868655752</v>
      </c>
      <c r="C21" s="443"/>
      <c r="D21" s="51"/>
      <c r="E21" s="11">
        <f>B21/12</f>
        <v>21597.934890546461</v>
      </c>
      <c r="F21" s="444"/>
      <c r="H21" s="445">
        <f>'KH 2011-2014 Rates'!F6</f>
        <v>1.24E-2</v>
      </c>
      <c r="I21" s="446">
        <f>'KH 2011-2014 Rates'!F16</f>
        <v>1.4800000000000001E-2</v>
      </c>
      <c r="J21" s="446"/>
      <c r="K21" s="447"/>
      <c r="M21" s="448">
        <f>((B21*H21)*(4/12))+((B21*I21)*(8/12))</f>
        <v>3628.453061611805</v>
      </c>
      <c r="N21" s="449"/>
      <c r="O21" s="450">
        <f>SUM(M21:N21)</f>
        <v>3628.453061611805</v>
      </c>
      <c r="Q21" s="9" t="s">
        <v>85</v>
      </c>
      <c r="R21" s="14">
        <v>1.47E-2</v>
      </c>
      <c r="S21" s="28"/>
      <c r="T21" s="18"/>
    </row>
    <row r="22" spans="1:26" ht="14.5" customHeight="1">
      <c r="A22" s="45" t="s">
        <v>86</v>
      </c>
      <c r="B22" s="19">
        <f>'KH MWh Savings Pivot'!D47</f>
        <v>332629.70705580758</v>
      </c>
      <c r="C22" s="20"/>
      <c r="D22" s="51"/>
      <c r="E22" s="11">
        <f>B22/12</f>
        <v>27719.142254650633</v>
      </c>
      <c r="F22" s="13"/>
      <c r="H22" s="21">
        <f>'KH 2011-2014 Rates'!F7</f>
        <v>9.7000000000000003E-3</v>
      </c>
      <c r="I22" s="22">
        <f>'KH 2011-2014 Rates'!F17</f>
        <v>1.03E-2</v>
      </c>
      <c r="J22" s="22"/>
      <c r="K22" s="23"/>
      <c r="M22" s="15">
        <f>((B22*H22)*(4/12))+((B22*I22)*(8/12))</f>
        <v>3359.5600412636568</v>
      </c>
      <c r="N22" s="16"/>
      <c r="O22" s="17">
        <f>SUM(M22:N22)</f>
        <v>3359.5600412636568</v>
      </c>
      <c r="Q22" s="9" t="s">
        <v>87</v>
      </c>
      <c r="R22" s="14">
        <v>1.47E-2</v>
      </c>
      <c r="S22" s="28"/>
      <c r="T22" s="16"/>
    </row>
    <row r="23" spans="1:26">
      <c r="A23" s="45" t="s">
        <v>88</v>
      </c>
      <c r="B23" s="19"/>
      <c r="C23" s="20">
        <f>'KH MW Savings Pivot'!B16</f>
        <v>80.821433970955852</v>
      </c>
      <c r="D23" s="51"/>
      <c r="E23" s="11"/>
      <c r="F23" s="13">
        <f>C23</f>
        <v>80.821433970955852</v>
      </c>
      <c r="H23" s="21"/>
      <c r="I23" s="22"/>
      <c r="J23" s="22">
        <f>'KH 2011-2014 Rates'!F8</f>
        <v>1.6891</v>
      </c>
      <c r="K23" s="23">
        <f>'KH 2011-2014 Rates'!F18</f>
        <v>1.927</v>
      </c>
      <c r="M23" s="15"/>
      <c r="N23" s="16">
        <f>F23*K23*5</f>
        <v>778.71451631015952</v>
      </c>
      <c r="O23" s="17">
        <f>SUM(M23:N23)</f>
        <v>778.71451631015952</v>
      </c>
      <c r="Q23" s="9" t="s">
        <v>89</v>
      </c>
      <c r="R23" s="14">
        <v>1.47E-2</v>
      </c>
      <c r="S23" s="28"/>
      <c r="T23" s="16"/>
    </row>
    <row r="24" spans="1:26" ht="14.5" customHeight="1">
      <c r="A24" s="45" t="s">
        <v>57</v>
      </c>
      <c r="B24" s="19"/>
      <c r="C24" s="20">
        <f>'KH MW Savings Pivot'!B17</f>
        <v>140.72585418904555</v>
      </c>
      <c r="D24" s="51"/>
      <c r="E24" s="11"/>
      <c r="F24" s="13">
        <f>C24</f>
        <v>140.72585418904555</v>
      </c>
      <c r="H24" s="21"/>
      <c r="I24" s="22"/>
      <c r="J24" s="22">
        <f>'KH 2011-2014 Rates'!F9</f>
        <v>0.83709999999999996</v>
      </c>
      <c r="K24" s="23">
        <f>'KH 2011-2014 Rates'!F19</f>
        <v>1.0118</v>
      </c>
      <c r="M24" s="15"/>
      <c r="N24" s="16">
        <f>F24*K24*5</f>
        <v>711.93209634238144</v>
      </c>
      <c r="O24" s="17">
        <f>SUM(M24:N24)</f>
        <v>711.93209634238144</v>
      </c>
      <c r="Q24" s="9" t="s">
        <v>90</v>
      </c>
      <c r="R24" s="14">
        <v>1.47E-2</v>
      </c>
      <c r="S24" s="28"/>
    </row>
    <row r="25" spans="1:26">
      <c r="A25" s="45" t="s">
        <v>496</v>
      </c>
      <c r="B25" s="19"/>
      <c r="C25" s="20"/>
      <c r="D25" s="51"/>
      <c r="E25" s="11"/>
      <c r="F25" s="13"/>
      <c r="H25" s="21"/>
      <c r="I25" s="22"/>
      <c r="J25" s="22">
        <f>'KH 2011-2014 Rates'!F10</f>
        <v>3.9127000000000001</v>
      </c>
      <c r="K25" s="23">
        <f>'KH 2011-2014 Rates'!F20</f>
        <v>4.4901</v>
      </c>
      <c r="M25" s="15"/>
      <c r="N25" s="16">
        <f>C25*J25*12</f>
        <v>0</v>
      </c>
      <c r="O25" s="17">
        <f>C25*K25*12</f>
        <v>0</v>
      </c>
      <c r="Q25" s="9"/>
      <c r="R25" s="14"/>
      <c r="S25" s="28"/>
      <c r="U25" s="24"/>
      <c r="V25" s="24"/>
      <c r="W25" s="24"/>
      <c r="X25" s="24"/>
      <c r="Y25" s="24"/>
      <c r="Z25" s="16"/>
    </row>
    <row r="26" spans="1:26">
      <c r="A26" s="451" t="s">
        <v>82</v>
      </c>
      <c r="B26" s="442">
        <f>SUM(B21:B25)</f>
        <v>591804.92574236507</v>
      </c>
      <c r="C26" s="443">
        <f>SUM(C23:C25)</f>
        <v>221.54728816000141</v>
      </c>
      <c r="D26" s="452"/>
      <c r="E26" s="453">
        <f>SUM(E21:E25)</f>
        <v>49317.077145197094</v>
      </c>
      <c r="F26" s="444">
        <f>SUM(F23:F25)</f>
        <v>221.54728816000141</v>
      </c>
      <c r="G26" s="451"/>
      <c r="H26" s="445"/>
      <c r="I26" s="446"/>
      <c r="J26" s="446"/>
      <c r="K26" s="447"/>
      <c r="L26" s="451"/>
      <c r="M26" s="448">
        <f>SUM(M21:M25)</f>
        <v>6988.0131028754622</v>
      </c>
      <c r="N26" s="449">
        <f>SUM(N21:N25)</f>
        <v>1490.6466126525411</v>
      </c>
      <c r="O26" s="450">
        <f>SUM(O21:O25)</f>
        <v>8478.6597155280033</v>
      </c>
      <c r="P26" s="449"/>
      <c r="Q26" s="454"/>
      <c r="R26" s="455"/>
      <c r="S26" s="26"/>
      <c r="U26" s="48"/>
      <c r="V26" s="48"/>
      <c r="W26" s="48"/>
      <c r="X26" s="48"/>
      <c r="Y26" s="48"/>
      <c r="Z26" s="24"/>
    </row>
    <row r="27" spans="1:26">
      <c r="S27" s="27"/>
      <c r="U27" s="850"/>
      <c r="V27" s="850"/>
      <c r="W27" s="850"/>
      <c r="X27" s="850"/>
      <c r="Y27" s="850"/>
      <c r="Z27" s="24"/>
    </row>
    <row r="28" spans="1:26" ht="21" customHeight="1">
      <c r="A28" s="46">
        <v>2012</v>
      </c>
      <c r="B28" s="851" t="s">
        <v>72</v>
      </c>
      <c r="C28" s="853"/>
      <c r="D28" s="46"/>
      <c r="E28" s="851" t="s">
        <v>73</v>
      </c>
      <c r="F28" s="853"/>
      <c r="G28" s="46"/>
      <c r="H28" s="851" t="s">
        <v>74</v>
      </c>
      <c r="I28" s="852"/>
      <c r="J28" s="852"/>
      <c r="K28" s="853"/>
      <c r="L28" s="46"/>
      <c r="M28" s="851" t="s">
        <v>75</v>
      </c>
      <c r="N28" s="852"/>
      <c r="O28" s="853"/>
      <c r="P28" s="46"/>
      <c r="Q28" s="851" t="s">
        <v>76</v>
      </c>
      <c r="R28" s="853"/>
      <c r="S28" s="28"/>
      <c r="T28" s="46"/>
      <c r="U28" s="25"/>
      <c r="V28" s="25"/>
      <c r="W28" s="25"/>
      <c r="X28" s="25"/>
      <c r="Y28" s="54"/>
      <c r="Z28" s="24"/>
    </row>
    <row r="29" spans="1:26">
      <c r="A29" s="46" t="s">
        <v>77</v>
      </c>
      <c r="B29" s="438" t="s">
        <v>78</v>
      </c>
      <c r="C29" s="439" t="s">
        <v>79</v>
      </c>
      <c r="D29" s="46"/>
      <c r="E29" s="438" t="s">
        <v>78</v>
      </c>
      <c r="F29" s="439" t="s">
        <v>79</v>
      </c>
      <c r="G29" s="46"/>
      <c r="H29" s="438" t="s">
        <v>80</v>
      </c>
      <c r="I29" s="440" t="s">
        <v>80</v>
      </c>
      <c r="J29" s="440" t="s">
        <v>81</v>
      </c>
      <c r="K29" s="439" t="s">
        <v>81</v>
      </c>
      <c r="L29" s="46"/>
      <c r="M29" s="438" t="s">
        <v>78</v>
      </c>
      <c r="N29" s="440" t="s">
        <v>79</v>
      </c>
      <c r="O29" s="439" t="s">
        <v>82</v>
      </c>
      <c r="P29" s="46"/>
      <c r="Q29" s="438"/>
      <c r="R29" s="441"/>
      <c r="S29" s="28"/>
      <c r="U29" s="12"/>
      <c r="V29" s="12"/>
      <c r="W29" s="12"/>
      <c r="X29" s="12"/>
      <c r="Y29" s="12"/>
      <c r="Z29" s="24"/>
    </row>
    <row r="30" spans="1:26" ht="14.5" customHeight="1">
      <c r="B30" s="4"/>
      <c r="C30" s="5"/>
      <c r="E30" s="4"/>
      <c r="F30" s="5"/>
      <c r="H30" s="6" t="s">
        <v>83</v>
      </c>
      <c r="I30" s="7" t="s">
        <v>84</v>
      </c>
      <c r="J30" s="8" t="s">
        <v>83</v>
      </c>
      <c r="K30" s="5" t="s">
        <v>84</v>
      </c>
      <c r="M30" s="4"/>
      <c r="N30" s="8"/>
      <c r="O30" s="5"/>
      <c r="Q30" s="9"/>
      <c r="R30" s="10"/>
      <c r="S30" s="28"/>
      <c r="U30" s="16"/>
      <c r="V30" s="16"/>
      <c r="W30" s="16"/>
      <c r="X30" s="16"/>
      <c r="Y30" s="16"/>
      <c r="Z30" s="24"/>
    </row>
    <row r="31" spans="1:26">
      <c r="A31" s="45" t="s">
        <v>17</v>
      </c>
      <c r="B31" s="442">
        <f>'KH MWh Savings Pivot'!E46+'KH MWh Savings Pivot'!E65</f>
        <v>689155.81431518088</v>
      </c>
      <c r="C31" s="443"/>
      <c r="D31" s="51"/>
      <c r="E31" s="11">
        <f>B31/12</f>
        <v>57429.651192931742</v>
      </c>
      <c r="F31" s="444"/>
      <c r="H31" s="445">
        <f>I21</f>
        <v>1.4800000000000001E-2</v>
      </c>
      <c r="I31" s="446">
        <f>'KH 2011-2014 Rates'!F26</f>
        <v>1.49E-2</v>
      </c>
      <c r="J31" s="446"/>
      <c r="K31" s="447"/>
      <c r="M31" s="448">
        <f>((B31*H31)*(4/12))+((B31*I31)*(8/12))</f>
        <v>10245.449772819022</v>
      </c>
      <c r="N31" s="449"/>
      <c r="O31" s="450">
        <f>SUM(M31:N31)</f>
        <v>10245.449772819022</v>
      </c>
      <c r="Q31" s="9" t="s">
        <v>85</v>
      </c>
      <c r="R31" s="14">
        <v>1.47E-2</v>
      </c>
      <c r="S31" s="28"/>
      <c r="Z31" s="24"/>
    </row>
    <row r="32" spans="1:26">
      <c r="A32" s="45" t="s">
        <v>86</v>
      </c>
      <c r="B32" s="19">
        <f>'KH MWh Savings Pivot'!E47+'KH MWh Savings Pivot'!E66</f>
        <v>1272998.6707606784</v>
      </c>
      <c r="C32" s="20"/>
      <c r="D32" s="51"/>
      <c r="E32" s="11">
        <f>B32/12</f>
        <v>106083.22256338986</v>
      </c>
      <c r="F32" s="13"/>
      <c r="H32" s="21">
        <f>I22</f>
        <v>1.03E-2</v>
      </c>
      <c r="I32" s="22">
        <f>'KH 2011-2014 Rates'!F27</f>
        <v>1.04E-2</v>
      </c>
      <c r="J32" s="22"/>
      <c r="K32" s="23"/>
      <c r="M32" s="15">
        <f>((B32*H32)*(4/12))+((B32*I32)*(8/12))</f>
        <v>13196.752886885697</v>
      </c>
      <c r="N32" s="16"/>
      <c r="O32" s="17">
        <f>SUM(M32:N32)</f>
        <v>13196.752886885697</v>
      </c>
      <c r="Q32" s="9" t="s">
        <v>87</v>
      </c>
      <c r="R32" s="14">
        <v>1.47E-2</v>
      </c>
      <c r="S32" s="28"/>
      <c r="Z32" s="24"/>
    </row>
    <row r="33" spans="1:26">
      <c r="A33" s="45" t="s">
        <v>88</v>
      </c>
      <c r="B33" s="19"/>
      <c r="C33" s="20">
        <f>'KH MW Savings Pivot'!C16+'KH MW Savings Pivot'!C34</f>
        <v>386.49297003767447</v>
      </c>
      <c r="D33" s="51"/>
      <c r="E33" s="11"/>
      <c r="F33" s="13">
        <f>C33</f>
        <v>386.49297003767447</v>
      </c>
      <c r="H33" s="21"/>
      <c r="I33" s="22"/>
      <c r="J33" s="22">
        <f>K23</f>
        <v>1.927</v>
      </c>
      <c r="K33" s="23">
        <f>'KH 2011-2014 Rates'!F28</f>
        <v>1.944</v>
      </c>
      <c r="M33" s="15"/>
      <c r="N33" s="16">
        <f>F33*K33*5</f>
        <v>3756.7116687661955</v>
      </c>
      <c r="O33" s="17">
        <f>SUM(M33:N33)</f>
        <v>3756.7116687661955</v>
      </c>
      <c r="Q33" s="9" t="s">
        <v>89</v>
      </c>
      <c r="R33" s="14">
        <v>1.47E-2</v>
      </c>
      <c r="S33" s="28"/>
      <c r="Z33" s="24"/>
    </row>
    <row r="34" spans="1:26">
      <c r="A34" s="45" t="s">
        <v>57</v>
      </c>
      <c r="B34" s="19"/>
      <c r="C34" s="20">
        <f>'KH MW Savings Pivot'!C17+'KH MW Savings Pivot'!C35</f>
        <v>373.02885743320581</v>
      </c>
      <c r="D34" s="51"/>
      <c r="E34" s="11"/>
      <c r="F34" s="13">
        <f>C34</f>
        <v>373.02885743320581</v>
      </c>
      <c r="H34" s="21"/>
      <c r="I34" s="22"/>
      <c r="J34" s="22">
        <f t="shared" ref="J34:J35" si="0">K24</f>
        <v>1.0118</v>
      </c>
      <c r="K34" s="23">
        <f>'KH 2011-2014 Rates'!F29</f>
        <v>1.0206999999999999</v>
      </c>
      <c r="M34" s="15"/>
      <c r="N34" s="16">
        <f>F34*K34*5</f>
        <v>1903.7527739103657</v>
      </c>
      <c r="O34" s="17">
        <f>SUM(M34:N34)</f>
        <v>1903.7527739103657</v>
      </c>
      <c r="Q34" s="9" t="s">
        <v>90</v>
      </c>
      <c r="R34" s="14">
        <v>1.47E-2</v>
      </c>
      <c r="S34" s="28"/>
      <c r="Z34" s="24"/>
    </row>
    <row r="35" spans="1:26">
      <c r="A35" s="45" t="s">
        <v>496</v>
      </c>
      <c r="B35" s="19"/>
      <c r="C35" s="20">
        <f>'KH MW Savings Pivot'!C36</f>
        <v>3.0331011986301371</v>
      </c>
      <c r="D35" s="51"/>
      <c r="E35" s="11"/>
      <c r="F35" s="13">
        <f>C35</f>
        <v>3.0331011986301371</v>
      </c>
      <c r="H35" s="21"/>
      <c r="I35" s="22"/>
      <c r="J35" s="22">
        <f t="shared" si="0"/>
        <v>4.4901</v>
      </c>
      <c r="K35" s="23">
        <f>'KH 2011-2014 Rates'!F30</f>
        <v>4.5296000000000003</v>
      </c>
      <c r="M35" s="15"/>
      <c r="N35" s="16">
        <f>C35*J35*12</f>
        <v>163.42713230363015</v>
      </c>
      <c r="O35" s="17">
        <f>C35*K35*12</f>
        <v>164.86482227178084</v>
      </c>
      <c r="Q35" s="9"/>
      <c r="R35" s="14"/>
      <c r="S35" s="28"/>
      <c r="Z35" s="24"/>
    </row>
    <row r="36" spans="1:26" ht="14.5" customHeight="1">
      <c r="A36" s="451" t="s">
        <v>82</v>
      </c>
      <c r="B36" s="442">
        <f>SUM(B31:B35)</f>
        <v>1962154.4850758594</v>
      </c>
      <c r="C36" s="443">
        <f>SUM(C31:C35)</f>
        <v>762.55492866951033</v>
      </c>
      <c r="D36" s="452"/>
      <c r="E36" s="453">
        <f>SUM(E31:E35)</f>
        <v>163512.87375632161</v>
      </c>
      <c r="F36" s="444">
        <f>SUM(F31:F35)</f>
        <v>762.55492866951033</v>
      </c>
      <c r="G36" s="444"/>
      <c r="H36" s="445"/>
      <c r="I36" s="446"/>
      <c r="J36" s="446"/>
      <c r="K36" s="447"/>
      <c r="L36" s="451"/>
      <c r="M36" s="448">
        <f>SUM(M31:M35)</f>
        <v>23442.202659704719</v>
      </c>
      <c r="N36" s="449">
        <f>SUM(N31:N35)</f>
        <v>5823.8915749801909</v>
      </c>
      <c r="O36" s="450">
        <f>SUM(O31:O35)</f>
        <v>29267.53192465306</v>
      </c>
      <c r="P36" s="451"/>
      <c r="Q36" s="454"/>
      <c r="R36" s="455"/>
      <c r="Z36" s="24"/>
    </row>
    <row r="37" spans="1:26">
      <c r="Z37" s="24"/>
    </row>
    <row r="38" spans="1:26">
      <c r="A38" s="46">
        <v>2013</v>
      </c>
      <c r="B38" s="851" t="s">
        <v>72</v>
      </c>
      <c r="C38" s="853"/>
      <c r="D38" s="46"/>
      <c r="E38" s="851" t="s">
        <v>73</v>
      </c>
      <c r="F38" s="853"/>
      <c r="G38" s="46"/>
      <c r="H38" s="851" t="s">
        <v>74</v>
      </c>
      <c r="I38" s="852"/>
      <c r="J38" s="852"/>
      <c r="K38" s="853"/>
      <c r="L38" s="46"/>
      <c r="M38" s="851" t="s">
        <v>75</v>
      </c>
      <c r="N38" s="852"/>
      <c r="O38" s="853"/>
      <c r="P38" s="46"/>
      <c r="Q38" s="851" t="s">
        <v>76</v>
      </c>
      <c r="R38" s="853"/>
      <c r="Z38" s="24"/>
    </row>
    <row r="39" spans="1:26">
      <c r="A39" s="46" t="s">
        <v>77</v>
      </c>
      <c r="B39" s="438" t="s">
        <v>78</v>
      </c>
      <c r="C39" s="439" t="s">
        <v>79</v>
      </c>
      <c r="D39" s="46"/>
      <c r="E39" s="438" t="s">
        <v>78</v>
      </c>
      <c r="F39" s="439" t="s">
        <v>79</v>
      </c>
      <c r="G39" s="46"/>
      <c r="H39" s="438" t="s">
        <v>80</v>
      </c>
      <c r="I39" s="440" t="s">
        <v>80</v>
      </c>
      <c r="J39" s="440" t="s">
        <v>81</v>
      </c>
      <c r="K39" s="439" t="s">
        <v>81</v>
      </c>
      <c r="L39" s="46"/>
      <c r="M39" s="438" t="s">
        <v>78</v>
      </c>
      <c r="N39" s="440" t="s">
        <v>79</v>
      </c>
      <c r="O39" s="439" t="s">
        <v>82</v>
      </c>
      <c r="P39" s="46"/>
      <c r="Q39" s="438"/>
      <c r="R39" s="441"/>
      <c r="Z39" s="24"/>
    </row>
    <row r="40" spans="1:26">
      <c r="B40" s="4"/>
      <c r="C40" s="5"/>
      <c r="E40" s="4"/>
      <c r="F40" s="5"/>
      <c r="H40" s="6" t="s">
        <v>83</v>
      </c>
      <c r="I40" s="7" t="s">
        <v>84</v>
      </c>
      <c r="J40" s="8" t="s">
        <v>83</v>
      </c>
      <c r="K40" s="5" t="s">
        <v>84</v>
      </c>
      <c r="M40" s="4"/>
      <c r="N40" s="8"/>
      <c r="O40" s="5"/>
      <c r="Q40" s="9"/>
      <c r="R40" s="10"/>
      <c r="Z40" s="24"/>
    </row>
    <row r="41" spans="1:26">
      <c r="A41" s="45" t="s">
        <v>17</v>
      </c>
      <c r="B41" s="442">
        <f>'KH MWh Savings Pivot'!F46+'KH MWh Savings Pivot'!F65+'KH MWh Savings Pivot'!F85</f>
        <v>1108276.7691336984</v>
      </c>
      <c r="C41" s="443"/>
      <c r="D41" s="51"/>
      <c r="E41" s="11">
        <f>B41/12</f>
        <v>92356.397427808202</v>
      </c>
      <c r="F41" s="444"/>
      <c r="H41" s="445">
        <f>I31</f>
        <v>1.49E-2</v>
      </c>
      <c r="I41" s="446">
        <f>'KH 2011-2014 Rates'!F36</f>
        <v>1.4999999999999999E-2</v>
      </c>
      <c r="J41" s="446"/>
      <c r="K41" s="447"/>
      <c r="M41" s="448">
        <f>((B41*H41)*(4/12))+((B41*I41)*(8/12))</f>
        <v>16587.208978034352</v>
      </c>
      <c r="N41" s="449"/>
      <c r="O41" s="450">
        <f>SUM(M41:N41)</f>
        <v>16587.208978034352</v>
      </c>
      <c r="Q41" s="9" t="s">
        <v>85</v>
      </c>
      <c r="R41" s="14">
        <v>1.47E-2</v>
      </c>
      <c r="U41" s="24"/>
      <c r="V41" s="24"/>
      <c r="W41" s="24"/>
      <c r="X41" s="24"/>
      <c r="Y41" s="24"/>
      <c r="Z41" s="24"/>
    </row>
    <row r="42" spans="1:26">
      <c r="A42" s="45" t="s">
        <v>86</v>
      </c>
      <c r="B42" s="19">
        <f>'KH MWh Savings Pivot'!F47+'KH MWh Savings Pivot'!F66+'KH MWh Savings Pivot'!F86</f>
        <v>2096870.0240154532</v>
      </c>
      <c r="C42" s="20"/>
      <c r="D42" s="51"/>
      <c r="E42" s="11">
        <f>B42/12</f>
        <v>174739.16866795442</v>
      </c>
      <c r="F42" s="13"/>
      <c r="H42" s="21">
        <f>I32</f>
        <v>1.04E-2</v>
      </c>
      <c r="I42" s="22">
        <f>'KH 2011-2014 Rates'!F37</f>
        <v>1.04E-2</v>
      </c>
      <c r="J42" s="22"/>
      <c r="K42" s="23"/>
      <c r="M42" s="15">
        <f>((B42*H42)*(4/12))+((B42*I42)*(8/12))</f>
        <v>21807.448249760713</v>
      </c>
      <c r="N42" s="16"/>
      <c r="O42" s="17">
        <f>SUM(M42:N42)</f>
        <v>21807.448249760713</v>
      </c>
      <c r="Q42" s="9" t="s">
        <v>87</v>
      </c>
      <c r="R42" s="14">
        <v>1.47E-2</v>
      </c>
    </row>
    <row r="43" spans="1:26">
      <c r="A43" s="45" t="s">
        <v>88</v>
      </c>
      <c r="B43" s="19"/>
      <c r="C43" s="20">
        <f>'KH MW Savings Pivot'!D16+'KH MW Savings Pivot'!D34+'KH MW Savings Pivot'!D52</f>
        <v>724.53763289479116</v>
      </c>
      <c r="D43" s="51"/>
      <c r="E43" s="11"/>
      <c r="F43" s="13">
        <f>C43</f>
        <v>724.53763289479116</v>
      </c>
      <c r="H43" s="21"/>
      <c r="I43" s="22"/>
      <c r="J43" s="22">
        <f>K33</f>
        <v>1.944</v>
      </c>
      <c r="K43" s="23">
        <f>'KH 2011-2014 Rates'!F38</f>
        <v>1.9533</v>
      </c>
      <c r="M43" s="15"/>
      <c r="N43" s="16">
        <f>F43*K43*5</f>
        <v>7076.1967916669782</v>
      </c>
      <c r="O43" s="17">
        <f>SUM(M43:N43)</f>
        <v>7076.1967916669782</v>
      </c>
      <c r="Q43" s="9" t="s">
        <v>89</v>
      </c>
      <c r="R43" s="14">
        <v>1.47E-2</v>
      </c>
    </row>
    <row r="44" spans="1:26">
      <c r="A44" s="45" t="s">
        <v>57</v>
      </c>
      <c r="B44" s="19"/>
      <c r="C44" s="20">
        <f>'KH MW Savings Pivot'!D17+'KH MW Savings Pivot'!D35+'KH MW Savings Pivot'!D53</f>
        <v>465.06497183226855</v>
      </c>
      <c r="D44" s="51"/>
      <c r="E44" s="11"/>
      <c r="F44" s="13">
        <f>C44</f>
        <v>465.06497183226855</v>
      </c>
      <c r="H44" s="21"/>
      <c r="I44" s="22"/>
      <c r="J44" s="22">
        <f t="shared" ref="J44:J45" si="1">K34</f>
        <v>1.0206999999999999</v>
      </c>
      <c r="K44" s="23">
        <f>'KH 2011-2014 Rates'!F39</f>
        <v>1.0256000000000001</v>
      </c>
      <c r="M44" s="15"/>
      <c r="N44" s="16">
        <f>F44*K44*5</f>
        <v>2384.8531755558733</v>
      </c>
      <c r="O44" s="17">
        <f>SUM(M44:N44)</f>
        <v>2384.8531755558733</v>
      </c>
      <c r="Q44" s="9" t="s">
        <v>90</v>
      </c>
      <c r="R44" s="14">
        <v>1.47E-2</v>
      </c>
    </row>
    <row r="45" spans="1:26">
      <c r="A45" s="45" t="s">
        <v>496</v>
      </c>
      <c r="B45" s="19"/>
      <c r="C45" s="20">
        <f>'KH MW Savings Pivot'!D36+'KH MW Savings Pivot'!D54</f>
        <v>199.00290175799088</v>
      </c>
      <c r="D45" s="51"/>
      <c r="E45" s="11"/>
      <c r="F45" s="13"/>
      <c r="H45" s="21"/>
      <c r="I45" s="22"/>
      <c r="J45" s="22">
        <f t="shared" si="1"/>
        <v>4.5296000000000003</v>
      </c>
      <c r="K45" s="23">
        <f>'KH 2011-2014 Rates'!F40</f>
        <v>4.5513000000000003</v>
      </c>
      <c r="M45" s="15"/>
      <c r="N45" s="16">
        <f>C45*J45*12</f>
        <v>10816.842525635948</v>
      </c>
      <c r="O45" s="17">
        <f>C45*K45*12</f>
        <v>10868.662881253727</v>
      </c>
      <c r="Q45" s="9"/>
      <c r="R45" s="14"/>
    </row>
    <row r="46" spans="1:26">
      <c r="A46" s="451" t="s">
        <v>82</v>
      </c>
      <c r="B46" s="442">
        <f>SUM(B41:B45)</f>
        <v>3205146.7931491518</v>
      </c>
      <c r="C46" s="442">
        <f>SUM(C41:C45)</f>
        <v>1388.6055064850507</v>
      </c>
      <c r="D46" s="452"/>
      <c r="E46" s="453">
        <f>SUM(E41:E45)</f>
        <v>267095.56609576265</v>
      </c>
      <c r="F46" s="444">
        <f>SUM(F41:F45)</f>
        <v>1189.6026047270598</v>
      </c>
      <c r="G46" s="451"/>
      <c r="H46" s="445"/>
      <c r="I46" s="446"/>
      <c r="J46" s="446"/>
      <c r="K46" s="447"/>
      <c r="L46" s="451"/>
      <c r="M46" s="448">
        <f>SUM(M41:M45)</f>
        <v>38394.657227795062</v>
      </c>
      <c r="N46" s="449">
        <f>SUM(N41:N45)</f>
        <v>20277.892492858799</v>
      </c>
      <c r="O46" s="450">
        <f>SUM(O41:O45)</f>
        <v>58724.370076271647</v>
      </c>
      <c r="P46" s="451"/>
      <c r="Q46" s="454"/>
      <c r="R46" s="455"/>
    </row>
    <row r="47" spans="1:26">
      <c r="A47" s="24"/>
      <c r="B47" s="24"/>
      <c r="C47" s="24"/>
    </row>
    <row r="48" spans="1:26">
      <c r="A48" s="46">
        <v>2014</v>
      </c>
      <c r="B48" s="851" t="s">
        <v>72</v>
      </c>
      <c r="C48" s="853"/>
      <c r="D48" s="46"/>
      <c r="E48" s="851" t="s">
        <v>73</v>
      </c>
      <c r="F48" s="853"/>
      <c r="G48" s="46"/>
      <c r="H48" s="851" t="s">
        <v>74</v>
      </c>
      <c r="I48" s="852"/>
      <c r="J48" s="852"/>
      <c r="K48" s="853"/>
      <c r="L48" s="46"/>
      <c r="M48" s="851" t="s">
        <v>75</v>
      </c>
      <c r="N48" s="852"/>
      <c r="O48" s="853"/>
      <c r="P48" s="46"/>
      <c r="Q48" s="851" t="s">
        <v>76</v>
      </c>
      <c r="R48" s="853"/>
    </row>
    <row r="49" spans="1:18">
      <c r="A49" s="46" t="s">
        <v>77</v>
      </c>
      <c r="B49" s="438" t="s">
        <v>78</v>
      </c>
      <c r="C49" s="439" t="s">
        <v>79</v>
      </c>
      <c r="D49" s="46"/>
      <c r="E49" s="438" t="s">
        <v>78</v>
      </c>
      <c r="F49" s="439" t="s">
        <v>79</v>
      </c>
      <c r="G49" s="46"/>
      <c r="H49" s="438" t="s">
        <v>80</v>
      </c>
      <c r="I49" s="440" t="s">
        <v>80</v>
      </c>
      <c r="J49" s="440" t="s">
        <v>81</v>
      </c>
      <c r="K49" s="439" t="s">
        <v>81</v>
      </c>
      <c r="L49" s="46"/>
      <c r="M49" s="438" t="s">
        <v>78</v>
      </c>
      <c r="N49" s="440" t="s">
        <v>79</v>
      </c>
      <c r="O49" s="439" t="s">
        <v>82</v>
      </c>
      <c r="P49" s="46"/>
      <c r="Q49" s="438"/>
      <c r="R49" s="441"/>
    </row>
    <row r="50" spans="1:18">
      <c r="B50" s="4"/>
      <c r="C50" s="5"/>
      <c r="E50" s="4"/>
      <c r="F50" s="5"/>
      <c r="H50" s="6" t="s">
        <v>83</v>
      </c>
      <c r="I50" s="7" t="s">
        <v>84</v>
      </c>
      <c r="J50" s="8" t="s">
        <v>83</v>
      </c>
      <c r="K50" s="5" t="s">
        <v>84</v>
      </c>
      <c r="M50" s="4"/>
      <c r="N50" s="8"/>
      <c r="O50" s="5"/>
      <c r="Q50" s="9"/>
      <c r="R50" s="10"/>
    </row>
    <row r="51" spans="1:18">
      <c r="A51" s="45" t="s">
        <v>17</v>
      </c>
      <c r="B51" s="442">
        <f>'KH MWh Savings Pivot'!G46+'KH MWh Savings Pivot'!G65+'KH MWh Savings Pivot'!G85+'KH MWh Savings Pivot'!G104</f>
        <v>1844871.7707098071</v>
      </c>
      <c r="C51" s="443"/>
      <c r="D51" s="51"/>
      <c r="E51" s="11">
        <f>B51/12</f>
        <v>153739.31422581724</v>
      </c>
      <c r="F51" s="444"/>
      <c r="H51" s="445">
        <f>I41</f>
        <v>1.4999999999999999E-2</v>
      </c>
      <c r="I51" s="22">
        <f>'KH 2011-2014 Rates'!F46</f>
        <v>1.52E-2</v>
      </c>
      <c r="J51" s="446"/>
      <c r="K51" s="447"/>
      <c r="M51" s="448">
        <f>((B51*H51)*(4/12))+((B51*I51)*(8/12))</f>
        <v>27919.059463408412</v>
      </c>
      <c r="N51" s="449"/>
      <c r="O51" s="450">
        <f>SUM(M51:N51)</f>
        <v>27919.059463408412</v>
      </c>
      <c r="Q51" s="9" t="s">
        <v>85</v>
      </c>
      <c r="R51" s="14">
        <v>1.47E-2</v>
      </c>
    </row>
    <row r="52" spans="1:18">
      <c r="A52" s="45" t="s">
        <v>86</v>
      </c>
      <c r="B52" s="19">
        <f>'KH MWh Savings Pivot'!G47+'KH MWh Savings Pivot'!G66+'KH MWh Savings Pivot'!G86+'KH MWh Savings Pivot'!G105</f>
        <v>2660779.0872269855</v>
      </c>
      <c r="C52" s="20"/>
      <c r="D52" s="51"/>
      <c r="E52" s="11">
        <f>B52/12</f>
        <v>221731.59060224879</v>
      </c>
      <c r="F52" s="13"/>
      <c r="H52" s="21">
        <f>I42</f>
        <v>1.04E-2</v>
      </c>
      <c r="I52" s="22">
        <f>'KH 2011-2014 Rates'!F47</f>
        <v>1.0500000000000001E-2</v>
      </c>
      <c r="J52" s="22"/>
      <c r="K52" s="23"/>
      <c r="M52" s="15">
        <f>((B52*H52)*(4/12))+((B52*I52)*(8/12))</f>
        <v>27849.487779642448</v>
      </c>
      <c r="N52" s="16"/>
      <c r="O52" s="17">
        <f>SUM(M52:N52)</f>
        <v>27849.487779642448</v>
      </c>
      <c r="Q52" s="9" t="s">
        <v>87</v>
      </c>
      <c r="R52" s="14">
        <v>1.47E-2</v>
      </c>
    </row>
    <row r="53" spans="1:18">
      <c r="A53" s="45" t="s">
        <v>88</v>
      </c>
      <c r="B53" s="19"/>
      <c r="C53" s="20">
        <f>'KH MW Savings Pivot'!E16+'KH MW Savings Pivot'!E34+'KH MW Savings Pivot'!E52+'KH MW Savings Pivot'!E69</f>
        <v>979.91114634680821</v>
      </c>
      <c r="D53" s="51"/>
      <c r="E53" s="11"/>
      <c r="F53" s="13">
        <f>C53</f>
        <v>979.91114634680821</v>
      </c>
      <c r="H53" s="21"/>
      <c r="I53" s="22"/>
      <c r="J53" s="22">
        <f>K43</f>
        <v>1.9533</v>
      </c>
      <c r="K53" s="23">
        <f>'KH 2011-2014 Rates'!F48</f>
        <v>1.9805999999999999</v>
      </c>
      <c r="M53" s="15"/>
      <c r="N53" s="16">
        <f>F53*K53*5</f>
        <v>9704.0600822724409</v>
      </c>
      <c r="O53" s="17">
        <f>SUM(M53:N53)</f>
        <v>9704.0600822724409</v>
      </c>
      <c r="Q53" s="9" t="s">
        <v>89</v>
      </c>
      <c r="R53" s="14">
        <v>1.47E-2</v>
      </c>
    </row>
    <row r="54" spans="1:18">
      <c r="A54" s="45" t="s">
        <v>57</v>
      </c>
      <c r="B54" s="19"/>
      <c r="C54" s="20">
        <f>'KH MW Savings Pivot'!E17+'KH MW Savings Pivot'!E35+'KH MW Savings Pivot'!E53+'KH MW Savings Pivot'!E70</f>
        <v>470.10396231525084</v>
      </c>
      <c r="D54" s="51"/>
      <c r="E54" s="11"/>
      <c r="F54" s="13">
        <f>C54</f>
        <v>470.10396231525084</v>
      </c>
      <c r="H54" s="21"/>
      <c r="I54" s="22"/>
      <c r="J54" s="22">
        <f t="shared" ref="J54:J55" si="2">K44</f>
        <v>1.0256000000000001</v>
      </c>
      <c r="K54" s="23">
        <f>'KH 2011-2014 Rates'!F49</f>
        <v>1.04</v>
      </c>
      <c r="M54" s="15"/>
      <c r="N54" s="16">
        <f>F54*K54*5</f>
        <v>2444.5406040393045</v>
      </c>
      <c r="O54" s="17">
        <f>SUM(M54:N54)</f>
        <v>2444.5406040393045</v>
      </c>
      <c r="Q54" s="9" t="s">
        <v>90</v>
      </c>
      <c r="R54" s="14">
        <v>1.47E-2</v>
      </c>
    </row>
    <row r="55" spans="1:18">
      <c r="A55" s="45" t="s">
        <v>496</v>
      </c>
      <c r="B55" s="19"/>
      <c r="C55" s="20">
        <f>'KH MW Savings Pivot'!E36+'KH MW Savings Pivot'!E54+'KH MW Savings Pivot'!E71</f>
        <v>391.9396011187215</v>
      </c>
      <c r="D55" s="51"/>
      <c r="E55" s="11"/>
      <c r="F55" s="13"/>
      <c r="H55" s="21"/>
      <c r="I55" s="22"/>
      <c r="J55" s="22">
        <f t="shared" si="2"/>
        <v>4.5513000000000003</v>
      </c>
      <c r="K55" s="23">
        <f>'KH 2011-2014 Rates'!F50</f>
        <v>4.6150000000000002</v>
      </c>
      <c r="M55" s="15"/>
      <c r="N55" s="16">
        <f>C55*J55*12</f>
        <v>21406.016478859648</v>
      </c>
      <c r="O55" s="17">
        <f>C55*K55*12</f>
        <v>21705.615109954801</v>
      </c>
      <c r="Q55" s="9"/>
      <c r="R55" s="14"/>
    </row>
    <row r="56" spans="1:18">
      <c r="A56" s="451" t="s">
        <v>82</v>
      </c>
      <c r="B56" s="442">
        <f>SUM(B51:B55)</f>
        <v>4505650.8579367921</v>
      </c>
      <c r="C56" s="442">
        <f>SUM(C51:C55)</f>
        <v>1841.9547097807804</v>
      </c>
      <c r="D56" s="452"/>
      <c r="E56" s="453">
        <f>SUM(E51:E55)</f>
        <v>375470.90482806601</v>
      </c>
      <c r="F56" s="444">
        <f>SUM(F51:F55)</f>
        <v>1450.015108662059</v>
      </c>
      <c r="G56" s="451"/>
      <c r="H56" s="445"/>
      <c r="I56" s="446"/>
      <c r="J56" s="446"/>
      <c r="K56" s="447"/>
      <c r="L56" s="451"/>
      <c r="M56" s="448">
        <f>SUM(M51:M55)</f>
        <v>55768.54724305086</v>
      </c>
      <c r="N56" s="449">
        <f>SUM(N51:N55)</f>
        <v>33554.617165171396</v>
      </c>
      <c r="O56" s="450">
        <f>SUM(O51:O55)</f>
        <v>89622.763039317404</v>
      </c>
      <c r="P56" s="451"/>
      <c r="Q56" s="454"/>
      <c r="R56" s="455"/>
    </row>
    <row r="57" spans="1:18">
      <c r="B57" s="24"/>
      <c r="C57" s="24"/>
      <c r="D57" s="24"/>
    </row>
    <row r="58" spans="1:18">
      <c r="A58" s="646" t="s">
        <v>629</v>
      </c>
      <c r="B58" s="52"/>
      <c r="C58" s="52"/>
      <c r="D58" s="658">
        <f>O56+O46+O36+O26</f>
        <v>186093.3247557701</v>
      </c>
    </row>
    <row r="59" spans="1:18">
      <c r="A59" s="646" t="s">
        <v>630</v>
      </c>
      <c r="B59" s="52"/>
      <c r="C59" s="52"/>
      <c r="D59" s="658">
        <f>D58+'KH LRAMVA Account'!I9</f>
        <v>191661.83128945701</v>
      </c>
      <c r="N59" s="437"/>
      <c r="O59" s="437"/>
      <c r="P59" s="437"/>
      <c r="Q59" s="437"/>
      <c r="R59" s="437"/>
    </row>
    <row r="60" spans="1:18">
      <c r="N60" s="437"/>
      <c r="O60" s="437"/>
      <c r="P60" s="437"/>
      <c r="Q60" s="437"/>
      <c r="R60" s="437"/>
    </row>
    <row r="61" spans="1:18">
      <c r="N61" s="437"/>
      <c r="O61" s="437"/>
      <c r="P61" s="437"/>
      <c r="Q61" s="437"/>
      <c r="R61" s="437"/>
    </row>
    <row r="62" spans="1:18">
      <c r="N62" s="437"/>
      <c r="O62" s="437"/>
      <c r="P62" s="437"/>
      <c r="Q62" s="437"/>
      <c r="R62" s="437"/>
    </row>
  </sheetData>
  <mergeCells count="25">
    <mergeCell ref="B48:C48"/>
    <mergeCell ref="E48:F48"/>
    <mergeCell ref="H48:K48"/>
    <mergeCell ref="M48:O48"/>
    <mergeCell ref="Q48:R48"/>
    <mergeCell ref="B38:C38"/>
    <mergeCell ref="E38:F38"/>
    <mergeCell ref="H38:K38"/>
    <mergeCell ref="M38:O38"/>
    <mergeCell ref="Q38:R38"/>
    <mergeCell ref="N3:R15"/>
    <mergeCell ref="U27:Y27"/>
    <mergeCell ref="M28:O28"/>
    <mergeCell ref="Q28:R28"/>
    <mergeCell ref="A3:E6"/>
    <mergeCell ref="G3:L15"/>
    <mergeCell ref="A7:E15"/>
    <mergeCell ref="B28:C28"/>
    <mergeCell ref="E28:F28"/>
    <mergeCell ref="H28:K28"/>
    <mergeCell ref="B18:C18"/>
    <mergeCell ref="E18:F18"/>
    <mergeCell ref="H18:K18"/>
    <mergeCell ref="M18:O18"/>
    <mergeCell ref="Q18:R18"/>
  </mergeCells>
  <pageMargins left="0.7" right="0.7" top="0.75" bottom="0.75" header="0.3" footer="0.3"/>
  <pageSetup scale="42" orientation="portrait" r:id="rId1"/>
  <colBreaks count="1" manualBreakCount="1">
    <brk id="1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zoomScaleNormal="100" workbookViewId="0"/>
  </sheetViews>
  <sheetFormatPr defaultRowHeight="14.5"/>
  <cols>
    <col min="1" max="1" width="39.36328125" customWidth="1"/>
    <col min="2" max="2" width="6.54296875" bestFit="1" customWidth="1"/>
    <col min="3" max="5" width="7.54296875" bestFit="1" customWidth="1"/>
    <col min="6" max="6" width="13.26953125" bestFit="1" customWidth="1"/>
    <col min="7" max="7" width="7.26953125" bestFit="1" customWidth="1"/>
    <col min="8" max="8" width="9.7265625" customWidth="1"/>
    <col min="9" max="9" width="12.1796875" bestFit="1" customWidth="1"/>
    <col min="11" max="11" width="8.54296875" bestFit="1" customWidth="1"/>
  </cols>
  <sheetData>
    <row r="1" spans="1:11">
      <c r="A1" s="24" t="s">
        <v>638</v>
      </c>
      <c r="B1" s="24"/>
      <c r="C1" s="24"/>
      <c r="D1" s="24"/>
      <c r="E1" s="24"/>
      <c r="F1" s="45"/>
      <c r="G1" s="45"/>
      <c r="H1" s="45"/>
      <c r="I1" s="45"/>
      <c r="J1" s="45"/>
      <c r="K1" s="45"/>
    </row>
    <row r="2" spans="1:11">
      <c r="A2" s="24"/>
      <c r="B2" s="24"/>
      <c r="C2" s="24"/>
      <c r="D2" s="24"/>
      <c r="E2" s="24"/>
      <c r="F2" s="45"/>
      <c r="G2" s="45"/>
      <c r="H2" s="45"/>
      <c r="I2" s="45"/>
      <c r="J2" s="45"/>
      <c r="K2" s="45"/>
    </row>
    <row r="3" spans="1:11" ht="43.5">
      <c r="A3" s="679" t="s">
        <v>77</v>
      </c>
      <c r="B3" s="679">
        <v>2011</v>
      </c>
      <c r="C3" s="679">
        <v>2012</v>
      </c>
      <c r="D3" s="679">
        <v>2013</v>
      </c>
      <c r="E3" s="679">
        <v>2014</v>
      </c>
      <c r="F3" s="680" t="s">
        <v>639</v>
      </c>
      <c r="G3" s="681" t="s">
        <v>640</v>
      </c>
      <c r="H3" s="682" t="s">
        <v>641</v>
      </c>
      <c r="I3" s="683" t="s">
        <v>642</v>
      </c>
      <c r="J3" s="45"/>
      <c r="K3" s="45"/>
    </row>
    <row r="4" spans="1:11">
      <c r="A4" s="24" t="s">
        <v>17</v>
      </c>
      <c r="B4" s="684">
        <f>'2011-14 LRAMVA Summary'!O21</f>
        <v>3628.453061611805</v>
      </c>
      <c r="C4" s="684">
        <f>'2011-14 LRAMVA Summary'!O31</f>
        <v>10245.449772819022</v>
      </c>
      <c r="D4" s="684">
        <f>'2011-14 LRAMVA Summary'!O41</f>
        <v>16587.208978034352</v>
      </c>
      <c r="E4" s="684">
        <f>'2011-14 LRAMVA Summary'!O51</f>
        <v>27919.059463408412</v>
      </c>
      <c r="F4" s="685">
        <f>SUM(B4:E4)</f>
        <v>58380.171275873588</v>
      </c>
      <c r="G4" s="686">
        <f>'Carrying Charges 2014'!M22</f>
        <v>1140.6863587461762</v>
      </c>
      <c r="H4" s="687">
        <f>(F4*0.0147/365*90)+(F4*0.0101/365*275)</f>
        <v>655.85723922388945</v>
      </c>
      <c r="I4" s="688">
        <f>SUM(G4:H4)</f>
        <v>1796.5435979700655</v>
      </c>
      <c r="J4" s="45"/>
      <c r="K4" s="689"/>
    </row>
    <row r="5" spans="1:11">
      <c r="A5" s="24" t="s">
        <v>86</v>
      </c>
      <c r="B5" s="684">
        <f>'2011-14 LRAMVA Summary'!O22</f>
        <v>3359.5600412636568</v>
      </c>
      <c r="C5" s="684">
        <f>'2011-14 LRAMVA Summary'!O32</f>
        <v>13196.752886885697</v>
      </c>
      <c r="D5" s="684">
        <f>'2011-14 LRAMVA Summary'!O42</f>
        <v>21807.448249760713</v>
      </c>
      <c r="E5" s="684">
        <f>'2011-14 LRAMVA Summary'!O52</f>
        <v>27849.487779642448</v>
      </c>
      <c r="F5" s="685">
        <f t="shared" ref="F5:F8" si="0">SUM(B5:E5)</f>
        <v>66213.248957552511</v>
      </c>
      <c r="G5" s="686">
        <f>'Carrying Charges 2014'!M25</f>
        <v>1346.3155697938132</v>
      </c>
      <c r="H5" s="687">
        <f t="shared" ref="H5:H8" si="1">(F5*0.0147/365*90)+(F5*0.0101/365*275)</f>
        <v>743.85596534368233</v>
      </c>
      <c r="I5" s="688">
        <f t="shared" ref="I5:I8" si="2">SUM(G5:H5)</f>
        <v>2090.1715351374955</v>
      </c>
      <c r="J5" s="45"/>
      <c r="K5" s="689"/>
    </row>
    <row r="6" spans="1:11">
      <c r="A6" s="24" t="s">
        <v>88</v>
      </c>
      <c r="B6" s="684">
        <f>'2011-14 LRAMVA Summary'!O23</f>
        <v>778.71451631015952</v>
      </c>
      <c r="C6" s="684">
        <f>'2011-14 LRAMVA Summary'!O33</f>
        <v>3756.7116687661955</v>
      </c>
      <c r="D6" s="684">
        <f>'2011-14 LRAMVA Summary'!O43</f>
        <v>7076.1967916669782</v>
      </c>
      <c r="E6" s="684">
        <f>'2011-14 LRAMVA Summary'!O53</f>
        <v>9704.0600822724409</v>
      </c>
      <c r="F6" s="685">
        <f t="shared" si="0"/>
        <v>21315.683059015773</v>
      </c>
      <c r="G6" s="686">
        <f>'Carrying Charges 2014'!M28</f>
        <v>406.09437914597521</v>
      </c>
      <c r="H6" s="687">
        <f t="shared" si="1"/>
        <v>239.46563940683336</v>
      </c>
      <c r="I6" s="688">
        <f t="shared" si="2"/>
        <v>645.56001855280851</v>
      </c>
      <c r="J6" s="45"/>
      <c r="K6" s="689"/>
    </row>
    <row r="7" spans="1:11">
      <c r="A7" s="24" t="s">
        <v>57</v>
      </c>
      <c r="B7" s="684">
        <f>'2011-14 LRAMVA Summary'!O24</f>
        <v>711.93209634238144</v>
      </c>
      <c r="C7" s="684">
        <f>'2011-14 LRAMVA Summary'!O34</f>
        <v>1903.7527739103657</v>
      </c>
      <c r="D7" s="684">
        <f>'2011-14 LRAMVA Summary'!O44</f>
        <v>2384.8531755558733</v>
      </c>
      <c r="E7" s="684">
        <f>'2011-14 LRAMVA Summary'!O54</f>
        <v>2444.5406040393045</v>
      </c>
      <c r="F7" s="685">
        <f t="shared" si="0"/>
        <v>7445.0786498479247</v>
      </c>
      <c r="G7" s="686">
        <f>'Carrying Charges 2014'!M31</f>
        <v>177.56505684998481</v>
      </c>
      <c r="H7" s="687">
        <f t="shared" si="1"/>
        <v>83.639849325209354</v>
      </c>
      <c r="I7" s="688">
        <f t="shared" si="2"/>
        <v>261.2049061751942</v>
      </c>
      <c r="J7" s="45"/>
      <c r="K7" s="689"/>
    </row>
    <row r="8" spans="1:11">
      <c r="A8" s="24" t="s">
        <v>496</v>
      </c>
      <c r="B8" s="684">
        <f>'2011-14 LRAMVA Summary'!O25</f>
        <v>0</v>
      </c>
      <c r="C8" s="684">
        <f>'2011-14 LRAMVA Summary'!O35</f>
        <v>164.86482227178084</v>
      </c>
      <c r="D8" s="684">
        <f>'2011-14 LRAMVA Summary'!O45</f>
        <v>10868.662881253727</v>
      </c>
      <c r="E8" s="684">
        <f>'2011-14 LRAMVA Summary'!O55</f>
        <v>21705.615109954801</v>
      </c>
      <c r="F8" s="685">
        <f t="shared" si="0"/>
        <v>32739.142813480306</v>
      </c>
      <c r="G8" s="686">
        <f>'Carrying Charges 2014'!M34</f>
        <v>407.22687281936129</v>
      </c>
      <c r="H8" s="687">
        <f t="shared" si="1"/>
        <v>367.79960303198902</v>
      </c>
      <c r="I8" s="688">
        <f t="shared" si="2"/>
        <v>775.02647585135037</v>
      </c>
      <c r="J8" s="45"/>
      <c r="K8" s="689"/>
    </row>
    <row r="9" spans="1:11">
      <c r="A9" s="690" t="s">
        <v>82</v>
      </c>
      <c r="B9" s="691">
        <f>SUM(B4:B8)</f>
        <v>8478.6597155280033</v>
      </c>
      <c r="C9" s="691">
        <f t="shared" ref="C9:E9" si="3">SUM(C4:C8)</f>
        <v>29267.53192465306</v>
      </c>
      <c r="D9" s="691">
        <f t="shared" si="3"/>
        <v>58724.370076271647</v>
      </c>
      <c r="E9" s="691">
        <f t="shared" si="3"/>
        <v>89622.763039317404</v>
      </c>
      <c r="F9" s="692">
        <f>SUM(F4:F8)</f>
        <v>186093.3247557701</v>
      </c>
      <c r="G9" s="693">
        <f>SUM(G4:G8)</f>
        <v>3477.888237355311</v>
      </c>
      <c r="H9" s="693">
        <f>SUM(H4:H8)</f>
        <v>2090.6182963316032</v>
      </c>
      <c r="I9" s="692">
        <f>SUM(I4:I8)</f>
        <v>5568.5065336869138</v>
      </c>
      <c r="J9" s="45"/>
      <c r="K9" s="689"/>
    </row>
  </sheetData>
  <pageMargins left="0.7" right="0.7" top="0.75" bottom="0.75" header="0.3" footer="0.3"/>
  <pageSetup scale="8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zoomScale="70" zoomScaleNormal="70" workbookViewId="0">
      <selection activeCell="H38" sqref="H38:H39"/>
    </sheetView>
  </sheetViews>
  <sheetFormatPr defaultRowHeight="14.5"/>
  <cols>
    <col min="1" max="1" width="53" style="45" bestFit="1" customWidth="1"/>
    <col min="2" max="13" width="13.7265625" style="46" customWidth="1"/>
    <col min="14" max="14" width="4.54296875" style="46" customWidth="1"/>
    <col min="15" max="255" width="8.7265625" style="45"/>
    <col min="256" max="256" width="53" style="45" bestFit="1" customWidth="1"/>
    <col min="257" max="268" width="13.7265625" style="45" customWidth="1"/>
    <col min="269" max="269" width="4.54296875" style="45" customWidth="1"/>
    <col min="270" max="270" width="12.26953125" style="45" bestFit="1" customWidth="1"/>
    <col min="271" max="511" width="8.7265625" style="45"/>
    <col min="512" max="512" width="53" style="45" bestFit="1" customWidth="1"/>
    <col min="513" max="524" width="13.7265625" style="45" customWidth="1"/>
    <col min="525" max="525" width="4.54296875" style="45" customWidth="1"/>
    <col min="526" max="526" width="12.26953125" style="45" bestFit="1" customWidth="1"/>
    <col min="527" max="767" width="8.7265625" style="45"/>
    <col min="768" max="768" width="53" style="45" bestFit="1" customWidth="1"/>
    <col min="769" max="780" width="13.7265625" style="45" customWidth="1"/>
    <col min="781" max="781" width="4.54296875" style="45" customWidth="1"/>
    <col min="782" max="782" width="12.26953125" style="45" bestFit="1" customWidth="1"/>
    <col min="783" max="1023" width="8.7265625" style="45"/>
    <col min="1024" max="1024" width="53" style="45" bestFit="1" customWidth="1"/>
    <col min="1025" max="1036" width="13.7265625" style="45" customWidth="1"/>
    <col min="1037" max="1037" width="4.54296875" style="45" customWidth="1"/>
    <col min="1038" max="1038" width="12.26953125" style="45" bestFit="1" customWidth="1"/>
    <col min="1039" max="1279" width="8.7265625" style="45"/>
    <col min="1280" max="1280" width="53" style="45" bestFit="1" customWidth="1"/>
    <col min="1281" max="1292" width="13.7265625" style="45" customWidth="1"/>
    <col min="1293" max="1293" width="4.54296875" style="45" customWidth="1"/>
    <col min="1294" max="1294" width="12.26953125" style="45" bestFit="1" customWidth="1"/>
    <col min="1295" max="1535" width="8.7265625" style="45"/>
    <col min="1536" max="1536" width="53" style="45" bestFit="1" customWidth="1"/>
    <col min="1537" max="1548" width="13.7265625" style="45" customWidth="1"/>
    <col min="1549" max="1549" width="4.54296875" style="45" customWidth="1"/>
    <col min="1550" max="1550" width="12.26953125" style="45" bestFit="1" customWidth="1"/>
    <col min="1551" max="1791" width="8.7265625" style="45"/>
    <col min="1792" max="1792" width="53" style="45" bestFit="1" customWidth="1"/>
    <col min="1793" max="1804" width="13.7265625" style="45" customWidth="1"/>
    <col min="1805" max="1805" width="4.54296875" style="45" customWidth="1"/>
    <col min="1806" max="1806" width="12.26953125" style="45" bestFit="1" customWidth="1"/>
    <col min="1807" max="2047" width="8.7265625" style="45"/>
    <col min="2048" max="2048" width="53" style="45" bestFit="1" customWidth="1"/>
    <col min="2049" max="2060" width="13.7265625" style="45" customWidth="1"/>
    <col min="2061" max="2061" width="4.54296875" style="45" customWidth="1"/>
    <col min="2062" max="2062" width="12.26953125" style="45" bestFit="1" customWidth="1"/>
    <col min="2063" max="2303" width="8.7265625" style="45"/>
    <col min="2304" max="2304" width="53" style="45" bestFit="1" customWidth="1"/>
    <col min="2305" max="2316" width="13.7265625" style="45" customWidth="1"/>
    <col min="2317" max="2317" width="4.54296875" style="45" customWidth="1"/>
    <col min="2318" max="2318" width="12.26953125" style="45" bestFit="1" customWidth="1"/>
    <col min="2319" max="2559" width="8.7265625" style="45"/>
    <col min="2560" max="2560" width="53" style="45" bestFit="1" customWidth="1"/>
    <col min="2561" max="2572" width="13.7265625" style="45" customWidth="1"/>
    <col min="2573" max="2573" width="4.54296875" style="45" customWidth="1"/>
    <col min="2574" max="2574" width="12.26953125" style="45" bestFit="1" customWidth="1"/>
    <col min="2575" max="2815" width="8.7265625" style="45"/>
    <col min="2816" max="2816" width="53" style="45" bestFit="1" customWidth="1"/>
    <col min="2817" max="2828" width="13.7265625" style="45" customWidth="1"/>
    <col min="2829" max="2829" width="4.54296875" style="45" customWidth="1"/>
    <col min="2830" max="2830" width="12.26953125" style="45" bestFit="1" customWidth="1"/>
    <col min="2831" max="3071" width="8.7265625" style="45"/>
    <col min="3072" max="3072" width="53" style="45" bestFit="1" customWidth="1"/>
    <col min="3073" max="3084" width="13.7265625" style="45" customWidth="1"/>
    <col min="3085" max="3085" width="4.54296875" style="45" customWidth="1"/>
    <col min="3086" max="3086" width="12.26953125" style="45" bestFit="1" customWidth="1"/>
    <col min="3087" max="3327" width="8.7265625" style="45"/>
    <col min="3328" max="3328" width="53" style="45" bestFit="1" customWidth="1"/>
    <col min="3329" max="3340" width="13.7265625" style="45" customWidth="1"/>
    <col min="3341" max="3341" width="4.54296875" style="45" customWidth="1"/>
    <col min="3342" max="3342" width="12.26953125" style="45" bestFit="1" customWidth="1"/>
    <col min="3343" max="3583" width="8.7265625" style="45"/>
    <col min="3584" max="3584" width="53" style="45" bestFit="1" customWidth="1"/>
    <col min="3585" max="3596" width="13.7265625" style="45" customWidth="1"/>
    <col min="3597" max="3597" width="4.54296875" style="45" customWidth="1"/>
    <col min="3598" max="3598" width="12.26953125" style="45" bestFit="1" customWidth="1"/>
    <col min="3599" max="3839" width="8.7265625" style="45"/>
    <col min="3840" max="3840" width="53" style="45" bestFit="1" customWidth="1"/>
    <col min="3841" max="3852" width="13.7265625" style="45" customWidth="1"/>
    <col min="3853" max="3853" width="4.54296875" style="45" customWidth="1"/>
    <col min="3854" max="3854" width="12.26953125" style="45" bestFit="1" customWidth="1"/>
    <col min="3855" max="4095" width="8.7265625" style="45"/>
    <col min="4096" max="4096" width="53" style="45" bestFit="1" customWidth="1"/>
    <col min="4097" max="4108" width="13.7265625" style="45" customWidth="1"/>
    <col min="4109" max="4109" width="4.54296875" style="45" customWidth="1"/>
    <col min="4110" max="4110" width="12.26953125" style="45" bestFit="1" customWidth="1"/>
    <col min="4111" max="4351" width="8.7265625" style="45"/>
    <col min="4352" max="4352" width="53" style="45" bestFit="1" customWidth="1"/>
    <col min="4353" max="4364" width="13.7265625" style="45" customWidth="1"/>
    <col min="4365" max="4365" width="4.54296875" style="45" customWidth="1"/>
    <col min="4366" max="4366" width="12.26953125" style="45" bestFit="1" customWidth="1"/>
    <col min="4367" max="4607" width="8.7265625" style="45"/>
    <col min="4608" max="4608" width="53" style="45" bestFit="1" customWidth="1"/>
    <col min="4609" max="4620" width="13.7265625" style="45" customWidth="1"/>
    <col min="4621" max="4621" width="4.54296875" style="45" customWidth="1"/>
    <col min="4622" max="4622" width="12.26953125" style="45" bestFit="1" customWidth="1"/>
    <col min="4623" max="4863" width="8.7265625" style="45"/>
    <col min="4864" max="4864" width="53" style="45" bestFit="1" customWidth="1"/>
    <col min="4865" max="4876" width="13.7265625" style="45" customWidth="1"/>
    <col min="4877" max="4877" width="4.54296875" style="45" customWidth="1"/>
    <col min="4878" max="4878" width="12.26953125" style="45" bestFit="1" customWidth="1"/>
    <col min="4879" max="5119" width="8.7265625" style="45"/>
    <col min="5120" max="5120" width="53" style="45" bestFit="1" customWidth="1"/>
    <col min="5121" max="5132" width="13.7265625" style="45" customWidth="1"/>
    <col min="5133" max="5133" width="4.54296875" style="45" customWidth="1"/>
    <col min="5134" max="5134" width="12.26953125" style="45" bestFit="1" customWidth="1"/>
    <col min="5135" max="5375" width="8.7265625" style="45"/>
    <col min="5376" max="5376" width="53" style="45" bestFit="1" customWidth="1"/>
    <col min="5377" max="5388" width="13.7265625" style="45" customWidth="1"/>
    <col min="5389" max="5389" width="4.54296875" style="45" customWidth="1"/>
    <col min="5390" max="5390" width="12.26953125" style="45" bestFit="1" customWidth="1"/>
    <col min="5391" max="5631" width="8.7265625" style="45"/>
    <col min="5632" max="5632" width="53" style="45" bestFit="1" customWidth="1"/>
    <col min="5633" max="5644" width="13.7265625" style="45" customWidth="1"/>
    <col min="5645" max="5645" width="4.54296875" style="45" customWidth="1"/>
    <col min="5646" max="5646" width="12.26953125" style="45" bestFit="1" customWidth="1"/>
    <col min="5647" max="5887" width="8.7265625" style="45"/>
    <col min="5888" max="5888" width="53" style="45" bestFit="1" customWidth="1"/>
    <col min="5889" max="5900" width="13.7265625" style="45" customWidth="1"/>
    <col min="5901" max="5901" width="4.54296875" style="45" customWidth="1"/>
    <col min="5902" max="5902" width="12.26953125" style="45" bestFit="1" customWidth="1"/>
    <col min="5903" max="6143" width="8.7265625" style="45"/>
    <col min="6144" max="6144" width="53" style="45" bestFit="1" customWidth="1"/>
    <col min="6145" max="6156" width="13.7265625" style="45" customWidth="1"/>
    <col min="6157" max="6157" width="4.54296875" style="45" customWidth="1"/>
    <col min="6158" max="6158" width="12.26953125" style="45" bestFit="1" customWidth="1"/>
    <col min="6159" max="6399" width="8.7265625" style="45"/>
    <col min="6400" max="6400" width="53" style="45" bestFit="1" customWidth="1"/>
    <col min="6401" max="6412" width="13.7265625" style="45" customWidth="1"/>
    <col min="6413" max="6413" width="4.54296875" style="45" customWidth="1"/>
    <col min="6414" max="6414" width="12.26953125" style="45" bestFit="1" customWidth="1"/>
    <col min="6415" max="6655" width="8.7265625" style="45"/>
    <col min="6656" max="6656" width="53" style="45" bestFit="1" customWidth="1"/>
    <col min="6657" max="6668" width="13.7265625" style="45" customWidth="1"/>
    <col min="6669" max="6669" width="4.54296875" style="45" customWidth="1"/>
    <col min="6670" max="6670" width="12.26953125" style="45" bestFit="1" customWidth="1"/>
    <col min="6671" max="6911" width="8.7265625" style="45"/>
    <col min="6912" max="6912" width="53" style="45" bestFit="1" customWidth="1"/>
    <col min="6913" max="6924" width="13.7265625" style="45" customWidth="1"/>
    <col min="6925" max="6925" width="4.54296875" style="45" customWidth="1"/>
    <col min="6926" max="6926" width="12.26953125" style="45" bestFit="1" customWidth="1"/>
    <col min="6927" max="7167" width="8.7265625" style="45"/>
    <col min="7168" max="7168" width="53" style="45" bestFit="1" customWidth="1"/>
    <col min="7169" max="7180" width="13.7265625" style="45" customWidth="1"/>
    <col min="7181" max="7181" width="4.54296875" style="45" customWidth="1"/>
    <col min="7182" max="7182" width="12.26953125" style="45" bestFit="1" customWidth="1"/>
    <col min="7183" max="7423" width="8.7265625" style="45"/>
    <col min="7424" max="7424" width="53" style="45" bestFit="1" customWidth="1"/>
    <col min="7425" max="7436" width="13.7265625" style="45" customWidth="1"/>
    <col min="7437" max="7437" width="4.54296875" style="45" customWidth="1"/>
    <col min="7438" max="7438" width="12.26953125" style="45" bestFit="1" customWidth="1"/>
    <col min="7439" max="7679" width="8.7265625" style="45"/>
    <col min="7680" max="7680" width="53" style="45" bestFit="1" customWidth="1"/>
    <col min="7681" max="7692" width="13.7265625" style="45" customWidth="1"/>
    <col min="7693" max="7693" width="4.54296875" style="45" customWidth="1"/>
    <col min="7694" max="7694" width="12.26953125" style="45" bestFit="1" customWidth="1"/>
    <col min="7695" max="7935" width="8.7265625" style="45"/>
    <col min="7936" max="7936" width="53" style="45" bestFit="1" customWidth="1"/>
    <col min="7937" max="7948" width="13.7265625" style="45" customWidth="1"/>
    <col min="7949" max="7949" width="4.54296875" style="45" customWidth="1"/>
    <col min="7950" max="7950" width="12.26953125" style="45" bestFit="1" customWidth="1"/>
    <col min="7951" max="8191" width="8.7265625" style="45"/>
    <col min="8192" max="8192" width="53" style="45" bestFit="1" customWidth="1"/>
    <col min="8193" max="8204" width="13.7265625" style="45" customWidth="1"/>
    <col min="8205" max="8205" width="4.54296875" style="45" customWidth="1"/>
    <col min="8206" max="8206" width="12.26953125" style="45" bestFit="1" customWidth="1"/>
    <col min="8207" max="8447" width="8.7265625" style="45"/>
    <col min="8448" max="8448" width="53" style="45" bestFit="1" customWidth="1"/>
    <col min="8449" max="8460" width="13.7265625" style="45" customWidth="1"/>
    <col min="8461" max="8461" width="4.54296875" style="45" customWidth="1"/>
    <col min="8462" max="8462" width="12.26953125" style="45" bestFit="1" customWidth="1"/>
    <col min="8463" max="8703" width="8.7265625" style="45"/>
    <col min="8704" max="8704" width="53" style="45" bestFit="1" customWidth="1"/>
    <col min="8705" max="8716" width="13.7265625" style="45" customWidth="1"/>
    <col min="8717" max="8717" width="4.54296875" style="45" customWidth="1"/>
    <col min="8718" max="8718" width="12.26953125" style="45" bestFit="1" customWidth="1"/>
    <col min="8719" max="8959" width="8.7265625" style="45"/>
    <col min="8960" max="8960" width="53" style="45" bestFit="1" customWidth="1"/>
    <col min="8961" max="8972" width="13.7265625" style="45" customWidth="1"/>
    <col min="8973" max="8973" width="4.54296875" style="45" customWidth="1"/>
    <col min="8974" max="8974" width="12.26953125" style="45" bestFit="1" customWidth="1"/>
    <col min="8975" max="9215" width="8.7265625" style="45"/>
    <col min="9216" max="9216" width="53" style="45" bestFit="1" customWidth="1"/>
    <col min="9217" max="9228" width="13.7265625" style="45" customWidth="1"/>
    <col min="9229" max="9229" width="4.54296875" style="45" customWidth="1"/>
    <col min="9230" max="9230" width="12.26953125" style="45" bestFit="1" customWidth="1"/>
    <col min="9231" max="9471" width="8.7265625" style="45"/>
    <col min="9472" max="9472" width="53" style="45" bestFit="1" customWidth="1"/>
    <col min="9473" max="9484" width="13.7265625" style="45" customWidth="1"/>
    <col min="9485" max="9485" width="4.54296875" style="45" customWidth="1"/>
    <col min="9486" max="9486" width="12.26953125" style="45" bestFit="1" customWidth="1"/>
    <col min="9487" max="9727" width="8.7265625" style="45"/>
    <col min="9728" max="9728" width="53" style="45" bestFit="1" customWidth="1"/>
    <col min="9729" max="9740" width="13.7265625" style="45" customWidth="1"/>
    <col min="9741" max="9741" width="4.54296875" style="45" customWidth="1"/>
    <col min="9742" max="9742" width="12.26953125" style="45" bestFit="1" customWidth="1"/>
    <col min="9743" max="9983" width="8.7265625" style="45"/>
    <col min="9984" max="9984" width="53" style="45" bestFit="1" customWidth="1"/>
    <col min="9985" max="9996" width="13.7265625" style="45" customWidth="1"/>
    <col min="9997" max="9997" width="4.54296875" style="45" customWidth="1"/>
    <col min="9998" max="9998" width="12.26953125" style="45" bestFit="1" customWidth="1"/>
    <col min="9999" max="10239" width="8.7265625" style="45"/>
    <col min="10240" max="10240" width="53" style="45" bestFit="1" customWidth="1"/>
    <col min="10241" max="10252" width="13.7265625" style="45" customWidth="1"/>
    <col min="10253" max="10253" width="4.54296875" style="45" customWidth="1"/>
    <col min="10254" max="10254" width="12.26953125" style="45" bestFit="1" customWidth="1"/>
    <col min="10255" max="10495" width="8.7265625" style="45"/>
    <col min="10496" max="10496" width="53" style="45" bestFit="1" customWidth="1"/>
    <col min="10497" max="10508" width="13.7265625" style="45" customWidth="1"/>
    <col min="10509" max="10509" width="4.54296875" style="45" customWidth="1"/>
    <col min="10510" max="10510" width="12.26953125" style="45" bestFit="1" customWidth="1"/>
    <col min="10511" max="10751" width="8.7265625" style="45"/>
    <col min="10752" max="10752" width="53" style="45" bestFit="1" customWidth="1"/>
    <col min="10753" max="10764" width="13.7265625" style="45" customWidth="1"/>
    <col min="10765" max="10765" width="4.54296875" style="45" customWidth="1"/>
    <col min="10766" max="10766" width="12.26953125" style="45" bestFit="1" customWidth="1"/>
    <col min="10767" max="11007" width="8.7265625" style="45"/>
    <col min="11008" max="11008" width="53" style="45" bestFit="1" customWidth="1"/>
    <col min="11009" max="11020" width="13.7265625" style="45" customWidth="1"/>
    <col min="11021" max="11021" width="4.54296875" style="45" customWidth="1"/>
    <col min="11022" max="11022" width="12.26953125" style="45" bestFit="1" customWidth="1"/>
    <col min="11023" max="11263" width="8.7265625" style="45"/>
    <col min="11264" max="11264" width="53" style="45" bestFit="1" customWidth="1"/>
    <col min="11265" max="11276" width="13.7265625" style="45" customWidth="1"/>
    <col min="11277" max="11277" width="4.54296875" style="45" customWidth="1"/>
    <col min="11278" max="11278" width="12.26953125" style="45" bestFit="1" customWidth="1"/>
    <col min="11279" max="11519" width="8.7265625" style="45"/>
    <col min="11520" max="11520" width="53" style="45" bestFit="1" customWidth="1"/>
    <col min="11521" max="11532" width="13.7265625" style="45" customWidth="1"/>
    <col min="11533" max="11533" width="4.54296875" style="45" customWidth="1"/>
    <col min="11534" max="11534" width="12.26953125" style="45" bestFit="1" customWidth="1"/>
    <col min="11535" max="11775" width="8.7265625" style="45"/>
    <col min="11776" max="11776" width="53" style="45" bestFit="1" customWidth="1"/>
    <col min="11777" max="11788" width="13.7265625" style="45" customWidth="1"/>
    <col min="11789" max="11789" width="4.54296875" style="45" customWidth="1"/>
    <col min="11790" max="11790" width="12.26953125" style="45" bestFit="1" customWidth="1"/>
    <col min="11791" max="12031" width="8.7265625" style="45"/>
    <col min="12032" max="12032" width="53" style="45" bestFit="1" customWidth="1"/>
    <col min="12033" max="12044" width="13.7265625" style="45" customWidth="1"/>
    <col min="12045" max="12045" width="4.54296875" style="45" customWidth="1"/>
    <col min="12046" max="12046" width="12.26953125" style="45" bestFit="1" customWidth="1"/>
    <col min="12047" max="12287" width="8.7265625" style="45"/>
    <col min="12288" max="12288" width="53" style="45" bestFit="1" customWidth="1"/>
    <col min="12289" max="12300" width="13.7265625" style="45" customWidth="1"/>
    <col min="12301" max="12301" width="4.54296875" style="45" customWidth="1"/>
    <col min="12302" max="12302" width="12.26953125" style="45" bestFit="1" customWidth="1"/>
    <col min="12303" max="12543" width="8.7265625" style="45"/>
    <col min="12544" max="12544" width="53" style="45" bestFit="1" customWidth="1"/>
    <col min="12545" max="12556" width="13.7265625" style="45" customWidth="1"/>
    <col min="12557" max="12557" width="4.54296875" style="45" customWidth="1"/>
    <col min="12558" max="12558" width="12.26953125" style="45" bestFit="1" customWidth="1"/>
    <col min="12559" max="12799" width="8.7265625" style="45"/>
    <col min="12800" max="12800" width="53" style="45" bestFit="1" customWidth="1"/>
    <col min="12801" max="12812" width="13.7265625" style="45" customWidth="1"/>
    <col min="12813" max="12813" width="4.54296875" style="45" customWidth="1"/>
    <col min="12814" max="12814" width="12.26953125" style="45" bestFit="1" customWidth="1"/>
    <col min="12815" max="13055" width="8.7265625" style="45"/>
    <col min="13056" max="13056" width="53" style="45" bestFit="1" customWidth="1"/>
    <col min="13057" max="13068" width="13.7265625" style="45" customWidth="1"/>
    <col min="13069" max="13069" width="4.54296875" style="45" customWidth="1"/>
    <col min="13070" max="13070" width="12.26953125" style="45" bestFit="1" customWidth="1"/>
    <col min="13071" max="13311" width="8.7265625" style="45"/>
    <col min="13312" max="13312" width="53" style="45" bestFit="1" customWidth="1"/>
    <col min="13313" max="13324" width="13.7265625" style="45" customWidth="1"/>
    <col min="13325" max="13325" width="4.54296875" style="45" customWidth="1"/>
    <col min="13326" max="13326" width="12.26953125" style="45" bestFit="1" customWidth="1"/>
    <col min="13327" max="13567" width="8.7265625" style="45"/>
    <col min="13568" max="13568" width="53" style="45" bestFit="1" customWidth="1"/>
    <col min="13569" max="13580" width="13.7265625" style="45" customWidth="1"/>
    <col min="13581" max="13581" width="4.54296875" style="45" customWidth="1"/>
    <col min="13582" max="13582" width="12.26953125" style="45" bestFit="1" customWidth="1"/>
    <col min="13583" max="13823" width="8.7265625" style="45"/>
    <col min="13824" max="13824" width="53" style="45" bestFit="1" customWidth="1"/>
    <col min="13825" max="13836" width="13.7265625" style="45" customWidth="1"/>
    <col min="13837" max="13837" width="4.54296875" style="45" customWidth="1"/>
    <col min="13838" max="13838" width="12.26953125" style="45" bestFit="1" customWidth="1"/>
    <col min="13839" max="14079" width="8.7265625" style="45"/>
    <col min="14080" max="14080" width="53" style="45" bestFit="1" customWidth="1"/>
    <col min="14081" max="14092" width="13.7265625" style="45" customWidth="1"/>
    <col min="14093" max="14093" width="4.54296875" style="45" customWidth="1"/>
    <col min="14094" max="14094" width="12.26953125" style="45" bestFit="1" customWidth="1"/>
    <col min="14095" max="14335" width="8.7265625" style="45"/>
    <col min="14336" max="14336" width="53" style="45" bestFit="1" customWidth="1"/>
    <col min="14337" max="14348" width="13.7265625" style="45" customWidth="1"/>
    <col min="14349" max="14349" width="4.54296875" style="45" customWidth="1"/>
    <col min="14350" max="14350" width="12.26953125" style="45" bestFit="1" customWidth="1"/>
    <col min="14351" max="14591" width="8.7265625" style="45"/>
    <col min="14592" max="14592" width="53" style="45" bestFit="1" customWidth="1"/>
    <col min="14593" max="14604" width="13.7265625" style="45" customWidth="1"/>
    <col min="14605" max="14605" width="4.54296875" style="45" customWidth="1"/>
    <col min="14606" max="14606" width="12.26953125" style="45" bestFit="1" customWidth="1"/>
    <col min="14607" max="14847" width="8.7265625" style="45"/>
    <col min="14848" max="14848" width="53" style="45" bestFit="1" customWidth="1"/>
    <col min="14849" max="14860" width="13.7265625" style="45" customWidth="1"/>
    <col min="14861" max="14861" width="4.54296875" style="45" customWidth="1"/>
    <col min="14862" max="14862" width="12.26953125" style="45" bestFit="1" customWidth="1"/>
    <col min="14863" max="15103" width="8.7265625" style="45"/>
    <col min="15104" max="15104" width="53" style="45" bestFit="1" customWidth="1"/>
    <col min="15105" max="15116" width="13.7265625" style="45" customWidth="1"/>
    <col min="15117" max="15117" width="4.54296875" style="45" customWidth="1"/>
    <col min="15118" max="15118" width="12.26953125" style="45" bestFit="1" customWidth="1"/>
    <col min="15119" max="15359" width="8.7265625" style="45"/>
    <col min="15360" max="15360" width="53" style="45" bestFit="1" customWidth="1"/>
    <col min="15361" max="15372" width="13.7265625" style="45" customWidth="1"/>
    <col min="15373" max="15373" width="4.54296875" style="45" customWidth="1"/>
    <col min="15374" max="15374" width="12.26953125" style="45" bestFit="1" customWidth="1"/>
    <col min="15375" max="15615" width="8.7265625" style="45"/>
    <col min="15616" max="15616" width="53" style="45" bestFit="1" customWidth="1"/>
    <col min="15617" max="15628" width="13.7265625" style="45" customWidth="1"/>
    <col min="15629" max="15629" width="4.54296875" style="45" customWidth="1"/>
    <col min="15630" max="15630" width="12.26953125" style="45" bestFit="1" customWidth="1"/>
    <col min="15631" max="15871" width="8.7265625" style="45"/>
    <col min="15872" max="15872" width="53" style="45" bestFit="1" customWidth="1"/>
    <col min="15873" max="15884" width="13.7265625" style="45" customWidth="1"/>
    <col min="15885" max="15885" width="4.54296875" style="45" customWidth="1"/>
    <col min="15886" max="15886" width="12.26953125" style="45" bestFit="1" customWidth="1"/>
    <col min="15887" max="16127" width="8.7265625" style="45"/>
    <col min="16128" max="16128" width="53" style="45" bestFit="1" customWidth="1"/>
    <col min="16129" max="16140" width="13.7265625" style="45" customWidth="1"/>
    <col min="16141" max="16141" width="4.54296875" style="45" customWidth="1"/>
    <col min="16142" max="16142" width="12.26953125" style="45" bestFit="1" customWidth="1"/>
    <col min="16143" max="16384" width="8.7265625" style="45"/>
  </cols>
  <sheetData>
    <row r="1" spans="1:14" ht="18.5">
      <c r="A1" s="657">
        <v>2011</v>
      </c>
    </row>
    <row r="2" spans="1:14">
      <c r="A2" s="656" t="s">
        <v>626</v>
      </c>
      <c r="B2" s="655" t="s">
        <v>625</v>
      </c>
      <c r="C2" s="655" t="s">
        <v>624</v>
      </c>
      <c r="D2" s="655" t="s">
        <v>623</v>
      </c>
      <c r="E2" s="655" t="s">
        <v>622</v>
      </c>
      <c r="F2" s="655" t="s">
        <v>621</v>
      </c>
      <c r="G2" s="655" t="s">
        <v>620</v>
      </c>
      <c r="H2" s="655" t="s">
        <v>619</v>
      </c>
      <c r="I2" s="655" t="s">
        <v>618</v>
      </c>
      <c r="J2" s="655" t="s">
        <v>617</v>
      </c>
      <c r="K2" s="655" t="s">
        <v>616</v>
      </c>
      <c r="L2" s="655" t="s">
        <v>615</v>
      </c>
      <c r="M2" s="655" t="s">
        <v>614</v>
      </c>
    </row>
    <row r="3" spans="1:14">
      <c r="A3" s="45" t="s">
        <v>613</v>
      </c>
      <c r="B3" s="46">
        <v>31</v>
      </c>
      <c r="C3" s="46">
        <v>28</v>
      </c>
      <c r="D3" s="46">
        <v>31</v>
      </c>
      <c r="E3" s="46">
        <v>30</v>
      </c>
      <c r="F3" s="46">
        <v>31</v>
      </c>
      <c r="G3" s="46">
        <v>30</v>
      </c>
      <c r="H3" s="46">
        <v>31</v>
      </c>
      <c r="I3" s="46">
        <v>31</v>
      </c>
      <c r="J3" s="46">
        <v>30</v>
      </c>
      <c r="K3" s="46">
        <v>31</v>
      </c>
      <c r="L3" s="46">
        <v>30</v>
      </c>
      <c r="M3" s="46">
        <v>31</v>
      </c>
    </row>
    <row r="4" spans="1:14" ht="15.5">
      <c r="A4" s="45" t="s">
        <v>612</v>
      </c>
      <c r="B4" s="654">
        <v>1.47E-2</v>
      </c>
      <c r="C4" s="654">
        <v>1.47E-2</v>
      </c>
      <c r="D4" s="654">
        <v>1.47E-2</v>
      </c>
      <c r="E4" s="654">
        <v>1.47E-2</v>
      </c>
      <c r="F4" s="654">
        <v>1.47E-2</v>
      </c>
      <c r="G4" s="654">
        <v>1.47E-2</v>
      </c>
      <c r="H4" s="654">
        <v>1.47E-2</v>
      </c>
      <c r="I4" s="654">
        <v>1.47E-2</v>
      </c>
      <c r="J4" s="654">
        <v>1.47E-2</v>
      </c>
      <c r="K4" s="654">
        <v>1.47E-2</v>
      </c>
      <c r="L4" s="654">
        <v>1.47E-2</v>
      </c>
      <c r="M4" s="654">
        <v>1.47E-2</v>
      </c>
      <c r="N4" s="50"/>
    </row>
    <row r="5" spans="1:14">
      <c r="B5" s="649"/>
      <c r="C5" s="649"/>
      <c r="D5" s="649"/>
      <c r="E5" s="649"/>
      <c r="F5" s="649"/>
      <c r="G5" s="649"/>
      <c r="H5" s="649"/>
      <c r="I5" s="649"/>
      <c r="J5" s="649"/>
      <c r="K5" s="649"/>
      <c r="L5" s="649"/>
      <c r="M5" s="649"/>
      <c r="N5" s="649"/>
    </row>
    <row r="6" spans="1:14" ht="15.5">
      <c r="A6" s="653" t="s">
        <v>611</v>
      </c>
      <c r="B6" s="649"/>
      <c r="C6" s="649"/>
      <c r="D6" s="649"/>
      <c r="E6" s="649"/>
      <c r="F6" s="649"/>
      <c r="G6" s="649">
        <f>'[6]2011-14 LRAMVA Summary'!O26</f>
        <v>8478.6597155280033</v>
      </c>
      <c r="H6" s="649">
        <f t="shared" ref="H6:M6" si="0">G8</f>
        <v>8478.6597155280033</v>
      </c>
      <c r="I6" s="649">
        <f t="shared" si="0"/>
        <v>8478.6597155280033</v>
      </c>
      <c r="J6" s="649">
        <f t="shared" si="0"/>
        <v>8478.6597155280033</v>
      </c>
      <c r="K6" s="649">
        <f t="shared" si="0"/>
        <v>8478.6597155280033</v>
      </c>
      <c r="L6" s="649">
        <f t="shared" si="0"/>
        <v>8478.6597155280033</v>
      </c>
      <c r="M6" s="649">
        <f t="shared" si="0"/>
        <v>8478.6597155280033</v>
      </c>
      <c r="N6" s="649"/>
    </row>
    <row r="7" spans="1:14">
      <c r="B7" s="649"/>
      <c r="C7" s="649"/>
      <c r="D7" s="649"/>
      <c r="E7" s="649"/>
      <c r="F7" s="649"/>
      <c r="G7" s="649"/>
      <c r="H7" s="649"/>
      <c r="I7" s="649"/>
      <c r="J7" s="649"/>
      <c r="K7" s="649"/>
      <c r="L7" s="649"/>
      <c r="M7" s="649"/>
      <c r="N7" s="649"/>
    </row>
    <row r="8" spans="1:14" ht="16" thickBot="1">
      <c r="A8" s="652" t="s">
        <v>610</v>
      </c>
      <c r="B8" s="651">
        <f t="shared" ref="B8:M8" si="1">SUM(B6:B6)</f>
        <v>0</v>
      </c>
      <c r="C8" s="651">
        <f t="shared" si="1"/>
        <v>0</v>
      </c>
      <c r="D8" s="651">
        <f t="shared" si="1"/>
        <v>0</v>
      </c>
      <c r="E8" s="651">
        <f t="shared" si="1"/>
        <v>0</v>
      </c>
      <c r="F8" s="651">
        <f t="shared" si="1"/>
        <v>0</v>
      </c>
      <c r="G8" s="651">
        <f t="shared" si="1"/>
        <v>8478.6597155280033</v>
      </c>
      <c r="H8" s="651">
        <f t="shared" si="1"/>
        <v>8478.6597155280033</v>
      </c>
      <c r="I8" s="651">
        <f t="shared" si="1"/>
        <v>8478.6597155280033</v>
      </c>
      <c r="J8" s="651">
        <f t="shared" si="1"/>
        <v>8478.6597155280033</v>
      </c>
      <c r="K8" s="651">
        <f t="shared" si="1"/>
        <v>8478.6597155280033</v>
      </c>
      <c r="L8" s="651">
        <f t="shared" si="1"/>
        <v>8478.6597155280033</v>
      </c>
      <c r="M8" s="651">
        <f t="shared" si="1"/>
        <v>8478.6597155280033</v>
      </c>
      <c r="N8" s="650"/>
    </row>
    <row r="9" spans="1:14">
      <c r="B9" s="649"/>
      <c r="C9" s="649"/>
      <c r="D9" s="649"/>
      <c r="E9" s="649"/>
      <c r="F9" s="649"/>
      <c r="G9" s="649"/>
      <c r="H9" s="649"/>
      <c r="I9" s="649"/>
      <c r="J9" s="649"/>
      <c r="K9" s="649"/>
      <c r="L9" s="649"/>
      <c r="M9" s="649"/>
      <c r="N9" s="649"/>
    </row>
    <row r="10" spans="1:14">
      <c r="B10" s="649"/>
      <c r="C10" s="649"/>
      <c r="D10" s="649"/>
      <c r="E10" s="649"/>
      <c r="F10" s="649"/>
      <c r="G10" s="649"/>
      <c r="H10" s="649"/>
      <c r="I10" s="649"/>
      <c r="J10" s="649"/>
      <c r="K10" s="649"/>
      <c r="L10" s="649"/>
      <c r="M10" s="649"/>
      <c r="N10" s="649"/>
    </row>
    <row r="11" spans="1:14">
      <c r="A11" s="45" t="s">
        <v>609</v>
      </c>
      <c r="B11" s="649">
        <f>B6*B4/365*B3</f>
        <v>0</v>
      </c>
      <c r="C11" s="649">
        <f>C6*C4/365*C3</f>
        <v>0</v>
      </c>
      <c r="D11" s="649">
        <f>D6*D4/365*D3</f>
        <v>0</v>
      </c>
      <c r="E11" s="649">
        <f>E6*E4/365*E3</f>
        <v>0</v>
      </c>
      <c r="F11" s="649">
        <f>F6*F4/365*F3</f>
        <v>0</v>
      </c>
      <c r="G11" s="649">
        <f t="shared" ref="G11:M11" si="2">F8*G4/365*G3</f>
        <v>0</v>
      </c>
      <c r="H11" s="649">
        <f t="shared" si="2"/>
        <v>10.585548581824961</v>
      </c>
      <c r="I11" s="649">
        <f t="shared" si="2"/>
        <v>10.585548581824961</v>
      </c>
      <c r="J11" s="649">
        <f t="shared" si="2"/>
        <v>10.244079272733833</v>
      </c>
      <c r="K11" s="649">
        <f t="shared" si="2"/>
        <v>10.585548581824961</v>
      </c>
      <c r="L11" s="649">
        <f t="shared" si="2"/>
        <v>10.244079272733833</v>
      </c>
      <c r="M11" s="649">
        <f t="shared" si="2"/>
        <v>10.585548581824961</v>
      </c>
      <c r="N11" s="649"/>
    </row>
    <row r="12" spans="1:14">
      <c r="A12" s="45" t="s">
        <v>608</v>
      </c>
      <c r="B12" s="649"/>
      <c r="C12" s="649">
        <f t="shared" ref="C12:M12" si="3">B12+C11</f>
        <v>0</v>
      </c>
      <c r="D12" s="649">
        <f t="shared" si="3"/>
        <v>0</v>
      </c>
      <c r="E12" s="649">
        <f t="shared" si="3"/>
        <v>0</v>
      </c>
      <c r="F12" s="649">
        <f t="shared" si="3"/>
        <v>0</v>
      </c>
      <c r="G12" s="649">
        <f t="shared" si="3"/>
        <v>0</v>
      </c>
      <c r="H12" s="649">
        <f t="shared" si="3"/>
        <v>10.585548581824961</v>
      </c>
      <c r="I12" s="649">
        <f t="shared" si="3"/>
        <v>21.171097163649922</v>
      </c>
      <c r="J12" s="649">
        <f t="shared" si="3"/>
        <v>31.415176436383753</v>
      </c>
      <c r="K12" s="649">
        <f t="shared" si="3"/>
        <v>42.000725018208712</v>
      </c>
      <c r="L12" s="649">
        <f t="shared" si="3"/>
        <v>52.244804290942547</v>
      </c>
      <c r="M12" s="649">
        <f t="shared" si="3"/>
        <v>62.830352872767506</v>
      </c>
      <c r="N12" s="649"/>
    </row>
    <row r="13" spans="1:14">
      <c r="B13" s="50"/>
      <c r="C13" s="50"/>
      <c r="D13" s="50"/>
      <c r="E13" s="50"/>
      <c r="F13" s="50"/>
      <c r="G13" s="50"/>
      <c r="H13" s="50"/>
      <c r="I13" s="50"/>
      <c r="J13" s="50"/>
      <c r="K13" s="50"/>
      <c r="L13" s="50"/>
      <c r="M13" s="50"/>
      <c r="N13" s="50"/>
    </row>
    <row r="14" spans="1:14">
      <c r="B14" s="50"/>
      <c r="C14" s="50"/>
      <c r="D14" s="50"/>
      <c r="E14" s="50"/>
      <c r="F14" s="50"/>
      <c r="G14" s="50"/>
      <c r="H14" s="50"/>
      <c r="I14" s="50"/>
      <c r="J14" s="50"/>
      <c r="K14" s="50"/>
      <c r="L14" s="50"/>
      <c r="M14" s="50"/>
      <c r="N14" s="50"/>
    </row>
    <row r="15" spans="1:14">
      <c r="A15" s="52" t="s">
        <v>17</v>
      </c>
      <c r="B15" s="662"/>
      <c r="C15" s="663"/>
      <c r="D15" s="663"/>
      <c r="E15" s="663"/>
      <c r="F15" s="663"/>
      <c r="G15" s="663">
        <f>'[7]2011-14 LRAMVA Summary'!O21</f>
        <v>3628.453061611805</v>
      </c>
      <c r="H15" s="663">
        <f t="shared" ref="H15:M15" si="4">G15</f>
        <v>3628.453061611805</v>
      </c>
      <c r="I15" s="663">
        <f t="shared" si="4"/>
        <v>3628.453061611805</v>
      </c>
      <c r="J15" s="663">
        <f t="shared" si="4"/>
        <v>3628.453061611805</v>
      </c>
      <c r="K15" s="663">
        <f t="shared" si="4"/>
        <v>3628.453061611805</v>
      </c>
      <c r="L15" s="663">
        <f t="shared" si="4"/>
        <v>3628.453061611805</v>
      </c>
      <c r="M15" s="663">
        <f t="shared" si="4"/>
        <v>3628.453061611805</v>
      </c>
      <c r="N15" s="50"/>
    </row>
    <row r="16" spans="1:14">
      <c r="A16" s="45" t="s">
        <v>609</v>
      </c>
      <c r="B16" s="649"/>
      <c r="C16" s="649"/>
      <c r="D16" s="649"/>
      <c r="E16" s="649"/>
      <c r="F16" s="649"/>
      <c r="G16" s="649"/>
      <c r="H16" s="672">
        <f>G15*H4/365*H3</f>
        <v>4.5300987950041085</v>
      </c>
      <c r="I16" s="672">
        <f t="shared" ref="I16:M16" si="5">H15*I4/365*I3</f>
        <v>4.5300987950041085</v>
      </c>
      <c r="J16" s="672">
        <f t="shared" si="5"/>
        <v>4.3839665758104278</v>
      </c>
      <c r="K16" s="672">
        <f t="shared" si="5"/>
        <v>4.5300987950041085</v>
      </c>
      <c r="L16" s="672">
        <f t="shared" si="5"/>
        <v>4.3839665758104278</v>
      </c>
      <c r="M16" s="672">
        <f t="shared" si="5"/>
        <v>4.5300987950041085</v>
      </c>
      <c r="N16" s="50"/>
    </row>
    <row r="17" spans="1:14">
      <c r="A17" s="45" t="s">
        <v>608</v>
      </c>
      <c r="B17" s="649"/>
      <c r="C17" s="665"/>
      <c r="D17" s="665"/>
      <c r="E17" s="665"/>
      <c r="F17" s="665"/>
      <c r="G17" s="665">
        <f t="shared" ref="G17:M17" si="6">F17+G16</f>
        <v>0</v>
      </c>
      <c r="H17" s="665">
        <f t="shared" si="6"/>
        <v>4.5300987950041085</v>
      </c>
      <c r="I17" s="665">
        <f t="shared" si="6"/>
        <v>9.060197590008217</v>
      </c>
      <c r="J17" s="665">
        <f t="shared" si="6"/>
        <v>13.444164165818645</v>
      </c>
      <c r="K17" s="665">
        <f t="shared" si="6"/>
        <v>17.974262960822752</v>
      </c>
      <c r="L17" s="665">
        <f t="shared" si="6"/>
        <v>22.358229536633182</v>
      </c>
      <c r="M17" s="665">
        <f t="shared" si="6"/>
        <v>26.88832833163729</v>
      </c>
      <c r="N17" s="50"/>
    </row>
    <row r="18" spans="1:14">
      <c r="A18" s="52" t="s">
        <v>86</v>
      </c>
      <c r="B18" s="662"/>
      <c r="C18" s="663"/>
      <c r="D18" s="663"/>
      <c r="E18" s="663"/>
      <c r="F18" s="663"/>
      <c r="G18" s="663">
        <f>'[7]2011-14 LRAMVA Summary'!O22</f>
        <v>3359.5600412636568</v>
      </c>
      <c r="H18" s="663">
        <f t="shared" ref="H18:M18" si="7">G18</f>
        <v>3359.5600412636568</v>
      </c>
      <c r="I18" s="663">
        <f t="shared" si="7"/>
        <v>3359.5600412636568</v>
      </c>
      <c r="J18" s="663">
        <f t="shared" si="7"/>
        <v>3359.5600412636568</v>
      </c>
      <c r="K18" s="663">
        <f t="shared" si="7"/>
        <v>3359.5600412636568</v>
      </c>
      <c r="L18" s="663">
        <f t="shared" si="7"/>
        <v>3359.5600412636568</v>
      </c>
      <c r="M18" s="663">
        <f t="shared" si="7"/>
        <v>3359.5600412636568</v>
      </c>
      <c r="N18" s="50"/>
    </row>
    <row r="19" spans="1:14">
      <c r="A19" s="45" t="s">
        <v>609</v>
      </c>
      <c r="B19" s="649"/>
      <c r="C19" s="649"/>
      <c r="D19" s="649"/>
      <c r="E19" s="649"/>
      <c r="F19" s="649"/>
      <c r="G19" s="649"/>
      <c r="H19" s="649">
        <f>G18*H4/365*H3</f>
        <v>4.1943877008324613</v>
      </c>
      <c r="I19" s="649">
        <f t="shared" ref="I19:M19" si="8">H18*I4/365*I3</f>
        <v>4.1943877008324613</v>
      </c>
      <c r="J19" s="649">
        <f t="shared" si="8"/>
        <v>4.059084871773349</v>
      </c>
      <c r="K19" s="649">
        <f t="shared" si="8"/>
        <v>4.1943877008324613</v>
      </c>
      <c r="L19" s="649">
        <f t="shared" si="8"/>
        <v>4.059084871773349</v>
      </c>
      <c r="M19" s="649">
        <f t="shared" si="8"/>
        <v>4.1943877008324613</v>
      </c>
      <c r="N19" s="50"/>
    </row>
    <row r="20" spans="1:14">
      <c r="A20" s="45" t="s">
        <v>608</v>
      </c>
      <c r="B20" s="664"/>
      <c r="C20" s="665"/>
      <c r="D20" s="665"/>
      <c r="E20" s="665"/>
      <c r="F20" s="665"/>
      <c r="G20" s="665"/>
      <c r="H20" s="665">
        <f t="shared" ref="H20:M20" si="9">G20+H19</f>
        <v>4.1943877008324613</v>
      </c>
      <c r="I20" s="665">
        <f t="shared" si="9"/>
        <v>8.3887754016649225</v>
      </c>
      <c r="J20" s="665">
        <f t="shared" si="9"/>
        <v>12.447860273438272</v>
      </c>
      <c r="K20" s="665">
        <f t="shared" si="9"/>
        <v>16.642247974270731</v>
      </c>
      <c r="L20" s="665">
        <f t="shared" si="9"/>
        <v>20.701332846044082</v>
      </c>
      <c r="M20" s="665">
        <f t="shared" si="9"/>
        <v>24.895720546876543</v>
      </c>
      <c r="N20" s="50"/>
    </row>
    <row r="21" spans="1:14">
      <c r="A21" s="52" t="s">
        <v>88</v>
      </c>
      <c r="B21" s="662"/>
      <c r="C21" s="663"/>
      <c r="D21" s="663"/>
      <c r="E21" s="663"/>
      <c r="F21" s="663"/>
      <c r="G21" s="663">
        <f>'[7]2011-14 LRAMVA Summary'!O23</f>
        <v>778.71451631015952</v>
      </c>
      <c r="H21" s="663">
        <f t="shared" ref="H21:M21" si="10">G21</f>
        <v>778.71451631015952</v>
      </c>
      <c r="I21" s="663">
        <f t="shared" si="10"/>
        <v>778.71451631015952</v>
      </c>
      <c r="J21" s="663">
        <f t="shared" si="10"/>
        <v>778.71451631015952</v>
      </c>
      <c r="K21" s="663">
        <f t="shared" si="10"/>
        <v>778.71451631015952</v>
      </c>
      <c r="L21" s="663">
        <f t="shared" si="10"/>
        <v>778.71451631015952</v>
      </c>
      <c r="M21" s="663">
        <f t="shared" si="10"/>
        <v>778.71451631015952</v>
      </c>
      <c r="N21" s="50"/>
    </row>
    <row r="22" spans="1:14">
      <c r="A22" s="45" t="s">
        <v>609</v>
      </c>
      <c r="B22" s="664"/>
      <c r="C22" s="649"/>
      <c r="D22" s="649"/>
      <c r="E22" s="649"/>
      <c r="F22" s="649"/>
      <c r="G22" s="649"/>
      <c r="H22" s="649">
        <f>G21*H4/365*H3</f>
        <v>0.9722197399521636</v>
      </c>
      <c r="I22" s="649">
        <f t="shared" ref="I22:M22" si="11">H21*I4/365*I3</f>
        <v>0.9722197399521636</v>
      </c>
      <c r="J22" s="649">
        <f t="shared" si="11"/>
        <v>0.94085781285693248</v>
      </c>
      <c r="K22" s="649">
        <f t="shared" si="11"/>
        <v>0.9722197399521636</v>
      </c>
      <c r="L22" s="649">
        <f t="shared" si="11"/>
        <v>0.94085781285693248</v>
      </c>
      <c r="M22" s="649">
        <f t="shared" si="11"/>
        <v>0.9722197399521636</v>
      </c>
      <c r="N22" s="50"/>
    </row>
    <row r="23" spans="1:14">
      <c r="A23" s="45" t="s">
        <v>608</v>
      </c>
      <c r="B23" s="664"/>
      <c r="C23" s="665"/>
      <c r="D23" s="665"/>
      <c r="E23" s="665"/>
      <c r="F23" s="665"/>
      <c r="G23" s="665"/>
      <c r="H23" s="665">
        <f t="shared" ref="H23:M23" si="12">G23+H22</f>
        <v>0.9722197399521636</v>
      </c>
      <c r="I23" s="665">
        <f t="shared" si="12"/>
        <v>1.9444394799043272</v>
      </c>
      <c r="J23" s="665">
        <f t="shared" si="12"/>
        <v>2.8852972927612597</v>
      </c>
      <c r="K23" s="665">
        <f t="shared" si="12"/>
        <v>3.8575170327134232</v>
      </c>
      <c r="L23" s="665">
        <f t="shared" si="12"/>
        <v>4.7983748455703559</v>
      </c>
      <c r="M23" s="665">
        <f t="shared" si="12"/>
        <v>5.7705945855225194</v>
      </c>
      <c r="N23" s="50"/>
    </row>
    <row r="24" spans="1:14">
      <c r="A24" s="52" t="s">
        <v>57</v>
      </c>
      <c r="B24" s="673"/>
      <c r="C24" s="673"/>
      <c r="D24" s="673"/>
      <c r="E24" s="673"/>
      <c r="F24" s="673"/>
      <c r="G24" s="673">
        <f>'[7]2011-14 LRAMVA Summary'!O24</f>
        <v>711.93209634238144</v>
      </c>
      <c r="H24" s="673">
        <f t="shared" ref="H24:M24" si="13">G24</f>
        <v>711.93209634238144</v>
      </c>
      <c r="I24" s="673">
        <f t="shared" si="13"/>
        <v>711.93209634238144</v>
      </c>
      <c r="J24" s="673">
        <f t="shared" si="13"/>
        <v>711.93209634238144</v>
      </c>
      <c r="K24" s="673">
        <f t="shared" si="13"/>
        <v>711.93209634238144</v>
      </c>
      <c r="L24" s="673">
        <f t="shared" si="13"/>
        <v>711.93209634238144</v>
      </c>
      <c r="M24" s="673">
        <f t="shared" si="13"/>
        <v>711.93209634238144</v>
      </c>
      <c r="N24" s="50"/>
    </row>
    <row r="25" spans="1:14">
      <c r="A25" s="45" t="s">
        <v>609</v>
      </c>
      <c r="B25" s="666"/>
      <c r="C25" s="649"/>
      <c r="D25" s="649"/>
      <c r="E25" s="649"/>
      <c r="F25" s="649"/>
      <c r="G25" s="649"/>
      <c r="H25" s="649">
        <f>G24*H4/365*H3</f>
        <v>0.88884234603622803</v>
      </c>
      <c r="I25" s="649">
        <f t="shared" ref="I25:L25" si="14">H24*I4/365*I3</f>
        <v>0.88884234603622803</v>
      </c>
      <c r="J25" s="649">
        <f t="shared" si="14"/>
        <v>0.86017001229312384</v>
      </c>
      <c r="K25" s="649">
        <f t="shared" si="14"/>
        <v>0.88884234603622803</v>
      </c>
      <c r="L25" s="649">
        <f t="shared" si="14"/>
        <v>0.86017001229312384</v>
      </c>
      <c r="M25" s="649">
        <f>L24*M4/365*M3</f>
        <v>0.88884234603622803</v>
      </c>
      <c r="N25" s="53"/>
    </row>
    <row r="26" spans="1:14">
      <c r="A26" s="45" t="s">
        <v>608</v>
      </c>
      <c r="B26" s="670"/>
      <c r="C26" s="671"/>
      <c r="D26" s="671"/>
      <c r="E26" s="671"/>
      <c r="F26" s="671"/>
      <c r="G26" s="671"/>
      <c r="H26" s="671">
        <f t="shared" ref="H26:M26" si="15">G26+H25</f>
        <v>0.88884234603622803</v>
      </c>
      <c r="I26" s="671">
        <f t="shared" si="15"/>
        <v>1.7776846920724561</v>
      </c>
      <c r="J26" s="671">
        <f t="shared" si="15"/>
        <v>2.63785470436558</v>
      </c>
      <c r="K26" s="671">
        <f t="shared" si="15"/>
        <v>3.526697050401808</v>
      </c>
      <c r="L26" s="671">
        <f t="shared" si="15"/>
        <v>4.3868670626949315</v>
      </c>
      <c r="M26" s="671">
        <f t="shared" si="15"/>
        <v>5.27570940873116</v>
      </c>
      <c r="N26" s="53"/>
    </row>
    <row r="27" spans="1:14">
      <c r="B27" s="670"/>
    </row>
    <row r="28" spans="1:14">
      <c r="B28" s="670"/>
    </row>
    <row r="29" spans="1:14">
      <c r="B29" s="671"/>
      <c r="L29" s="46" t="s">
        <v>635</v>
      </c>
      <c r="M29" s="671">
        <f>M17+M20+M23+M26-M12</f>
        <v>0</v>
      </c>
    </row>
  </sheetData>
  <pageMargins left="0.7" right="0.7" top="0.75" bottom="0.75" header="0.3" footer="0.3"/>
  <pageSetup scale="5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zoomScale="70" zoomScaleNormal="70" workbookViewId="0"/>
  </sheetViews>
  <sheetFormatPr defaultRowHeight="14.5"/>
  <cols>
    <col min="1" max="1" width="53" style="45" bestFit="1" customWidth="1"/>
    <col min="2" max="6" width="13.7265625" style="46" customWidth="1"/>
    <col min="7" max="13" width="14.54296875" style="46" bestFit="1" customWidth="1"/>
    <col min="14" max="14" width="4.54296875" style="46" customWidth="1"/>
    <col min="15" max="255" width="8.7265625" style="45"/>
    <col min="256" max="256" width="53" style="45" bestFit="1" customWidth="1"/>
    <col min="257" max="268" width="13.7265625" style="45" customWidth="1"/>
    <col min="269" max="269" width="4.54296875" style="45" customWidth="1"/>
    <col min="270" max="270" width="12.26953125" style="45" bestFit="1" customWidth="1"/>
    <col min="271" max="511" width="8.7265625" style="45"/>
    <col min="512" max="512" width="53" style="45" bestFit="1" customWidth="1"/>
    <col min="513" max="524" width="13.7265625" style="45" customWidth="1"/>
    <col min="525" max="525" width="4.54296875" style="45" customWidth="1"/>
    <col min="526" max="526" width="12.26953125" style="45" bestFit="1" customWidth="1"/>
    <col min="527" max="767" width="8.7265625" style="45"/>
    <col min="768" max="768" width="53" style="45" bestFit="1" customWidth="1"/>
    <col min="769" max="780" width="13.7265625" style="45" customWidth="1"/>
    <col min="781" max="781" width="4.54296875" style="45" customWidth="1"/>
    <col min="782" max="782" width="12.26953125" style="45" bestFit="1" customWidth="1"/>
    <col min="783" max="1023" width="8.7265625" style="45"/>
    <col min="1024" max="1024" width="53" style="45" bestFit="1" customWidth="1"/>
    <col min="1025" max="1036" width="13.7265625" style="45" customWidth="1"/>
    <col min="1037" max="1037" width="4.54296875" style="45" customWidth="1"/>
    <col min="1038" max="1038" width="12.26953125" style="45" bestFit="1" customWidth="1"/>
    <col min="1039" max="1279" width="8.7265625" style="45"/>
    <col min="1280" max="1280" width="53" style="45" bestFit="1" customWidth="1"/>
    <col min="1281" max="1292" width="13.7265625" style="45" customWidth="1"/>
    <col min="1293" max="1293" width="4.54296875" style="45" customWidth="1"/>
    <col min="1294" max="1294" width="12.26953125" style="45" bestFit="1" customWidth="1"/>
    <col min="1295" max="1535" width="8.7265625" style="45"/>
    <col min="1536" max="1536" width="53" style="45" bestFit="1" customWidth="1"/>
    <col min="1537" max="1548" width="13.7265625" style="45" customWidth="1"/>
    <col min="1549" max="1549" width="4.54296875" style="45" customWidth="1"/>
    <col min="1550" max="1550" width="12.26953125" style="45" bestFit="1" customWidth="1"/>
    <col min="1551" max="1791" width="8.7265625" style="45"/>
    <col min="1792" max="1792" width="53" style="45" bestFit="1" customWidth="1"/>
    <col min="1793" max="1804" width="13.7265625" style="45" customWidth="1"/>
    <col min="1805" max="1805" width="4.54296875" style="45" customWidth="1"/>
    <col min="1806" max="1806" width="12.26953125" style="45" bestFit="1" customWidth="1"/>
    <col min="1807" max="2047" width="8.7265625" style="45"/>
    <col min="2048" max="2048" width="53" style="45" bestFit="1" customWidth="1"/>
    <col min="2049" max="2060" width="13.7265625" style="45" customWidth="1"/>
    <col min="2061" max="2061" width="4.54296875" style="45" customWidth="1"/>
    <col min="2062" max="2062" width="12.26953125" style="45" bestFit="1" customWidth="1"/>
    <col min="2063" max="2303" width="8.7265625" style="45"/>
    <col min="2304" max="2304" width="53" style="45" bestFit="1" customWidth="1"/>
    <col min="2305" max="2316" width="13.7265625" style="45" customWidth="1"/>
    <col min="2317" max="2317" width="4.54296875" style="45" customWidth="1"/>
    <col min="2318" max="2318" width="12.26953125" style="45" bestFit="1" customWidth="1"/>
    <col min="2319" max="2559" width="8.7265625" style="45"/>
    <col min="2560" max="2560" width="53" style="45" bestFit="1" customWidth="1"/>
    <col min="2561" max="2572" width="13.7265625" style="45" customWidth="1"/>
    <col min="2573" max="2573" width="4.54296875" style="45" customWidth="1"/>
    <col min="2574" max="2574" width="12.26953125" style="45" bestFit="1" customWidth="1"/>
    <col min="2575" max="2815" width="8.7265625" style="45"/>
    <col min="2816" max="2816" width="53" style="45" bestFit="1" customWidth="1"/>
    <col min="2817" max="2828" width="13.7265625" style="45" customWidth="1"/>
    <col min="2829" max="2829" width="4.54296875" style="45" customWidth="1"/>
    <col min="2830" max="2830" width="12.26953125" style="45" bestFit="1" customWidth="1"/>
    <col min="2831" max="3071" width="8.7265625" style="45"/>
    <col min="3072" max="3072" width="53" style="45" bestFit="1" customWidth="1"/>
    <col min="3073" max="3084" width="13.7265625" style="45" customWidth="1"/>
    <col min="3085" max="3085" width="4.54296875" style="45" customWidth="1"/>
    <col min="3086" max="3086" width="12.26953125" style="45" bestFit="1" customWidth="1"/>
    <col min="3087" max="3327" width="8.7265625" style="45"/>
    <col min="3328" max="3328" width="53" style="45" bestFit="1" customWidth="1"/>
    <col min="3329" max="3340" width="13.7265625" style="45" customWidth="1"/>
    <col min="3341" max="3341" width="4.54296875" style="45" customWidth="1"/>
    <col min="3342" max="3342" width="12.26953125" style="45" bestFit="1" customWidth="1"/>
    <col min="3343" max="3583" width="8.7265625" style="45"/>
    <col min="3584" max="3584" width="53" style="45" bestFit="1" customWidth="1"/>
    <col min="3585" max="3596" width="13.7265625" style="45" customWidth="1"/>
    <col min="3597" max="3597" width="4.54296875" style="45" customWidth="1"/>
    <col min="3598" max="3598" width="12.26953125" style="45" bestFit="1" customWidth="1"/>
    <col min="3599" max="3839" width="8.7265625" style="45"/>
    <col min="3840" max="3840" width="53" style="45" bestFit="1" customWidth="1"/>
    <col min="3841" max="3852" width="13.7265625" style="45" customWidth="1"/>
    <col min="3853" max="3853" width="4.54296875" style="45" customWidth="1"/>
    <col min="3854" max="3854" width="12.26953125" style="45" bestFit="1" customWidth="1"/>
    <col min="3855" max="4095" width="8.7265625" style="45"/>
    <col min="4096" max="4096" width="53" style="45" bestFit="1" customWidth="1"/>
    <col min="4097" max="4108" width="13.7265625" style="45" customWidth="1"/>
    <col min="4109" max="4109" width="4.54296875" style="45" customWidth="1"/>
    <col min="4110" max="4110" width="12.26953125" style="45" bestFit="1" customWidth="1"/>
    <col min="4111" max="4351" width="8.7265625" style="45"/>
    <col min="4352" max="4352" width="53" style="45" bestFit="1" customWidth="1"/>
    <col min="4353" max="4364" width="13.7265625" style="45" customWidth="1"/>
    <col min="4365" max="4365" width="4.54296875" style="45" customWidth="1"/>
    <col min="4366" max="4366" width="12.26953125" style="45" bestFit="1" customWidth="1"/>
    <col min="4367" max="4607" width="8.7265625" style="45"/>
    <col min="4608" max="4608" width="53" style="45" bestFit="1" customWidth="1"/>
    <col min="4609" max="4620" width="13.7265625" style="45" customWidth="1"/>
    <col min="4621" max="4621" width="4.54296875" style="45" customWidth="1"/>
    <col min="4622" max="4622" width="12.26953125" style="45" bestFit="1" customWidth="1"/>
    <col min="4623" max="4863" width="8.7265625" style="45"/>
    <col min="4864" max="4864" width="53" style="45" bestFit="1" customWidth="1"/>
    <col min="4865" max="4876" width="13.7265625" style="45" customWidth="1"/>
    <col min="4877" max="4877" width="4.54296875" style="45" customWidth="1"/>
    <col min="4878" max="4878" width="12.26953125" style="45" bestFit="1" customWidth="1"/>
    <col min="4879" max="5119" width="8.7265625" style="45"/>
    <col min="5120" max="5120" width="53" style="45" bestFit="1" customWidth="1"/>
    <col min="5121" max="5132" width="13.7265625" style="45" customWidth="1"/>
    <col min="5133" max="5133" width="4.54296875" style="45" customWidth="1"/>
    <col min="5134" max="5134" width="12.26953125" style="45" bestFit="1" customWidth="1"/>
    <col min="5135" max="5375" width="8.7265625" style="45"/>
    <col min="5376" max="5376" width="53" style="45" bestFit="1" customWidth="1"/>
    <col min="5377" max="5388" width="13.7265625" style="45" customWidth="1"/>
    <col min="5389" max="5389" width="4.54296875" style="45" customWidth="1"/>
    <col min="5390" max="5390" width="12.26953125" style="45" bestFit="1" customWidth="1"/>
    <col min="5391" max="5631" width="8.7265625" style="45"/>
    <col min="5632" max="5632" width="53" style="45" bestFit="1" customWidth="1"/>
    <col min="5633" max="5644" width="13.7265625" style="45" customWidth="1"/>
    <col min="5645" max="5645" width="4.54296875" style="45" customWidth="1"/>
    <col min="5646" max="5646" width="12.26953125" style="45" bestFit="1" customWidth="1"/>
    <col min="5647" max="5887" width="8.7265625" style="45"/>
    <col min="5888" max="5888" width="53" style="45" bestFit="1" customWidth="1"/>
    <col min="5889" max="5900" width="13.7265625" style="45" customWidth="1"/>
    <col min="5901" max="5901" width="4.54296875" style="45" customWidth="1"/>
    <col min="5902" max="5902" width="12.26953125" style="45" bestFit="1" customWidth="1"/>
    <col min="5903" max="6143" width="8.7265625" style="45"/>
    <col min="6144" max="6144" width="53" style="45" bestFit="1" customWidth="1"/>
    <col min="6145" max="6156" width="13.7265625" style="45" customWidth="1"/>
    <col min="6157" max="6157" width="4.54296875" style="45" customWidth="1"/>
    <col min="6158" max="6158" width="12.26953125" style="45" bestFit="1" customWidth="1"/>
    <col min="6159" max="6399" width="8.7265625" style="45"/>
    <col min="6400" max="6400" width="53" style="45" bestFit="1" customWidth="1"/>
    <col min="6401" max="6412" width="13.7265625" style="45" customWidth="1"/>
    <col min="6413" max="6413" width="4.54296875" style="45" customWidth="1"/>
    <col min="6414" max="6414" width="12.26953125" style="45" bestFit="1" customWidth="1"/>
    <col min="6415" max="6655" width="8.7265625" style="45"/>
    <col min="6656" max="6656" width="53" style="45" bestFit="1" customWidth="1"/>
    <col min="6657" max="6668" width="13.7265625" style="45" customWidth="1"/>
    <col min="6669" max="6669" width="4.54296875" style="45" customWidth="1"/>
    <col min="6670" max="6670" width="12.26953125" style="45" bestFit="1" customWidth="1"/>
    <col min="6671" max="6911" width="8.7265625" style="45"/>
    <col min="6912" max="6912" width="53" style="45" bestFit="1" customWidth="1"/>
    <col min="6913" max="6924" width="13.7265625" style="45" customWidth="1"/>
    <col min="6925" max="6925" width="4.54296875" style="45" customWidth="1"/>
    <col min="6926" max="6926" width="12.26953125" style="45" bestFit="1" customWidth="1"/>
    <col min="6927" max="7167" width="8.7265625" style="45"/>
    <col min="7168" max="7168" width="53" style="45" bestFit="1" customWidth="1"/>
    <col min="7169" max="7180" width="13.7265625" style="45" customWidth="1"/>
    <col min="7181" max="7181" width="4.54296875" style="45" customWidth="1"/>
    <col min="7182" max="7182" width="12.26953125" style="45" bestFit="1" customWidth="1"/>
    <col min="7183" max="7423" width="8.7265625" style="45"/>
    <col min="7424" max="7424" width="53" style="45" bestFit="1" customWidth="1"/>
    <col min="7425" max="7436" width="13.7265625" style="45" customWidth="1"/>
    <col min="7437" max="7437" width="4.54296875" style="45" customWidth="1"/>
    <col min="7438" max="7438" width="12.26953125" style="45" bestFit="1" customWidth="1"/>
    <col min="7439" max="7679" width="8.7265625" style="45"/>
    <col min="7680" max="7680" width="53" style="45" bestFit="1" customWidth="1"/>
    <col min="7681" max="7692" width="13.7265625" style="45" customWidth="1"/>
    <col min="7693" max="7693" width="4.54296875" style="45" customWidth="1"/>
    <col min="7694" max="7694" width="12.26953125" style="45" bestFit="1" customWidth="1"/>
    <col min="7695" max="7935" width="8.7265625" style="45"/>
    <col min="7936" max="7936" width="53" style="45" bestFit="1" customWidth="1"/>
    <col min="7937" max="7948" width="13.7265625" style="45" customWidth="1"/>
    <col min="7949" max="7949" width="4.54296875" style="45" customWidth="1"/>
    <col min="7950" max="7950" width="12.26953125" style="45" bestFit="1" customWidth="1"/>
    <col min="7951" max="8191" width="8.7265625" style="45"/>
    <col min="8192" max="8192" width="53" style="45" bestFit="1" customWidth="1"/>
    <col min="8193" max="8204" width="13.7265625" style="45" customWidth="1"/>
    <col min="8205" max="8205" width="4.54296875" style="45" customWidth="1"/>
    <col min="8206" max="8206" width="12.26953125" style="45" bestFit="1" customWidth="1"/>
    <col min="8207" max="8447" width="8.7265625" style="45"/>
    <col min="8448" max="8448" width="53" style="45" bestFit="1" customWidth="1"/>
    <col min="8449" max="8460" width="13.7265625" style="45" customWidth="1"/>
    <col min="8461" max="8461" width="4.54296875" style="45" customWidth="1"/>
    <col min="8462" max="8462" width="12.26953125" style="45" bestFit="1" customWidth="1"/>
    <col min="8463" max="8703" width="8.7265625" style="45"/>
    <col min="8704" max="8704" width="53" style="45" bestFit="1" customWidth="1"/>
    <col min="8705" max="8716" width="13.7265625" style="45" customWidth="1"/>
    <col min="8717" max="8717" width="4.54296875" style="45" customWidth="1"/>
    <col min="8718" max="8718" width="12.26953125" style="45" bestFit="1" customWidth="1"/>
    <col min="8719" max="8959" width="8.7265625" style="45"/>
    <col min="8960" max="8960" width="53" style="45" bestFit="1" customWidth="1"/>
    <col min="8961" max="8972" width="13.7265625" style="45" customWidth="1"/>
    <col min="8973" max="8973" width="4.54296875" style="45" customWidth="1"/>
    <col min="8974" max="8974" width="12.26953125" style="45" bestFit="1" customWidth="1"/>
    <col min="8975" max="9215" width="8.7265625" style="45"/>
    <col min="9216" max="9216" width="53" style="45" bestFit="1" customWidth="1"/>
    <col min="9217" max="9228" width="13.7265625" style="45" customWidth="1"/>
    <col min="9229" max="9229" width="4.54296875" style="45" customWidth="1"/>
    <col min="9230" max="9230" width="12.26953125" style="45" bestFit="1" customWidth="1"/>
    <col min="9231" max="9471" width="8.7265625" style="45"/>
    <col min="9472" max="9472" width="53" style="45" bestFit="1" customWidth="1"/>
    <col min="9473" max="9484" width="13.7265625" style="45" customWidth="1"/>
    <col min="9485" max="9485" width="4.54296875" style="45" customWidth="1"/>
    <col min="9486" max="9486" width="12.26953125" style="45" bestFit="1" customWidth="1"/>
    <col min="9487" max="9727" width="8.7265625" style="45"/>
    <col min="9728" max="9728" width="53" style="45" bestFit="1" customWidth="1"/>
    <col min="9729" max="9740" width="13.7265625" style="45" customWidth="1"/>
    <col min="9741" max="9741" width="4.54296875" style="45" customWidth="1"/>
    <col min="9742" max="9742" width="12.26953125" style="45" bestFit="1" customWidth="1"/>
    <col min="9743" max="9983" width="8.7265625" style="45"/>
    <col min="9984" max="9984" width="53" style="45" bestFit="1" customWidth="1"/>
    <col min="9985" max="9996" width="13.7265625" style="45" customWidth="1"/>
    <col min="9997" max="9997" width="4.54296875" style="45" customWidth="1"/>
    <col min="9998" max="9998" width="12.26953125" style="45" bestFit="1" customWidth="1"/>
    <col min="9999" max="10239" width="8.7265625" style="45"/>
    <col min="10240" max="10240" width="53" style="45" bestFit="1" customWidth="1"/>
    <col min="10241" max="10252" width="13.7265625" style="45" customWidth="1"/>
    <col min="10253" max="10253" width="4.54296875" style="45" customWidth="1"/>
    <col min="10254" max="10254" width="12.26953125" style="45" bestFit="1" customWidth="1"/>
    <col min="10255" max="10495" width="8.7265625" style="45"/>
    <col min="10496" max="10496" width="53" style="45" bestFit="1" customWidth="1"/>
    <col min="10497" max="10508" width="13.7265625" style="45" customWidth="1"/>
    <col min="10509" max="10509" width="4.54296875" style="45" customWidth="1"/>
    <col min="10510" max="10510" width="12.26953125" style="45" bestFit="1" customWidth="1"/>
    <col min="10511" max="10751" width="8.7265625" style="45"/>
    <col min="10752" max="10752" width="53" style="45" bestFit="1" customWidth="1"/>
    <col min="10753" max="10764" width="13.7265625" style="45" customWidth="1"/>
    <col min="10765" max="10765" width="4.54296875" style="45" customWidth="1"/>
    <col min="10766" max="10766" width="12.26953125" style="45" bestFit="1" customWidth="1"/>
    <col min="10767" max="11007" width="8.7265625" style="45"/>
    <col min="11008" max="11008" width="53" style="45" bestFit="1" customWidth="1"/>
    <col min="11009" max="11020" width="13.7265625" style="45" customWidth="1"/>
    <col min="11021" max="11021" width="4.54296875" style="45" customWidth="1"/>
    <col min="11022" max="11022" width="12.26953125" style="45" bestFit="1" customWidth="1"/>
    <col min="11023" max="11263" width="8.7265625" style="45"/>
    <col min="11264" max="11264" width="53" style="45" bestFit="1" customWidth="1"/>
    <col min="11265" max="11276" width="13.7265625" style="45" customWidth="1"/>
    <col min="11277" max="11277" width="4.54296875" style="45" customWidth="1"/>
    <col min="11278" max="11278" width="12.26953125" style="45" bestFit="1" customWidth="1"/>
    <col min="11279" max="11519" width="8.7265625" style="45"/>
    <col min="11520" max="11520" width="53" style="45" bestFit="1" customWidth="1"/>
    <col min="11521" max="11532" width="13.7265625" style="45" customWidth="1"/>
    <col min="11533" max="11533" width="4.54296875" style="45" customWidth="1"/>
    <col min="11534" max="11534" width="12.26953125" style="45" bestFit="1" customWidth="1"/>
    <col min="11535" max="11775" width="8.7265625" style="45"/>
    <col min="11776" max="11776" width="53" style="45" bestFit="1" customWidth="1"/>
    <col min="11777" max="11788" width="13.7265625" style="45" customWidth="1"/>
    <col min="11789" max="11789" width="4.54296875" style="45" customWidth="1"/>
    <col min="11790" max="11790" width="12.26953125" style="45" bestFit="1" customWidth="1"/>
    <col min="11791" max="12031" width="8.7265625" style="45"/>
    <col min="12032" max="12032" width="53" style="45" bestFit="1" customWidth="1"/>
    <col min="12033" max="12044" width="13.7265625" style="45" customWidth="1"/>
    <col min="12045" max="12045" width="4.54296875" style="45" customWidth="1"/>
    <col min="12046" max="12046" width="12.26953125" style="45" bestFit="1" customWidth="1"/>
    <col min="12047" max="12287" width="8.7265625" style="45"/>
    <col min="12288" max="12288" width="53" style="45" bestFit="1" customWidth="1"/>
    <col min="12289" max="12300" width="13.7265625" style="45" customWidth="1"/>
    <col min="12301" max="12301" width="4.54296875" style="45" customWidth="1"/>
    <col min="12302" max="12302" width="12.26953125" style="45" bestFit="1" customWidth="1"/>
    <col min="12303" max="12543" width="8.7265625" style="45"/>
    <col min="12544" max="12544" width="53" style="45" bestFit="1" customWidth="1"/>
    <col min="12545" max="12556" width="13.7265625" style="45" customWidth="1"/>
    <col min="12557" max="12557" width="4.54296875" style="45" customWidth="1"/>
    <col min="12558" max="12558" width="12.26953125" style="45" bestFit="1" customWidth="1"/>
    <col min="12559" max="12799" width="8.7265625" style="45"/>
    <col min="12800" max="12800" width="53" style="45" bestFit="1" customWidth="1"/>
    <col min="12801" max="12812" width="13.7265625" style="45" customWidth="1"/>
    <col min="12813" max="12813" width="4.54296875" style="45" customWidth="1"/>
    <col min="12814" max="12814" width="12.26953125" style="45" bestFit="1" customWidth="1"/>
    <col min="12815" max="13055" width="8.7265625" style="45"/>
    <col min="13056" max="13056" width="53" style="45" bestFit="1" customWidth="1"/>
    <col min="13057" max="13068" width="13.7265625" style="45" customWidth="1"/>
    <col min="13069" max="13069" width="4.54296875" style="45" customWidth="1"/>
    <col min="13070" max="13070" width="12.26953125" style="45" bestFit="1" customWidth="1"/>
    <col min="13071" max="13311" width="8.7265625" style="45"/>
    <col min="13312" max="13312" width="53" style="45" bestFit="1" customWidth="1"/>
    <col min="13313" max="13324" width="13.7265625" style="45" customWidth="1"/>
    <col min="13325" max="13325" width="4.54296875" style="45" customWidth="1"/>
    <col min="13326" max="13326" width="12.26953125" style="45" bestFit="1" customWidth="1"/>
    <col min="13327" max="13567" width="8.7265625" style="45"/>
    <col min="13568" max="13568" width="53" style="45" bestFit="1" customWidth="1"/>
    <col min="13569" max="13580" width="13.7265625" style="45" customWidth="1"/>
    <col min="13581" max="13581" width="4.54296875" style="45" customWidth="1"/>
    <col min="13582" max="13582" width="12.26953125" style="45" bestFit="1" customWidth="1"/>
    <col min="13583" max="13823" width="8.7265625" style="45"/>
    <col min="13824" max="13824" width="53" style="45" bestFit="1" customWidth="1"/>
    <col min="13825" max="13836" width="13.7265625" style="45" customWidth="1"/>
    <col min="13837" max="13837" width="4.54296875" style="45" customWidth="1"/>
    <col min="13838" max="13838" width="12.26953125" style="45" bestFit="1" customWidth="1"/>
    <col min="13839" max="14079" width="8.7265625" style="45"/>
    <col min="14080" max="14080" width="53" style="45" bestFit="1" customWidth="1"/>
    <col min="14081" max="14092" width="13.7265625" style="45" customWidth="1"/>
    <col min="14093" max="14093" width="4.54296875" style="45" customWidth="1"/>
    <col min="14094" max="14094" width="12.26953125" style="45" bestFit="1" customWidth="1"/>
    <col min="14095" max="14335" width="8.7265625" style="45"/>
    <col min="14336" max="14336" width="53" style="45" bestFit="1" customWidth="1"/>
    <col min="14337" max="14348" width="13.7265625" style="45" customWidth="1"/>
    <col min="14349" max="14349" width="4.54296875" style="45" customWidth="1"/>
    <col min="14350" max="14350" width="12.26953125" style="45" bestFit="1" customWidth="1"/>
    <col min="14351" max="14591" width="8.7265625" style="45"/>
    <col min="14592" max="14592" width="53" style="45" bestFit="1" customWidth="1"/>
    <col min="14593" max="14604" width="13.7265625" style="45" customWidth="1"/>
    <col min="14605" max="14605" width="4.54296875" style="45" customWidth="1"/>
    <col min="14606" max="14606" width="12.26953125" style="45" bestFit="1" customWidth="1"/>
    <col min="14607" max="14847" width="8.7265625" style="45"/>
    <col min="14848" max="14848" width="53" style="45" bestFit="1" customWidth="1"/>
    <col min="14849" max="14860" width="13.7265625" style="45" customWidth="1"/>
    <col min="14861" max="14861" width="4.54296875" style="45" customWidth="1"/>
    <col min="14862" max="14862" width="12.26953125" style="45" bestFit="1" customWidth="1"/>
    <col min="14863" max="15103" width="8.7265625" style="45"/>
    <col min="15104" max="15104" width="53" style="45" bestFit="1" customWidth="1"/>
    <col min="15105" max="15116" width="13.7265625" style="45" customWidth="1"/>
    <col min="15117" max="15117" width="4.54296875" style="45" customWidth="1"/>
    <col min="15118" max="15118" width="12.26953125" style="45" bestFit="1" customWidth="1"/>
    <col min="15119" max="15359" width="8.7265625" style="45"/>
    <col min="15360" max="15360" width="53" style="45" bestFit="1" customWidth="1"/>
    <col min="15361" max="15372" width="13.7265625" style="45" customWidth="1"/>
    <col min="15373" max="15373" width="4.54296875" style="45" customWidth="1"/>
    <col min="15374" max="15374" width="12.26953125" style="45" bestFit="1" customWidth="1"/>
    <col min="15375" max="15615" width="8.7265625" style="45"/>
    <col min="15616" max="15616" width="53" style="45" bestFit="1" customWidth="1"/>
    <col min="15617" max="15628" width="13.7265625" style="45" customWidth="1"/>
    <col min="15629" max="15629" width="4.54296875" style="45" customWidth="1"/>
    <col min="15630" max="15630" width="12.26953125" style="45" bestFit="1" customWidth="1"/>
    <col min="15631" max="15871" width="8.7265625" style="45"/>
    <col min="15872" max="15872" width="53" style="45" bestFit="1" customWidth="1"/>
    <col min="15873" max="15884" width="13.7265625" style="45" customWidth="1"/>
    <col min="15885" max="15885" width="4.54296875" style="45" customWidth="1"/>
    <col min="15886" max="15886" width="12.26953125" style="45" bestFit="1" customWidth="1"/>
    <col min="15887" max="16127" width="8.7265625" style="45"/>
    <col min="16128" max="16128" width="53" style="45" bestFit="1" customWidth="1"/>
    <col min="16129" max="16140" width="13.7265625" style="45" customWidth="1"/>
    <col min="16141" max="16141" width="4.54296875" style="45" customWidth="1"/>
    <col min="16142" max="16142" width="12.26953125" style="45" bestFit="1" customWidth="1"/>
    <col min="16143" max="16384" width="8.7265625" style="45"/>
  </cols>
  <sheetData>
    <row r="1" spans="1:14" ht="18.5">
      <c r="A1" s="657">
        <v>2012</v>
      </c>
    </row>
    <row r="2" spans="1:14">
      <c r="A2" s="656" t="s">
        <v>626</v>
      </c>
      <c r="B2" s="655" t="s">
        <v>625</v>
      </c>
      <c r="C2" s="655" t="s">
        <v>624</v>
      </c>
      <c r="D2" s="655" t="s">
        <v>623</v>
      </c>
      <c r="E2" s="655" t="s">
        <v>622</v>
      </c>
      <c r="F2" s="655" t="s">
        <v>621</v>
      </c>
      <c r="G2" s="655" t="s">
        <v>620</v>
      </c>
      <c r="H2" s="655" t="s">
        <v>619</v>
      </c>
      <c r="I2" s="655" t="s">
        <v>618</v>
      </c>
      <c r="J2" s="655" t="s">
        <v>617</v>
      </c>
      <c r="K2" s="655" t="s">
        <v>616</v>
      </c>
      <c r="L2" s="655" t="s">
        <v>615</v>
      </c>
      <c r="M2" s="655" t="s">
        <v>614</v>
      </c>
    </row>
    <row r="3" spans="1:14">
      <c r="A3" s="45" t="s">
        <v>613</v>
      </c>
      <c r="B3" s="46">
        <v>31</v>
      </c>
      <c r="C3" s="46">
        <v>28</v>
      </c>
      <c r="D3" s="46">
        <v>31</v>
      </c>
      <c r="E3" s="46">
        <v>30</v>
      </c>
      <c r="F3" s="46">
        <v>31</v>
      </c>
      <c r="G3" s="46">
        <v>30</v>
      </c>
      <c r="H3" s="46">
        <v>31</v>
      </c>
      <c r="I3" s="46">
        <v>31</v>
      </c>
      <c r="J3" s="46">
        <v>30</v>
      </c>
      <c r="K3" s="46">
        <v>31</v>
      </c>
      <c r="L3" s="46">
        <v>30</v>
      </c>
      <c r="M3" s="46">
        <v>31</v>
      </c>
    </row>
    <row r="4" spans="1:14" ht="15.5">
      <c r="A4" s="45" t="s">
        <v>612</v>
      </c>
      <c r="B4" s="654">
        <v>1.47E-2</v>
      </c>
      <c r="C4" s="654">
        <v>1.47E-2</v>
      </c>
      <c r="D4" s="654">
        <v>1.47E-2</v>
      </c>
      <c r="E4" s="654">
        <v>1.47E-2</v>
      </c>
      <c r="F4" s="654">
        <v>1.47E-2</v>
      </c>
      <c r="G4" s="654">
        <v>1.47E-2</v>
      </c>
      <c r="H4" s="654">
        <v>1.47E-2</v>
      </c>
      <c r="I4" s="654">
        <v>1.47E-2</v>
      </c>
      <c r="J4" s="654">
        <v>1.47E-2</v>
      </c>
      <c r="K4" s="654">
        <v>1.47E-2</v>
      </c>
      <c r="L4" s="654">
        <v>1.47E-2</v>
      </c>
      <c r="M4" s="654">
        <v>1.47E-2</v>
      </c>
      <c r="N4" s="50"/>
    </row>
    <row r="5" spans="1:14">
      <c r="B5" s="649"/>
      <c r="C5" s="649"/>
      <c r="D5" s="649"/>
      <c r="E5" s="649"/>
      <c r="F5" s="649"/>
      <c r="G5" s="649"/>
      <c r="H5" s="649"/>
      <c r="I5" s="649"/>
      <c r="J5" s="649"/>
      <c r="K5" s="649"/>
      <c r="L5" s="649"/>
      <c r="M5" s="649"/>
      <c r="N5" s="649"/>
    </row>
    <row r="6" spans="1:14" ht="15.5">
      <c r="A6" s="653" t="s">
        <v>611</v>
      </c>
      <c r="B6" s="649">
        <f>'[7]Carrying Charges 2011'!M6</f>
        <v>8478.6597155280033</v>
      </c>
      <c r="C6" s="649">
        <f>B9</f>
        <v>8478.6597155280033</v>
      </c>
      <c r="D6" s="649">
        <f>C9</f>
        <v>8478.6597155280033</v>
      </c>
      <c r="E6" s="649">
        <f>D9</f>
        <v>8478.6597155280033</v>
      </c>
      <c r="F6" s="649">
        <f>E9</f>
        <v>8478.6597155280033</v>
      </c>
      <c r="G6" s="649">
        <f>F9</f>
        <v>8478.6597155280033</v>
      </c>
      <c r="H6" s="649">
        <f t="shared" ref="H6:M7" si="0">G6</f>
        <v>8478.6597155280033</v>
      </c>
      <c r="I6" s="649">
        <f t="shared" si="0"/>
        <v>8478.6597155280033</v>
      </c>
      <c r="J6" s="649">
        <f t="shared" si="0"/>
        <v>8478.6597155280033</v>
      </c>
      <c r="K6" s="649">
        <f t="shared" si="0"/>
        <v>8478.6597155280033</v>
      </c>
      <c r="L6" s="649">
        <f t="shared" si="0"/>
        <v>8478.6597155280033</v>
      </c>
      <c r="M6" s="649">
        <f t="shared" si="0"/>
        <v>8478.6597155280033</v>
      </c>
      <c r="N6" s="649"/>
    </row>
    <row r="7" spans="1:14" ht="15.5">
      <c r="A7" s="653" t="s">
        <v>627</v>
      </c>
      <c r="B7" s="649"/>
      <c r="C7" s="649"/>
      <c r="D7" s="649"/>
      <c r="E7" s="649"/>
      <c r="F7" s="649"/>
      <c r="G7" s="649">
        <f>'[6]2011-14 LRAMVA Summary'!O36</f>
        <v>29267.53192465306</v>
      </c>
      <c r="H7" s="649">
        <f t="shared" si="0"/>
        <v>29267.53192465306</v>
      </c>
      <c r="I7" s="649">
        <f t="shared" si="0"/>
        <v>29267.53192465306</v>
      </c>
      <c r="J7" s="649">
        <f t="shared" si="0"/>
        <v>29267.53192465306</v>
      </c>
      <c r="K7" s="649">
        <f t="shared" si="0"/>
        <v>29267.53192465306</v>
      </c>
      <c r="L7" s="649">
        <f t="shared" si="0"/>
        <v>29267.53192465306</v>
      </c>
      <c r="M7" s="649">
        <f t="shared" si="0"/>
        <v>29267.53192465306</v>
      </c>
      <c r="N7" s="649"/>
    </row>
    <row r="8" spans="1:14">
      <c r="B8" s="649"/>
      <c r="C8" s="649"/>
      <c r="D8" s="649"/>
      <c r="E8" s="649"/>
      <c r="F8" s="649"/>
      <c r="G8" s="649"/>
      <c r="H8" s="649"/>
      <c r="I8" s="649"/>
      <c r="J8" s="649"/>
      <c r="K8" s="649"/>
      <c r="L8" s="649"/>
      <c r="M8" s="649"/>
      <c r="N8" s="649"/>
    </row>
    <row r="9" spans="1:14" ht="16" thickBot="1">
      <c r="A9" s="652" t="s">
        <v>610</v>
      </c>
      <c r="B9" s="651">
        <f t="shared" ref="B9:M9" si="1">SUM(B6:B7)</f>
        <v>8478.6597155280033</v>
      </c>
      <c r="C9" s="651">
        <f t="shared" si="1"/>
        <v>8478.6597155280033</v>
      </c>
      <c r="D9" s="651">
        <f t="shared" si="1"/>
        <v>8478.6597155280033</v>
      </c>
      <c r="E9" s="651">
        <f t="shared" si="1"/>
        <v>8478.6597155280033</v>
      </c>
      <c r="F9" s="651">
        <f t="shared" si="1"/>
        <v>8478.6597155280033</v>
      </c>
      <c r="G9" s="651">
        <f t="shared" si="1"/>
        <v>37746.191640181059</v>
      </c>
      <c r="H9" s="651">
        <f t="shared" si="1"/>
        <v>37746.191640181059</v>
      </c>
      <c r="I9" s="651">
        <f t="shared" si="1"/>
        <v>37746.191640181059</v>
      </c>
      <c r="J9" s="651">
        <f t="shared" si="1"/>
        <v>37746.191640181059</v>
      </c>
      <c r="K9" s="651">
        <f t="shared" si="1"/>
        <v>37746.191640181059</v>
      </c>
      <c r="L9" s="651">
        <f t="shared" si="1"/>
        <v>37746.191640181059</v>
      </c>
      <c r="M9" s="651">
        <f t="shared" si="1"/>
        <v>37746.191640181059</v>
      </c>
      <c r="N9" s="650"/>
    </row>
    <row r="10" spans="1:14">
      <c r="B10" s="649"/>
      <c r="C10" s="649"/>
      <c r="D10" s="649"/>
      <c r="E10" s="649"/>
      <c r="F10" s="649"/>
      <c r="G10" s="649"/>
      <c r="H10" s="649"/>
      <c r="I10" s="649"/>
      <c r="J10" s="649"/>
      <c r="K10" s="649"/>
      <c r="L10" s="649"/>
      <c r="M10" s="649"/>
      <c r="N10" s="649"/>
    </row>
    <row r="11" spans="1:14">
      <c r="B11" s="649"/>
      <c r="C11" s="649"/>
      <c r="D11" s="649"/>
      <c r="E11" s="649"/>
      <c r="F11" s="649"/>
      <c r="G11" s="649"/>
      <c r="H11" s="649"/>
      <c r="I11" s="649"/>
      <c r="J11" s="649"/>
      <c r="K11" s="649"/>
      <c r="L11" s="649"/>
      <c r="M11" s="649"/>
      <c r="N11" s="649"/>
    </row>
    <row r="12" spans="1:14">
      <c r="A12" s="45" t="s">
        <v>609</v>
      </c>
      <c r="B12" s="649">
        <f>'[7]Carrying Charges 2011'!M6*B4/365*B3</f>
        <v>10.585548581824961</v>
      </c>
      <c r="C12" s="649">
        <f t="shared" ref="C12:M12" si="2">B9*C4/365*C3</f>
        <v>9.5611406545515774</v>
      </c>
      <c r="D12" s="649">
        <f t="shared" si="2"/>
        <v>10.585548581824961</v>
      </c>
      <c r="E12" s="649">
        <f t="shared" si="2"/>
        <v>10.244079272733833</v>
      </c>
      <c r="F12" s="649">
        <f t="shared" si="2"/>
        <v>10.585548581824961</v>
      </c>
      <c r="G12" s="649">
        <f t="shared" si="2"/>
        <v>10.244079272733833</v>
      </c>
      <c r="H12" s="649">
        <f t="shared" si="2"/>
        <v>47.125861727206868</v>
      </c>
      <c r="I12" s="649">
        <f t="shared" si="2"/>
        <v>47.125861727206868</v>
      </c>
      <c r="J12" s="649">
        <f t="shared" si="2"/>
        <v>45.605672639232452</v>
      </c>
      <c r="K12" s="649">
        <f t="shared" si="2"/>
        <v>47.125861727206868</v>
      </c>
      <c r="L12" s="649">
        <f t="shared" si="2"/>
        <v>45.605672639232452</v>
      </c>
      <c r="M12" s="649">
        <f t="shared" si="2"/>
        <v>47.125861727206868</v>
      </c>
      <c r="N12" s="649"/>
    </row>
    <row r="13" spans="1:14">
      <c r="A13" s="45" t="s">
        <v>608</v>
      </c>
      <c r="B13" s="649">
        <f>'[7]Carrying Charges 2011'!M12+B12</f>
        <v>73.415901454592472</v>
      </c>
      <c r="C13" s="649">
        <f t="shared" ref="C13:M13" si="3">B13+C12</f>
        <v>82.977042109144051</v>
      </c>
      <c r="D13" s="649">
        <f t="shared" si="3"/>
        <v>93.562590690969017</v>
      </c>
      <c r="E13" s="649">
        <f t="shared" si="3"/>
        <v>103.80666996370284</v>
      </c>
      <c r="F13" s="649">
        <f t="shared" si="3"/>
        <v>114.39221854552781</v>
      </c>
      <c r="G13" s="649">
        <f t="shared" si="3"/>
        <v>124.63629781826164</v>
      </c>
      <c r="H13" s="649">
        <f t="shared" si="3"/>
        <v>171.76215954546851</v>
      </c>
      <c r="I13" s="649">
        <f t="shared" si="3"/>
        <v>218.88802127267536</v>
      </c>
      <c r="J13" s="649">
        <f t="shared" si="3"/>
        <v>264.49369391190783</v>
      </c>
      <c r="K13" s="649">
        <f t="shared" si="3"/>
        <v>311.61955563911471</v>
      </c>
      <c r="L13" s="649">
        <f t="shared" si="3"/>
        <v>357.22522827834717</v>
      </c>
      <c r="M13" s="649">
        <f t="shared" si="3"/>
        <v>404.35109000555406</v>
      </c>
      <c r="N13" s="649"/>
    </row>
    <row r="14" spans="1:14">
      <c r="B14" s="50"/>
      <c r="C14" s="50"/>
      <c r="D14" s="50"/>
      <c r="E14" s="50"/>
      <c r="F14" s="50"/>
      <c r="G14" s="50"/>
      <c r="H14" s="50"/>
      <c r="I14" s="50"/>
      <c r="J14" s="50"/>
      <c r="K14" s="50"/>
      <c r="L14" s="50"/>
      <c r="M14" s="50"/>
      <c r="N14" s="50"/>
    </row>
    <row r="15" spans="1:14">
      <c r="B15" s="50"/>
      <c r="C15" s="50"/>
      <c r="D15" s="50"/>
      <c r="E15" s="50"/>
      <c r="F15" s="50"/>
      <c r="G15" s="50"/>
      <c r="H15" s="50"/>
      <c r="I15" s="50"/>
      <c r="J15" s="50"/>
      <c r="K15" s="50"/>
      <c r="L15" s="50"/>
      <c r="M15" s="50"/>
      <c r="N15" s="50"/>
    </row>
    <row r="16" spans="1:14">
      <c r="B16" s="50"/>
      <c r="C16" s="50"/>
      <c r="D16" s="50"/>
      <c r="E16" s="50"/>
      <c r="F16" s="50"/>
      <c r="G16" s="50"/>
      <c r="H16" s="50"/>
      <c r="I16" s="50"/>
      <c r="J16" s="50"/>
      <c r="K16" s="50"/>
      <c r="L16" s="50"/>
      <c r="M16" s="50"/>
      <c r="N16" s="50"/>
    </row>
    <row r="17" spans="1:14">
      <c r="B17" s="50"/>
      <c r="C17" s="50"/>
      <c r="D17" s="50"/>
      <c r="E17" s="50"/>
      <c r="F17" s="50"/>
      <c r="G17" s="50"/>
      <c r="H17" s="50"/>
      <c r="I17" s="50"/>
      <c r="J17" s="50"/>
      <c r="K17" s="50"/>
      <c r="L17" s="50"/>
      <c r="M17" s="50"/>
      <c r="N17" s="50"/>
    </row>
    <row r="18" spans="1:14">
      <c r="A18" s="52" t="s">
        <v>17</v>
      </c>
      <c r="B18" s="662">
        <f>'[7]Carrying Charges 2011'!M15</f>
        <v>3628.453061611805</v>
      </c>
      <c r="C18" s="663">
        <f>B18</f>
        <v>3628.453061611805</v>
      </c>
      <c r="D18" s="663">
        <f t="shared" ref="D18:M18" si="4">C18</f>
        <v>3628.453061611805</v>
      </c>
      <c r="E18" s="663">
        <f t="shared" si="4"/>
        <v>3628.453061611805</v>
      </c>
      <c r="F18" s="663">
        <f t="shared" si="4"/>
        <v>3628.453061611805</v>
      </c>
      <c r="G18" s="663">
        <f>F18+'[7]2011-14 LRAMVA Summary'!O31</f>
        <v>13873.902834430826</v>
      </c>
      <c r="H18" s="663">
        <f t="shared" si="4"/>
        <v>13873.902834430826</v>
      </c>
      <c r="I18" s="663">
        <f t="shared" si="4"/>
        <v>13873.902834430826</v>
      </c>
      <c r="J18" s="663">
        <f t="shared" si="4"/>
        <v>13873.902834430826</v>
      </c>
      <c r="K18" s="663">
        <f t="shared" si="4"/>
        <v>13873.902834430826</v>
      </c>
      <c r="L18" s="663">
        <f t="shared" si="4"/>
        <v>13873.902834430826</v>
      </c>
      <c r="M18" s="663">
        <f t="shared" si="4"/>
        <v>13873.902834430826</v>
      </c>
      <c r="N18" s="50"/>
    </row>
    <row r="19" spans="1:14">
      <c r="A19" s="45" t="s">
        <v>609</v>
      </c>
      <c r="B19" s="672">
        <f>'[7]Carrying Charges 2011'!M15*B4/365*B3</f>
        <v>4.5300987950041085</v>
      </c>
      <c r="C19" s="672">
        <f>B18*C4/365*C3</f>
        <v>4.0917021374230655</v>
      </c>
      <c r="D19" s="672">
        <f t="shared" ref="D19:M19" si="5">C18*D4/365*D3</f>
        <v>4.5300987950041085</v>
      </c>
      <c r="E19" s="672">
        <f t="shared" si="5"/>
        <v>4.3839665758104278</v>
      </c>
      <c r="F19" s="672">
        <f t="shared" si="5"/>
        <v>4.5300987950041085</v>
      </c>
      <c r="G19" s="672">
        <f t="shared" si="5"/>
        <v>4.3839665758104278</v>
      </c>
      <c r="H19" s="672">
        <f t="shared" si="5"/>
        <v>17.321472662055143</v>
      </c>
      <c r="I19" s="672">
        <f t="shared" si="5"/>
        <v>17.321472662055143</v>
      </c>
      <c r="J19" s="672">
        <f t="shared" si="5"/>
        <v>16.762715479408204</v>
      </c>
      <c r="K19" s="672">
        <f t="shared" si="5"/>
        <v>17.321472662055143</v>
      </c>
      <c r="L19" s="672">
        <f t="shared" si="5"/>
        <v>16.762715479408204</v>
      </c>
      <c r="M19" s="672">
        <f t="shared" si="5"/>
        <v>17.321472662055143</v>
      </c>
      <c r="N19" s="50"/>
    </row>
    <row r="20" spans="1:14">
      <c r="A20" s="45" t="s">
        <v>608</v>
      </c>
      <c r="B20" s="664">
        <f>B19+'[7]Carrying Charges 2011'!M17</f>
        <v>31.418427126641397</v>
      </c>
      <c r="C20" s="665">
        <f>B20+C19</f>
        <v>35.51012926406446</v>
      </c>
      <c r="D20" s="665">
        <f t="shared" ref="D20:M20" si="6">C20+D19</f>
        <v>40.040228059068568</v>
      </c>
      <c r="E20" s="665">
        <f t="shared" si="6"/>
        <v>44.424194634878994</v>
      </c>
      <c r="F20" s="665">
        <f t="shared" si="6"/>
        <v>48.954293429883101</v>
      </c>
      <c r="G20" s="665">
        <f t="shared" si="6"/>
        <v>53.338260005693527</v>
      </c>
      <c r="H20" s="665">
        <f t="shared" si="6"/>
        <v>70.659732667748671</v>
      </c>
      <c r="I20" s="665">
        <f t="shared" si="6"/>
        <v>87.981205329803814</v>
      </c>
      <c r="J20" s="665">
        <f t="shared" si="6"/>
        <v>104.74392080921201</v>
      </c>
      <c r="K20" s="665">
        <f t="shared" si="6"/>
        <v>122.06539347126716</v>
      </c>
      <c r="L20" s="665">
        <f t="shared" si="6"/>
        <v>138.82810895067536</v>
      </c>
      <c r="M20" s="665">
        <f t="shared" si="6"/>
        <v>156.14958161273051</v>
      </c>
      <c r="N20" s="50"/>
    </row>
    <row r="21" spans="1:14">
      <c r="A21" s="52" t="s">
        <v>86</v>
      </c>
      <c r="B21" s="662">
        <f>'[7]Carrying Charges 2011'!M18</f>
        <v>3359.5600412636568</v>
      </c>
      <c r="C21" s="663">
        <f>B21</f>
        <v>3359.5600412636568</v>
      </c>
      <c r="D21" s="663">
        <f t="shared" ref="D21:M21" si="7">C21</f>
        <v>3359.5600412636568</v>
      </c>
      <c r="E21" s="663">
        <f t="shared" si="7"/>
        <v>3359.5600412636568</v>
      </c>
      <c r="F21" s="663">
        <f t="shared" si="7"/>
        <v>3359.5600412636568</v>
      </c>
      <c r="G21" s="663">
        <f>F21+'[7]2011-14 LRAMVA Summary'!O32</f>
        <v>16556.312928149353</v>
      </c>
      <c r="H21" s="663">
        <f t="shared" si="7"/>
        <v>16556.312928149353</v>
      </c>
      <c r="I21" s="663">
        <f t="shared" si="7"/>
        <v>16556.312928149353</v>
      </c>
      <c r="J21" s="663">
        <f t="shared" si="7"/>
        <v>16556.312928149353</v>
      </c>
      <c r="K21" s="663">
        <f t="shared" si="7"/>
        <v>16556.312928149353</v>
      </c>
      <c r="L21" s="663">
        <f t="shared" si="7"/>
        <v>16556.312928149353</v>
      </c>
      <c r="M21" s="663">
        <f t="shared" si="7"/>
        <v>16556.312928149353</v>
      </c>
      <c r="N21" s="50"/>
    </row>
    <row r="22" spans="1:14">
      <c r="A22" s="45" t="s">
        <v>609</v>
      </c>
      <c r="B22" s="664">
        <f>'[7]Carrying Charges 2011'!M18*'[7]Carrying Charges 2012'!B4/365*'[7]Carrying Charges 2012'!B3</f>
        <v>4.1943877008324613</v>
      </c>
      <c r="C22" s="665">
        <f>B21*C4/365*C3</f>
        <v>3.7884792136551262</v>
      </c>
      <c r="D22" s="665">
        <f t="shared" ref="D22:M22" si="8">C21*D4/365*D3</f>
        <v>4.1943877008324613</v>
      </c>
      <c r="E22" s="665">
        <f t="shared" si="8"/>
        <v>4.059084871773349</v>
      </c>
      <c r="F22" s="665">
        <f t="shared" si="8"/>
        <v>4.1943877008324613</v>
      </c>
      <c r="G22" s="665">
        <f t="shared" si="8"/>
        <v>4.059084871773349</v>
      </c>
      <c r="H22" s="665">
        <f t="shared" si="8"/>
        <v>20.67044329139085</v>
      </c>
      <c r="I22" s="665">
        <f t="shared" si="8"/>
        <v>20.67044329139085</v>
      </c>
      <c r="J22" s="665">
        <f t="shared" si="8"/>
        <v>20.003654798120177</v>
      </c>
      <c r="K22" s="665">
        <f t="shared" si="8"/>
        <v>20.67044329139085</v>
      </c>
      <c r="L22" s="665">
        <f t="shared" si="8"/>
        <v>20.003654798120177</v>
      </c>
      <c r="M22" s="665">
        <f t="shared" si="8"/>
        <v>20.67044329139085</v>
      </c>
      <c r="N22" s="50"/>
    </row>
    <row r="23" spans="1:14">
      <c r="A23" s="45" t="s">
        <v>608</v>
      </c>
      <c r="B23" s="664">
        <f>'[7]Carrying Charges 2011'!M20+'[7]Carrying Charges 2012'!B22</f>
        <v>29.090108247709004</v>
      </c>
      <c r="C23" s="665">
        <f>B23+C22</f>
        <v>32.878587461364134</v>
      </c>
      <c r="D23" s="665">
        <f t="shared" ref="D23:M23" si="9">C23+D22</f>
        <v>37.072975162196599</v>
      </c>
      <c r="E23" s="665">
        <f t="shared" si="9"/>
        <v>41.13206003396995</v>
      </c>
      <c r="F23" s="665">
        <f t="shared" si="9"/>
        <v>45.326447734802414</v>
      </c>
      <c r="G23" s="665">
        <f t="shared" si="9"/>
        <v>49.385532606575765</v>
      </c>
      <c r="H23" s="665">
        <f t="shared" si="9"/>
        <v>70.055975897966619</v>
      </c>
      <c r="I23" s="665">
        <f t="shared" si="9"/>
        <v>90.726419189357472</v>
      </c>
      <c r="J23" s="665">
        <f t="shared" si="9"/>
        <v>110.73007398747765</v>
      </c>
      <c r="K23" s="665">
        <f t="shared" si="9"/>
        <v>131.40051727886851</v>
      </c>
      <c r="L23" s="665">
        <f t="shared" si="9"/>
        <v>151.40417207698869</v>
      </c>
      <c r="M23" s="665">
        <f t="shared" si="9"/>
        <v>172.07461536837954</v>
      </c>
      <c r="N23" s="50"/>
    </row>
    <row r="24" spans="1:14">
      <c r="A24" s="52" t="s">
        <v>88</v>
      </c>
      <c r="B24" s="662">
        <f>'[7]Carrying Charges 2011'!M21</f>
        <v>778.71451631015952</v>
      </c>
      <c r="C24" s="663">
        <f>B24</f>
        <v>778.71451631015952</v>
      </c>
      <c r="D24" s="663">
        <f t="shared" ref="D24:M24" si="10">C24</f>
        <v>778.71451631015952</v>
      </c>
      <c r="E24" s="663">
        <f t="shared" si="10"/>
        <v>778.71451631015952</v>
      </c>
      <c r="F24" s="663">
        <f t="shared" si="10"/>
        <v>778.71451631015952</v>
      </c>
      <c r="G24" s="663">
        <f>F24+'[7]2011-14 LRAMVA Summary'!O33</f>
        <v>4535.4261850763551</v>
      </c>
      <c r="H24" s="663">
        <f t="shared" si="10"/>
        <v>4535.4261850763551</v>
      </c>
      <c r="I24" s="663">
        <f t="shared" si="10"/>
        <v>4535.4261850763551</v>
      </c>
      <c r="J24" s="663">
        <f t="shared" si="10"/>
        <v>4535.4261850763551</v>
      </c>
      <c r="K24" s="663">
        <f t="shared" si="10"/>
        <v>4535.4261850763551</v>
      </c>
      <c r="L24" s="663">
        <f t="shared" si="10"/>
        <v>4535.4261850763551</v>
      </c>
      <c r="M24" s="663">
        <f t="shared" si="10"/>
        <v>4535.4261850763551</v>
      </c>
      <c r="N24" s="50"/>
    </row>
    <row r="25" spans="1:14">
      <c r="A25" s="45" t="s">
        <v>609</v>
      </c>
      <c r="B25" s="664">
        <f>'[7]Carrying Charges 2011'!M21*'[7]Carrying Charges 2012'!B4/365*'[7]Carrying Charges 2012'!B3</f>
        <v>0.9722197399521636</v>
      </c>
      <c r="C25" s="665">
        <f>B24*C4/365*C3</f>
        <v>0.87813395866647037</v>
      </c>
      <c r="D25" s="665">
        <f t="shared" ref="D25:M25" si="11">C24*D4/365*D3</f>
        <v>0.9722197399521636</v>
      </c>
      <c r="E25" s="665">
        <f t="shared" si="11"/>
        <v>0.94085781285693248</v>
      </c>
      <c r="F25" s="665">
        <f t="shared" si="11"/>
        <v>0.9722197399521636</v>
      </c>
      <c r="G25" s="665">
        <f t="shared" si="11"/>
        <v>0.94085781285693248</v>
      </c>
      <c r="H25" s="665">
        <f t="shared" si="11"/>
        <v>5.6624485275049183</v>
      </c>
      <c r="I25" s="665">
        <f t="shared" si="11"/>
        <v>5.6624485275049183</v>
      </c>
      <c r="J25" s="665">
        <f t="shared" si="11"/>
        <v>5.4797888975854043</v>
      </c>
      <c r="K25" s="665">
        <f t="shared" si="11"/>
        <v>5.6624485275049183</v>
      </c>
      <c r="L25" s="665">
        <f t="shared" si="11"/>
        <v>5.4797888975854043</v>
      </c>
      <c r="M25" s="665">
        <f t="shared" si="11"/>
        <v>5.6624485275049183</v>
      </c>
      <c r="N25" s="665"/>
    </row>
    <row r="26" spans="1:14">
      <c r="A26" s="45" t="s">
        <v>608</v>
      </c>
      <c r="B26" s="664">
        <f>'[7]Carrying Charges 2011'!M23+'[7]Carrying Charges 2012'!B25</f>
        <v>6.7428143254746828</v>
      </c>
      <c r="C26" s="665">
        <f>B26+C25</f>
        <v>7.6209482841411536</v>
      </c>
      <c r="D26" s="665">
        <f t="shared" ref="D26:M26" si="12">C26+D25</f>
        <v>8.5931680240933179</v>
      </c>
      <c r="E26" s="665">
        <f t="shared" si="12"/>
        <v>9.5340258369502511</v>
      </c>
      <c r="F26" s="665">
        <f t="shared" si="12"/>
        <v>10.506245576902415</v>
      </c>
      <c r="G26" s="665">
        <f t="shared" si="12"/>
        <v>11.447103389759349</v>
      </c>
      <c r="H26" s="665">
        <f t="shared" si="12"/>
        <v>17.109551917264266</v>
      </c>
      <c r="I26" s="665">
        <f t="shared" si="12"/>
        <v>22.772000444769184</v>
      </c>
      <c r="J26" s="665">
        <f t="shared" si="12"/>
        <v>28.251789342354588</v>
      </c>
      <c r="K26" s="665">
        <f t="shared" si="12"/>
        <v>33.914237869859505</v>
      </c>
      <c r="L26" s="665">
        <f t="shared" si="12"/>
        <v>39.394026767444913</v>
      </c>
      <c r="M26" s="665">
        <f t="shared" si="12"/>
        <v>45.056475294949834</v>
      </c>
      <c r="N26" s="53"/>
    </row>
    <row r="27" spans="1:14">
      <c r="A27" s="52" t="s">
        <v>57</v>
      </c>
      <c r="B27" s="673">
        <f>'[7]Carrying Charges 2011'!M24</f>
        <v>711.93209634238144</v>
      </c>
      <c r="C27" s="674">
        <f>B27</f>
        <v>711.93209634238144</v>
      </c>
      <c r="D27" s="674">
        <f t="shared" ref="D27:M27" si="13">C27</f>
        <v>711.93209634238144</v>
      </c>
      <c r="E27" s="674">
        <f t="shared" si="13"/>
        <v>711.93209634238144</v>
      </c>
      <c r="F27" s="674">
        <f t="shared" si="13"/>
        <v>711.93209634238144</v>
      </c>
      <c r="G27" s="674">
        <f>F27+'[7]2011-14 LRAMVA Summary'!O34</f>
        <v>2615.6848702527473</v>
      </c>
      <c r="H27" s="674">
        <f t="shared" si="13"/>
        <v>2615.6848702527473</v>
      </c>
      <c r="I27" s="674">
        <f t="shared" si="13"/>
        <v>2615.6848702527473</v>
      </c>
      <c r="J27" s="674">
        <f t="shared" si="13"/>
        <v>2615.6848702527473</v>
      </c>
      <c r="K27" s="674">
        <f t="shared" si="13"/>
        <v>2615.6848702527473</v>
      </c>
      <c r="L27" s="674">
        <f t="shared" si="13"/>
        <v>2615.6848702527473</v>
      </c>
      <c r="M27" s="674">
        <f t="shared" si="13"/>
        <v>2615.6848702527473</v>
      </c>
      <c r="N27" s="53"/>
    </row>
    <row r="28" spans="1:14">
      <c r="A28" s="45" t="s">
        <v>609</v>
      </c>
      <c r="B28" s="666">
        <f>'[7]Carrying Charges 2011'!M24*'[7]Carrying Charges 2012'!B4/365*'[7]Carrying Charges 2012'!B3</f>
        <v>0.88884234603622803</v>
      </c>
      <c r="C28" s="666">
        <f>B27*'[7]Carrying Charges 2012'!C4/365*'[7]Carrying Charges 2012'!C3</f>
        <v>0.80282534480691559</v>
      </c>
      <c r="D28" s="666">
        <f>C27*'[7]Carrying Charges 2012'!D4/365*'[7]Carrying Charges 2012'!D3</f>
        <v>0.88884234603622803</v>
      </c>
      <c r="E28" s="666">
        <f>D27*'[7]Carrying Charges 2012'!E4/365*'[7]Carrying Charges 2012'!E3</f>
        <v>0.86017001229312384</v>
      </c>
      <c r="F28" s="666">
        <f>E27*'[7]Carrying Charges 2012'!F4/365*'[7]Carrying Charges 2012'!F3</f>
        <v>0.88884234603622803</v>
      </c>
      <c r="G28" s="666">
        <f>F27*'[7]Carrying Charges 2012'!G4/365*'[7]Carrying Charges 2012'!G3</f>
        <v>0.86017001229312384</v>
      </c>
      <c r="H28" s="666">
        <f>G27*'[7]Carrying Charges 2012'!H4/365*'[7]Carrying Charges 2012'!H3</f>
        <v>3.2656646448607582</v>
      </c>
      <c r="I28" s="666">
        <f>H27*'[7]Carrying Charges 2012'!I4/365*'[7]Carrying Charges 2012'!I3</f>
        <v>3.2656646448607582</v>
      </c>
      <c r="J28" s="666">
        <f>I27*'[7]Carrying Charges 2012'!J4/365*'[7]Carrying Charges 2012'!J3</f>
        <v>3.160320624058798</v>
      </c>
      <c r="K28" s="666">
        <f>J27*'[7]Carrying Charges 2012'!K4/365*'[7]Carrying Charges 2012'!K3</f>
        <v>3.2656646448607582</v>
      </c>
      <c r="L28" s="666">
        <f>K27*'[7]Carrying Charges 2012'!L4/365*'[7]Carrying Charges 2012'!L3</f>
        <v>3.160320624058798</v>
      </c>
      <c r="M28" s="666">
        <f>L27*'[7]Carrying Charges 2012'!M4/365*'[7]Carrying Charges 2012'!M3</f>
        <v>3.2656646448607582</v>
      </c>
    </row>
    <row r="29" spans="1:14">
      <c r="A29" s="45" t="s">
        <v>608</v>
      </c>
      <c r="B29" s="670">
        <f>B28+'[7]Carrying Charges 2011'!M26</f>
        <v>6.1645517547673876</v>
      </c>
      <c r="C29" s="671">
        <f>B29+C28</f>
        <v>6.9673770995743034</v>
      </c>
      <c r="D29" s="671">
        <f t="shared" ref="D29:M29" si="14">C29+D28</f>
        <v>7.856219445610531</v>
      </c>
      <c r="E29" s="671">
        <f t="shared" si="14"/>
        <v>8.716389457903654</v>
      </c>
      <c r="F29" s="671">
        <f t="shared" si="14"/>
        <v>9.6052318039398816</v>
      </c>
      <c r="G29" s="671">
        <f t="shared" si="14"/>
        <v>10.465401816233005</v>
      </c>
      <c r="H29" s="671">
        <f t="shared" si="14"/>
        <v>13.731066461093762</v>
      </c>
      <c r="I29" s="671">
        <f t="shared" si="14"/>
        <v>16.99673110595452</v>
      </c>
      <c r="J29" s="671">
        <f t="shared" si="14"/>
        <v>20.157051730013318</v>
      </c>
      <c r="K29" s="671">
        <f t="shared" si="14"/>
        <v>23.422716374874078</v>
      </c>
      <c r="L29" s="671">
        <f t="shared" si="14"/>
        <v>26.583036998932876</v>
      </c>
      <c r="M29" s="671">
        <f t="shared" si="14"/>
        <v>29.848701643793635</v>
      </c>
    </row>
    <row r="30" spans="1:14" s="52" customFormat="1">
      <c r="A30" s="52" t="s">
        <v>496</v>
      </c>
      <c r="B30" s="661"/>
      <c r="C30" s="661"/>
      <c r="D30" s="661"/>
      <c r="E30" s="661"/>
      <c r="F30" s="661"/>
      <c r="G30" s="675">
        <f>'[7]2011-14 LRAMVA Summary'!O35</f>
        <v>164.86482227178084</v>
      </c>
      <c r="H30" s="676">
        <f>G30</f>
        <v>164.86482227178084</v>
      </c>
      <c r="I30" s="676">
        <f t="shared" ref="I30:M30" si="15">H30</f>
        <v>164.86482227178084</v>
      </c>
      <c r="J30" s="676">
        <f t="shared" si="15"/>
        <v>164.86482227178084</v>
      </c>
      <c r="K30" s="676">
        <f t="shared" si="15"/>
        <v>164.86482227178084</v>
      </c>
      <c r="L30" s="676">
        <f t="shared" si="15"/>
        <v>164.86482227178084</v>
      </c>
      <c r="M30" s="676">
        <f t="shared" si="15"/>
        <v>164.86482227178084</v>
      </c>
      <c r="N30" s="661"/>
    </row>
    <row r="31" spans="1:14">
      <c r="A31" s="45" t="s">
        <v>609</v>
      </c>
      <c r="G31" s="666">
        <f>F30*'[7]Carrying Charges 2012'!G4/365*'[7]Carrying Charges 2012'!G3</f>
        <v>0</v>
      </c>
      <c r="H31" s="666">
        <f>G30*'[7]Carrying Charges 2012'!H4/365*'[7]Carrying Charges 2012'!H3</f>
        <v>0.20583260139520693</v>
      </c>
      <c r="I31" s="666">
        <f>H30*'[7]Carrying Charges 2012'!I4/365*'[7]Carrying Charges 2012'!I3</f>
        <v>0.20583260139520693</v>
      </c>
      <c r="J31" s="666">
        <f>I30*'[7]Carrying Charges 2012'!J4/365*'[7]Carrying Charges 2012'!J3</f>
        <v>0.19919284005987767</v>
      </c>
      <c r="K31" s="666">
        <f>J30*'[7]Carrying Charges 2012'!K4/365*'[7]Carrying Charges 2012'!K3</f>
        <v>0.20583260139520693</v>
      </c>
      <c r="L31" s="666">
        <f>K30*'[7]Carrying Charges 2012'!L4/365*'[7]Carrying Charges 2012'!L3</f>
        <v>0.19919284005987767</v>
      </c>
      <c r="M31" s="666">
        <f>L30*'[7]Carrying Charges 2012'!M4/365*'[7]Carrying Charges 2012'!M3</f>
        <v>0.20583260139520693</v>
      </c>
      <c r="N31" s="666"/>
    </row>
    <row r="32" spans="1:14">
      <c r="A32" s="45" t="s">
        <v>608</v>
      </c>
      <c r="H32" s="671">
        <f>G32+H31</f>
        <v>0.20583260139520693</v>
      </c>
      <c r="I32" s="671">
        <f t="shared" ref="I32:M32" si="16">H32+I31</f>
        <v>0.41166520279041385</v>
      </c>
      <c r="J32" s="671">
        <f t="shared" si="16"/>
        <v>0.61085804285029155</v>
      </c>
      <c r="K32" s="671">
        <f t="shared" si="16"/>
        <v>0.81669064424549842</v>
      </c>
      <c r="L32" s="671">
        <f t="shared" si="16"/>
        <v>1.0158834843053761</v>
      </c>
      <c r="M32" s="671">
        <f t="shared" si="16"/>
        <v>1.2217160857005831</v>
      </c>
    </row>
    <row r="35" spans="12:13" s="45" customFormat="1">
      <c r="L35" s="46" t="s">
        <v>635</v>
      </c>
      <c r="M35" s="671">
        <f>M13-M20-M23-M26-M29-M32</f>
        <v>-5.1292303737682232E-14</v>
      </c>
    </row>
  </sheetData>
  <pageMargins left="0.7" right="0.7" top="0.75" bottom="0.75" header="0.3" footer="0.3"/>
  <pageSetup scale="5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zoomScale="70" zoomScaleNormal="70" workbookViewId="0">
      <selection activeCell="M42" sqref="M42"/>
    </sheetView>
  </sheetViews>
  <sheetFormatPr defaultRowHeight="14.5"/>
  <cols>
    <col min="1" max="1" width="53" style="45" bestFit="1" customWidth="1"/>
    <col min="2" max="13" width="14.54296875" style="46" bestFit="1" customWidth="1"/>
    <col min="14" max="14" width="4.54296875" style="46" customWidth="1"/>
    <col min="15" max="255" width="8.7265625" style="45"/>
    <col min="256" max="256" width="53" style="45" bestFit="1" customWidth="1"/>
    <col min="257" max="268" width="13.7265625" style="45" customWidth="1"/>
    <col min="269" max="269" width="4.54296875" style="45" customWidth="1"/>
    <col min="270" max="270" width="12.26953125" style="45" bestFit="1" customWidth="1"/>
    <col min="271" max="511" width="8.7265625" style="45"/>
    <col min="512" max="512" width="53" style="45" bestFit="1" customWidth="1"/>
    <col min="513" max="524" width="13.7265625" style="45" customWidth="1"/>
    <col min="525" max="525" width="4.54296875" style="45" customWidth="1"/>
    <col min="526" max="526" width="12.26953125" style="45" bestFit="1" customWidth="1"/>
    <col min="527" max="767" width="8.7265625" style="45"/>
    <col min="768" max="768" width="53" style="45" bestFit="1" customWidth="1"/>
    <col min="769" max="780" width="13.7265625" style="45" customWidth="1"/>
    <col min="781" max="781" width="4.54296875" style="45" customWidth="1"/>
    <col min="782" max="782" width="12.26953125" style="45" bestFit="1" customWidth="1"/>
    <col min="783" max="1023" width="8.7265625" style="45"/>
    <col min="1024" max="1024" width="53" style="45" bestFit="1" customWidth="1"/>
    <col min="1025" max="1036" width="13.7265625" style="45" customWidth="1"/>
    <col min="1037" max="1037" width="4.54296875" style="45" customWidth="1"/>
    <col min="1038" max="1038" width="12.26953125" style="45" bestFit="1" customWidth="1"/>
    <col min="1039" max="1279" width="8.7265625" style="45"/>
    <col min="1280" max="1280" width="53" style="45" bestFit="1" customWidth="1"/>
    <col min="1281" max="1292" width="13.7265625" style="45" customWidth="1"/>
    <col min="1293" max="1293" width="4.54296875" style="45" customWidth="1"/>
    <col min="1294" max="1294" width="12.26953125" style="45" bestFit="1" customWidth="1"/>
    <col min="1295" max="1535" width="8.7265625" style="45"/>
    <col min="1536" max="1536" width="53" style="45" bestFit="1" customWidth="1"/>
    <col min="1537" max="1548" width="13.7265625" style="45" customWidth="1"/>
    <col min="1549" max="1549" width="4.54296875" style="45" customWidth="1"/>
    <col min="1550" max="1550" width="12.26953125" style="45" bestFit="1" customWidth="1"/>
    <col min="1551" max="1791" width="8.7265625" style="45"/>
    <col min="1792" max="1792" width="53" style="45" bestFit="1" customWidth="1"/>
    <col min="1793" max="1804" width="13.7265625" style="45" customWidth="1"/>
    <col min="1805" max="1805" width="4.54296875" style="45" customWidth="1"/>
    <col min="1806" max="1806" width="12.26953125" style="45" bestFit="1" customWidth="1"/>
    <col min="1807" max="2047" width="8.7265625" style="45"/>
    <col min="2048" max="2048" width="53" style="45" bestFit="1" customWidth="1"/>
    <col min="2049" max="2060" width="13.7265625" style="45" customWidth="1"/>
    <col min="2061" max="2061" width="4.54296875" style="45" customWidth="1"/>
    <col min="2062" max="2062" width="12.26953125" style="45" bestFit="1" customWidth="1"/>
    <col min="2063" max="2303" width="8.7265625" style="45"/>
    <col min="2304" max="2304" width="53" style="45" bestFit="1" customWidth="1"/>
    <col min="2305" max="2316" width="13.7265625" style="45" customWidth="1"/>
    <col min="2317" max="2317" width="4.54296875" style="45" customWidth="1"/>
    <col min="2318" max="2318" width="12.26953125" style="45" bestFit="1" customWidth="1"/>
    <col min="2319" max="2559" width="8.7265625" style="45"/>
    <col min="2560" max="2560" width="53" style="45" bestFit="1" customWidth="1"/>
    <col min="2561" max="2572" width="13.7265625" style="45" customWidth="1"/>
    <col min="2573" max="2573" width="4.54296875" style="45" customWidth="1"/>
    <col min="2574" max="2574" width="12.26953125" style="45" bestFit="1" customWidth="1"/>
    <col min="2575" max="2815" width="8.7265625" style="45"/>
    <col min="2816" max="2816" width="53" style="45" bestFit="1" customWidth="1"/>
    <col min="2817" max="2828" width="13.7265625" style="45" customWidth="1"/>
    <col min="2829" max="2829" width="4.54296875" style="45" customWidth="1"/>
    <col min="2830" max="2830" width="12.26953125" style="45" bestFit="1" customWidth="1"/>
    <col min="2831" max="3071" width="8.7265625" style="45"/>
    <col min="3072" max="3072" width="53" style="45" bestFit="1" customWidth="1"/>
    <col min="3073" max="3084" width="13.7265625" style="45" customWidth="1"/>
    <col min="3085" max="3085" width="4.54296875" style="45" customWidth="1"/>
    <col min="3086" max="3086" width="12.26953125" style="45" bestFit="1" customWidth="1"/>
    <col min="3087" max="3327" width="8.7265625" style="45"/>
    <col min="3328" max="3328" width="53" style="45" bestFit="1" customWidth="1"/>
    <col min="3329" max="3340" width="13.7265625" style="45" customWidth="1"/>
    <col min="3341" max="3341" width="4.54296875" style="45" customWidth="1"/>
    <col min="3342" max="3342" width="12.26953125" style="45" bestFit="1" customWidth="1"/>
    <col min="3343" max="3583" width="8.7265625" style="45"/>
    <col min="3584" max="3584" width="53" style="45" bestFit="1" customWidth="1"/>
    <col min="3585" max="3596" width="13.7265625" style="45" customWidth="1"/>
    <col min="3597" max="3597" width="4.54296875" style="45" customWidth="1"/>
    <col min="3598" max="3598" width="12.26953125" style="45" bestFit="1" customWidth="1"/>
    <col min="3599" max="3839" width="8.7265625" style="45"/>
    <col min="3840" max="3840" width="53" style="45" bestFit="1" customWidth="1"/>
    <col min="3841" max="3852" width="13.7265625" style="45" customWidth="1"/>
    <col min="3853" max="3853" width="4.54296875" style="45" customWidth="1"/>
    <col min="3854" max="3854" width="12.26953125" style="45" bestFit="1" customWidth="1"/>
    <col min="3855" max="4095" width="8.7265625" style="45"/>
    <col min="4096" max="4096" width="53" style="45" bestFit="1" customWidth="1"/>
    <col min="4097" max="4108" width="13.7265625" style="45" customWidth="1"/>
    <col min="4109" max="4109" width="4.54296875" style="45" customWidth="1"/>
    <col min="4110" max="4110" width="12.26953125" style="45" bestFit="1" customWidth="1"/>
    <col min="4111" max="4351" width="8.7265625" style="45"/>
    <col min="4352" max="4352" width="53" style="45" bestFit="1" customWidth="1"/>
    <col min="4353" max="4364" width="13.7265625" style="45" customWidth="1"/>
    <col min="4365" max="4365" width="4.54296875" style="45" customWidth="1"/>
    <col min="4366" max="4366" width="12.26953125" style="45" bestFit="1" customWidth="1"/>
    <col min="4367" max="4607" width="8.7265625" style="45"/>
    <col min="4608" max="4608" width="53" style="45" bestFit="1" customWidth="1"/>
    <col min="4609" max="4620" width="13.7265625" style="45" customWidth="1"/>
    <col min="4621" max="4621" width="4.54296875" style="45" customWidth="1"/>
    <col min="4622" max="4622" width="12.26953125" style="45" bestFit="1" customWidth="1"/>
    <col min="4623" max="4863" width="8.7265625" style="45"/>
    <col min="4864" max="4864" width="53" style="45" bestFit="1" customWidth="1"/>
    <col min="4865" max="4876" width="13.7265625" style="45" customWidth="1"/>
    <col min="4877" max="4877" width="4.54296875" style="45" customWidth="1"/>
    <col min="4878" max="4878" width="12.26953125" style="45" bestFit="1" customWidth="1"/>
    <col min="4879" max="5119" width="8.7265625" style="45"/>
    <col min="5120" max="5120" width="53" style="45" bestFit="1" customWidth="1"/>
    <col min="5121" max="5132" width="13.7265625" style="45" customWidth="1"/>
    <col min="5133" max="5133" width="4.54296875" style="45" customWidth="1"/>
    <col min="5134" max="5134" width="12.26953125" style="45" bestFit="1" customWidth="1"/>
    <col min="5135" max="5375" width="8.7265625" style="45"/>
    <col min="5376" max="5376" width="53" style="45" bestFit="1" customWidth="1"/>
    <col min="5377" max="5388" width="13.7265625" style="45" customWidth="1"/>
    <col min="5389" max="5389" width="4.54296875" style="45" customWidth="1"/>
    <col min="5390" max="5390" width="12.26953125" style="45" bestFit="1" customWidth="1"/>
    <col min="5391" max="5631" width="8.7265625" style="45"/>
    <col min="5632" max="5632" width="53" style="45" bestFit="1" customWidth="1"/>
    <col min="5633" max="5644" width="13.7265625" style="45" customWidth="1"/>
    <col min="5645" max="5645" width="4.54296875" style="45" customWidth="1"/>
    <col min="5646" max="5646" width="12.26953125" style="45" bestFit="1" customWidth="1"/>
    <col min="5647" max="5887" width="8.7265625" style="45"/>
    <col min="5888" max="5888" width="53" style="45" bestFit="1" customWidth="1"/>
    <col min="5889" max="5900" width="13.7265625" style="45" customWidth="1"/>
    <col min="5901" max="5901" width="4.54296875" style="45" customWidth="1"/>
    <col min="5902" max="5902" width="12.26953125" style="45" bestFit="1" customWidth="1"/>
    <col min="5903" max="6143" width="8.7265625" style="45"/>
    <col min="6144" max="6144" width="53" style="45" bestFit="1" customWidth="1"/>
    <col min="6145" max="6156" width="13.7265625" style="45" customWidth="1"/>
    <col min="6157" max="6157" width="4.54296875" style="45" customWidth="1"/>
    <col min="6158" max="6158" width="12.26953125" style="45" bestFit="1" customWidth="1"/>
    <col min="6159" max="6399" width="8.7265625" style="45"/>
    <col min="6400" max="6400" width="53" style="45" bestFit="1" customWidth="1"/>
    <col min="6401" max="6412" width="13.7265625" style="45" customWidth="1"/>
    <col min="6413" max="6413" width="4.54296875" style="45" customWidth="1"/>
    <col min="6414" max="6414" width="12.26953125" style="45" bestFit="1" customWidth="1"/>
    <col min="6415" max="6655" width="8.7265625" style="45"/>
    <col min="6656" max="6656" width="53" style="45" bestFit="1" customWidth="1"/>
    <col min="6657" max="6668" width="13.7265625" style="45" customWidth="1"/>
    <col min="6669" max="6669" width="4.54296875" style="45" customWidth="1"/>
    <col min="6670" max="6670" width="12.26953125" style="45" bestFit="1" customWidth="1"/>
    <col min="6671" max="6911" width="8.7265625" style="45"/>
    <col min="6912" max="6912" width="53" style="45" bestFit="1" customWidth="1"/>
    <col min="6913" max="6924" width="13.7265625" style="45" customWidth="1"/>
    <col min="6925" max="6925" width="4.54296875" style="45" customWidth="1"/>
    <col min="6926" max="6926" width="12.26953125" style="45" bestFit="1" customWidth="1"/>
    <col min="6927" max="7167" width="8.7265625" style="45"/>
    <col min="7168" max="7168" width="53" style="45" bestFit="1" customWidth="1"/>
    <col min="7169" max="7180" width="13.7265625" style="45" customWidth="1"/>
    <col min="7181" max="7181" width="4.54296875" style="45" customWidth="1"/>
    <col min="7182" max="7182" width="12.26953125" style="45" bestFit="1" customWidth="1"/>
    <col min="7183" max="7423" width="8.7265625" style="45"/>
    <col min="7424" max="7424" width="53" style="45" bestFit="1" customWidth="1"/>
    <col min="7425" max="7436" width="13.7265625" style="45" customWidth="1"/>
    <col min="7437" max="7437" width="4.54296875" style="45" customWidth="1"/>
    <col min="7438" max="7438" width="12.26953125" style="45" bestFit="1" customWidth="1"/>
    <col min="7439" max="7679" width="8.7265625" style="45"/>
    <col min="7680" max="7680" width="53" style="45" bestFit="1" customWidth="1"/>
    <col min="7681" max="7692" width="13.7265625" style="45" customWidth="1"/>
    <col min="7693" max="7693" width="4.54296875" style="45" customWidth="1"/>
    <col min="7694" max="7694" width="12.26953125" style="45" bestFit="1" customWidth="1"/>
    <col min="7695" max="7935" width="8.7265625" style="45"/>
    <col min="7936" max="7936" width="53" style="45" bestFit="1" customWidth="1"/>
    <col min="7937" max="7948" width="13.7265625" style="45" customWidth="1"/>
    <col min="7949" max="7949" width="4.54296875" style="45" customWidth="1"/>
    <col min="7950" max="7950" width="12.26953125" style="45" bestFit="1" customWidth="1"/>
    <col min="7951" max="8191" width="8.7265625" style="45"/>
    <col min="8192" max="8192" width="53" style="45" bestFit="1" customWidth="1"/>
    <col min="8193" max="8204" width="13.7265625" style="45" customWidth="1"/>
    <col min="8205" max="8205" width="4.54296875" style="45" customWidth="1"/>
    <col min="8206" max="8206" width="12.26953125" style="45" bestFit="1" customWidth="1"/>
    <col min="8207" max="8447" width="8.7265625" style="45"/>
    <col min="8448" max="8448" width="53" style="45" bestFit="1" customWidth="1"/>
    <col min="8449" max="8460" width="13.7265625" style="45" customWidth="1"/>
    <col min="8461" max="8461" width="4.54296875" style="45" customWidth="1"/>
    <col min="8462" max="8462" width="12.26953125" style="45" bestFit="1" customWidth="1"/>
    <col min="8463" max="8703" width="8.7265625" style="45"/>
    <col min="8704" max="8704" width="53" style="45" bestFit="1" customWidth="1"/>
    <col min="8705" max="8716" width="13.7265625" style="45" customWidth="1"/>
    <col min="8717" max="8717" width="4.54296875" style="45" customWidth="1"/>
    <col min="8718" max="8718" width="12.26953125" style="45" bestFit="1" customWidth="1"/>
    <col min="8719" max="8959" width="8.7265625" style="45"/>
    <col min="8960" max="8960" width="53" style="45" bestFit="1" customWidth="1"/>
    <col min="8961" max="8972" width="13.7265625" style="45" customWidth="1"/>
    <col min="8973" max="8973" width="4.54296875" style="45" customWidth="1"/>
    <col min="8974" max="8974" width="12.26953125" style="45" bestFit="1" customWidth="1"/>
    <col min="8975" max="9215" width="8.7265625" style="45"/>
    <col min="9216" max="9216" width="53" style="45" bestFit="1" customWidth="1"/>
    <col min="9217" max="9228" width="13.7265625" style="45" customWidth="1"/>
    <col min="9229" max="9229" width="4.54296875" style="45" customWidth="1"/>
    <col min="9230" max="9230" width="12.26953125" style="45" bestFit="1" customWidth="1"/>
    <col min="9231" max="9471" width="8.7265625" style="45"/>
    <col min="9472" max="9472" width="53" style="45" bestFit="1" customWidth="1"/>
    <col min="9473" max="9484" width="13.7265625" style="45" customWidth="1"/>
    <col min="9485" max="9485" width="4.54296875" style="45" customWidth="1"/>
    <col min="9486" max="9486" width="12.26953125" style="45" bestFit="1" customWidth="1"/>
    <col min="9487" max="9727" width="8.7265625" style="45"/>
    <col min="9728" max="9728" width="53" style="45" bestFit="1" customWidth="1"/>
    <col min="9729" max="9740" width="13.7265625" style="45" customWidth="1"/>
    <col min="9741" max="9741" width="4.54296875" style="45" customWidth="1"/>
    <col min="9742" max="9742" width="12.26953125" style="45" bestFit="1" customWidth="1"/>
    <col min="9743" max="9983" width="8.7265625" style="45"/>
    <col min="9984" max="9984" width="53" style="45" bestFit="1" customWidth="1"/>
    <col min="9985" max="9996" width="13.7265625" style="45" customWidth="1"/>
    <col min="9997" max="9997" width="4.54296875" style="45" customWidth="1"/>
    <col min="9998" max="9998" width="12.26953125" style="45" bestFit="1" customWidth="1"/>
    <col min="9999" max="10239" width="8.7265625" style="45"/>
    <col min="10240" max="10240" width="53" style="45" bestFit="1" customWidth="1"/>
    <col min="10241" max="10252" width="13.7265625" style="45" customWidth="1"/>
    <col min="10253" max="10253" width="4.54296875" style="45" customWidth="1"/>
    <col min="10254" max="10254" width="12.26953125" style="45" bestFit="1" customWidth="1"/>
    <col min="10255" max="10495" width="8.7265625" style="45"/>
    <col min="10496" max="10496" width="53" style="45" bestFit="1" customWidth="1"/>
    <col min="10497" max="10508" width="13.7265625" style="45" customWidth="1"/>
    <col min="10509" max="10509" width="4.54296875" style="45" customWidth="1"/>
    <col min="10510" max="10510" width="12.26953125" style="45" bestFit="1" customWidth="1"/>
    <col min="10511" max="10751" width="8.7265625" style="45"/>
    <col min="10752" max="10752" width="53" style="45" bestFit="1" customWidth="1"/>
    <col min="10753" max="10764" width="13.7265625" style="45" customWidth="1"/>
    <col min="10765" max="10765" width="4.54296875" style="45" customWidth="1"/>
    <col min="10766" max="10766" width="12.26953125" style="45" bestFit="1" customWidth="1"/>
    <col min="10767" max="11007" width="8.7265625" style="45"/>
    <col min="11008" max="11008" width="53" style="45" bestFit="1" customWidth="1"/>
    <col min="11009" max="11020" width="13.7265625" style="45" customWidth="1"/>
    <col min="11021" max="11021" width="4.54296875" style="45" customWidth="1"/>
    <col min="11022" max="11022" width="12.26953125" style="45" bestFit="1" customWidth="1"/>
    <col min="11023" max="11263" width="8.7265625" style="45"/>
    <col min="11264" max="11264" width="53" style="45" bestFit="1" customWidth="1"/>
    <col min="11265" max="11276" width="13.7265625" style="45" customWidth="1"/>
    <col min="11277" max="11277" width="4.54296875" style="45" customWidth="1"/>
    <col min="11278" max="11278" width="12.26953125" style="45" bestFit="1" customWidth="1"/>
    <col min="11279" max="11519" width="8.7265625" style="45"/>
    <col min="11520" max="11520" width="53" style="45" bestFit="1" customWidth="1"/>
    <col min="11521" max="11532" width="13.7265625" style="45" customWidth="1"/>
    <col min="11533" max="11533" width="4.54296875" style="45" customWidth="1"/>
    <col min="11534" max="11534" width="12.26953125" style="45" bestFit="1" customWidth="1"/>
    <col min="11535" max="11775" width="8.7265625" style="45"/>
    <col min="11776" max="11776" width="53" style="45" bestFit="1" customWidth="1"/>
    <col min="11777" max="11788" width="13.7265625" style="45" customWidth="1"/>
    <col min="11789" max="11789" width="4.54296875" style="45" customWidth="1"/>
    <col min="11790" max="11790" width="12.26953125" style="45" bestFit="1" customWidth="1"/>
    <col min="11791" max="12031" width="8.7265625" style="45"/>
    <col min="12032" max="12032" width="53" style="45" bestFit="1" customWidth="1"/>
    <col min="12033" max="12044" width="13.7265625" style="45" customWidth="1"/>
    <col min="12045" max="12045" width="4.54296875" style="45" customWidth="1"/>
    <col min="12046" max="12046" width="12.26953125" style="45" bestFit="1" customWidth="1"/>
    <col min="12047" max="12287" width="8.7265625" style="45"/>
    <col min="12288" max="12288" width="53" style="45" bestFit="1" customWidth="1"/>
    <col min="12289" max="12300" width="13.7265625" style="45" customWidth="1"/>
    <col min="12301" max="12301" width="4.54296875" style="45" customWidth="1"/>
    <col min="12302" max="12302" width="12.26953125" style="45" bestFit="1" customWidth="1"/>
    <col min="12303" max="12543" width="8.7265625" style="45"/>
    <col min="12544" max="12544" width="53" style="45" bestFit="1" customWidth="1"/>
    <col min="12545" max="12556" width="13.7265625" style="45" customWidth="1"/>
    <col min="12557" max="12557" width="4.54296875" style="45" customWidth="1"/>
    <col min="12558" max="12558" width="12.26953125" style="45" bestFit="1" customWidth="1"/>
    <col min="12559" max="12799" width="8.7265625" style="45"/>
    <col min="12800" max="12800" width="53" style="45" bestFit="1" customWidth="1"/>
    <col min="12801" max="12812" width="13.7265625" style="45" customWidth="1"/>
    <col min="12813" max="12813" width="4.54296875" style="45" customWidth="1"/>
    <col min="12814" max="12814" width="12.26953125" style="45" bestFit="1" customWidth="1"/>
    <col min="12815" max="13055" width="8.7265625" style="45"/>
    <col min="13056" max="13056" width="53" style="45" bestFit="1" customWidth="1"/>
    <col min="13057" max="13068" width="13.7265625" style="45" customWidth="1"/>
    <col min="13069" max="13069" width="4.54296875" style="45" customWidth="1"/>
    <col min="13070" max="13070" width="12.26953125" style="45" bestFit="1" customWidth="1"/>
    <col min="13071" max="13311" width="8.7265625" style="45"/>
    <col min="13312" max="13312" width="53" style="45" bestFit="1" customWidth="1"/>
    <col min="13313" max="13324" width="13.7265625" style="45" customWidth="1"/>
    <col min="13325" max="13325" width="4.54296875" style="45" customWidth="1"/>
    <col min="13326" max="13326" width="12.26953125" style="45" bestFit="1" customWidth="1"/>
    <col min="13327" max="13567" width="8.7265625" style="45"/>
    <col min="13568" max="13568" width="53" style="45" bestFit="1" customWidth="1"/>
    <col min="13569" max="13580" width="13.7265625" style="45" customWidth="1"/>
    <col min="13581" max="13581" width="4.54296875" style="45" customWidth="1"/>
    <col min="13582" max="13582" width="12.26953125" style="45" bestFit="1" customWidth="1"/>
    <col min="13583" max="13823" width="8.7265625" style="45"/>
    <col min="13824" max="13824" width="53" style="45" bestFit="1" customWidth="1"/>
    <col min="13825" max="13836" width="13.7265625" style="45" customWidth="1"/>
    <col min="13837" max="13837" width="4.54296875" style="45" customWidth="1"/>
    <col min="13838" max="13838" width="12.26953125" style="45" bestFit="1" customWidth="1"/>
    <col min="13839" max="14079" width="8.7265625" style="45"/>
    <col min="14080" max="14080" width="53" style="45" bestFit="1" customWidth="1"/>
    <col min="14081" max="14092" width="13.7265625" style="45" customWidth="1"/>
    <col min="14093" max="14093" width="4.54296875" style="45" customWidth="1"/>
    <col min="14094" max="14094" width="12.26953125" style="45" bestFit="1" customWidth="1"/>
    <col min="14095" max="14335" width="8.7265625" style="45"/>
    <col min="14336" max="14336" width="53" style="45" bestFit="1" customWidth="1"/>
    <col min="14337" max="14348" width="13.7265625" style="45" customWidth="1"/>
    <col min="14349" max="14349" width="4.54296875" style="45" customWidth="1"/>
    <col min="14350" max="14350" width="12.26953125" style="45" bestFit="1" customWidth="1"/>
    <col min="14351" max="14591" width="8.7265625" style="45"/>
    <col min="14592" max="14592" width="53" style="45" bestFit="1" customWidth="1"/>
    <col min="14593" max="14604" width="13.7265625" style="45" customWidth="1"/>
    <col min="14605" max="14605" width="4.54296875" style="45" customWidth="1"/>
    <col min="14606" max="14606" width="12.26953125" style="45" bestFit="1" customWidth="1"/>
    <col min="14607" max="14847" width="8.7265625" style="45"/>
    <col min="14848" max="14848" width="53" style="45" bestFit="1" customWidth="1"/>
    <col min="14849" max="14860" width="13.7265625" style="45" customWidth="1"/>
    <col min="14861" max="14861" width="4.54296875" style="45" customWidth="1"/>
    <col min="14862" max="14862" width="12.26953125" style="45" bestFit="1" customWidth="1"/>
    <col min="14863" max="15103" width="8.7265625" style="45"/>
    <col min="15104" max="15104" width="53" style="45" bestFit="1" customWidth="1"/>
    <col min="15105" max="15116" width="13.7265625" style="45" customWidth="1"/>
    <col min="15117" max="15117" width="4.54296875" style="45" customWidth="1"/>
    <col min="15118" max="15118" width="12.26953125" style="45" bestFit="1" customWidth="1"/>
    <col min="15119" max="15359" width="8.7265625" style="45"/>
    <col min="15360" max="15360" width="53" style="45" bestFit="1" customWidth="1"/>
    <col min="15361" max="15372" width="13.7265625" style="45" customWidth="1"/>
    <col min="15373" max="15373" width="4.54296875" style="45" customWidth="1"/>
    <col min="15374" max="15374" width="12.26953125" style="45" bestFit="1" customWidth="1"/>
    <col min="15375" max="15615" width="8.7265625" style="45"/>
    <col min="15616" max="15616" width="53" style="45" bestFit="1" customWidth="1"/>
    <col min="15617" max="15628" width="13.7265625" style="45" customWidth="1"/>
    <col min="15629" max="15629" width="4.54296875" style="45" customWidth="1"/>
    <col min="15630" max="15630" width="12.26953125" style="45" bestFit="1" customWidth="1"/>
    <col min="15631" max="15871" width="8.7265625" style="45"/>
    <col min="15872" max="15872" width="53" style="45" bestFit="1" customWidth="1"/>
    <col min="15873" max="15884" width="13.7265625" style="45" customWidth="1"/>
    <col min="15885" max="15885" width="4.54296875" style="45" customWidth="1"/>
    <col min="15886" max="15886" width="12.26953125" style="45" bestFit="1" customWidth="1"/>
    <col min="15887" max="16127" width="8.7265625" style="45"/>
    <col min="16128" max="16128" width="53" style="45" bestFit="1" customWidth="1"/>
    <col min="16129" max="16140" width="13.7265625" style="45" customWidth="1"/>
    <col min="16141" max="16141" width="4.54296875" style="45" customWidth="1"/>
    <col min="16142" max="16142" width="12.26953125" style="45" bestFit="1" customWidth="1"/>
    <col min="16143" max="16384" width="8.7265625" style="45"/>
  </cols>
  <sheetData>
    <row r="1" spans="1:14" ht="18.5">
      <c r="A1" s="657">
        <v>2013</v>
      </c>
    </row>
    <row r="2" spans="1:14">
      <c r="A2" s="656" t="s">
        <v>626</v>
      </c>
      <c r="B2" s="655" t="s">
        <v>625</v>
      </c>
      <c r="C2" s="655" t="s">
        <v>624</v>
      </c>
      <c r="D2" s="655" t="s">
        <v>623</v>
      </c>
      <c r="E2" s="655" t="s">
        <v>622</v>
      </c>
      <c r="F2" s="655" t="s">
        <v>621</v>
      </c>
      <c r="G2" s="655" t="s">
        <v>620</v>
      </c>
      <c r="H2" s="655" t="s">
        <v>619</v>
      </c>
      <c r="I2" s="655" t="s">
        <v>618</v>
      </c>
      <c r="J2" s="655" t="s">
        <v>617</v>
      </c>
      <c r="K2" s="655" t="s">
        <v>616</v>
      </c>
      <c r="L2" s="655" t="s">
        <v>615</v>
      </c>
      <c r="M2" s="655" t="s">
        <v>614</v>
      </c>
    </row>
    <row r="3" spans="1:14">
      <c r="A3" s="45" t="s">
        <v>613</v>
      </c>
      <c r="B3" s="46">
        <v>31</v>
      </c>
      <c r="C3" s="46">
        <v>28</v>
      </c>
      <c r="D3" s="46">
        <v>31</v>
      </c>
      <c r="E3" s="46">
        <v>30</v>
      </c>
      <c r="F3" s="46">
        <v>31</v>
      </c>
      <c r="G3" s="46">
        <v>30</v>
      </c>
      <c r="H3" s="46">
        <v>31</v>
      </c>
      <c r="I3" s="46">
        <v>31</v>
      </c>
      <c r="J3" s="46">
        <v>30</v>
      </c>
      <c r="K3" s="46">
        <v>31</v>
      </c>
      <c r="L3" s="46">
        <v>30</v>
      </c>
      <c r="M3" s="46">
        <v>31</v>
      </c>
    </row>
    <row r="4" spans="1:14" ht="15.5">
      <c r="A4" s="45" t="s">
        <v>612</v>
      </c>
      <c r="B4" s="654">
        <v>1.47E-2</v>
      </c>
      <c r="C4" s="654">
        <v>1.47E-2</v>
      </c>
      <c r="D4" s="654">
        <v>1.47E-2</v>
      </c>
      <c r="E4" s="654">
        <v>1.47E-2</v>
      </c>
      <c r="F4" s="654">
        <v>1.47E-2</v>
      </c>
      <c r="G4" s="654">
        <v>1.47E-2</v>
      </c>
      <c r="H4" s="654">
        <v>1.47E-2</v>
      </c>
      <c r="I4" s="654">
        <v>1.47E-2</v>
      </c>
      <c r="J4" s="654">
        <v>1.47E-2</v>
      </c>
      <c r="K4" s="654">
        <v>1.47E-2</v>
      </c>
      <c r="L4" s="654">
        <v>1.47E-2</v>
      </c>
      <c r="M4" s="654">
        <v>1.47E-2</v>
      </c>
      <c r="N4" s="50"/>
    </row>
    <row r="5" spans="1:14">
      <c r="B5" s="649"/>
      <c r="C5" s="649"/>
      <c r="D5" s="649"/>
      <c r="E5" s="649"/>
      <c r="F5" s="649"/>
      <c r="G5" s="649"/>
      <c r="H5" s="649"/>
      <c r="I5" s="649"/>
      <c r="J5" s="649"/>
      <c r="K5" s="649"/>
      <c r="L5" s="649"/>
      <c r="M5" s="649"/>
      <c r="N5" s="649"/>
    </row>
    <row r="6" spans="1:14" ht="15.5">
      <c r="A6" s="653" t="s">
        <v>611</v>
      </c>
      <c r="B6" s="649">
        <f>'[6]2011-14 LRAMVA Summary'!O26</f>
        <v>8478.6597155280033</v>
      </c>
      <c r="C6" s="649">
        <f>B6</f>
        <v>8478.6597155280033</v>
      </c>
      <c r="D6" s="649">
        <f t="shared" ref="D6:M6" si="0">C6</f>
        <v>8478.6597155280033</v>
      </c>
      <c r="E6" s="649">
        <f t="shared" si="0"/>
        <v>8478.6597155280033</v>
      </c>
      <c r="F6" s="649">
        <f t="shared" si="0"/>
        <v>8478.6597155280033</v>
      </c>
      <c r="G6" s="649">
        <f t="shared" si="0"/>
        <v>8478.6597155280033</v>
      </c>
      <c r="H6" s="649">
        <f t="shared" si="0"/>
        <v>8478.6597155280033</v>
      </c>
      <c r="I6" s="649">
        <f t="shared" si="0"/>
        <v>8478.6597155280033</v>
      </c>
      <c r="J6" s="649">
        <f t="shared" si="0"/>
        <v>8478.6597155280033</v>
      </c>
      <c r="K6" s="649">
        <f t="shared" si="0"/>
        <v>8478.6597155280033</v>
      </c>
      <c r="L6" s="649">
        <f t="shared" si="0"/>
        <v>8478.6597155280033</v>
      </c>
      <c r="M6" s="649">
        <f t="shared" si="0"/>
        <v>8478.6597155280033</v>
      </c>
      <c r="N6" s="649"/>
    </row>
    <row r="7" spans="1:14" ht="15.5">
      <c r="A7" s="653" t="s">
        <v>627</v>
      </c>
      <c r="B7" s="649">
        <f>'[6]2011-14 LRAMVA Summary'!O36</f>
        <v>29267.53192465306</v>
      </c>
      <c r="C7" s="649">
        <f t="shared" ref="C7:M8" si="1">B7</f>
        <v>29267.53192465306</v>
      </c>
      <c r="D7" s="649">
        <f t="shared" si="1"/>
        <v>29267.53192465306</v>
      </c>
      <c r="E7" s="649">
        <f t="shared" si="1"/>
        <v>29267.53192465306</v>
      </c>
      <c r="F7" s="649">
        <f t="shared" si="1"/>
        <v>29267.53192465306</v>
      </c>
      <c r="G7" s="649">
        <f t="shared" si="1"/>
        <v>29267.53192465306</v>
      </c>
      <c r="H7" s="649">
        <f t="shared" si="1"/>
        <v>29267.53192465306</v>
      </c>
      <c r="I7" s="649">
        <f t="shared" si="1"/>
        <v>29267.53192465306</v>
      </c>
      <c r="J7" s="649">
        <f t="shared" si="1"/>
        <v>29267.53192465306</v>
      </c>
      <c r="K7" s="649">
        <f t="shared" si="1"/>
        <v>29267.53192465306</v>
      </c>
      <c r="L7" s="649">
        <f t="shared" si="1"/>
        <v>29267.53192465306</v>
      </c>
      <c r="M7" s="649">
        <f t="shared" si="1"/>
        <v>29267.53192465306</v>
      </c>
      <c r="N7" s="649"/>
    </row>
    <row r="8" spans="1:14" ht="15.5">
      <c r="A8" s="653" t="s">
        <v>628</v>
      </c>
      <c r="B8" s="649"/>
      <c r="C8" s="649"/>
      <c r="D8" s="649"/>
      <c r="E8" s="649"/>
      <c r="F8" s="649"/>
      <c r="G8" s="649">
        <f>'[6]2011-14 LRAMVA Summary'!O46</f>
        <v>58724.370076271647</v>
      </c>
      <c r="H8" s="649">
        <f t="shared" si="1"/>
        <v>58724.370076271647</v>
      </c>
      <c r="I8" s="649">
        <f t="shared" si="1"/>
        <v>58724.370076271647</v>
      </c>
      <c r="J8" s="649">
        <f t="shared" si="1"/>
        <v>58724.370076271647</v>
      </c>
      <c r="K8" s="649">
        <f t="shared" si="1"/>
        <v>58724.370076271647</v>
      </c>
      <c r="L8" s="649">
        <f t="shared" si="1"/>
        <v>58724.370076271647</v>
      </c>
      <c r="M8" s="649">
        <f t="shared" si="1"/>
        <v>58724.370076271647</v>
      </c>
      <c r="N8" s="649"/>
    </row>
    <row r="9" spans="1:14">
      <c r="B9" s="649"/>
      <c r="C9" s="649"/>
      <c r="D9" s="649"/>
      <c r="E9" s="649"/>
      <c r="F9" s="649"/>
      <c r="G9" s="649"/>
      <c r="H9" s="649"/>
      <c r="I9" s="649"/>
      <c r="J9" s="649"/>
      <c r="K9" s="649"/>
      <c r="L9" s="649"/>
      <c r="M9" s="649"/>
      <c r="N9" s="649"/>
    </row>
    <row r="10" spans="1:14" ht="16" thickBot="1">
      <c r="A10" s="652" t="s">
        <v>610</v>
      </c>
      <c r="B10" s="651">
        <f t="shared" ref="B10:M10" si="2">SUM(B6:B8)</f>
        <v>37746.191640181059</v>
      </c>
      <c r="C10" s="651">
        <f t="shared" si="2"/>
        <v>37746.191640181059</v>
      </c>
      <c r="D10" s="651">
        <f t="shared" si="2"/>
        <v>37746.191640181059</v>
      </c>
      <c r="E10" s="651">
        <f t="shared" si="2"/>
        <v>37746.191640181059</v>
      </c>
      <c r="F10" s="651">
        <f t="shared" si="2"/>
        <v>37746.191640181059</v>
      </c>
      <c r="G10" s="651">
        <f t="shared" si="2"/>
        <v>96470.561716452707</v>
      </c>
      <c r="H10" s="651">
        <f t="shared" si="2"/>
        <v>96470.561716452707</v>
      </c>
      <c r="I10" s="651">
        <f t="shared" si="2"/>
        <v>96470.561716452707</v>
      </c>
      <c r="J10" s="651">
        <f t="shared" si="2"/>
        <v>96470.561716452707</v>
      </c>
      <c r="K10" s="651">
        <f t="shared" si="2"/>
        <v>96470.561716452707</v>
      </c>
      <c r="L10" s="651">
        <f t="shared" si="2"/>
        <v>96470.561716452707</v>
      </c>
      <c r="M10" s="651">
        <f t="shared" si="2"/>
        <v>96470.561716452707</v>
      </c>
      <c r="N10" s="650"/>
    </row>
    <row r="11" spans="1:14">
      <c r="B11" s="649"/>
      <c r="C11" s="649"/>
      <c r="D11" s="649"/>
      <c r="E11" s="649"/>
      <c r="F11" s="649"/>
      <c r="G11" s="649"/>
      <c r="H11" s="649"/>
      <c r="I11" s="649"/>
      <c r="J11" s="649"/>
      <c r="K11" s="649"/>
      <c r="L11" s="649"/>
      <c r="M11" s="649"/>
      <c r="N11" s="649"/>
    </row>
    <row r="12" spans="1:14">
      <c r="B12" s="649"/>
      <c r="C12" s="649"/>
      <c r="D12" s="649"/>
      <c r="E12" s="649"/>
      <c r="F12" s="649"/>
      <c r="G12" s="649"/>
      <c r="H12" s="649"/>
      <c r="I12" s="649"/>
      <c r="J12" s="649"/>
      <c r="K12" s="649"/>
      <c r="L12" s="649"/>
      <c r="M12" s="649"/>
      <c r="N12" s="649"/>
    </row>
    <row r="13" spans="1:14">
      <c r="A13" s="45" t="s">
        <v>609</v>
      </c>
      <c r="B13" s="649">
        <f>'[7]Carrying Charges 2012'!M9*B4/365*B3</f>
        <v>47.125861727206868</v>
      </c>
      <c r="C13" s="649">
        <f t="shared" ref="C13:M13" si="3">B10*C4/365*C3</f>
        <v>42.565294463283621</v>
      </c>
      <c r="D13" s="649">
        <f t="shared" si="3"/>
        <v>47.125861727206868</v>
      </c>
      <c r="E13" s="649">
        <f t="shared" si="3"/>
        <v>45.605672639232452</v>
      </c>
      <c r="F13" s="649">
        <f t="shared" si="3"/>
        <v>47.125861727206868</v>
      </c>
      <c r="G13" s="649">
        <f t="shared" si="3"/>
        <v>45.605672639232452</v>
      </c>
      <c r="H13" s="649">
        <f t="shared" si="3"/>
        <v>120.44283554571916</v>
      </c>
      <c r="I13" s="649">
        <f t="shared" si="3"/>
        <v>120.44283554571916</v>
      </c>
      <c r="J13" s="649">
        <f t="shared" si="3"/>
        <v>116.55758278617984</v>
      </c>
      <c r="K13" s="649">
        <f t="shared" si="3"/>
        <v>120.44283554571916</v>
      </c>
      <c r="L13" s="649">
        <f t="shared" si="3"/>
        <v>116.55758278617984</v>
      </c>
      <c r="M13" s="649">
        <f t="shared" si="3"/>
        <v>120.44283554571916</v>
      </c>
      <c r="N13" s="649"/>
    </row>
    <row r="14" spans="1:14">
      <c r="A14" s="45" t="s">
        <v>608</v>
      </c>
      <c r="B14" s="649">
        <f>'[7]Carrying Charges 2012'!M13+B13</f>
        <v>451.47695173276094</v>
      </c>
      <c r="C14" s="649">
        <f t="shared" ref="C14:M14" si="4">B14+C13</f>
        <v>494.04224619604457</v>
      </c>
      <c r="D14" s="649">
        <f t="shared" si="4"/>
        <v>541.16810792325145</v>
      </c>
      <c r="E14" s="649">
        <f t="shared" si="4"/>
        <v>586.77378056248392</v>
      </c>
      <c r="F14" s="649">
        <f t="shared" si="4"/>
        <v>633.89964228969075</v>
      </c>
      <c r="G14" s="649">
        <f t="shared" si="4"/>
        <v>679.50531492892321</v>
      </c>
      <c r="H14" s="649">
        <f t="shared" si="4"/>
        <v>799.94815047464238</v>
      </c>
      <c r="I14" s="649">
        <f t="shared" si="4"/>
        <v>920.39098602036154</v>
      </c>
      <c r="J14" s="649">
        <f t="shared" si="4"/>
        <v>1036.9485688065413</v>
      </c>
      <c r="K14" s="649">
        <f t="shared" si="4"/>
        <v>1157.3914043522605</v>
      </c>
      <c r="L14" s="649">
        <f t="shared" si="4"/>
        <v>1273.9489871384403</v>
      </c>
      <c r="M14" s="649">
        <f t="shared" si="4"/>
        <v>1394.3918226841595</v>
      </c>
      <c r="N14" s="649"/>
    </row>
    <row r="15" spans="1:14">
      <c r="B15" s="50"/>
      <c r="C15" s="50"/>
      <c r="D15" s="50"/>
      <c r="E15" s="50"/>
      <c r="F15" s="50"/>
      <c r="G15" s="50"/>
      <c r="H15" s="50"/>
      <c r="I15" s="50"/>
      <c r="J15" s="50"/>
      <c r="K15" s="50"/>
      <c r="L15" s="50"/>
      <c r="M15" s="50"/>
      <c r="N15" s="50"/>
    </row>
    <row r="16" spans="1:14">
      <c r="B16" s="50"/>
      <c r="C16" s="50"/>
      <c r="D16" s="50"/>
      <c r="E16" s="50"/>
      <c r="F16" s="50"/>
      <c r="G16" s="50"/>
      <c r="H16" s="50"/>
      <c r="I16" s="50"/>
      <c r="J16" s="50"/>
      <c r="K16" s="50"/>
      <c r="L16" s="50"/>
      <c r="M16" s="50"/>
      <c r="N16" s="50"/>
    </row>
    <row r="17" spans="1:14">
      <c r="B17" s="50"/>
      <c r="C17" s="50"/>
      <c r="D17" s="50"/>
      <c r="E17" s="50"/>
      <c r="F17" s="50"/>
      <c r="G17" s="50"/>
      <c r="H17" s="50"/>
      <c r="I17" s="50"/>
      <c r="J17" s="50"/>
      <c r="K17" s="50"/>
      <c r="L17" s="50"/>
      <c r="M17" s="50"/>
      <c r="N17" s="50"/>
    </row>
    <row r="18" spans="1:14">
      <c r="A18" s="52" t="s">
        <v>17</v>
      </c>
      <c r="B18" s="662">
        <f>'[7]Carrying Charges 2012'!M18</f>
        <v>13873.902834430826</v>
      </c>
      <c r="C18" s="663">
        <f>B18</f>
        <v>13873.902834430826</v>
      </c>
      <c r="D18" s="663">
        <f t="shared" ref="D18:M18" si="5">C18</f>
        <v>13873.902834430826</v>
      </c>
      <c r="E18" s="663">
        <f t="shared" si="5"/>
        <v>13873.902834430826</v>
      </c>
      <c r="F18" s="663">
        <f t="shared" si="5"/>
        <v>13873.902834430826</v>
      </c>
      <c r="G18" s="663">
        <f>F18+'[7]2011-14 LRAMVA Summary'!O41</f>
        <v>30461.111812465177</v>
      </c>
      <c r="H18" s="663">
        <f t="shared" si="5"/>
        <v>30461.111812465177</v>
      </c>
      <c r="I18" s="663">
        <f t="shared" si="5"/>
        <v>30461.111812465177</v>
      </c>
      <c r="J18" s="663">
        <f t="shared" si="5"/>
        <v>30461.111812465177</v>
      </c>
      <c r="K18" s="663">
        <f t="shared" si="5"/>
        <v>30461.111812465177</v>
      </c>
      <c r="L18" s="663">
        <f t="shared" si="5"/>
        <v>30461.111812465177</v>
      </c>
      <c r="M18" s="663">
        <f t="shared" si="5"/>
        <v>30461.111812465177</v>
      </c>
      <c r="N18" s="50"/>
    </row>
    <row r="19" spans="1:14">
      <c r="A19" s="45" t="s">
        <v>609</v>
      </c>
      <c r="B19" s="664">
        <f>'[7]Carrying Charges 2012'!M18*'[7]Carrying Charges 2013'!B4/365*'[7]Carrying Charges 2013'!B3</f>
        <v>17.321472662055143</v>
      </c>
      <c r="C19" s="665">
        <f>B18*C4/365*C3</f>
        <v>15.645201114114322</v>
      </c>
      <c r="D19" s="665">
        <f t="shared" ref="D19:M19" si="6">C18*D4/365*D3</f>
        <v>17.321472662055143</v>
      </c>
      <c r="E19" s="665">
        <f t="shared" si="6"/>
        <v>16.762715479408204</v>
      </c>
      <c r="F19" s="665">
        <f t="shared" si="6"/>
        <v>17.321472662055143</v>
      </c>
      <c r="G19" s="665">
        <f t="shared" si="6"/>
        <v>16.762715479408204</v>
      </c>
      <c r="H19" s="665">
        <f t="shared" si="6"/>
        <v>38.03048946011063</v>
      </c>
      <c r="I19" s="665">
        <f t="shared" si="6"/>
        <v>38.03048946011063</v>
      </c>
      <c r="J19" s="665">
        <f t="shared" si="6"/>
        <v>36.803699477526415</v>
      </c>
      <c r="K19" s="665">
        <f t="shared" si="6"/>
        <v>38.03048946011063</v>
      </c>
      <c r="L19" s="665">
        <f t="shared" si="6"/>
        <v>36.803699477526415</v>
      </c>
      <c r="M19" s="665">
        <f t="shared" si="6"/>
        <v>38.03048946011063</v>
      </c>
      <c r="N19" s="50"/>
    </row>
    <row r="20" spans="1:14">
      <c r="A20" s="45" t="s">
        <v>608</v>
      </c>
      <c r="B20" s="664">
        <f>'[7]Carrying Charges 2012'!M20+B19</f>
        <v>173.47105427478567</v>
      </c>
      <c r="C20" s="665">
        <f>B20+C19</f>
        <v>189.11625538889999</v>
      </c>
      <c r="D20" s="665">
        <f t="shared" ref="D20:M20" si="7">C20+D19</f>
        <v>206.43772805095512</v>
      </c>
      <c r="E20" s="665">
        <f t="shared" si="7"/>
        <v>223.20044353036332</v>
      </c>
      <c r="F20" s="665">
        <f t="shared" si="7"/>
        <v>240.52191619241847</v>
      </c>
      <c r="G20" s="665">
        <f t="shared" si="7"/>
        <v>257.28463167182667</v>
      </c>
      <c r="H20" s="665">
        <f t="shared" si="7"/>
        <v>295.3151211319373</v>
      </c>
      <c r="I20" s="665">
        <f t="shared" si="7"/>
        <v>333.34561059204793</v>
      </c>
      <c r="J20" s="665">
        <f t="shared" si="7"/>
        <v>370.14931006957437</v>
      </c>
      <c r="K20" s="665">
        <f t="shared" si="7"/>
        <v>408.179799529685</v>
      </c>
      <c r="L20" s="665">
        <f t="shared" si="7"/>
        <v>444.98349900721144</v>
      </c>
      <c r="M20" s="665">
        <f t="shared" si="7"/>
        <v>483.01398846732206</v>
      </c>
      <c r="N20" s="50"/>
    </row>
    <row r="21" spans="1:14">
      <c r="A21" s="52" t="s">
        <v>86</v>
      </c>
      <c r="B21" s="662">
        <f>'[7]Carrying Charges 2012'!M21</f>
        <v>16556.312928149353</v>
      </c>
      <c r="C21" s="663">
        <f>B21</f>
        <v>16556.312928149353</v>
      </c>
      <c r="D21" s="663">
        <f t="shared" ref="D21:M21" si="8">C21</f>
        <v>16556.312928149353</v>
      </c>
      <c r="E21" s="663">
        <f t="shared" si="8"/>
        <v>16556.312928149353</v>
      </c>
      <c r="F21" s="663">
        <f t="shared" si="8"/>
        <v>16556.312928149353</v>
      </c>
      <c r="G21" s="663">
        <f>F21+'[7]2011-14 LRAMVA Summary'!O42</f>
        <v>38363.76117791007</v>
      </c>
      <c r="H21" s="663">
        <f t="shared" si="8"/>
        <v>38363.76117791007</v>
      </c>
      <c r="I21" s="663">
        <f t="shared" si="8"/>
        <v>38363.76117791007</v>
      </c>
      <c r="J21" s="663">
        <f t="shared" si="8"/>
        <v>38363.76117791007</v>
      </c>
      <c r="K21" s="663">
        <f t="shared" si="8"/>
        <v>38363.76117791007</v>
      </c>
      <c r="L21" s="663">
        <f t="shared" si="8"/>
        <v>38363.76117791007</v>
      </c>
      <c r="M21" s="663">
        <f t="shared" si="8"/>
        <v>38363.76117791007</v>
      </c>
      <c r="N21" s="50"/>
    </row>
    <row r="22" spans="1:14">
      <c r="A22" s="45" t="s">
        <v>609</v>
      </c>
      <c r="B22" s="664">
        <f>'[7]Carrying Charges 2012'!M21*'[7]Carrying Charges 2013'!B4/365*'[7]Carrying Charges 2013'!B3</f>
        <v>20.67044329139085</v>
      </c>
      <c r="C22" s="665">
        <f>B21*C4/365*C3</f>
        <v>18.670077811578832</v>
      </c>
      <c r="D22" s="665">
        <f t="shared" ref="D22:M22" si="9">C21*D4/365*D3</f>
        <v>20.67044329139085</v>
      </c>
      <c r="E22" s="665">
        <f t="shared" si="9"/>
        <v>20.003654798120177</v>
      </c>
      <c r="F22" s="665">
        <f t="shared" si="9"/>
        <v>20.67044329139085</v>
      </c>
      <c r="G22" s="665">
        <f t="shared" si="9"/>
        <v>20.003654798120177</v>
      </c>
      <c r="H22" s="665">
        <f t="shared" si="9"/>
        <v>47.896893065133199</v>
      </c>
      <c r="I22" s="665">
        <f t="shared" si="9"/>
        <v>47.896893065133199</v>
      </c>
      <c r="J22" s="665">
        <f t="shared" si="9"/>
        <v>46.351831998515998</v>
      </c>
      <c r="K22" s="665">
        <f t="shared" si="9"/>
        <v>47.896893065133199</v>
      </c>
      <c r="L22" s="665">
        <f t="shared" si="9"/>
        <v>46.351831998515998</v>
      </c>
      <c r="M22" s="665">
        <f t="shared" si="9"/>
        <v>47.896893065133199</v>
      </c>
      <c r="N22" s="50"/>
    </row>
    <row r="23" spans="1:14">
      <c r="A23" s="45" t="s">
        <v>608</v>
      </c>
      <c r="B23" s="664">
        <f>'[7]Carrying Charges 2012'!M23+B22</f>
        <v>192.74505865977039</v>
      </c>
      <c r="C23" s="665">
        <f>B23+C22</f>
        <v>211.41513647134923</v>
      </c>
      <c r="D23" s="665">
        <f t="shared" ref="D23:M23" si="10">C23+D22</f>
        <v>232.08557976274008</v>
      </c>
      <c r="E23" s="665">
        <f t="shared" si="10"/>
        <v>252.08923456086026</v>
      </c>
      <c r="F23" s="665">
        <f t="shared" si="10"/>
        <v>272.75967785225112</v>
      </c>
      <c r="G23" s="665">
        <f t="shared" si="10"/>
        <v>292.7633326503713</v>
      </c>
      <c r="H23" s="665">
        <f t="shared" si="10"/>
        <v>340.66022571550451</v>
      </c>
      <c r="I23" s="665">
        <f t="shared" si="10"/>
        <v>388.55711878063772</v>
      </c>
      <c r="J23" s="665">
        <f t="shared" si="10"/>
        <v>434.90895077915371</v>
      </c>
      <c r="K23" s="665">
        <f t="shared" si="10"/>
        <v>482.80584384428693</v>
      </c>
      <c r="L23" s="665">
        <f t="shared" si="10"/>
        <v>529.15767584280297</v>
      </c>
      <c r="M23" s="665">
        <f t="shared" si="10"/>
        <v>577.05456890793619</v>
      </c>
      <c r="N23" s="50"/>
    </row>
    <row r="24" spans="1:14">
      <c r="A24" s="52" t="s">
        <v>88</v>
      </c>
      <c r="B24" s="662">
        <f>'[7]Carrying Charges 2012'!M24</f>
        <v>4535.4261850763551</v>
      </c>
      <c r="C24" s="663">
        <f>B24</f>
        <v>4535.4261850763551</v>
      </c>
      <c r="D24" s="663">
        <f t="shared" ref="D24:M24" si="11">C24</f>
        <v>4535.4261850763551</v>
      </c>
      <c r="E24" s="663">
        <f t="shared" si="11"/>
        <v>4535.4261850763551</v>
      </c>
      <c r="F24" s="663">
        <f t="shared" si="11"/>
        <v>4535.4261850763551</v>
      </c>
      <c r="G24" s="663">
        <f>F24+'[7]2011-14 LRAMVA Summary'!O43</f>
        <v>11611.622976743332</v>
      </c>
      <c r="H24" s="663">
        <f t="shared" si="11"/>
        <v>11611.622976743332</v>
      </c>
      <c r="I24" s="663">
        <f t="shared" si="11"/>
        <v>11611.622976743332</v>
      </c>
      <c r="J24" s="663">
        <f t="shared" si="11"/>
        <v>11611.622976743332</v>
      </c>
      <c r="K24" s="663">
        <f t="shared" si="11"/>
        <v>11611.622976743332</v>
      </c>
      <c r="L24" s="663">
        <f t="shared" si="11"/>
        <v>11611.622976743332</v>
      </c>
      <c r="M24" s="663">
        <f t="shared" si="11"/>
        <v>11611.622976743332</v>
      </c>
      <c r="N24" s="50"/>
    </row>
    <row r="25" spans="1:14">
      <c r="A25" s="45" t="s">
        <v>609</v>
      </c>
      <c r="B25" s="666">
        <f>'[7]Carrying Charges 2012'!M24*'[7]Carrying Charges 2013'!B4/365*'[7]Carrying Charges 2013'!B3</f>
        <v>5.6624485275049183</v>
      </c>
      <c r="C25" s="667">
        <f>B24*C4/365*C3</f>
        <v>5.1144696377463772</v>
      </c>
      <c r="D25" s="667">
        <f t="shared" ref="D25:M25" si="12">C24*D4/365*D3</f>
        <v>5.6624485275049183</v>
      </c>
      <c r="E25" s="667">
        <f t="shared" si="12"/>
        <v>5.4797888975854043</v>
      </c>
      <c r="F25" s="667">
        <f t="shared" si="12"/>
        <v>5.6624485275049183</v>
      </c>
      <c r="G25" s="667">
        <f t="shared" si="12"/>
        <v>5.4797888975854043</v>
      </c>
      <c r="H25" s="667">
        <f t="shared" si="12"/>
        <v>14.497031754799826</v>
      </c>
      <c r="I25" s="667">
        <f t="shared" si="12"/>
        <v>14.497031754799826</v>
      </c>
      <c r="J25" s="667">
        <f t="shared" si="12"/>
        <v>14.029385569161123</v>
      </c>
      <c r="K25" s="667">
        <f t="shared" si="12"/>
        <v>14.497031754799826</v>
      </c>
      <c r="L25" s="667">
        <f t="shared" si="12"/>
        <v>14.029385569161123</v>
      </c>
      <c r="M25" s="667">
        <f t="shared" si="12"/>
        <v>14.497031754799826</v>
      </c>
      <c r="N25" s="50"/>
    </row>
    <row r="26" spans="1:14">
      <c r="A26" s="45" t="s">
        <v>608</v>
      </c>
      <c r="B26" s="666">
        <f>B25+'[7]Carrying Charges 2012'!M26</f>
        <v>50.718923822454755</v>
      </c>
      <c r="C26" s="667">
        <f>B26+C25</f>
        <v>55.83339346020113</v>
      </c>
      <c r="D26" s="665">
        <f t="shared" ref="D26:M26" si="13">C26+D25</f>
        <v>61.495841987706051</v>
      </c>
      <c r="E26" s="667">
        <f t="shared" si="13"/>
        <v>66.975630885291451</v>
      </c>
      <c r="F26" s="667">
        <f t="shared" si="13"/>
        <v>72.638079412796372</v>
      </c>
      <c r="G26" s="667">
        <f t="shared" si="13"/>
        <v>78.11786831038178</v>
      </c>
      <c r="H26" s="667">
        <f t="shared" si="13"/>
        <v>92.614900065181601</v>
      </c>
      <c r="I26" s="667">
        <f t="shared" si="13"/>
        <v>107.11193181998142</v>
      </c>
      <c r="J26" s="667">
        <f t="shared" si="13"/>
        <v>121.14131738914254</v>
      </c>
      <c r="K26" s="667">
        <f t="shared" si="13"/>
        <v>135.63834914394238</v>
      </c>
      <c r="L26" s="667">
        <f t="shared" si="13"/>
        <v>149.6677347131035</v>
      </c>
      <c r="M26" s="667">
        <f t="shared" si="13"/>
        <v>164.16476646790332</v>
      </c>
      <c r="N26" s="50"/>
    </row>
    <row r="27" spans="1:14">
      <c r="A27" s="52" t="s">
        <v>57</v>
      </c>
      <c r="B27" s="668">
        <f>'[7]Carrying Charges 2012'!M27</f>
        <v>2615.6848702527473</v>
      </c>
      <c r="C27" s="669">
        <f>B27</f>
        <v>2615.6848702527473</v>
      </c>
      <c r="D27" s="669">
        <f t="shared" ref="D27:M27" si="14">C27</f>
        <v>2615.6848702527473</v>
      </c>
      <c r="E27" s="669">
        <f t="shared" si="14"/>
        <v>2615.6848702527473</v>
      </c>
      <c r="F27" s="669">
        <f t="shared" si="14"/>
        <v>2615.6848702527473</v>
      </c>
      <c r="G27" s="669">
        <f>F27+'[7]2011-14 LRAMVA Summary'!O44</f>
        <v>5000.5380458086202</v>
      </c>
      <c r="H27" s="669">
        <f t="shared" si="14"/>
        <v>5000.5380458086202</v>
      </c>
      <c r="I27" s="669">
        <f t="shared" si="14"/>
        <v>5000.5380458086202</v>
      </c>
      <c r="J27" s="669">
        <f t="shared" si="14"/>
        <v>5000.5380458086202</v>
      </c>
      <c r="K27" s="669">
        <f t="shared" si="14"/>
        <v>5000.5380458086202</v>
      </c>
      <c r="L27" s="669">
        <f t="shared" si="14"/>
        <v>5000.5380458086202</v>
      </c>
      <c r="M27" s="669">
        <f t="shared" si="14"/>
        <v>5000.5380458086202</v>
      </c>
      <c r="N27" s="53"/>
    </row>
    <row r="28" spans="1:14">
      <c r="A28" s="45" t="s">
        <v>609</v>
      </c>
      <c r="B28" s="670">
        <f>'[7]Carrying Charges 2012'!M27*'[7]Carrying Charges 2013'!B4/365*'[7]Carrying Charges 2013'!B3</f>
        <v>3.2656646448607582</v>
      </c>
      <c r="C28" s="671">
        <f>B27*C4/365*C3</f>
        <v>2.9496325824548784</v>
      </c>
      <c r="D28" s="671">
        <f t="shared" ref="D28:M28" si="15">C27*D4/365*D3</f>
        <v>3.2656646448607582</v>
      </c>
      <c r="E28" s="671">
        <f t="shared" si="15"/>
        <v>3.160320624058798</v>
      </c>
      <c r="F28" s="671">
        <f t="shared" si="15"/>
        <v>3.2656646448607582</v>
      </c>
      <c r="G28" s="671">
        <f t="shared" si="15"/>
        <v>3.160320624058798</v>
      </c>
      <c r="H28" s="671">
        <f t="shared" si="15"/>
        <v>6.2431374999314748</v>
      </c>
      <c r="I28" s="671">
        <f t="shared" si="15"/>
        <v>6.2431374999314748</v>
      </c>
      <c r="J28" s="671">
        <f t="shared" si="15"/>
        <v>6.0417459676756202</v>
      </c>
      <c r="K28" s="671">
        <f t="shared" si="15"/>
        <v>6.2431374999314748</v>
      </c>
      <c r="L28" s="671">
        <f t="shared" si="15"/>
        <v>6.0417459676756202</v>
      </c>
      <c r="M28" s="671">
        <f t="shared" si="15"/>
        <v>6.2431374999314748</v>
      </c>
      <c r="N28" s="53"/>
    </row>
    <row r="29" spans="1:14">
      <c r="A29" s="45" t="s">
        <v>608</v>
      </c>
      <c r="B29" s="670">
        <f>'[7]Carrying Charges 2012'!M29+B28</f>
        <v>33.114366288654395</v>
      </c>
      <c r="C29" s="671">
        <f>B29+C28</f>
        <v>36.063998871109277</v>
      </c>
      <c r="D29" s="665">
        <f t="shared" ref="D29:M29" si="16">C29+D28</f>
        <v>39.329663515970033</v>
      </c>
      <c r="E29" s="671">
        <f t="shared" si="16"/>
        <v>42.489984140028831</v>
      </c>
      <c r="F29" s="671">
        <f t="shared" si="16"/>
        <v>45.755648784889587</v>
      </c>
      <c r="G29" s="671">
        <f t="shared" si="16"/>
        <v>48.915969408948385</v>
      </c>
      <c r="H29" s="671">
        <f t="shared" si="16"/>
        <v>55.159106908879863</v>
      </c>
      <c r="I29" s="671">
        <f t="shared" si="16"/>
        <v>61.402244408811342</v>
      </c>
      <c r="J29" s="671">
        <f t="shared" si="16"/>
        <v>67.443990376486965</v>
      </c>
      <c r="K29" s="671">
        <f t="shared" si="16"/>
        <v>73.687127876418444</v>
      </c>
      <c r="L29" s="671">
        <f t="shared" si="16"/>
        <v>79.728873844094068</v>
      </c>
      <c r="M29" s="671">
        <f t="shared" si="16"/>
        <v>85.972011344025546</v>
      </c>
    </row>
    <row r="30" spans="1:14">
      <c r="A30" s="52" t="s">
        <v>636</v>
      </c>
      <c r="B30" s="668">
        <f>'[7]Carrying Charges 2012'!M30</f>
        <v>164.86482227178084</v>
      </c>
      <c r="C30" s="669">
        <f>B30</f>
        <v>164.86482227178084</v>
      </c>
      <c r="D30" s="669">
        <f t="shared" ref="D30:M30" si="17">C30</f>
        <v>164.86482227178084</v>
      </c>
      <c r="E30" s="669">
        <f t="shared" si="17"/>
        <v>164.86482227178084</v>
      </c>
      <c r="F30" s="669">
        <f t="shared" si="17"/>
        <v>164.86482227178084</v>
      </c>
      <c r="G30" s="669">
        <f>F30+'[7]2011-14 LRAMVA Summary'!O45</f>
        <v>11033.527703525508</v>
      </c>
      <c r="H30" s="669">
        <f t="shared" si="17"/>
        <v>11033.527703525508</v>
      </c>
      <c r="I30" s="669">
        <f t="shared" si="17"/>
        <v>11033.527703525508</v>
      </c>
      <c r="J30" s="669">
        <f t="shared" si="17"/>
        <v>11033.527703525508</v>
      </c>
      <c r="K30" s="669">
        <f t="shared" si="17"/>
        <v>11033.527703525508</v>
      </c>
      <c r="L30" s="669">
        <f t="shared" si="17"/>
        <v>11033.527703525508</v>
      </c>
      <c r="M30" s="669">
        <f t="shared" si="17"/>
        <v>11033.527703525508</v>
      </c>
    </row>
    <row r="31" spans="1:14">
      <c r="A31" s="45" t="s">
        <v>609</v>
      </c>
      <c r="B31" s="670">
        <f>'[7]Carrying Charges 2012'!M30*'[7]Carrying Charges 2013'!B4/365*'[7]Carrying Charges 2013'!B3</f>
        <v>0.20583260139520693</v>
      </c>
      <c r="C31" s="671">
        <f>B30*C4/365*C3</f>
        <v>0.18591331738921915</v>
      </c>
      <c r="D31" s="671">
        <f t="shared" ref="D31:M31" si="18">C30*D4/365*D3</f>
        <v>0.20583260139520693</v>
      </c>
      <c r="E31" s="671">
        <f t="shared" si="18"/>
        <v>0.19919284005987767</v>
      </c>
      <c r="F31" s="671">
        <f t="shared" si="18"/>
        <v>0.20583260139520693</v>
      </c>
      <c r="G31" s="671">
        <f t="shared" si="18"/>
        <v>0.19919284005987767</v>
      </c>
      <c r="H31" s="671">
        <f t="shared" si="18"/>
        <v>13.775283765744037</v>
      </c>
      <c r="I31" s="671">
        <f t="shared" si="18"/>
        <v>13.775283765744037</v>
      </c>
      <c r="J31" s="671">
        <f t="shared" si="18"/>
        <v>13.330919773300682</v>
      </c>
      <c r="K31" s="671">
        <f t="shared" si="18"/>
        <v>13.775283765744037</v>
      </c>
      <c r="L31" s="671">
        <f t="shared" si="18"/>
        <v>13.330919773300682</v>
      </c>
      <c r="M31" s="671">
        <f t="shared" si="18"/>
        <v>13.775283765744037</v>
      </c>
    </row>
    <row r="32" spans="1:14">
      <c r="A32" s="45" t="s">
        <v>608</v>
      </c>
      <c r="B32" s="670">
        <f>'[7]Carrying Charges 2012'!M32+B31</f>
        <v>1.4275486870957901</v>
      </c>
      <c r="C32" s="671">
        <f>B32+C31</f>
        <v>1.6134620044850092</v>
      </c>
      <c r="D32" s="665">
        <f t="shared" ref="D32:M32" si="19">C32+D31</f>
        <v>1.8192946058802162</v>
      </c>
      <c r="E32" s="671">
        <f t="shared" si="19"/>
        <v>2.0184874459400937</v>
      </c>
      <c r="F32" s="671">
        <f t="shared" si="19"/>
        <v>2.2243200473353006</v>
      </c>
      <c r="G32" s="671">
        <f t="shared" si="19"/>
        <v>2.4235128873951783</v>
      </c>
      <c r="H32" s="671">
        <f t="shared" si="19"/>
        <v>16.198796653139215</v>
      </c>
      <c r="I32" s="671">
        <f t="shared" si="19"/>
        <v>29.974080418883254</v>
      </c>
      <c r="J32" s="671">
        <f t="shared" si="19"/>
        <v>43.30500019218394</v>
      </c>
      <c r="K32" s="671">
        <f t="shared" si="19"/>
        <v>57.080283957927975</v>
      </c>
      <c r="L32" s="671">
        <f t="shared" si="19"/>
        <v>70.411203731228653</v>
      </c>
      <c r="M32" s="671">
        <f t="shared" si="19"/>
        <v>84.186487496972688</v>
      </c>
    </row>
    <row r="33" spans="2:13" s="45" customFormat="1">
      <c r="B33" s="670"/>
      <c r="C33" s="46"/>
      <c r="D33" s="46"/>
      <c r="E33" s="46"/>
      <c r="F33" s="46"/>
      <c r="G33" s="46"/>
      <c r="H33" s="46"/>
      <c r="I33" s="46"/>
      <c r="J33" s="46"/>
      <c r="K33" s="46"/>
      <c r="L33" s="46"/>
      <c r="M33" s="46"/>
    </row>
    <row r="34" spans="2:13" s="45" customFormat="1">
      <c r="B34" s="670"/>
      <c r="C34" s="46"/>
      <c r="D34" s="46"/>
      <c r="E34" s="46"/>
      <c r="F34" s="46"/>
      <c r="G34" s="46"/>
      <c r="H34" s="46"/>
      <c r="I34" s="46"/>
      <c r="J34" s="46"/>
      <c r="K34" s="46"/>
      <c r="L34" s="46"/>
      <c r="M34" s="46"/>
    </row>
    <row r="35" spans="2:13" s="45" customFormat="1">
      <c r="B35" s="46"/>
      <c r="C35" s="46"/>
      <c r="D35" s="46"/>
      <c r="E35" s="46"/>
      <c r="F35" s="46"/>
      <c r="G35" s="46"/>
      <c r="H35" s="46"/>
      <c r="I35" s="46"/>
      <c r="J35" s="46"/>
      <c r="K35" s="46"/>
      <c r="L35" s="46"/>
      <c r="M35" s="46"/>
    </row>
    <row r="36" spans="2:13" s="45" customFormat="1">
      <c r="B36" s="671"/>
      <c r="C36" s="671"/>
      <c r="D36" s="671"/>
      <c r="E36" s="671"/>
      <c r="F36" s="671"/>
      <c r="G36" s="671"/>
      <c r="H36" s="671"/>
      <c r="I36" s="671"/>
      <c r="J36" s="671"/>
      <c r="K36" s="671"/>
      <c r="L36" s="671" t="s">
        <v>635</v>
      </c>
      <c r="M36" s="671">
        <f>M20+M23+M26+M29+M32-M14</f>
        <v>0</v>
      </c>
    </row>
  </sheetData>
  <pageMargins left="0.7" right="0.7" top="0.75" bottom="0.75" header="0.3" footer="0.3"/>
  <pageSetup scale="53" orientation="landscape" r:id="rId1"/>
  <headerFooter>
    <oddFooter>&amp;R&amp;Z&amp;F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7"/>
  <sheetViews>
    <sheetView zoomScale="70" zoomScaleNormal="70" workbookViewId="0">
      <selection activeCell="H43" sqref="H43"/>
    </sheetView>
  </sheetViews>
  <sheetFormatPr defaultRowHeight="14.5"/>
  <cols>
    <col min="1" max="1" width="53" style="45" bestFit="1" customWidth="1"/>
    <col min="2" max="13" width="19" style="46" bestFit="1" customWidth="1"/>
    <col min="14" max="14" width="4.54296875" style="46" customWidth="1"/>
    <col min="15" max="255" width="8.7265625" style="45"/>
    <col min="256" max="256" width="53" style="45" bestFit="1" customWidth="1"/>
    <col min="257" max="268" width="13.7265625" style="45" customWidth="1"/>
    <col min="269" max="269" width="4.54296875" style="45" customWidth="1"/>
    <col min="270" max="270" width="12.26953125" style="45" bestFit="1" customWidth="1"/>
    <col min="271" max="511" width="8.7265625" style="45"/>
    <col min="512" max="512" width="53" style="45" bestFit="1" customWidth="1"/>
    <col min="513" max="524" width="13.7265625" style="45" customWidth="1"/>
    <col min="525" max="525" width="4.54296875" style="45" customWidth="1"/>
    <col min="526" max="526" width="12.26953125" style="45" bestFit="1" customWidth="1"/>
    <col min="527" max="767" width="8.7265625" style="45"/>
    <col min="768" max="768" width="53" style="45" bestFit="1" customWidth="1"/>
    <col min="769" max="780" width="13.7265625" style="45" customWidth="1"/>
    <col min="781" max="781" width="4.54296875" style="45" customWidth="1"/>
    <col min="782" max="782" width="12.26953125" style="45" bestFit="1" customWidth="1"/>
    <col min="783" max="1023" width="8.7265625" style="45"/>
    <col min="1024" max="1024" width="53" style="45" bestFit="1" customWidth="1"/>
    <col min="1025" max="1036" width="13.7265625" style="45" customWidth="1"/>
    <col min="1037" max="1037" width="4.54296875" style="45" customWidth="1"/>
    <col min="1038" max="1038" width="12.26953125" style="45" bestFit="1" customWidth="1"/>
    <col min="1039" max="1279" width="8.7265625" style="45"/>
    <col min="1280" max="1280" width="53" style="45" bestFit="1" customWidth="1"/>
    <col min="1281" max="1292" width="13.7265625" style="45" customWidth="1"/>
    <col min="1293" max="1293" width="4.54296875" style="45" customWidth="1"/>
    <col min="1294" max="1294" width="12.26953125" style="45" bestFit="1" customWidth="1"/>
    <col min="1295" max="1535" width="8.7265625" style="45"/>
    <col min="1536" max="1536" width="53" style="45" bestFit="1" customWidth="1"/>
    <col min="1537" max="1548" width="13.7265625" style="45" customWidth="1"/>
    <col min="1549" max="1549" width="4.54296875" style="45" customWidth="1"/>
    <col min="1550" max="1550" width="12.26953125" style="45" bestFit="1" customWidth="1"/>
    <col min="1551" max="1791" width="8.7265625" style="45"/>
    <col min="1792" max="1792" width="53" style="45" bestFit="1" customWidth="1"/>
    <col min="1793" max="1804" width="13.7265625" style="45" customWidth="1"/>
    <col min="1805" max="1805" width="4.54296875" style="45" customWidth="1"/>
    <col min="1806" max="1806" width="12.26953125" style="45" bestFit="1" customWidth="1"/>
    <col min="1807" max="2047" width="8.7265625" style="45"/>
    <col min="2048" max="2048" width="53" style="45" bestFit="1" customWidth="1"/>
    <col min="2049" max="2060" width="13.7265625" style="45" customWidth="1"/>
    <col min="2061" max="2061" width="4.54296875" style="45" customWidth="1"/>
    <col min="2062" max="2062" width="12.26953125" style="45" bestFit="1" customWidth="1"/>
    <col min="2063" max="2303" width="8.7265625" style="45"/>
    <col min="2304" max="2304" width="53" style="45" bestFit="1" customWidth="1"/>
    <col min="2305" max="2316" width="13.7265625" style="45" customWidth="1"/>
    <col min="2317" max="2317" width="4.54296875" style="45" customWidth="1"/>
    <col min="2318" max="2318" width="12.26953125" style="45" bestFit="1" customWidth="1"/>
    <col min="2319" max="2559" width="8.7265625" style="45"/>
    <col min="2560" max="2560" width="53" style="45" bestFit="1" customWidth="1"/>
    <col min="2561" max="2572" width="13.7265625" style="45" customWidth="1"/>
    <col min="2573" max="2573" width="4.54296875" style="45" customWidth="1"/>
    <col min="2574" max="2574" width="12.26953125" style="45" bestFit="1" customWidth="1"/>
    <col min="2575" max="2815" width="8.7265625" style="45"/>
    <col min="2816" max="2816" width="53" style="45" bestFit="1" customWidth="1"/>
    <col min="2817" max="2828" width="13.7265625" style="45" customWidth="1"/>
    <col min="2829" max="2829" width="4.54296875" style="45" customWidth="1"/>
    <col min="2830" max="2830" width="12.26953125" style="45" bestFit="1" customWidth="1"/>
    <col min="2831" max="3071" width="8.7265625" style="45"/>
    <col min="3072" max="3072" width="53" style="45" bestFit="1" customWidth="1"/>
    <col min="3073" max="3084" width="13.7265625" style="45" customWidth="1"/>
    <col min="3085" max="3085" width="4.54296875" style="45" customWidth="1"/>
    <col min="3086" max="3086" width="12.26953125" style="45" bestFit="1" customWidth="1"/>
    <col min="3087" max="3327" width="8.7265625" style="45"/>
    <col min="3328" max="3328" width="53" style="45" bestFit="1" customWidth="1"/>
    <col min="3329" max="3340" width="13.7265625" style="45" customWidth="1"/>
    <col min="3341" max="3341" width="4.54296875" style="45" customWidth="1"/>
    <col min="3342" max="3342" width="12.26953125" style="45" bestFit="1" customWidth="1"/>
    <col min="3343" max="3583" width="8.7265625" style="45"/>
    <col min="3584" max="3584" width="53" style="45" bestFit="1" customWidth="1"/>
    <col min="3585" max="3596" width="13.7265625" style="45" customWidth="1"/>
    <col min="3597" max="3597" width="4.54296875" style="45" customWidth="1"/>
    <col min="3598" max="3598" width="12.26953125" style="45" bestFit="1" customWidth="1"/>
    <col min="3599" max="3839" width="8.7265625" style="45"/>
    <col min="3840" max="3840" width="53" style="45" bestFit="1" customWidth="1"/>
    <col min="3841" max="3852" width="13.7265625" style="45" customWidth="1"/>
    <col min="3853" max="3853" width="4.54296875" style="45" customWidth="1"/>
    <col min="3854" max="3854" width="12.26953125" style="45" bestFit="1" customWidth="1"/>
    <col min="3855" max="4095" width="8.7265625" style="45"/>
    <col min="4096" max="4096" width="53" style="45" bestFit="1" customWidth="1"/>
    <col min="4097" max="4108" width="13.7265625" style="45" customWidth="1"/>
    <col min="4109" max="4109" width="4.54296875" style="45" customWidth="1"/>
    <col min="4110" max="4110" width="12.26953125" style="45" bestFit="1" customWidth="1"/>
    <col min="4111" max="4351" width="8.7265625" style="45"/>
    <col min="4352" max="4352" width="53" style="45" bestFit="1" customWidth="1"/>
    <col min="4353" max="4364" width="13.7265625" style="45" customWidth="1"/>
    <col min="4365" max="4365" width="4.54296875" style="45" customWidth="1"/>
    <col min="4366" max="4366" width="12.26953125" style="45" bestFit="1" customWidth="1"/>
    <col min="4367" max="4607" width="8.7265625" style="45"/>
    <col min="4608" max="4608" width="53" style="45" bestFit="1" customWidth="1"/>
    <col min="4609" max="4620" width="13.7265625" style="45" customWidth="1"/>
    <col min="4621" max="4621" width="4.54296875" style="45" customWidth="1"/>
    <col min="4622" max="4622" width="12.26953125" style="45" bestFit="1" customWidth="1"/>
    <col min="4623" max="4863" width="8.7265625" style="45"/>
    <col min="4864" max="4864" width="53" style="45" bestFit="1" customWidth="1"/>
    <col min="4865" max="4876" width="13.7265625" style="45" customWidth="1"/>
    <col min="4877" max="4877" width="4.54296875" style="45" customWidth="1"/>
    <col min="4878" max="4878" width="12.26953125" style="45" bestFit="1" customWidth="1"/>
    <col min="4879" max="5119" width="8.7265625" style="45"/>
    <col min="5120" max="5120" width="53" style="45" bestFit="1" customWidth="1"/>
    <col min="5121" max="5132" width="13.7265625" style="45" customWidth="1"/>
    <col min="5133" max="5133" width="4.54296875" style="45" customWidth="1"/>
    <col min="5134" max="5134" width="12.26953125" style="45" bestFit="1" customWidth="1"/>
    <col min="5135" max="5375" width="8.7265625" style="45"/>
    <col min="5376" max="5376" width="53" style="45" bestFit="1" customWidth="1"/>
    <col min="5377" max="5388" width="13.7265625" style="45" customWidth="1"/>
    <col min="5389" max="5389" width="4.54296875" style="45" customWidth="1"/>
    <col min="5390" max="5390" width="12.26953125" style="45" bestFit="1" customWidth="1"/>
    <col min="5391" max="5631" width="8.7265625" style="45"/>
    <col min="5632" max="5632" width="53" style="45" bestFit="1" customWidth="1"/>
    <col min="5633" max="5644" width="13.7265625" style="45" customWidth="1"/>
    <col min="5645" max="5645" width="4.54296875" style="45" customWidth="1"/>
    <col min="5646" max="5646" width="12.26953125" style="45" bestFit="1" customWidth="1"/>
    <col min="5647" max="5887" width="8.7265625" style="45"/>
    <col min="5888" max="5888" width="53" style="45" bestFit="1" customWidth="1"/>
    <col min="5889" max="5900" width="13.7265625" style="45" customWidth="1"/>
    <col min="5901" max="5901" width="4.54296875" style="45" customWidth="1"/>
    <col min="5902" max="5902" width="12.26953125" style="45" bestFit="1" customWidth="1"/>
    <col min="5903" max="6143" width="8.7265625" style="45"/>
    <col min="6144" max="6144" width="53" style="45" bestFit="1" customWidth="1"/>
    <col min="6145" max="6156" width="13.7265625" style="45" customWidth="1"/>
    <col min="6157" max="6157" width="4.54296875" style="45" customWidth="1"/>
    <col min="6158" max="6158" width="12.26953125" style="45" bestFit="1" customWidth="1"/>
    <col min="6159" max="6399" width="8.7265625" style="45"/>
    <col min="6400" max="6400" width="53" style="45" bestFit="1" customWidth="1"/>
    <col min="6401" max="6412" width="13.7265625" style="45" customWidth="1"/>
    <col min="6413" max="6413" width="4.54296875" style="45" customWidth="1"/>
    <col min="6414" max="6414" width="12.26953125" style="45" bestFit="1" customWidth="1"/>
    <col min="6415" max="6655" width="8.7265625" style="45"/>
    <col min="6656" max="6656" width="53" style="45" bestFit="1" customWidth="1"/>
    <col min="6657" max="6668" width="13.7265625" style="45" customWidth="1"/>
    <col min="6669" max="6669" width="4.54296875" style="45" customWidth="1"/>
    <col min="6670" max="6670" width="12.26953125" style="45" bestFit="1" customWidth="1"/>
    <col min="6671" max="6911" width="8.7265625" style="45"/>
    <col min="6912" max="6912" width="53" style="45" bestFit="1" customWidth="1"/>
    <col min="6913" max="6924" width="13.7265625" style="45" customWidth="1"/>
    <col min="6925" max="6925" width="4.54296875" style="45" customWidth="1"/>
    <col min="6926" max="6926" width="12.26953125" style="45" bestFit="1" customWidth="1"/>
    <col min="6927" max="7167" width="8.7265625" style="45"/>
    <col min="7168" max="7168" width="53" style="45" bestFit="1" customWidth="1"/>
    <col min="7169" max="7180" width="13.7265625" style="45" customWidth="1"/>
    <col min="7181" max="7181" width="4.54296875" style="45" customWidth="1"/>
    <col min="7182" max="7182" width="12.26953125" style="45" bestFit="1" customWidth="1"/>
    <col min="7183" max="7423" width="8.7265625" style="45"/>
    <col min="7424" max="7424" width="53" style="45" bestFit="1" customWidth="1"/>
    <col min="7425" max="7436" width="13.7265625" style="45" customWidth="1"/>
    <col min="7437" max="7437" width="4.54296875" style="45" customWidth="1"/>
    <col min="7438" max="7438" width="12.26953125" style="45" bestFit="1" customWidth="1"/>
    <col min="7439" max="7679" width="8.7265625" style="45"/>
    <col min="7680" max="7680" width="53" style="45" bestFit="1" customWidth="1"/>
    <col min="7681" max="7692" width="13.7265625" style="45" customWidth="1"/>
    <col min="7693" max="7693" width="4.54296875" style="45" customWidth="1"/>
    <col min="7694" max="7694" width="12.26953125" style="45" bestFit="1" customWidth="1"/>
    <col min="7695" max="7935" width="8.7265625" style="45"/>
    <col min="7936" max="7936" width="53" style="45" bestFit="1" customWidth="1"/>
    <col min="7937" max="7948" width="13.7265625" style="45" customWidth="1"/>
    <col min="7949" max="7949" width="4.54296875" style="45" customWidth="1"/>
    <col min="7950" max="7950" width="12.26953125" style="45" bestFit="1" customWidth="1"/>
    <col min="7951" max="8191" width="8.7265625" style="45"/>
    <col min="8192" max="8192" width="53" style="45" bestFit="1" customWidth="1"/>
    <col min="8193" max="8204" width="13.7265625" style="45" customWidth="1"/>
    <col min="8205" max="8205" width="4.54296875" style="45" customWidth="1"/>
    <col min="8206" max="8206" width="12.26953125" style="45" bestFit="1" customWidth="1"/>
    <col min="8207" max="8447" width="8.7265625" style="45"/>
    <col min="8448" max="8448" width="53" style="45" bestFit="1" customWidth="1"/>
    <col min="8449" max="8460" width="13.7265625" style="45" customWidth="1"/>
    <col min="8461" max="8461" width="4.54296875" style="45" customWidth="1"/>
    <col min="8462" max="8462" width="12.26953125" style="45" bestFit="1" customWidth="1"/>
    <col min="8463" max="8703" width="8.7265625" style="45"/>
    <col min="8704" max="8704" width="53" style="45" bestFit="1" customWidth="1"/>
    <col min="8705" max="8716" width="13.7265625" style="45" customWidth="1"/>
    <col min="8717" max="8717" width="4.54296875" style="45" customWidth="1"/>
    <col min="8718" max="8718" width="12.26953125" style="45" bestFit="1" customWidth="1"/>
    <col min="8719" max="8959" width="8.7265625" style="45"/>
    <col min="8960" max="8960" width="53" style="45" bestFit="1" customWidth="1"/>
    <col min="8961" max="8972" width="13.7265625" style="45" customWidth="1"/>
    <col min="8973" max="8973" width="4.54296875" style="45" customWidth="1"/>
    <col min="8974" max="8974" width="12.26953125" style="45" bestFit="1" customWidth="1"/>
    <col min="8975" max="9215" width="8.7265625" style="45"/>
    <col min="9216" max="9216" width="53" style="45" bestFit="1" customWidth="1"/>
    <col min="9217" max="9228" width="13.7265625" style="45" customWidth="1"/>
    <col min="9229" max="9229" width="4.54296875" style="45" customWidth="1"/>
    <col min="9230" max="9230" width="12.26953125" style="45" bestFit="1" customWidth="1"/>
    <col min="9231" max="9471" width="8.7265625" style="45"/>
    <col min="9472" max="9472" width="53" style="45" bestFit="1" customWidth="1"/>
    <col min="9473" max="9484" width="13.7265625" style="45" customWidth="1"/>
    <col min="9485" max="9485" width="4.54296875" style="45" customWidth="1"/>
    <col min="9486" max="9486" width="12.26953125" style="45" bestFit="1" customWidth="1"/>
    <col min="9487" max="9727" width="8.7265625" style="45"/>
    <col min="9728" max="9728" width="53" style="45" bestFit="1" customWidth="1"/>
    <col min="9729" max="9740" width="13.7265625" style="45" customWidth="1"/>
    <col min="9741" max="9741" width="4.54296875" style="45" customWidth="1"/>
    <col min="9742" max="9742" width="12.26953125" style="45" bestFit="1" customWidth="1"/>
    <col min="9743" max="9983" width="8.7265625" style="45"/>
    <col min="9984" max="9984" width="53" style="45" bestFit="1" customWidth="1"/>
    <col min="9985" max="9996" width="13.7265625" style="45" customWidth="1"/>
    <col min="9997" max="9997" width="4.54296875" style="45" customWidth="1"/>
    <col min="9998" max="9998" width="12.26953125" style="45" bestFit="1" customWidth="1"/>
    <col min="9999" max="10239" width="8.7265625" style="45"/>
    <col min="10240" max="10240" width="53" style="45" bestFit="1" customWidth="1"/>
    <col min="10241" max="10252" width="13.7265625" style="45" customWidth="1"/>
    <col min="10253" max="10253" width="4.54296875" style="45" customWidth="1"/>
    <col min="10254" max="10254" width="12.26953125" style="45" bestFit="1" customWidth="1"/>
    <col min="10255" max="10495" width="8.7265625" style="45"/>
    <col min="10496" max="10496" width="53" style="45" bestFit="1" customWidth="1"/>
    <col min="10497" max="10508" width="13.7265625" style="45" customWidth="1"/>
    <col min="10509" max="10509" width="4.54296875" style="45" customWidth="1"/>
    <col min="10510" max="10510" width="12.26953125" style="45" bestFit="1" customWidth="1"/>
    <col min="10511" max="10751" width="8.7265625" style="45"/>
    <col min="10752" max="10752" width="53" style="45" bestFit="1" customWidth="1"/>
    <col min="10753" max="10764" width="13.7265625" style="45" customWidth="1"/>
    <col min="10765" max="10765" width="4.54296875" style="45" customWidth="1"/>
    <col min="10766" max="10766" width="12.26953125" style="45" bestFit="1" customWidth="1"/>
    <col min="10767" max="11007" width="8.7265625" style="45"/>
    <col min="11008" max="11008" width="53" style="45" bestFit="1" customWidth="1"/>
    <col min="11009" max="11020" width="13.7265625" style="45" customWidth="1"/>
    <col min="11021" max="11021" width="4.54296875" style="45" customWidth="1"/>
    <col min="11022" max="11022" width="12.26953125" style="45" bestFit="1" customWidth="1"/>
    <col min="11023" max="11263" width="8.7265625" style="45"/>
    <col min="11264" max="11264" width="53" style="45" bestFit="1" customWidth="1"/>
    <col min="11265" max="11276" width="13.7265625" style="45" customWidth="1"/>
    <col min="11277" max="11277" width="4.54296875" style="45" customWidth="1"/>
    <col min="11278" max="11278" width="12.26953125" style="45" bestFit="1" customWidth="1"/>
    <col min="11279" max="11519" width="8.7265625" style="45"/>
    <col min="11520" max="11520" width="53" style="45" bestFit="1" customWidth="1"/>
    <col min="11521" max="11532" width="13.7265625" style="45" customWidth="1"/>
    <col min="11533" max="11533" width="4.54296875" style="45" customWidth="1"/>
    <col min="11534" max="11534" width="12.26953125" style="45" bestFit="1" customWidth="1"/>
    <col min="11535" max="11775" width="8.7265625" style="45"/>
    <col min="11776" max="11776" width="53" style="45" bestFit="1" customWidth="1"/>
    <col min="11777" max="11788" width="13.7265625" style="45" customWidth="1"/>
    <col min="11789" max="11789" width="4.54296875" style="45" customWidth="1"/>
    <col min="11790" max="11790" width="12.26953125" style="45" bestFit="1" customWidth="1"/>
    <col min="11791" max="12031" width="8.7265625" style="45"/>
    <col min="12032" max="12032" width="53" style="45" bestFit="1" customWidth="1"/>
    <col min="12033" max="12044" width="13.7265625" style="45" customWidth="1"/>
    <col min="12045" max="12045" width="4.54296875" style="45" customWidth="1"/>
    <col min="12046" max="12046" width="12.26953125" style="45" bestFit="1" customWidth="1"/>
    <col min="12047" max="12287" width="8.7265625" style="45"/>
    <col min="12288" max="12288" width="53" style="45" bestFit="1" customWidth="1"/>
    <col min="12289" max="12300" width="13.7265625" style="45" customWidth="1"/>
    <col min="12301" max="12301" width="4.54296875" style="45" customWidth="1"/>
    <col min="12302" max="12302" width="12.26953125" style="45" bestFit="1" customWidth="1"/>
    <col min="12303" max="12543" width="8.7265625" style="45"/>
    <col min="12544" max="12544" width="53" style="45" bestFit="1" customWidth="1"/>
    <col min="12545" max="12556" width="13.7265625" style="45" customWidth="1"/>
    <col min="12557" max="12557" width="4.54296875" style="45" customWidth="1"/>
    <col min="12558" max="12558" width="12.26953125" style="45" bestFit="1" customWidth="1"/>
    <col min="12559" max="12799" width="8.7265625" style="45"/>
    <col min="12800" max="12800" width="53" style="45" bestFit="1" customWidth="1"/>
    <col min="12801" max="12812" width="13.7265625" style="45" customWidth="1"/>
    <col min="12813" max="12813" width="4.54296875" style="45" customWidth="1"/>
    <col min="12814" max="12814" width="12.26953125" style="45" bestFit="1" customWidth="1"/>
    <col min="12815" max="13055" width="8.7265625" style="45"/>
    <col min="13056" max="13056" width="53" style="45" bestFit="1" customWidth="1"/>
    <col min="13057" max="13068" width="13.7265625" style="45" customWidth="1"/>
    <col min="13069" max="13069" width="4.54296875" style="45" customWidth="1"/>
    <col min="13070" max="13070" width="12.26953125" style="45" bestFit="1" customWidth="1"/>
    <col min="13071" max="13311" width="8.7265625" style="45"/>
    <col min="13312" max="13312" width="53" style="45" bestFit="1" customWidth="1"/>
    <col min="13313" max="13324" width="13.7265625" style="45" customWidth="1"/>
    <col min="13325" max="13325" width="4.54296875" style="45" customWidth="1"/>
    <col min="13326" max="13326" width="12.26953125" style="45" bestFit="1" customWidth="1"/>
    <col min="13327" max="13567" width="8.7265625" style="45"/>
    <col min="13568" max="13568" width="53" style="45" bestFit="1" customWidth="1"/>
    <col min="13569" max="13580" width="13.7265625" style="45" customWidth="1"/>
    <col min="13581" max="13581" width="4.54296875" style="45" customWidth="1"/>
    <col min="13582" max="13582" width="12.26953125" style="45" bestFit="1" customWidth="1"/>
    <col min="13583" max="13823" width="8.7265625" style="45"/>
    <col min="13824" max="13824" width="53" style="45" bestFit="1" customWidth="1"/>
    <col min="13825" max="13836" width="13.7265625" style="45" customWidth="1"/>
    <col min="13837" max="13837" width="4.54296875" style="45" customWidth="1"/>
    <col min="13838" max="13838" width="12.26953125" style="45" bestFit="1" customWidth="1"/>
    <col min="13839" max="14079" width="8.7265625" style="45"/>
    <col min="14080" max="14080" width="53" style="45" bestFit="1" customWidth="1"/>
    <col min="14081" max="14092" width="13.7265625" style="45" customWidth="1"/>
    <col min="14093" max="14093" width="4.54296875" style="45" customWidth="1"/>
    <col min="14094" max="14094" width="12.26953125" style="45" bestFit="1" customWidth="1"/>
    <col min="14095" max="14335" width="8.7265625" style="45"/>
    <col min="14336" max="14336" width="53" style="45" bestFit="1" customWidth="1"/>
    <col min="14337" max="14348" width="13.7265625" style="45" customWidth="1"/>
    <col min="14349" max="14349" width="4.54296875" style="45" customWidth="1"/>
    <col min="14350" max="14350" width="12.26953125" style="45" bestFit="1" customWidth="1"/>
    <col min="14351" max="14591" width="8.7265625" style="45"/>
    <col min="14592" max="14592" width="53" style="45" bestFit="1" customWidth="1"/>
    <col min="14593" max="14604" width="13.7265625" style="45" customWidth="1"/>
    <col min="14605" max="14605" width="4.54296875" style="45" customWidth="1"/>
    <col min="14606" max="14606" width="12.26953125" style="45" bestFit="1" customWidth="1"/>
    <col min="14607" max="14847" width="8.7265625" style="45"/>
    <col min="14848" max="14848" width="53" style="45" bestFit="1" customWidth="1"/>
    <col min="14849" max="14860" width="13.7265625" style="45" customWidth="1"/>
    <col min="14861" max="14861" width="4.54296875" style="45" customWidth="1"/>
    <col min="14862" max="14862" width="12.26953125" style="45" bestFit="1" customWidth="1"/>
    <col min="14863" max="15103" width="8.7265625" style="45"/>
    <col min="15104" max="15104" width="53" style="45" bestFit="1" customWidth="1"/>
    <col min="15105" max="15116" width="13.7265625" style="45" customWidth="1"/>
    <col min="15117" max="15117" width="4.54296875" style="45" customWidth="1"/>
    <col min="15118" max="15118" width="12.26953125" style="45" bestFit="1" customWidth="1"/>
    <col min="15119" max="15359" width="8.7265625" style="45"/>
    <col min="15360" max="15360" width="53" style="45" bestFit="1" customWidth="1"/>
    <col min="15361" max="15372" width="13.7265625" style="45" customWidth="1"/>
    <col min="15373" max="15373" width="4.54296875" style="45" customWidth="1"/>
    <col min="15374" max="15374" width="12.26953125" style="45" bestFit="1" customWidth="1"/>
    <col min="15375" max="15615" width="8.7265625" style="45"/>
    <col min="15616" max="15616" width="53" style="45" bestFit="1" customWidth="1"/>
    <col min="15617" max="15628" width="13.7265625" style="45" customWidth="1"/>
    <col min="15629" max="15629" width="4.54296875" style="45" customWidth="1"/>
    <col min="15630" max="15630" width="12.26953125" style="45" bestFit="1" customWidth="1"/>
    <col min="15631" max="15871" width="8.7265625" style="45"/>
    <col min="15872" max="15872" width="53" style="45" bestFit="1" customWidth="1"/>
    <col min="15873" max="15884" width="13.7265625" style="45" customWidth="1"/>
    <col min="15885" max="15885" width="4.54296875" style="45" customWidth="1"/>
    <col min="15886" max="15886" width="12.26953125" style="45" bestFit="1" customWidth="1"/>
    <col min="15887" max="16127" width="8.7265625" style="45"/>
    <col min="16128" max="16128" width="53" style="45" bestFit="1" customWidth="1"/>
    <col min="16129" max="16140" width="13.7265625" style="45" customWidth="1"/>
    <col min="16141" max="16141" width="4.54296875" style="45" customWidth="1"/>
    <col min="16142" max="16142" width="12.26953125" style="45" bestFit="1" customWidth="1"/>
    <col min="16143" max="16384" width="8.7265625" style="45"/>
  </cols>
  <sheetData>
    <row r="1" spans="1:14" ht="18.5">
      <c r="A1" s="657">
        <v>2014</v>
      </c>
    </row>
    <row r="2" spans="1:14">
      <c r="A2" s="656" t="s">
        <v>626</v>
      </c>
      <c r="B2" s="655" t="s">
        <v>625</v>
      </c>
      <c r="C2" s="655" t="s">
        <v>624</v>
      </c>
      <c r="D2" s="655" t="s">
        <v>623</v>
      </c>
      <c r="E2" s="655" t="s">
        <v>622</v>
      </c>
      <c r="F2" s="655" t="s">
        <v>621</v>
      </c>
      <c r="G2" s="655" t="s">
        <v>620</v>
      </c>
      <c r="H2" s="655" t="s">
        <v>619</v>
      </c>
      <c r="I2" s="655" t="s">
        <v>618</v>
      </c>
      <c r="J2" s="655" t="s">
        <v>617</v>
      </c>
      <c r="K2" s="655" t="s">
        <v>616</v>
      </c>
      <c r="L2" s="655" t="s">
        <v>615</v>
      </c>
      <c r="M2" s="655" t="s">
        <v>614</v>
      </c>
    </row>
    <row r="3" spans="1:14">
      <c r="A3" s="45" t="s">
        <v>613</v>
      </c>
      <c r="B3" s="46">
        <v>31</v>
      </c>
      <c r="C3" s="46">
        <v>28</v>
      </c>
      <c r="D3" s="46">
        <v>31</v>
      </c>
      <c r="E3" s="46">
        <v>30</v>
      </c>
      <c r="F3" s="46">
        <v>31</v>
      </c>
      <c r="G3" s="46">
        <v>30</v>
      </c>
      <c r="H3" s="46">
        <v>31</v>
      </c>
      <c r="I3" s="46">
        <v>31</v>
      </c>
      <c r="J3" s="46">
        <v>30</v>
      </c>
      <c r="K3" s="46">
        <v>31</v>
      </c>
      <c r="L3" s="46">
        <v>30</v>
      </c>
      <c r="M3" s="46">
        <v>31</v>
      </c>
    </row>
    <row r="4" spans="1:14" ht="15.5">
      <c r="A4" s="45" t="s">
        <v>612</v>
      </c>
      <c r="B4" s="654">
        <v>1.47E-2</v>
      </c>
      <c r="C4" s="654">
        <v>1.47E-2</v>
      </c>
      <c r="D4" s="654">
        <v>1.47E-2</v>
      </c>
      <c r="E4" s="654">
        <v>1.47E-2</v>
      </c>
      <c r="F4" s="654">
        <v>1.47E-2</v>
      </c>
      <c r="G4" s="654">
        <v>1.47E-2</v>
      </c>
      <c r="H4" s="654">
        <v>1.47E-2</v>
      </c>
      <c r="I4" s="654">
        <v>1.47E-2</v>
      </c>
      <c r="J4" s="654">
        <v>1.47E-2</v>
      </c>
      <c r="K4" s="654">
        <v>1.47E-2</v>
      </c>
      <c r="L4" s="654">
        <v>1.47E-2</v>
      </c>
      <c r="M4" s="654">
        <v>1.47E-2</v>
      </c>
      <c r="N4" s="50"/>
    </row>
    <row r="5" spans="1:14">
      <c r="B5" s="649"/>
      <c r="C5" s="649"/>
      <c r="D5" s="649"/>
      <c r="E5" s="649"/>
      <c r="F5" s="649"/>
      <c r="G5" s="649"/>
      <c r="H5" s="649"/>
      <c r="I5" s="649"/>
      <c r="J5" s="649"/>
      <c r="K5" s="649"/>
      <c r="L5" s="649"/>
      <c r="M5" s="649"/>
      <c r="N5" s="649"/>
    </row>
    <row r="6" spans="1:14" ht="15.5">
      <c r="A6" s="653" t="s">
        <v>611</v>
      </c>
      <c r="B6" s="649">
        <f>'[6]2011-14 LRAMVA Summary'!O26</f>
        <v>8478.6597155280033</v>
      </c>
      <c r="C6" s="649">
        <f t="shared" ref="C6:M9" si="0">B6</f>
        <v>8478.6597155280033</v>
      </c>
      <c r="D6" s="649">
        <f t="shared" si="0"/>
        <v>8478.6597155280033</v>
      </c>
      <c r="E6" s="649">
        <f t="shared" si="0"/>
        <v>8478.6597155280033</v>
      </c>
      <c r="F6" s="649">
        <f t="shared" si="0"/>
        <v>8478.6597155280033</v>
      </c>
      <c r="G6" s="649">
        <f t="shared" si="0"/>
        <v>8478.6597155280033</v>
      </c>
      <c r="H6" s="649">
        <f t="shared" si="0"/>
        <v>8478.6597155280033</v>
      </c>
      <c r="I6" s="649">
        <f t="shared" si="0"/>
        <v>8478.6597155280033</v>
      </c>
      <c r="J6" s="649">
        <f t="shared" si="0"/>
        <v>8478.6597155280033</v>
      </c>
      <c r="K6" s="649">
        <f t="shared" si="0"/>
        <v>8478.6597155280033</v>
      </c>
      <c r="L6" s="649">
        <f t="shared" si="0"/>
        <v>8478.6597155280033</v>
      </c>
      <c r="M6" s="649">
        <f t="shared" si="0"/>
        <v>8478.6597155280033</v>
      </c>
      <c r="N6" s="649"/>
    </row>
    <row r="7" spans="1:14" ht="15.5">
      <c r="A7" s="653" t="s">
        <v>627</v>
      </c>
      <c r="B7" s="649">
        <f>'[6]2011-14 LRAMVA Summary'!O36</f>
        <v>29267.53192465306</v>
      </c>
      <c r="C7" s="649">
        <f t="shared" si="0"/>
        <v>29267.53192465306</v>
      </c>
      <c r="D7" s="649">
        <f t="shared" si="0"/>
        <v>29267.53192465306</v>
      </c>
      <c r="E7" s="649">
        <f t="shared" si="0"/>
        <v>29267.53192465306</v>
      </c>
      <c r="F7" s="649">
        <f t="shared" si="0"/>
        <v>29267.53192465306</v>
      </c>
      <c r="G7" s="649">
        <f t="shared" si="0"/>
        <v>29267.53192465306</v>
      </c>
      <c r="H7" s="649">
        <f t="shared" si="0"/>
        <v>29267.53192465306</v>
      </c>
      <c r="I7" s="649">
        <f t="shared" si="0"/>
        <v>29267.53192465306</v>
      </c>
      <c r="J7" s="649">
        <f t="shared" si="0"/>
        <v>29267.53192465306</v>
      </c>
      <c r="K7" s="649">
        <f t="shared" si="0"/>
        <v>29267.53192465306</v>
      </c>
      <c r="L7" s="649">
        <f t="shared" si="0"/>
        <v>29267.53192465306</v>
      </c>
      <c r="M7" s="649">
        <f t="shared" si="0"/>
        <v>29267.53192465306</v>
      </c>
      <c r="N7" s="649"/>
    </row>
    <row r="8" spans="1:14" ht="15.5">
      <c r="A8" s="653" t="s">
        <v>628</v>
      </c>
      <c r="B8" s="649">
        <f>'[6]2011-14 LRAMVA Summary'!O46</f>
        <v>58724.370076271647</v>
      </c>
      <c r="C8" s="649">
        <f t="shared" si="0"/>
        <v>58724.370076271647</v>
      </c>
      <c r="D8" s="649">
        <f t="shared" si="0"/>
        <v>58724.370076271647</v>
      </c>
      <c r="E8" s="649">
        <f t="shared" si="0"/>
        <v>58724.370076271647</v>
      </c>
      <c r="F8" s="649">
        <f t="shared" si="0"/>
        <v>58724.370076271647</v>
      </c>
      <c r="G8" s="649">
        <f t="shared" si="0"/>
        <v>58724.370076271647</v>
      </c>
      <c r="H8" s="649">
        <f t="shared" si="0"/>
        <v>58724.370076271647</v>
      </c>
      <c r="I8" s="649">
        <f t="shared" si="0"/>
        <v>58724.370076271647</v>
      </c>
      <c r="J8" s="649">
        <f t="shared" si="0"/>
        <v>58724.370076271647</v>
      </c>
      <c r="K8" s="649">
        <f t="shared" si="0"/>
        <v>58724.370076271647</v>
      </c>
      <c r="L8" s="649">
        <f t="shared" si="0"/>
        <v>58724.370076271647</v>
      </c>
      <c r="M8" s="649">
        <f t="shared" si="0"/>
        <v>58724.370076271647</v>
      </c>
      <c r="N8" s="649"/>
    </row>
    <row r="9" spans="1:14" ht="15.5">
      <c r="A9" s="653"/>
      <c r="B9" s="649"/>
      <c r="C9" s="649"/>
      <c r="D9" s="649"/>
      <c r="E9" s="649"/>
      <c r="F9" s="649"/>
      <c r="G9" s="649">
        <f>'[6]2011-14 LRAMVA Summary'!O56</f>
        <v>89789.778344181876</v>
      </c>
      <c r="H9" s="649">
        <f t="shared" si="0"/>
        <v>89789.778344181876</v>
      </c>
      <c r="I9" s="649">
        <f t="shared" si="0"/>
        <v>89789.778344181876</v>
      </c>
      <c r="J9" s="649">
        <f t="shared" si="0"/>
        <v>89789.778344181876</v>
      </c>
      <c r="K9" s="649">
        <f t="shared" si="0"/>
        <v>89789.778344181876</v>
      </c>
      <c r="L9" s="649">
        <f t="shared" si="0"/>
        <v>89789.778344181876</v>
      </c>
      <c r="M9" s="649">
        <f t="shared" si="0"/>
        <v>89789.778344181876</v>
      </c>
      <c r="N9" s="649"/>
    </row>
    <row r="10" spans="1:14">
      <c r="B10" s="649"/>
      <c r="C10" s="649"/>
      <c r="D10" s="649"/>
      <c r="E10" s="649"/>
      <c r="F10" s="649"/>
      <c r="G10" s="649"/>
      <c r="H10" s="649"/>
      <c r="I10" s="649"/>
      <c r="J10" s="649"/>
      <c r="K10" s="649"/>
      <c r="L10" s="649"/>
      <c r="M10" s="649"/>
      <c r="N10" s="649"/>
    </row>
    <row r="11" spans="1:14" ht="16" thickBot="1">
      <c r="A11" s="652" t="s">
        <v>610</v>
      </c>
      <c r="B11" s="651">
        <f t="shared" ref="B11:M11" si="1">SUM(B6:B9)</f>
        <v>96470.561716452707</v>
      </c>
      <c r="C11" s="651">
        <f t="shared" si="1"/>
        <v>96470.561716452707</v>
      </c>
      <c r="D11" s="651">
        <f t="shared" si="1"/>
        <v>96470.561716452707</v>
      </c>
      <c r="E11" s="651">
        <f t="shared" si="1"/>
        <v>96470.561716452707</v>
      </c>
      <c r="F11" s="651">
        <f t="shared" si="1"/>
        <v>96470.561716452707</v>
      </c>
      <c r="G11" s="651">
        <f t="shared" si="1"/>
        <v>186260.3400606346</v>
      </c>
      <c r="H11" s="651">
        <f t="shared" si="1"/>
        <v>186260.3400606346</v>
      </c>
      <c r="I11" s="651">
        <f t="shared" si="1"/>
        <v>186260.3400606346</v>
      </c>
      <c r="J11" s="651">
        <f t="shared" si="1"/>
        <v>186260.3400606346</v>
      </c>
      <c r="K11" s="651">
        <f t="shared" si="1"/>
        <v>186260.3400606346</v>
      </c>
      <c r="L11" s="651">
        <f t="shared" si="1"/>
        <v>186260.3400606346</v>
      </c>
      <c r="M11" s="651">
        <f t="shared" si="1"/>
        <v>186260.3400606346</v>
      </c>
      <c r="N11" s="650"/>
    </row>
    <row r="12" spans="1:14">
      <c r="B12" s="649"/>
      <c r="C12" s="649"/>
      <c r="D12" s="649"/>
      <c r="E12" s="649"/>
      <c r="F12" s="649"/>
      <c r="G12" s="649"/>
      <c r="H12" s="649"/>
      <c r="I12" s="649"/>
      <c r="J12" s="649"/>
      <c r="K12" s="649"/>
      <c r="L12" s="649"/>
      <c r="M12" s="649"/>
      <c r="N12" s="649"/>
    </row>
    <row r="13" spans="1:14">
      <c r="B13" s="649"/>
      <c r="C13" s="649"/>
      <c r="D13" s="649"/>
      <c r="E13" s="649"/>
      <c r="F13" s="649"/>
      <c r="G13" s="649"/>
      <c r="H13" s="649"/>
      <c r="I13" s="649"/>
      <c r="J13" s="649"/>
      <c r="K13" s="649"/>
      <c r="L13" s="649"/>
      <c r="M13" s="649"/>
      <c r="N13" s="649"/>
    </row>
    <row r="14" spans="1:14">
      <c r="A14" s="45" t="s">
        <v>609</v>
      </c>
      <c r="B14" s="649">
        <f>'[7]Carrying Charges 2013'!M10*B4/365*B3</f>
        <v>120.44283554571916</v>
      </c>
      <c r="C14" s="649">
        <f t="shared" ref="C14:M14" si="2">B11*C4/365*C3</f>
        <v>108.78707726710118</v>
      </c>
      <c r="D14" s="649">
        <f t="shared" si="2"/>
        <v>120.44283554571916</v>
      </c>
      <c r="E14" s="649">
        <f t="shared" si="2"/>
        <v>116.55758278617984</v>
      </c>
      <c r="F14" s="649">
        <f t="shared" si="2"/>
        <v>120.44283554571916</v>
      </c>
      <c r="G14" s="649">
        <f t="shared" si="2"/>
        <v>116.55758278617984</v>
      </c>
      <c r="H14" s="649">
        <f t="shared" si="2"/>
        <v>232.54475880994843</v>
      </c>
      <c r="I14" s="649">
        <f t="shared" si="2"/>
        <v>232.54475880994843</v>
      </c>
      <c r="J14" s="649">
        <f t="shared" si="2"/>
        <v>225.04331497736945</v>
      </c>
      <c r="K14" s="649">
        <f t="shared" si="2"/>
        <v>232.54475880994843</v>
      </c>
      <c r="L14" s="649">
        <f t="shared" si="2"/>
        <v>225.04331497736945</v>
      </c>
      <c r="M14" s="649">
        <f t="shared" si="2"/>
        <v>232.54475880994843</v>
      </c>
      <c r="N14" s="649"/>
    </row>
    <row r="15" spans="1:14">
      <c r="A15" s="45" t="s">
        <v>608</v>
      </c>
      <c r="B15" s="649">
        <f>'[7]Carrying Charges 2013'!M14+B14</f>
        <v>1514.8346582298786</v>
      </c>
      <c r="C15" s="649">
        <f t="shared" ref="C15:M15" si="3">B15+C14</f>
        <v>1623.6217354969799</v>
      </c>
      <c r="D15" s="649">
        <f t="shared" si="3"/>
        <v>1744.0645710426991</v>
      </c>
      <c r="E15" s="649">
        <f t="shared" si="3"/>
        <v>1860.6221538288789</v>
      </c>
      <c r="F15" s="649">
        <f t="shared" si="3"/>
        <v>1981.0649893745981</v>
      </c>
      <c r="G15" s="649">
        <f t="shared" si="3"/>
        <v>2097.622572160778</v>
      </c>
      <c r="H15" s="649">
        <f t="shared" si="3"/>
        <v>2330.1673309707262</v>
      </c>
      <c r="I15" s="649">
        <f t="shared" si="3"/>
        <v>2562.7120897806744</v>
      </c>
      <c r="J15" s="649">
        <f t="shared" si="3"/>
        <v>2787.7554047580438</v>
      </c>
      <c r="K15" s="649">
        <f t="shared" si="3"/>
        <v>3020.3001635679921</v>
      </c>
      <c r="L15" s="649">
        <f t="shared" si="3"/>
        <v>3245.3434785453614</v>
      </c>
      <c r="M15" s="649">
        <f t="shared" si="3"/>
        <v>3477.8882373553097</v>
      </c>
      <c r="N15" s="649"/>
    </row>
    <row r="16" spans="1:14">
      <c r="B16" s="50"/>
      <c r="C16" s="50"/>
      <c r="D16" s="50"/>
      <c r="E16" s="50"/>
      <c r="F16" s="50"/>
      <c r="G16" s="50"/>
      <c r="H16" s="50"/>
      <c r="I16" s="50"/>
      <c r="J16" s="50"/>
      <c r="K16" s="50"/>
      <c r="L16" s="50"/>
      <c r="M16" s="50"/>
      <c r="N16" s="50"/>
    </row>
    <row r="17" spans="1:14">
      <c r="B17" s="50"/>
      <c r="C17" s="50"/>
      <c r="D17" s="50"/>
      <c r="E17" s="50"/>
      <c r="F17" s="50"/>
      <c r="G17" s="50"/>
      <c r="H17" s="50"/>
      <c r="I17" s="50"/>
      <c r="J17" s="50"/>
      <c r="K17" s="50"/>
      <c r="L17" s="50"/>
      <c r="M17" s="50"/>
      <c r="N17" s="50"/>
    </row>
    <row r="18" spans="1:14">
      <c r="B18" s="50"/>
      <c r="C18" s="50"/>
      <c r="D18" s="50"/>
      <c r="E18" s="50"/>
      <c r="F18" s="50"/>
      <c r="G18" s="50"/>
      <c r="H18" s="50"/>
      <c r="I18" s="50"/>
      <c r="J18" s="50"/>
      <c r="K18" s="50"/>
      <c r="L18" s="50"/>
      <c r="M18" s="50"/>
      <c r="N18" s="50"/>
    </row>
    <row r="19" spans="1:14">
      <c r="B19" s="50"/>
      <c r="C19" s="50"/>
      <c r="D19" s="50"/>
      <c r="E19" s="50"/>
      <c r="F19" s="50"/>
      <c r="G19" s="50"/>
      <c r="H19" s="50"/>
      <c r="I19" s="50"/>
      <c r="J19" s="50"/>
      <c r="K19" s="50"/>
      <c r="L19" s="50"/>
      <c r="M19" s="50"/>
      <c r="N19" s="50"/>
    </row>
    <row r="20" spans="1:14" s="52" customFormat="1">
      <c r="A20" s="52" t="s">
        <v>17</v>
      </c>
      <c r="B20" s="662">
        <f>'[7]Carrying Charges 2013'!M18</f>
        <v>30461.111812465177</v>
      </c>
      <c r="C20" s="663">
        <f>B20</f>
        <v>30461.111812465177</v>
      </c>
      <c r="D20" s="663">
        <f t="shared" ref="D20:L20" si="4">C20</f>
        <v>30461.111812465177</v>
      </c>
      <c r="E20" s="663">
        <f t="shared" si="4"/>
        <v>30461.111812465177</v>
      </c>
      <c r="F20" s="663">
        <f t="shared" si="4"/>
        <v>30461.111812465177</v>
      </c>
      <c r="G20" s="663">
        <f>F20+'[7]2011-14 LRAMVA Summary'!O51</f>
        <v>58785.32052364527</v>
      </c>
      <c r="H20" s="663">
        <f t="shared" si="4"/>
        <v>58785.32052364527</v>
      </c>
      <c r="I20" s="663">
        <f t="shared" si="4"/>
        <v>58785.32052364527</v>
      </c>
      <c r="J20" s="663">
        <f t="shared" si="4"/>
        <v>58785.32052364527</v>
      </c>
      <c r="K20" s="663">
        <f t="shared" si="4"/>
        <v>58785.32052364527</v>
      </c>
      <c r="L20" s="663">
        <f t="shared" si="4"/>
        <v>58785.32052364527</v>
      </c>
      <c r="M20" s="663">
        <f>L20</f>
        <v>58785.32052364527</v>
      </c>
      <c r="N20" s="677"/>
    </row>
    <row r="21" spans="1:14">
      <c r="A21" s="45" t="s">
        <v>609</v>
      </c>
      <c r="B21" s="665">
        <f>'[7]Carrying Charges 2013'!M18*'[7]Carrying Charges 2014'!B4/365*'[7]Carrying Charges 2014'!B3</f>
        <v>38.03048946011063</v>
      </c>
      <c r="C21" s="665">
        <f>B20*C4/365*C3</f>
        <v>34.350119512357992</v>
      </c>
      <c r="D21" s="665">
        <f t="shared" ref="D21:M21" si="5">C20*D4/365*D3</f>
        <v>38.03048946011063</v>
      </c>
      <c r="E21" s="665">
        <f t="shared" si="5"/>
        <v>36.803699477526415</v>
      </c>
      <c r="F21" s="665">
        <f t="shared" si="5"/>
        <v>38.03048946011063</v>
      </c>
      <c r="G21" s="665">
        <f t="shared" si="5"/>
        <v>36.803699477526415</v>
      </c>
      <c r="H21" s="665">
        <f t="shared" si="5"/>
        <v>73.393070034589456</v>
      </c>
      <c r="I21" s="665">
        <f t="shared" si="5"/>
        <v>73.393070034589456</v>
      </c>
      <c r="J21" s="665">
        <f t="shared" si="5"/>
        <v>71.025551646376897</v>
      </c>
      <c r="K21" s="665">
        <f t="shared" si="5"/>
        <v>73.393070034589456</v>
      </c>
      <c r="L21" s="665">
        <f t="shared" si="5"/>
        <v>71.025551646376897</v>
      </c>
      <c r="M21" s="665">
        <f t="shared" si="5"/>
        <v>73.393070034589456</v>
      </c>
      <c r="N21" s="50"/>
    </row>
    <row r="22" spans="1:14">
      <c r="A22" s="45" t="s">
        <v>608</v>
      </c>
      <c r="B22" s="665">
        <f>'[7]Carrying Charges 2013'!M20+B21</f>
        <v>521.04447792743269</v>
      </c>
      <c r="C22" s="665">
        <f>B22+C21</f>
        <v>555.39459743979069</v>
      </c>
      <c r="D22" s="665">
        <f t="shared" ref="D22:L22" si="6">C22+D21</f>
        <v>593.42508689990132</v>
      </c>
      <c r="E22" s="665">
        <f t="shared" si="6"/>
        <v>630.2287863774277</v>
      </c>
      <c r="F22" s="665">
        <f t="shared" si="6"/>
        <v>668.25927583753833</v>
      </c>
      <c r="G22" s="665">
        <f t="shared" si="6"/>
        <v>705.0629753150647</v>
      </c>
      <c r="H22" s="665">
        <f t="shared" si="6"/>
        <v>778.45604534965412</v>
      </c>
      <c r="I22" s="665">
        <f t="shared" si="6"/>
        <v>851.84911538424353</v>
      </c>
      <c r="J22" s="665">
        <f t="shared" si="6"/>
        <v>922.87466703062046</v>
      </c>
      <c r="K22" s="665">
        <f t="shared" si="6"/>
        <v>996.26773706520987</v>
      </c>
      <c r="L22" s="665">
        <f t="shared" si="6"/>
        <v>1067.2932887115867</v>
      </c>
      <c r="M22" s="665">
        <f>L22+M21</f>
        <v>1140.6863587461762</v>
      </c>
      <c r="N22" s="50"/>
    </row>
    <row r="23" spans="1:14" s="52" customFormat="1">
      <c r="A23" s="52" t="s">
        <v>86</v>
      </c>
      <c r="B23" s="662">
        <f>'[7]Carrying Charges 2013'!M21</f>
        <v>38363.76117791007</v>
      </c>
      <c r="C23" s="663">
        <f>B23</f>
        <v>38363.76117791007</v>
      </c>
      <c r="D23" s="663">
        <f t="shared" ref="D23:M23" si="7">C23</f>
        <v>38363.76117791007</v>
      </c>
      <c r="E23" s="663">
        <f t="shared" si="7"/>
        <v>38363.76117791007</v>
      </c>
      <c r="F23" s="663">
        <f t="shared" si="7"/>
        <v>38363.76117791007</v>
      </c>
      <c r="G23" s="663">
        <f>F23+'[7]2011-14 LRAMVA Summary'!O52</f>
        <v>66069.877978881908</v>
      </c>
      <c r="H23" s="663">
        <f t="shared" si="7"/>
        <v>66069.877978881908</v>
      </c>
      <c r="I23" s="663">
        <f t="shared" si="7"/>
        <v>66069.877978881908</v>
      </c>
      <c r="J23" s="663">
        <f t="shared" si="7"/>
        <v>66069.877978881908</v>
      </c>
      <c r="K23" s="663">
        <f t="shared" si="7"/>
        <v>66069.877978881908</v>
      </c>
      <c r="L23" s="663">
        <f t="shared" si="7"/>
        <v>66069.877978881908</v>
      </c>
      <c r="M23" s="663">
        <f t="shared" si="7"/>
        <v>66069.877978881908</v>
      </c>
      <c r="N23" s="677"/>
    </row>
    <row r="24" spans="1:14">
      <c r="A24" s="45" t="s">
        <v>609</v>
      </c>
      <c r="B24" s="665">
        <f>'[7]Carrying Charges 2013'!M21*'[7]Carrying Charges 2014'!B4/365*'[7]Carrying Charges 2014'!B3</f>
        <v>47.896893065133199</v>
      </c>
      <c r="C24" s="665">
        <f>B23*C4/365*C3</f>
        <v>43.261709865281603</v>
      </c>
      <c r="D24" s="665">
        <f t="shared" ref="D24:M24" si="8">C23*D4/365*D3</f>
        <v>47.896893065133199</v>
      </c>
      <c r="E24" s="665">
        <f t="shared" si="8"/>
        <v>46.351831998515998</v>
      </c>
      <c r="F24" s="665">
        <f t="shared" si="8"/>
        <v>47.896893065133199</v>
      </c>
      <c r="G24" s="665">
        <f t="shared" si="8"/>
        <v>46.351831998515998</v>
      </c>
      <c r="H24" s="665">
        <f t="shared" si="8"/>
        <v>82.487790123223249</v>
      </c>
      <c r="I24" s="665">
        <f t="shared" si="8"/>
        <v>82.487790123223249</v>
      </c>
      <c r="J24" s="665">
        <f t="shared" si="8"/>
        <v>79.826893667635403</v>
      </c>
      <c r="K24" s="665">
        <f t="shared" si="8"/>
        <v>82.487790123223249</v>
      </c>
      <c r="L24" s="665">
        <f t="shared" si="8"/>
        <v>79.826893667635403</v>
      </c>
      <c r="M24" s="665">
        <f t="shared" si="8"/>
        <v>82.487790123223249</v>
      </c>
      <c r="N24" s="50"/>
    </row>
    <row r="25" spans="1:14">
      <c r="A25" s="45" t="s">
        <v>608</v>
      </c>
      <c r="B25" s="665">
        <f>'[7]Carrying Charges 2013'!M23+B24</f>
        <v>624.9514619730694</v>
      </c>
      <c r="C25" s="665">
        <f>B25+C24</f>
        <v>668.21317183835095</v>
      </c>
      <c r="D25" s="665">
        <f t="shared" ref="D25:M25" si="9">C25+D24</f>
        <v>716.11006490348416</v>
      </c>
      <c r="E25" s="665">
        <f t="shared" si="9"/>
        <v>762.46189690200015</v>
      </c>
      <c r="F25" s="665">
        <f t="shared" si="9"/>
        <v>810.35878996713336</v>
      </c>
      <c r="G25" s="665">
        <f t="shared" si="9"/>
        <v>856.71062196564935</v>
      </c>
      <c r="H25" s="665">
        <f t="shared" si="9"/>
        <v>939.1984120888726</v>
      </c>
      <c r="I25" s="665">
        <f t="shared" si="9"/>
        <v>1021.6862022120958</v>
      </c>
      <c r="J25" s="665">
        <f t="shared" si="9"/>
        <v>1101.5130958797313</v>
      </c>
      <c r="K25" s="665">
        <f t="shared" si="9"/>
        <v>1184.0008860029545</v>
      </c>
      <c r="L25" s="665">
        <f t="shared" si="9"/>
        <v>1263.82777967059</v>
      </c>
      <c r="M25" s="665">
        <f t="shared" si="9"/>
        <v>1346.3155697938132</v>
      </c>
      <c r="N25" s="50"/>
    </row>
    <row r="26" spans="1:14" s="52" customFormat="1">
      <c r="A26" s="52" t="s">
        <v>88</v>
      </c>
      <c r="B26" s="662">
        <f>'[7]Carrying Charges 2013'!M24</f>
        <v>11611.622976743332</v>
      </c>
      <c r="C26" s="663">
        <f>B26</f>
        <v>11611.622976743332</v>
      </c>
      <c r="D26" s="663">
        <f t="shared" ref="D26:M26" si="10">C26</f>
        <v>11611.622976743332</v>
      </c>
      <c r="E26" s="663">
        <f t="shared" si="10"/>
        <v>11611.622976743332</v>
      </c>
      <c r="F26" s="663">
        <f t="shared" si="10"/>
        <v>11611.622976743332</v>
      </c>
      <c r="G26" s="663">
        <f>F26+'[7]2011-14 LRAMVA Summary'!O53</f>
        <v>21224.956881571739</v>
      </c>
      <c r="H26" s="663">
        <f t="shared" si="10"/>
        <v>21224.956881571739</v>
      </c>
      <c r="I26" s="663">
        <f t="shared" si="10"/>
        <v>21224.956881571739</v>
      </c>
      <c r="J26" s="663">
        <f t="shared" si="10"/>
        <v>21224.956881571739</v>
      </c>
      <c r="K26" s="663">
        <f t="shared" si="10"/>
        <v>21224.956881571739</v>
      </c>
      <c r="L26" s="663">
        <f t="shared" si="10"/>
        <v>21224.956881571739</v>
      </c>
      <c r="M26" s="663">
        <f t="shared" si="10"/>
        <v>21224.956881571739</v>
      </c>
      <c r="N26" s="677"/>
    </row>
    <row r="27" spans="1:14">
      <c r="A27" s="45" t="s">
        <v>609</v>
      </c>
      <c r="B27" s="665">
        <f>'[7]Carrying Charges 2013'!M24*'[7]Carrying Charges 2014'!B4/365*'[7]Carrying Charges 2014'!B3</f>
        <v>14.497031754799826</v>
      </c>
      <c r="C27" s="665">
        <f>B26*C4/365*C3</f>
        <v>13.094093197883714</v>
      </c>
      <c r="D27" s="665">
        <f t="shared" ref="D27:M27" si="11">C26*D4/365*D3</f>
        <v>14.497031754799826</v>
      </c>
      <c r="E27" s="665">
        <f t="shared" si="11"/>
        <v>14.029385569161123</v>
      </c>
      <c r="F27" s="665">
        <f t="shared" si="11"/>
        <v>14.497031754799826</v>
      </c>
      <c r="G27" s="665">
        <f t="shared" si="11"/>
        <v>14.029385569161123</v>
      </c>
      <c r="H27" s="665">
        <f t="shared" si="11"/>
        <v>26.49921329022532</v>
      </c>
      <c r="I27" s="665">
        <f t="shared" si="11"/>
        <v>26.49921329022532</v>
      </c>
      <c r="J27" s="665">
        <f t="shared" si="11"/>
        <v>25.644399958282566</v>
      </c>
      <c r="K27" s="665">
        <f t="shared" si="11"/>
        <v>26.49921329022532</v>
      </c>
      <c r="L27" s="665">
        <f t="shared" si="11"/>
        <v>25.644399958282566</v>
      </c>
      <c r="M27" s="665">
        <f t="shared" si="11"/>
        <v>26.49921329022532</v>
      </c>
      <c r="N27" s="50"/>
    </row>
    <row r="28" spans="1:14">
      <c r="A28" s="45" t="s">
        <v>608</v>
      </c>
      <c r="B28" s="665">
        <f>'[7]Carrying Charges 2013'!M26+B27</f>
        <v>178.66179822270314</v>
      </c>
      <c r="C28" s="665">
        <f>B28+C27</f>
        <v>191.75589142058686</v>
      </c>
      <c r="D28" s="665">
        <f t="shared" ref="D28:M28" si="12">C28+D27</f>
        <v>206.25292317538668</v>
      </c>
      <c r="E28" s="665">
        <f t="shared" si="12"/>
        <v>220.28230874454781</v>
      </c>
      <c r="F28" s="665">
        <f t="shared" si="12"/>
        <v>234.77934049934763</v>
      </c>
      <c r="G28" s="665">
        <f t="shared" si="12"/>
        <v>248.80872606850875</v>
      </c>
      <c r="H28" s="665">
        <f t="shared" si="12"/>
        <v>275.30793935873407</v>
      </c>
      <c r="I28" s="665">
        <f t="shared" si="12"/>
        <v>301.8071526489594</v>
      </c>
      <c r="J28" s="665">
        <f t="shared" si="12"/>
        <v>327.45155260724198</v>
      </c>
      <c r="K28" s="665">
        <f t="shared" si="12"/>
        <v>353.95076589746731</v>
      </c>
      <c r="L28" s="665">
        <f t="shared" si="12"/>
        <v>379.59516585574988</v>
      </c>
      <c r="M28" s="665">
        <f t="shared" si="12"/>
        <v>406.09437914597521</v>
      </c>
      <c r="N28" s="53"/>
    </row>
    <row r="29" spans="1:14" s="52" customFormat="1">
      <c r="A29" s="52" t="s">
        <v>57</v>
      </c>
      <c r="B29" s="673">
        <f>'[7]Carrying Charges 2013'!M27</f>
        <v>5000.5380458086202</v>
      </c>
      <c r="C29" s="674">
        <f>B29</f>
        <v>5000.5380458086202</v>
      </c>
      <c r="D29" s="674">
        <f t="shared" ref="D29:M29" si="13">C29</f>
        <v>5000.5380458086202</v>
      </c>
      <c r="E29" s="674">
        <f t="shared" si="13"/>
        <v>5000.5380458086202</v>
      </c>
      <c r="F29" s="674">
        <f t="shared" si="13"/>
        <v>5000.5380458086202</v>
      </c>
      <c r="G29" s="674">
        <f>F29+'[7]2011-14 LRAMVA Summary'!O54</f>
        <v>7441.0418630553568</v>
      </c>
      <c r="H29" s="674">
        <f t="shared" si="13"/>
        <v>7441.0418630553568</v>
      </c>
      <c r="I29" s="674">
        <f t="shared" si="13"/>
        <v>7441.0418630553568</v>
      </c>
      <c r="J29" s="674">
        <f t="shared" si="13"/>
        <v>7441.0418630553568</v>
      </c>
      <c r="K29" s="674">
        <f t="shared" si="13"/>
        <v>7441.0418630553568</v>
      </c>
      <c r="L29" s="674">
        <f t="shared" si="13"/>
        <v>7441.0418630553568</v>
      </c>
      <c r="M29" s="674">
        <f t="shared" si="13"/>
        <v>7441.0418630553568</v>
      </c>
      <c r="N29" s="678"/>
    </row>
    <row r="30" spans="1:14">
      <c r="A30" s="45" t="s">
        <v>609</v>
      </c>
      <c r="B30" s="667">
        <f>'[7]Carrying Charges 2013'!M27*'[7]Carrying Charges 2014'!B4/365*'[7]Carrying Charges 2014'!B3</f>
        <v>6.2431374999314748</v>
      </c>
      <c r="C30" s="667">
        <f>B29*C4/365*C3</f>
        <v>5.6389629031639128</v>
      </c>
      <c r="D30" s="667">
        <f t="shared" ref="D30:M30" si="14">C29*D4/365*D3</f>
        <v>6.2431374999314748</v>
      </c>
      <c r="E30" s="667">
        <f t="shared" si="14"/>
        <v>6.0417459676756202</v>
      </c>
      <c r="F30" s="667">
        <f t="shared" si="14"/>
        <v>6.2431374999314748</v>
      </c>
      <c r="G30" s="667">
        <f t="shared" si="14"/>
        <v>6.0417459676756202</v>
      </c>
      <c r="H30" s="667">
        <f t="shared" si="14"/>
        <v>9.2900897999844556</v>
      </c>
      <c r="I30" s="667">
        <f t="shared" si="14"/>
        <v>9.2900897999844556</v>
      </c>
      <c r="J30" s="667">
        <f t="shared" si="14"/>
        <v>8.9904094838559239</v>
      </c>
      <c r="K30" s="667">
        <f t="shared" si="14"/>
        <v>9.2900897999844556</v>
      </c>
      <c r="L30" s="667">
        <f t="shared" si="14"/>
        <v>8.9904094838559239</v>
      </c>
      <c r="M30" s="667">
        <f t="shared" si="14"/>
        <v>9.2900897999844556</v>
      </c>
    </row>
    <row r="31" spans="1:14">
      <c r="A31" s="45" t="s">
        <v>608</v>
      </c>
      <c r="B31" s="671">
        <f>'[7]Carrying Charges 2013'!M29+B30</f>
        <v>92.215148843957024</v>
      </c>
      <c r="C31" s="671">
        <f>B31+C30</f>
        <v>97.854111747120939</v>
      </c>
      <c r="D31" s="671">
        <f t="shared" ref="D31:M31" si="15">C31+D30</f>
        <v>104.09724924705242</v>
      </c>
      <c r="E31" s="671">
        <f t="shared" si="15"/>
        <v>110.13899521472804</v>
      </c>
      <c r="F31" s="671">
        <f t="shared" si="15"/>
        <v>116.38213271465952</v>
      </c>
      <c r="G31" s="671">
        <f t="shared" si="15"/>
        <v>122.42387868233514</v>
      </c>
      <c r="H31" s="671">
        <f t="shared" si="15"/>
        <v>131.71396848231959</v>
      </c>
      <c r="I31" s="671">
        <f t="shared" si="15"/>
        <v>141.00405828230404</v>
      </c>
      <c r="J31" s="671">
        <f t="shared" si="15"/>
        <v>149.99446776615997</v>
      </c>
      <c r="K31" s="671">
        <f t="shared" si="15"/>
        <v>159.28455756614443</v>
      </c>
      <c r="L31" s="671">
        <f t="shared" si="15"/>
        <v>168.27496705000036</v>
      </c>
      <c r="M31" s="671">
        <f t="shared" si="15"/>
        <v>177.56505684998481</v>
      </c>
    </row>
    <row r="32" spans="1:14" s="52" customFormat="1">
      <c r="A32" s="52" t="s">
        <v>636</v>
      </c>
      <c r="B32" s="668">
        <f>'[7]Carrying Charges 2013'!M30</f>
        <v>11033.527703525508</v>
      </c>
      <c r="C32" s="669">
        <f>B32</f>
        <v>11033.527703525508</v>
      </c>
      <c r="D32" s="669">
        <f t="shared" ref="D32:M32" si="16">C32</f>
        <v>11033.527703525508</v>
      </c>
      <c r="E32" s="669">
        <f t="shared" si="16"/>
        <v>11033.527703525508</v>
      </c>
      <c r="F32" s="669">
        <f t="shared" si="16"/>
        <v>11033.527703525508</v>
      </c>
      <c r="G32" s="669">
        <f>F32+'[7]2011-14 LRAMVA Summary'!O55</f>
        <v>32739.142813480306</v>
      </c>
      <c r="H32" s="669">
        <f t="shared" si="16"/>
        <v>32739.142813480306</v>
      </c>
      <c r="I32" s="669">
        <f t="shared" si="16"/>
        <v>32739.142813480306</v>
      </c>
      <c r="J32" s="669">
        <f t="shared" si="16"/>
        <v>32739.142813480306</v>
      </c>
      <c r="K32" s="669">
        <f t="shared" si="16"/>
        <v>32739.142813480306</v>
      </c>
      <c r="L32" s="669">
        <f t="shared" si="16"/>
        <v>32739.142813480306</v>
      </c>
      <c r="M32" s="669">
        <f t="shared" si="16"/>
        <v>32739.142813480306</v>
      </c>
      <c r="N32" s="661"/>
    </row>
    <row r="33" spans="1:13" s="45" customFormat="1">
      <c r="A33" s="45" t="s">
        <v>609</v>
      </c>
      <c r="B33" s="671">
        <f>'[7]Carrying Charges 2013'!M30*'[7]Carrying Charges 2014'!B4/365*'[7]Carrying Charges 2014'!B3</f>
        <v>13.775283765744037</v>
      </c>
      <c r="C33" s="671">
        <f>B32*C4/365*C3</f>
        <v>12.44219178841397</v>
      </c>
      <c r="D33" s="671">
        <f t="shared" ref="D33:M33" si="17">C32*D4/365*D3</f>
        <v>13.775283765744037</v>
      </c>
      <c r="E33" s="671">
        <f t="shared" si="17"/>
        <v>13.330919773300682</v>
      </c>
      <c r="F33" s="671">
        <f t="shared" si="17"/>
        <v>13.775283765744037</v>
      </c>
      <c r="G33" s="671">
        <f>F32*G4/365*G3</f>
        <v>13.330919773300682</v>
      </c>
      <c r="H33" s="671">
        <f t="shared" si="17"/>
        <v>40.874595561925958</v>
      </c>
      <c r="I33" s="671">
        <f t="shared" si="17"/>
        <v>40.874595561925958</v>
      </c>
      <c r="J33" s="671">
        <f t="shared" si="17"/>
        <v>39.556060221218672</v>
      </c>
      <c r="K33" s="671">
        <f t="shared" si="17"/>
        <v>40.874595561925958</v>
      </c>
      <c r="L33" s="671">
        <f t="shared" si="17"/>
        <v>39.556060221218672</v>
      </c>
      <c r="M33" s="671">
        <f t="shared" si="17"/>
        <v>40.874595561925958</v>
      </c>
    </row>
    <row r="34" spans="1:13" s="45" customFormat="1">
      <c r="A34" s="45" t="s">
        <v>608</v>
      </c>
      <c r="B34" s="671">
        <f>'[7]Carrying Charges 2013'!M32+B33</f>
        <v>97.961771262716724</v>
      </c>
      <c r="C34" s="671">
        <f>B34+C33</f>
        <v>110.40396305113069</v>
      </c>
      <c r="D34" s="671">
        <f t="shared" ref="D34:M34" si="18">C34+D33</f>
        <v>124.17924681687472</v>
      </c>
      <c r="E34" s="671">
        <f t="shared" si="18"/>
        <v>137.5101665901754</v>
      </c>
      <c r="F34" s="671">
        <f t="shared" si="18"/>
        <v>151.28545035591944</v>
      </c>
      <c r="G34" s="671">
        <f t="shared" si="18"/>
        <v>164.61637012922012</v>
      </c>
      <c r="H34" s="671">
        <f t="shared" si="18"/>
        <v>205.49096569114607</v>
      </c>
      <c r="I34" s="671">
        <f t="shared" si="18"/>
        <v>246.36556125307203</v>
      </c>
      <c r="J34" s="671">
        <f t="shared" si="18"/>
        <v>285.9216214742907</v>
      </c>
      <c r="K34" s="671">
        <f t="shared" si="18"/>
        <v>326.79621703621666</v>
      </c>
      <c r="L34" s="671">
        <f t="shared" si="18"/>
        <v>366.35227725743533</v>
      </c>
      <c r="M34" s="671">
        <f t="shared" si="18"/>
        <v>407.22687281936129</v>
      </c>
    </row>
    <row r="35" spans="1:13" s="45" customFormat="1">
      <c r="B35" s="46"/>
      <c r="C35" s="46"/>
      <c r="D35" s="46"/>
      <c r="E35" s="46"/>
      <c r="F35" s="46"/>
      <c r="G35" s="46"/>
      <c r="H35" s="46"/>
      <c r="I35" s="46"/>
      <c r="J35" s="46"/>
      <c r="K35" s="46"/>
      <c r="L35" s="46"/>
      <c r="M35" s="46"/>
    </row>
    <row r="36" spans="1:13" s="45" customFormat="1">
      <c r="B36" s="671">
        <f t="shared" ref="B36:K36" si="19">B22+B25+B28+B31+B34-B15</f>
        <v>0</v>
      </c>
      <c r="C36" s="671">
        <f t="shared" si="19"/>
        <v>0</v>
      </c>
      <c r="D36" s="671">
        <f t="shared" si="19"/>
        <v>0</v>
      </c>
      <c r="E36" s="671">
        <f t="shared" si="19"/>
        <v>0</v>
      </c>
      <c r="F36" s="671">
        <f t="shared" si="19"/>
        <v>0</v>
      </c>
      <c r="G36" s="671">
        <f t="shared" si="19"/>
        <v>0</v>
      </c>
      <c r="H36" s="671">
        <f t="shared" si="19"/>
        <v>0</v>
      </c>
      <c r="I36" s="671">
        <f t="shared" si="19"/>
        <v>0</v>
      </c>
      <c r="J36" s="671">
        <f t="shared" si="19"/>
        <v>0</v>
      </c>
      <c r="K36" s="671">
        <f t="shared" si="19"/>
        <v>0</v>
      </c>
      <c r="L36" s="671" t="s">
        <v>637</v>
      </c>
      <c r="M36" s="671">
        <f>M22+M25+M28+M31+M34-M15</f>
        <v>0</v>
      </c>
    </row>
    <row r="37" spans="1:13" s="45" customFormat="1">
      <c r="B37" s="671"/>
      <c r="C37" s="671"/>
      <c r="D37" s="671"/>
      <c r="E37" s="671"/>
      <c r="F37" s="671"/>
      <c r="G37" s="671"/>
      <c r="H37" s="671"/>
      <c r="I37" s="671"/>
      <c r="J37" s="671"/>
      <c r="K37" s="671"/>
      <c r="L37" s="671"/>
      <c r="M37" s="671"/>
    </row>
  </sheetData>
  <pageMargins left="0.7" right="0.7" top="0.75" bottom="0.75" header="0.3" footer="0.3"/>
  <pageSetup scale="43" orientation="landscape" r:id="rId1"/>
  <headerFooter>
    <oddFooter>&amp;R&amp;Z&amp;F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5"/>
  <sheetViews>
    <sheetView zoomScaleNormal="100" workbookViewId="0">
      <selection activeCell="B5" sqref="B5"/>
    </sheetView>
  </sheetViews>
  <sheetFormatPr defaultRowHeight="14.5"/>
  <cols>
    <col min="1" max="1" width="19.453125" customWidth="1"/>
    <col min="2" max="3" width="9.81640625" bestFit="1" customWidth="1"/>
    <col min="4" max="7" width="11.26953125" bestFit="1" customWidth="1"/>
  </cols>
  <sheetData>
    <row r="2" spans="1:11">
      <c r="A2" s="647" t="s">
        <v>601</v>
      </c>
      <c r="B2" s="647"/>
      <c r="C2" s="647"/>
      <c r="D2" s="647"/>
      <c r="E2" s="647"/>
      <c r="F2" s="647"/>
      <c r="G2" s="647"/>
    </row>
    <row r="3" spans="1:11">
      <c r="A3" s="50" t="s">
        <v>606</v>
      </c>
      <c r="B3" s="46">
        <v>2015</v>
      </c>
      <c r="C3" s="46">
        <v>2016</v>
      </c>
      <c r="D3" s="46">
        <v>2017</v>
      </c>
      <c r="E3" s="46">
        <v>2018</v>
      </c>
      <c r="F3" s="46">
        <v>2019</v>
      </c>
      <c r="G3" s="46">
        <v>2020</v>
      </c>
    </row>
    <row r="4" spans="1:11" s="45" customFormat="1">
      <c r="A4" s="45" t="s">
        <v>607</v>
      </c>
      <c r="B4" s="46"/>
      <c r="C4" s="46"/>
      <c r="D4" s="46"/>
      <c r="E4" s="46"/>
      <c r="F4" s="46"/>
      <c r="G4" s="46"/>
    </row>
    <row r="5" spans="1:11">
      <c r="A5" t="s">
        <v>597</v>
      </c>
      <c r="B5" s="35">
        <f>'KH MWh Savings Pivot'!H134</f>
        <v>181705.71754005147</v>
      </c>
      <c r="C5" s="35">
        <f>'KH MWh Savings Pivot'!I134</f>
        <v>440692.92518048763</v>
      </c>
      <c r="D5" s="35">
        <f>'KH MWh Savings Pivot'!J134</f>
        <v>549771.68367726821</v>
      </c>
      <c r="E5" s="35">
        <f>'KH MWh Savings Pivot'!K134</f>
        <v>614196.00709504541</v>
      </c>
      <c r="F5" s="35">
        <f>'KH MWh Savings Pivot'!L134</f>
        <v>680279.90376279294</v>
      </c>
      <c r="G5" s="35">
        <f>'KH MWh Savings Pivot'!M134</f>
        <v>748023.37368051102</v>
      </c>
    </row>
    <row r="6" spans="1:11">
      <c r="A6" t="s">
        <v>598</v>
      </c>
      <c r="B6" s="35">
        <f>'KH MWh Savings Pivot'!H135</f>
        <v>135731.6256015221</v>
      </c>
      <c r="C6" s="35">
        <f>'KH MWh Savings Pivot'!I135</f>
        <v>634636.32249473815</v>
      </c>
      <c r="D6" s="35">
        <f>'KH MWh Savings Pivot'!J135</f>
        <v>1396645.7113235483</v>
      </c>
      <c r="E6" s="35">
        <f>'KH MWh Savings Pivot'!K135</f>
        <v>2234487.2608030029</v>
      </c>
      <c r="F6" s="35">
        <f>'KH MWh Savings Pivot'!L135</f>
        <v>3140094.3697257126</v>
      </c>
      <c r="G6" s="35">
        <f>'KH MWh Savings Pivot'!M135</f>
        <v>4106990.4144782769</v>
      </c>
    </row>
    <row r="7" spans="1:11" s="45" customFormat="1"/>
    <row r="8" spans="1:11">
      <c r="A8" t="s">
        <v>599</v>
      </c>
      <c r="B8" s="35">
        <f>'KH MW Savings Pivot'!B94</f>
        <v>156.91042178848343</v>
      </c>
      <c r="C8" s="35">
        <f>'KH MW Savings Pivot'!C94</f>
        <v>611.49951456210056</v>
      </c>
      <c r="D8" s="35">
        <f>'KH MW Savings Pivot'!D94</f>
        <v>1228.602414968349</v>
      </c>
      <c r="E8" s="35">
        <f>'KH MW Savings Pivot'!E94</f>
        <v>1894.8313083759344</v>
      </c>
      <c r="F8" s="35">
        <f>'KH MW Savings Pivot'!F94</f>
        <v>2585.2855816027122</v>
      </c>
      <c r="G8" s="35">
        <f>'KH MW Savings Pivot'!G94</f>
        <v>3298.8373214463163</v>
      </c>
    </row>
    <row r="9" spans="1:11">
      <c r="A9" t="s">
        <v>600</v>
      </c>
      <c r="B9" s="35">
        <f>'KH MW Savings Pivot'!B95</f>
        <v>52.563779702415715</v>
      </c>
      <c r="C9" s="35">
        <f>'KH MW Savings Pivot'!C95</f>
        <v>278.03795638268542</v>
      </c>
      <c r="D9" s="35">
        <f>'KH MW Savings Pivot'!D95</f>
        <v>629.32462324787116</v>
      </c>
      <c r="E9" s="35">
        <f>'KH MW Savings Pivot'!E95</f>
        <v>992.99169298217726</v>
      </c>
      <c r="F9" s="35">
        <f>'KH MW Savings Pivot'!F95</f>
        <v>1337.7628547549511</v>
      </c>
      <c r="G9" s="35">
        <f>'KH MW Savings Pivot'!G95</f>
        <v>1661.3822821614626</v>
      </c>
    </row>
    <row r="11" spans="1:11">
      <c r="A11" t="s">
        <v>602</v>
      </c>
    </row>
    <row r="12" spans="1:11" ht="43.5" customHeight="1">
      <c r="A12" s="856" t="s">
        <v>603</v>
      </c>
      <c r="B12" s="856"/>
      <c r="C12" s="856"/>
      <c r="D12" s="856"/>
      <c r="E12" s="856"/>
      <c r="F12" s="856"/>
      <c r="G12" s="856"/>
      <c r="H12" s="856"/>
      <c r="I12" s="856"/>
      <c r="J12" s="856"/>
      <c r="K12" s="856"/>
    </row>
    <row r="13" spans="1:11" ht="42" customHeight="1">
      <c r="A13" s="856" t="s">
        <v>604</v>
      </c>
      <c r="B13" s="856"/>
      <c r="C13" s="856"/>
      <c r="D13" s="856"/>
      <c r="E13" s="856"/>
      <c r="F13" s="856"/>
      <c r="G13" s="856"/>
      <c r="H13" s="856"/>
      <c r="I13" s="856"/>
      <c r="J13" s="856"/>
      <c r="K13" s="856"/>
    </row>
    <row r="14" spans="1:11" ht="29" customHeight="1">
      <c r="A14" s="856" t="s">
        <v>643</v>
      </c>
      <c r="B14" s="856"/>
      <c r="C14" s="856"/>
      <c r="D14" s="856"/>
      <c r="E14" s="856"/>
      <c r="F14" s="856"/>
      <c r="G14" s="856"/>
      <c r="H14" s="856"/>
      <c r="I14" s="856"/>
      <c r="J14" s="856"/>
      <c r="K14" s="856"/>
    </row>
    <row r="15" spans="1:11" ht="33" customHeight="1">
      <c r="A15" s="856" t="s">
        <v>605</v>
      </c>
      <c r="B15" s="856"/>
      <c r="C15" s="856"/>
      <c r="D15" s="856"/>
      <c r="E15" s="856"/>
      <c r="F15" s="856"/>
      <c r="G15" s="856"/>
      <c r="H15" s="856"/>
      <c r="I15" s="856"/>
      <c r="J15" s="856"/>
      <c r="K15" s="856"/>
    </row>
  </sheetData>
  <mergeCells count="4">
    <mergeCell ref="A12:K12"/>
    <mergeCell ref="A13:K13"/>
    <mergeCell ref="A15:K15"/>
    <mergeCell ref="A14:K14"/>
  </mergeCells>
  <pageMargins left="0.7" right="0.7" top="0.75" bottom="0.75" header="0.3" footer="0.3"/>
  <pageSetup scale="75"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F41"/>
  <sheetViews>
    <sheetView zoomScale="85" zoomScaleNormal="85" zoomScaleSheetLayoutView="100" zoomScalePageLayoutView="85" workbookViewId="0">
      <selection activeCell="O19" sqref="O19"/>
    </sheetView>
  </sheetViews>
  <sheetFormatPr defaultRowHeight="14.5"/>
  <cols>
    <col min="1" max="1" width="24.26953125" style="46" bestFit="1" customWidth="1"/>
    <col min="2" max="2" width="15.7265625" style="45" customWidth="1"/>
    <col min="3" max="3" width="14.7265625" style="45" customWidth="1"/>
    <col min="4" max="4" width="18.1796875" style="45" customWidth="1"/>
    <col min="5" max="6" width="16.54296875" style="45" customWidth="1"/>
    <col min="7" max="16384" width="8.7265625" style="45"/>
  </cols>
  <sheetData>
    <row r="1" spans="1:6" ht="15.5">
      <c r="A1" s="857" t="s">
        <v>319</v>
      </c>
      <c r="B1" s="857"/>
      <c r="C1" s="857"/>
      <c r="D1" s="857"/>
      <c r="E1" s="857"/>
      <c r="F1" s="857"/>
    </row>
    <row r="2" spans="1:6" ht="90" customHeight="1">
      <c r="A2" s="863" t="s">
        <v>318</v>
      </c>
      <c r="B2" s="863"/>
      <c r="C2" s="863"/>
      <c r="D2" s="863"/>
      <c r="E2" s="863"/>
      <c r="F2" s="863"/>
    </row>
    <row r="3" spans="1:6" ht="15.5">
      <c r="A3" s="857" t="s">
        <v>317</v>
      </c>
      <c r="B3" s="857"/>
      <c r="C3" s="857"/>
      <c r="D3" s="857"/>
      <c r="E3" s="857"/>
      <c r="F3" s="857"/>
    </row>
    <row r="4" spans="1:6">
      <c r="A4" s="864"/>
      <c r="B4" s="864"/>
      <c r="C4" s="864"/>
      <c r="D4" s="864"/>
      <c r="E4" s="864"/>
      <c r="F4" s="869"/>
    </row>
    <row r="5" spans="1:6">
      <c r="A5" s="858" t="s">
        <v>312</v>
      </c>
      <c r="B5" s="860" t="s">
        <v>91</v>
      </c>
      <c r="C5" s="861"/>
      <c r="D5" s="861"/>
      <c r="E5" s="861"/>
      <c r="F5" s="869"/>
    </row>
    <row r="6" spans="1:6">
      <c r="A6" s="859"/>
      <c r="B6" s="382">
        <v>2011</v>
      </c>
      <c r="C6" s="382">
        <v>2012</v>
      </c>
      <c r="D6" s="382">
        <v>2013</v>
      </c>
      <c r="E6" s="382">
        <v>2014</v>
      </c>
      <c r="F6" s="869"/>
    </row>
    <row r="7" spans="1:6">
      <c r="A7" s="380" t="s">
        <v>309</v>
      </c>
      <c r="B7" s="377">
        <v>4.7050000000000001</v>
      </c>
      <c r="C7" s="377">
        <v>0.68700000000000006</v>
      </c>
      <c r="D7" s="377">
        <v>0.68700000000000006</v>
      </c>
      <c r="E7" s="377">
        <v>0.66500000000000004</v>
      </c>
      <c r="F7" s="869"/>
    </row>
    <row r="8" spans="1:6">
      <c r="A8" s="381" t="s">
        <v>308</v>
      </c>
      <c r="B8" s="378">
        <v>8.3000000000000004E-2</v>
      </c>
      <c r="C8" s="378">
        <v>5.4349999999999996</v>
      </c>
      <c r="D8" s="378">
        <v>1.056</v>
      </c>
      <c r="E8" s="378">
        <v>1.0249999999999999</v>
      </c>
      <c r="F8" s="869"/>
    </row>
    <row r="9" spans="1:6" ht="15.75" customHeight="1">
      <c r="A9" s="380" t="s">
        <v>307</v>
      </c>
      <c r="B9" s="378">
        <v>0</v>
      </c>
      <c r="C9" s="378">
        <v>4.4999999999999998E-2</v>
      </c>
      <c r="D9" s="378">
        <v>4.6870000000000003</v>
      </c>
      <c r="E9" s="378">
        <v>0.46700000000000003</v>
      </c>
      <c r="F9" s="869"/>
    </row>
    <row r="10" spans="1:6">
      <c r="A10" s="380" t="s">
        <v>306</v>
      </c>
      <c r="B10" s="378">
        <v>0</v>
      </c>
      <c r="C10" s="378">
        <v>4.0000000000000001E-3</v>
      </c>
      <c r="D10" s="378">
        <v>3.2000000000000001E-2</v>
      </c>
      <c r="E10" s="378">
        <v>5.327</v>
      </c>
      <c r="F10" s="869"/>
    </row>
    <row r="11" spans="1:6">
      <c r="A11" s="862" t="s">
        <v>316</v>
      </c>
      <c r="B11" s="862"/>
      <c r="C11" s="862"/>
      <c r="D11" s="862"/>
      <c r="E11" s="383">
        <v>7.484</v>
      </c>
      <c r="F11" s="869"/>
    </row>
    <row r="12" spans="1:6">
      <c r="A12" s="862" t="s">
        <v>315</v>
      </c>
      <c r="B12" s="862"/>
      <c r="C12" s="862"/>
      <c r="D12" s="862"/>
      <c r="E12" s="376">
        <v>6.63</v>
      </c>
      <c r="F12" s="869"/>
    </row>
    <row r="13" spans="1:6">
      <c r="A13" s="862" t="s">
        <v>314</v>
      </c>
      <c r="B13" s="862"/>
      <c r="C13" s="862"/>
      <c r="D13" s="862"/>
      <c r="E13" s="375">
        <v>1.128808</v>
      </c>
      <c r="F13" s="869"/>
    </row>
    <row r="14" spans="1:6">
      <c r="A14" s="869"/>
      <c r="B14" s="869"/>
      <c r="C14" s="869"/>
      <c r="D14" s="869"/>
      <c r="E14" s="869"/>
      <c r="F14" s="869"/>
    </row>
    <row r="15" spans="1:6" ht="15.5">
      <c r="A15" s="857" t="s">
        <v>313</v>
      </c>
      <c r="B15" s="857"/>
      <c r="C15" s="857"/>
      <c r="D15" s="857"/>
      <c r="E15" s="857"/>
      <c r="F15" s="857"/>
    </row>
    <row r="16" spans="1:6">
      <c r="A16" s="864"/>
      <c r="B16" s="864"/>
      <c r="C16" s="864"/>
      <c r="D16" s="864"/>
      <c r="E16" s="864"/>
      <c r="F16" s="864"/>
    </row>
    <row r="17" spans="1:6">
      <c r="A17" s="858" t="s">
        <v>312</v>
      </c>
      <c r="B17" s="860" t="s">
        <v>91</v>
      </c>
      <c r="C17" s="860"/>
      <c r="D17" s="860"/>
      <c r="E17" s="860"/>
      <c r="F17" s="382" t="s">
        <v>311</v>
      </c>
    </row>
    <row r="18" spans="1:6">
      <c r="A18" s="868"/>
      <c r="B18" s="382">
        <v>2011</v>
      </c>
      <c r="C18" s="382">
        <v>2012</v>
      </c>
      <c r="D18" s="382">
        <v>2013</v>
      </c>
      <c r="E18" s="382">
        <v>2014</v>
      </c>
      <c r="F18" s="382" t="s">
        <v>310</v>
      </c>
    </row>
    <row r="19" spans="1:6">
      <c r="A19" s="380" t="s">
        <v>309</v>
      </c>
      <c r="B19" s="377">
        <v>3.302</v>
      </c>
      <c r="C19" s="377">
        <v>3.1459999999999999</v>
      </c>
      <c r="D19" s="377">
        <v>3.145</v>
      </c>
      <c r="E19" s="377">
        <v>3.0870000000000002</v>
      </c>
      <c r="F19" s="377">
        <v>12.68</v>
      </c>
    </row>
    <row r="20" spans="1:6">
      <c r="A20" s="381" t="s">
        <v>308</v>
      </c>
      <c r="B20" s="378">
        <v>0.49099999999999999</v>
      </c>
      <c r="C20" s="378">
        <v>5.4160000000000004</v>
      </c>
      <c r="D20" s="378">
        <v>5.3490000000000002</v>
      </c>
      <c r="E20" s="378">
        <v>5.2460000000000004</v>
      </c>
      <c r="F20" s="377">
        <v>16.501999999999999</v>
      </c>
    </row>
    <row r="21" spans="1:6">
      <c r="A21" s="380" t="s">
        <v>307</v>
      </c>
      <c r="B21" s="378">
        <v>0</v>
      </c>
      <c r="C21" s="378">
        <v>0.14299999999999999</v>
      </c>
      <c r="D21" s="378">
        <v>6.1589999999999998</v>
      </c>
      <c r="E21" s="378">
        <v>6.0940000000000003</v>
      </c>
      <c r="F21" s="377">
        <v>12.396000000000001</v>
      </c>
    </row>
    <row r="22" spans="1:6">
      <c r="A22" s="380" t="s">
        <v>306</v>
      </c>
      <c r="B22" s="378">
        <v>4.4999999999999998E-2</v>
      </c>
      <c r="C22" s="378">
        <v>8.1000000000000003E-2</v>
      </c>
      <c r="D22" s="379">
        <v>0.32900000000000001</v>
      </c>
      <c r="E22" s="378">
        <v>3.927</v>
      </c>
      <c r="F22" s="377">
        <v>4.3819999999999997</v>
      </c>
    </row>
    <row r="23" spans="1:6">
      <c r="A23" s="862" t="s">
        <v>305</v>
      </c>
      <c r="B23" s="862"/>
      <c r="C23" s="862"/>
      <c r="D23" s="862"/>
      <c r="E23" s="862"/>
      <c r="F23" s="376">
        <v>45.96</v>
      </c>
    </row>
    <row r="24" spans="1:6">
      <c r="A24" s="865" t="s">
        <v>304</v>
      </c>
      <c r="B24" s="866"/>
      <c r="C24" s="866"/>
      <c r="D24" s="866"/>
      <c r="E24" s="867"/>
      <c r="F24" s="376">
        <v>37.159999999999997</v>
      </c>
    </row>
    <row r="25" spans="1:6">
      <c r="A25" s="862" t="s">
        <v>303</v>
      </c>
      <c r="B25" s="862"/>
      <c r="C25" s="862"/>
      <c r="D25" s="862"/>
      <c r="E25" s="862"/>
      <c r="F25" s="375">
        <v>1.2368140000000001</v>
      </c>
    </row>
    <row r="26" spans="1:6">
      <c r="A26" s="372" t="s">
        <v>302</v>
      </c>
      <c r="B26" s="374"/>
      <c r="C26" s="374"/>
      <c r="D26" s="374"/>
      <c r="E26" s="374"/>
      <c r="F26" s="373"/>
    </row>
    <row r="27" spans="1:6">
      <c r="A27" s="372" t="s">
        <v>165</v>
      </c>
      <c r="B27" s="166"/>
    </row>
    <row r="28" spans="1:6">
      <c r="A28" s="166"/>
      <c r="B28" s="166"/>
    </row>
    <row r="29" spans="1:6">
      <c r="A29" s="166"/>
      <c r="B29" s="166"/>
    </row>
    <row r="30" spans="1:6">
      <c r="A30" s="166"/>
      <c r="B30" s="166"/>
      <c r="C30" s="166"/>
      <c r="D30" s="166"/>
      <c r="E30" s="166"/>
      <c r="F30" s="166"/>
    </row>
    <row r="31" spans="1:6">
      <c r="A31" s="166"/>
      <c r="B31" s="166"/>
      <c r="C31" s="166"/>
      <c r="D31" s="166"/>
      <c r="E31" s="166"/>
      <c r="F31" s="166"/>
    </row>
    <row r="32" spans="1:6">
      <c r="A32" s="45"/>
    </row>
    <row r="33" spans="1:6">
      <c r="A33" s="166"/>
      <c r="B33" s="166"/>
      <c r="C33" s="166"/>
      <c r="D33" s="166"/>
      <c r="E33" s="166"/>
      <c r="F33" s="166"/>
    </row>
    <row r="34" spans="1:6">
      <c r="A34" s="166"/>
      <c r="B34" s="166"/>
      <c r="C34" s="166"/>
      <c r="D34" s="166"/>
      <c r="E34" s="166"/>
      <c r="F34" s="166"/>
    </row>
    <row r="35" spans="1:6">
      <c r="A35" s="166"/>
      <c r="B35" s="166"/>
      <c r="C35" s="166"/>
      <c r="D35" s="166"/>
      <c r="E35" s="166"/>
      <c r="F35" s="166"/>
    </row>
    <row r="36" spans="1:6">
      <c r="A36" s="45"/>
    </row>
    <row r="37" spans="1:6">
      <c r="A37" s="45"/>
    </row>
    <row r="38" spans="1:6">
      <c r="A38" s="45"/>
    </row>
    <row r="39" spans="1:6">
      <c r="A39" s="45"/>
    </row>
    <row r="40" spans="1:6">
      <c r="A40" s="45"/>
    </row>
    <row r="41" spans="1:6">
      <c r="A41" s="45"/>
    </row>
  </sheetData>
  <sheetProtection password="DF0E" sheet="1" objects="1" scenarios="1" autoFilter="0"/>
  <mergeCells count="18">
    <mergeCell ref="A12:D12"/>
    <mergeCell ref="A24:E24"/>
    <mergeCell ref="A25:E25"/>
    <mergeCell ref="A15:F15"/>
    <mergeCell ref="A13:D13"/>
    <mergeCell ref="A17:A18"/>
    <mergeCell ref="B17:E17"/>
    <mergeCell ref="A23:E23"/>
    <mergeCell ref="A16:F16"/>
    <mergeCell ref="A14:F14"/>
    <mergeCell ref="F4:F13"/>
    <mergeCell ref="A1:F1"/>
    <mergeCell ref="A5:A6"/>
    <mergeCell ref="B5:E5"/>
    <mergeCell ref="A11:D11"/>
    <mergeCell ref="A3:F3"/>
    <mergeCell ref="A2:F2"/>
    <mergeCell ref="A4:E4"/>
  </mergeCells>
  <printOptions horizontalCentered="1"/>
  <pageMargins left="0.55118110236220474" right="0.47244094488188981" top="0.74803149606299213" bottom="0.74803149606299213" header="0.31496062992125984" footer="0.31496062992125984"/>
  <pageSetup scale="85" orientation="portrait" cellComments="asDisplayed" r:id="rId1"/>
  <headerFooter>
    <oddFooter>&amp;L&amp;10Kingston Hydro Corporation&amp;C&amp;10_x000D_2011-2014 Final Results Report&amp;R&amp;P</oddFooter>
  </headerFooter>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X73"/>
  <sheetViews>
    <sheetView topLeftCell="A28" zoomScale="85" zoomScaleNormal="85" zoomScaleSheetLayoutView="80" zoomScalePageLayoutView="85" workbookViewId="0">
      <selection activeCell="Z23" sqref="Z23"/>
    </sheetView>
  </sheetViews>
  <sheetFormatPr defaultColWidth="9.1796875" defaultRowHeight="14.5"/>
  <cols>
    <col min="1" max="1" width="36.26953125" style="45" customWidth="1"/>
    <col min="2" max="2" width="12.453125" style="45" customWidth="1"/>
    <col min="3" max="3" width="1.1796875" style="45" customWidth="1"/>
    <col min="4" max="7" width="11.26953125" style="45" customWidth="1"/>
    <col min="8" max="8" width="1.1796875" style="45" customWidth="1"/>
    <col min="9" max="11" width="11.26953125" style="45" customWidth="1"/>
    <col min="12" max="12" width="9.453125" style="45" customWidth="1"/>
    <col min="13" max="13" width="1.1796875" style="45" customWidth="1"/>
    <col min="14" max="17" width="12" style="45" bestFit="1" customWidth="1"/>
    <col min="18" max="18" width="1.1796875" style="45" customWidth="1"/>
    <col min="19" max="19" width="18.54296875" style="45" customWidth="1"/>
    <col min="20" max="20" width="18.7265625" style="45" customWidth="1"/>
    <col min="21" max="16384" width="9.1796875" style="45"/>
  </cols>
  <sheetData>
    <row r="1" spans="1:21" s="303" customFormat="1" ht="15.75" customHeight="1">
      <c r="A1" s="181"/>
      <c r="B1" s="181"/>
      <c r="C1" s="181"/>
      <c r="D1" s="181" t="s">
        <v>296</v>
      </c>
      <c r="E1" s="181"/>
      <c r="F1" s="181"/>
      <c r="G1" s="181"/>
      <c r="H1" s="181"/>
      <c r="I1" s="304"/>
      <c r="J1" s="304"/>
      <c r="K1" s="304"/>
      <c r="L1" s="304"/>
      <c r="M1" s="172"/>
      <c r="N1" s="172"/>
      <c r="O1" s="172"/>
      <c r="P1" s="172"/>
      <c r="Q1" s="172"/>
      <c r="R1" s="172"/>
      <c r="S1" s="172"/>
      <c r="T1" s="172"/>
    </row>
    <row r="2" spans="1:21" ht="30.75" customHeight="1">
      <c r="A2" s="875" t="s">
        <v>30</v>
      </c>
      <c r="B2" s="876" t="s">
        <v>130</v>
      </c>
      <c r="C2" s="181"/>
      <c r="D2" s="877" t="s">
        <v>131</v>
      </c>
      <c r="E2" s="878"/>
      <c r="F2" s="878"/>
      <c r="G2" s="879"/>
      <c r="H2" s="181"/>
      <c r="I2" s="883" t="s">
        <v>132</v>
      </c>
      <c r="J2" s="878"/>
      <c r="K2" s="878"/>
      <c r="L2" s="879"/>
      <c r="M2" s="172"/>
      <c r="N2" s="885" t="s">
        <v>133</v>
      </c>
      <c r="O2" s="886"/>
      <c r="P2" s="886"/>
      <c r="Q2" s="887"/>
      <c r="R2" s="172"/>
      <c r="S2" s="873" t="s">
        <v>152</v>
      </c>
      <c r="T2" s="874"/>
      <c r="U2" s="170"/>
    </row>
    <row r="3" spans="1:21" ht="39.75" customHeight="1">
      <c r="A3" s="875"/>
      <c r="B3" s="876"/>
      <c r="C3" s="181"/>
      <c r="D3" s="880"/>
      <c r="E3" s="881"/>
      <c r="F3" s="881"/>
      <c r="G3" s="882"/>
      <c r="H3" s="181"/>
      <c r="I3" s="884"/>
      <c r="J3" s="881"/>
      <c r="K3" s="881"/>
      <c r="L3" s="882"/>
      <c r="M3" s="172"/>
      <c r="N3" s="888"/>
      <c r="O3" s="889"/>
      <c r="P3" s="889"/>
      <c r="Q3" s="890"/>
      <c r="R3" s="172"/>
      <c r="S3" s="302" t="s">
        <v>134</v>
      </c>
      <c r="T3" s="301" t="s">
        <v>135</v>
      </c>
      <c r="U3" s="170"/>
    </row>
    <row r="4" spans="1:21">
      <c r="A4" s="875"/>
      <c r="B4" s="876"/>
      <c r="C4" s="181"/>
      <c r="D4" s="300" t="s">
        <v>153</v>
      </c>
      <c r="E4" s="298" t="s">
        <v>154</v>
      </c>
      <c r="F4" s="298" t="s">
        <v>155</v>
      </c>
      <c r="G4" s="299">
        <v>2014</v>
      </c>
      <c r="H4" s="181"/>
      <c r="I4" s="297">
        <v>2011</v>
      </c>
      <c r="J4" s="298">
        <v>2012</v>
      </c>
      <c r="K4" s="298">
        <v>2013</v>
      </c>
      <c r="L4" s="299">
        <v>2014</v>
      </c>
      <c r="M4" s="172"/>
      <c r="N4" s="297">
        <v>2011</v>
      </c>
      <c r="O4" s="298">
        <v>2012</v>
      </c>
      <c r="P4" s="298">
        <v>2013</v>
      </c>
      <c r="Q4" s="296">
        <v>2014</v>
      </c>
      <c r="R4" s="172"/>
      <c r="S4" s="297">
        <v>2014</v>
      </c>
      <c r="T4" s="296">
        <v>2014</v>
      </c>
      <c r="U4" s="170"/>
    </row>
    <row r="5" spans="1:21" ht="3.75" customHeight="1">
      <c r="A5" s="170"/>
      <c r="B5" s="170"/>
      <c r="C5" s="181"/>
      <c r="D5" s="170"/>
      <c r="E5" s="170"/>
      <c r="F5" s="170"/>
      <c r="G5" s="170"/>
      <c r="H5" s="181"/>
      <c r="I5" s="170"/>
      <c r="J5" s="170"/>
      <c r="K5" s="170"/>
      <c r="L5" s="170"/>
      <c r="M5" s="172"/>
      <c r="N5" s="295"/>
      <c r="O5" s="295"/>
      <c r="P5" s="295"/>
      <c r="Q5" s="295"/>
      <c r="R5" s="172"/>
      <c r="S5" s="170"/>
      <c r="T5" s="170"/>
      <c r="U5" s="170"/>
    </row>
    <row r="6" spans="1:21" ht="12" customHeight="1">
      <c r="A6" s="247" t="s">
        <v>107</v>
      </c>
      <c r="B6" s="246"/>
      <c r="C6" s="181"/>
      <c r="D6" s="249"/>
      <c r="E6" s="236"/>
      <c r="F6" s="236"/>
      <c r="G6" s="235"/>
      <c r="H6" s="181"/>
      <c r="I6" s="247"/>
      <c r="J6" s="248"/>
      <c r="K6" s="248"/>
      <c r="L6" s="246"/>
      <c r="M6" s="172"/>
      <c r="N6" s="247"/>
      <c r="O6" s="248"/>
      <c r="P6" s="248"/>
      <c r="Q6" s="246"/>
      <c r="R6" s="172"/>
      <c r="S6" s="247"/>
      <c r="T6" s="246"/>
      <c r="U6" s="230"/>
    </row>
    <row r="7" spans="1:21" ht="15" customHeight="1">
      <c r="A7" s="245" t="s">
        <v>21</v>
      </c>
      <c r="B7" s="228" t="s">
        <v>20</v>
      </c>
      <c r="C7" s="181"/>
      <c r="D7" s="227">
        <v>181.863</v>
      </c>
      <c r="E7" s="216">
        <v>90.66</v>
      </c>
      <c r="F7" s="216">
        <v>46.07</v>
      </c>
      <c r="G7" s="215">
        <v>56.07</v>
      </c>
      <c r="H7" s="185"/>
      <c r="I7" s="227">
        <v>9.7590000000000003</v>
      </c>
      <c r="J7" s="216">
        <v>5.1040000000000001</v>
      </c>
      <c r="K7" s="216">
        <v>3.1019999999999999</v>
      </c>
      <c r="L7" s="215">
        <v>4.3179999999999996</v>
      </c>
      <c r="M7" s="184"/>
      <c r="N7" s="214">
        <v>69601.599000000002</v>
      </c>
      <c r="O7" s="216">
        <v>36436.021999999997</v>
      </c>
      <c r="P7" s="216">
        <v>19133.287</v>
      </c>
      <c r="Q7" s="215">
        <v>23016.788</v>
      </c>
      <c r="R7" s="184"/>
      <c r="S7" s="214">
        <v>22.056000000000001</v>
      </c>
      <c r="T7" s="213">
        <v>448795.05499999999</v>
      </c>
      <c r="U7" s="170"/>
    </row>
    <row r="8" spans="1:21" ht="15" customHeight="1">
      <c r="A8" s="245" t="s">
        <v>19</v>
      </c>
      <c r="B8" s="220" t="s">
        <v>20</v>
      </c>
      <c r="C8" s="181"/>
      <c r="D8" s="214">
        <v>22.181999999999999</v>
      </c>
      <c r="E8" s="216">
        <v>66.924999999999997</v>
      </c>
      <c r="F8" s="216">
        <v>7</v>
      </c>
      <c r="G8" s="215">
        <v>41</v>
      </c>
      <c r="H8" s="185"/>
      <c r="I8" s="214">
        <v>2.2090000000000001</v>
      </c>
      <c r="J8" s="216">
        <v>9.3610000000000007</v>
      </c>
      <c r="K8" s="216">
        <v>1.45</v>
      </c>
      <c r="L8" s="215">
        <v>8.4949999999999992</v>
      </c>
      <c r="M8" s="184"/>
      <c r="N8" s="214">
        <v>2645.5569999999998</v>
      </c>
      <c r="O8" s="216">
        <v>16002.314</v>
      </c>
      <c r="P8" s="216">
        <v>2586.0790000000002</v>
      </c>
      <c r="Q8" s="215">
        <v>15147.035</v>
      </c>
      <c r="R8" s="184"/>
      <c r="S8" s="214">
        <v>20.061</v>
      </c>
      <c r="T8" s="213">
        <v>77607.710000000006</v>
      </c>
      <c r="U8" s="170"/>
    </row>
    <row r="9" spans="1:21" ht="15" customHeight="1">
      <c r="A9" s="245" t="s">
        <v>46</v>
      </c>
      <c r="B9" s="220" t="s">
        <v>26</v>
      </c>
      <c r="C9" s="181"/>
      <c r="D9" s="214">
        <v>293.39499999999998</v>
      </c>
      <c r="E9" s="216">
        <v>224.65799999999999</v>
      </c>
      <c r="F9" s="216">
        <v>178</v>
      </c>
      <c r="G9" s="215">
        <v>293</v>
      </c>
      <c r="H9" s="185"/>
      <c r="I9" s="214">
        <v>118.139</v>
      </c>
      <c r="J9" s="216">
        <v>52.904000000000003</v>
      </c>
      <c r="K9" s="216">
        <v>38.167000000000002</v>
      </c>
      <c r="L9" s="215">
        <v>65.462999999999994</v>
      </c>
      <c r="M9" s="184"/>
      <c r="N9" s="214">
        <v>230819.65400000001</v>
      </c>
      <c r="O9" s="216">
        <v>95798.091</v>
      </c>
      <c r="P9" s="216">
        <v>69935.744999999995</v>
      </c>
      <c r="Q9" s="215">
        <v>123220.02</v>
      </c>
      <c r="R9" s="184"/>
      <c r="S9" s="214">
        <v>274.67200000000003</v>
      </c>
      <c r="T9" s="213">
        <v>1473764.402</v>
      </c>
      <c r="U9" s="170"/>
    </row>
    <row r="10" spans="1:21" ht="15" customHeight="1">
      <c r="A10" s="244" t="s">
        <v>45</v>
      </c>
      <c r="B10" s="220" t="s">
        <v>136</v>
      </c>
      <c r="C10" s="181"/>
      <c r="D10" s="214">
        <v>2693.5520000000001</v>
      </c>
      <c r="E10" s="216">
        <v>154.87899999999999</v>
      </c>
      <c r="F10" s="216">
        <v>1744.52</v>
      </c>
      <c r="G10" s="215">
        <v>6774.5169999999998</v>
      </c>
      <c r="H10" s="185"/>
      <c r="I10" s="214">
        <v>6.1029999999999998</v>
      </c>
      <c r="J10" s="216">
        <v>1.155</v>
      </c>
      <c r="K10" s="216">
        <v>2.59</v>
      </c>
      <c r="L10" s="215">
        <v>13.194000000000001</v>
      </c>
      <c r="M10" s="184"/>
      <c r="N10" s="214">
        <v>98588.392000000007</v>
      </c>
      <c r="O10" s="216">
        <v>7010.2529999999997</v>
      </c>
      <c r="P10" s="216">
        <v>38643.947</v>
      </c>
      <c r="Q10" s="215">
        <v>184681.008</v>
      </c>
      <c r="R10" s="184"/>
      <c r="S10" s="214">
        <v>23.042999999999999</v>
      </c>
      <c r="T10" s="213">
        <v>677353.23100000003</v>
      </c>
      <c r="U10" s="170"/>
    </row>
    <row r="11" spans="1:21" ht="15" customHeight="1">
      <c r="A11" s="244" t="s">
        <v>43</v>
      </c>
      <c r="B11" s="220" t="s">
        <v>136</v>
      </c>
      <c r="C11" s="181"/>
      <c r="D11" s="214">
        <v>4773.8500000000004</v>
      </c>
      <c r="E11" s="216">
        <v>5319.1049999999996</v>
      </c>
      <c r="F11" s="216">
        <v>4736.8639999999996</v>
      </c>
      <c r="G11" s="215">
        <v>24190.161</v>
      </c>
      <c r="H11" s="185"/>
      <c r="I11" s="214">
        <v>8.4309999999999992</v>
      </c>
      <c r="J11" s="216">
        <v>7.42</v>
      </c>
      <c r="K11" s="216">
        <v>5.9349999999999996</v>
      </c>
      <c r="L11" s="215">
        <v>40.328000000000003</v>
      </c>
      <c r="M11" s="184"/>
      <c r="N11" s="214">
        <v>147341.815</v>
      </c>
      <c r="O11" s="216">
        <v>134276.97899999999</v>
      </c>
      <c r="P11" s="216">
        <v>86135.657999999996</v>
      </c>
      <c r="Q11" s="215">
        <v>616205.40899999999</v>
      </c>
      <c r="R11" s="184"/>
      <c r="S11" s="214">
        <v>62.113</v>
      </c>
      <c r="T11" s="213">
        <v>1780674.923</v>
      </c>
      <c r="U11" s="170"/>
    </row>
    <row r="12" spans="1:21" ht="15" customHeight="1">
      <c r="A12" s="244" t="s">
        <v>54</v>
      </c>
      <c r="B12" s="220" t="s">
        <v>136</v>
      </c>
      <c r="C12" s="181"/>
      <c r="D12" s="214">
        <v>0</v>
      </c>
      <c r="E12" s="216">
        <v>0</v>
      </c>
      <c r="F12" s="216">
        <v>0</v>
      </c>
      <c r="G12" s="215">
        <v>0</v>
      </c>
      <c r="H12" s="185"/>
      <c r="I12" s="214">
        <v>0</v>
      </c>
      <c r="J12" s="216">
        <v>0</v>
      </c>
      <c r="K12" s="216">
        <v>0</v>
      </c>
      <c r="L12" s="215">
        <v>0</v>
      </c>
      <c r="M12" s="184"/>
      <c r="N12" s="214">
        <v>0</v>
      </c>
      <c r="O12" s="216">
        <v>0</v>
      </c>
      <c r="P12" s="216">
        <v>0</v>
      </c>
      <c r="Q12" s="215">
        <v>0</v>
      </c>
      <c r="R12" s="184"/>
      <c r="S12" s="214">
        <v>0</v>
      </c>
      <c r="T12" s="213">
        <v>0</v>
      </c>
      <c r="U12" s="170"/>
    </row>
    <row r="13" spans="1:21" ht="15" customHeight="1">
      <c r="A13" s="274" t="s">
        <v>156</v>
      </c>
      <c r="B13" s="273" t="s">
        <v>137</v>
      </c>
      <c r="C13" s="174"/>
      <c r="D13" s="268">
        <v>0</v>
      </c>
      <c r="E13" s="271">
        <v>0</v>
      </c>
      <c r="F13" s="271">
        <v>0</v>
      </c>
      <c r="G13" s="270">
        <v>0</v>
      </c>
      <c r="H13" s="174"/>
      <c r="I13" s="268">
        <v>0</v>
      </c>
      <c r="J13" s="271">
        <v>0</v>
      </c>
      <c r="K13" s="271">
        <v>0</v>
      </c>
      <c r="L13" s="270">
        <v>0</v>
      </c>
      <c r="M13" s="172"/>
      <c r="N13" s="268">
        <v>0</v>
      </c>
      <c r="O13" s="271">
        <v>0</v>
      </c>
      <c r="P13" s="271">
        <v>0</v>
      </c>
      <c r="Q13" s="270">
        <v>0</v>
      </c>
      <c r="R13" s="172"/>
      <c r="S13" s="268">
        <v>0</v>
      </c>
      <c r="T13" s="267">
        <v>0</v>
      </c>
      <c r="U13" s="172"/>
    </row>
    <row r="14" spans="1:21" s="47" customFormat="1" ht="15" customHeight="1">
      <c r="A14" s="285" t="s">
        <v>157</v>
      </c>
      <c r="B14" s="284" t="s">
        <v>137</v>
      </c>
      <c r="C14" s="181"/>
      <c r="D14" s="282">
        <v>0</v>
      </c>
      <c r="E14" s="283">
        <v>0</v>
      </c>
      <c r="F14" s="283">
        <v>0</v>
      </c>
      <c r="G14" s="281">
        <v>0</v>
      </c>
      <c r="H14" s="185"/>
      <c r="I14" s="282">
        <v>0</v>
      </c>
      <c r="J14" s="283">
        <v>0</v>
      </c>
      <c r="K14" s="283">
        <v>0</v>
      </c>
      <c r="L14" s="281">
        <v>0</v>
      </c>
      <c r="M14" s="191"/>
      <c r="N14" s="282">
        <v>0</v>
      </c>
      <c r="O14" s="283">
        <v>0</v>
      </c>
      <c r="P14" s="283">
        <v>0</v>
      </c>
      <c r="Q14" s="281">
        <v>0</v>
      </c>
      <c r="R14" s="191"/>
      <c r="S14" s="282">
        <v>0</v>
      </c>
      <c r="T14" s="281">
        <v>0</v>
      </c>
      <c r="U14" s="174"/>
    </row>
    <row r="15" spans="1:21" ht="15" customHeight="1">
      <c r="A15" s="294" t="s">
        <v>108</v>
      </c>
      <c r="B15" s="293" t="s">
        <v>138</v>
      </c>
      <c r="C15" s="181"/>
      <c r="D15" s="241">
        <v>0</v>
      </c>
      <c r="E15" s="216">
        <v>0</v>
      </c>
      <c r="F15" s="216">
        <v>0</v>
      </c>
      <c r="G15" s="215">
        <v>0</v>
      </c>
      <c r="H15" s="185"/>
      <c r="I15" s="214">
        <v>0</v>
      </c>
      <c r="J15" s="216">
        <v>0</v>
      </c>
      <c r="K15" s="216">
        <v>0</v>
      </c>
      <c r="L15" s="215">
        <v>0</v>
      </c>
      <c r="M15" s="184"/>
      <c r="N15" s="214">
        <v>0</v>
      </c>
      <c r="O15" s="216">
        <v>0</v>
      </c>
      <c r="P15" s="216">
        <v>0</v>
      </c>
      <c r="Q15" s="215">
        <v>0</v>
      </c>
      <c r="R15" s="184"/>
      <c r="S15" s="214">
        <v>0</v>
      </c>
      <c r="T15" s="213">
        <v>0</v>
      </c>
      <c r="U15" s="170"/>
    </row>
    <row r="16" spans="1:21">
      <c r="A16" s="240" t="s">
        <v>109</v>
      </c>
      <c r="B16" s="239"/>
      <c r="C16" s="181"/>
      <c r="D16" s="238"/>
      <c r="E16" s="209"/>
      <c r="F16" s="209"/>
      <c r="G16" s="208"/>
      <c r="H16" s="185"/>
      <c r="I16" s="183">
        <v>144.64099999999999</v>
      </c>
      <c r="J16" s="183">
        <v>75.944000000000003</v>
      </c>
      <c r="K16" s="183">
        <v>51.244</v>
      </c>
      <c r="L16" s="183">
        <v>131.798</v>
      </c>
      <c r="M16" s="184"/>
      <c r="N16" s="183">
        <v>548997.01699999999</v>
      </c>
      <c r="O16" s="183">
        <v>289523.65899999999</v>
      </c>
      <c r="P16" s="183">
        <v>216434.71599999999</v>
      </c>
      <c r="Q16" s="183">
        <v>962270.26</v>
      </c>
      <c r="R16" s="184"/>
      <c r="S16" s="183">
        <v>401.94499999999999</v>
      </c>
      <c r="T16" s="183">
        <v>4458195.3210000005</v>
      </c>
      <c r="U16" s="207"/>
    </row>
    <row r="17" spans="1:24" ht="3.75" customHeight="1">
      <c r="A17" s="292"/>
      <c r="B17" s="264"/>
      <c r="C17" s="181"/>
      <c r="D17" s="264"/>
      <c r="E17" s="264"/>
      <c r="F17" s="264"/>
      <c r="G17" s="264"/>
      <c r="H17" s="185"/>
      <c r="I17" s="251"/>
      <c r="J17" s="251"/>
      <c r="K17" s="251"/>
      <c r="L17" s="251"/>
      <c r="M17" s="184"/>
      <c r="N17" s="251"/>
      <c r="O17" s="251"/>
      <c r="P17" s="184"/>
      <c r="Q17" s="184"/>
      <c r="R17" s="184"/>
      <c r="S17" s="193"/>
      <c r="T17" s="250"/>
      <c r="U17" s="170"/>
    </row>
    <row r="18" spans="1:24" ht="12" customHeight="1">
      <c r="A18" s="247" t="s">
        <v>110</v>
      </c>
      <c r="B18" s="246"/>
      <c r="C18" s="181"/>
      <c r="D18" s="249"/>
      <c r="E18" s="236"/>
      <c r="F18" s="236"/>
      <c r="G18" s="235"/>
      <c r="H18" s="185"/>
      <c r="I18" s="247"/>
      <c r="J18" s="248"/>
      <c r="K18" s="248"/>
      <c r="L18" s="246"/>
      <c r="M18" s="184"/>
      <c r="N18" s="247"/>
      <c r="O18" s="248"/>
      <c r="P18" s="248"/>
      <c r="Q18" s="246"/>
      <c r="R18" s="184"/>
      <c r="S18" s="247"/>
      <c r="T18" s="246"/>
      <c r="U18" s="230"/>
    </row>
    <row r="19" spans="1:24" ht="15" customHeight="1">
      <c r="A19" s="291" t="s">
        <v>12</v>
      </c>
      <c r="B19" s="290" t="s">
        <v>13</v>
      </c>
      <c r="C19" s="181"/>
      <c r="D19" s="227">
        <v>40</v>
      </c>
      <c r="E19" s="216">
        <v>63</v>
      </c>
      <c r="F19" s="216">
        <v>76</v>
      </c>
      <c r="G19" s="215">
        <v>75</v>
      </c>
      <c r="H19" s="185"/>
      <c r="I19" s="214">
        <v>360.25</v>
      </c>
      <c r="J19" s="216">
        <v>536.31100000000004</v>
      </c>
      <c r="K19" s="216">
        <v>240.24700000000001</v>
      </c>
      <c r="L19" s="215">
        <v>233.04300000000001</v>
      </c>
      <c r="M19" s="184"/>
      <c r="N19" s="214">
        <v>1921835.0060000001</v>
      </c>
      <c r="O19" s="216">
        <v>3121717.3080000002</v>
      </c>
      <c r="P19" s="216">
        <v>5089596.2699999996</v>
      </c>
      <c r="Q19" s="215">
        <v>1834237.828</v>
      </c>
      <c r="R19" s="184"/>
      <c r="S19" s="214">
        <v>1341.7860000000001</v>
      </c>
      <c r="T19" s="213">
        <v>28974239.383000001</v>
      </c>
      <c r="U19" s="289"/>
      <c r="V19" s="289"/>
      <c r="W19" s="289"/>
      <c r="X19" s="289"/>
    </row>
    <row r="20" spans="1:24" ht="15" customHeight="1">
      <c r="A20" s="288" t="s">
        <v>38</v>
      </c>
      <c r="B20" s="286" t="s">
        <v>13</v>
      </c>
      <c r="C20" s="181"/>
      <c r="D20" s="214">
        <v>108</v>
      </c>
      <c r="E20" s="216">
        <v>386</v>
      </c>
      <c r="F20" s="216">
        <v>62</v>
      </c>
      <c r="G20" s="215">
        <v>110</v>
      </c>
      <c r="H20" s="185"/>
      <c r="I20" s="214">
        <v>105.01300000000001</v>
      </c>
      <c r="J20" s="216">
        <v>237.71199999999999</v>
      </c>
      <c r="K20" s="216">
        <v>64.120999999999995</v>
      </c>
      <c r="L20" s="215">
        <v>93.215999999999994</v>
      </c>
      <c r="M20" s="184"/>
      <c r="N20" s="214">
        <v>264375.71100000001</v>
      </c>
      <c r="O20" s="216">
        <v>942754.88500000001</v>
      </c>
      <c r="P20" s="216">
        <v>222931.87599999999</v>
      </c>
      <c r="Q20" s="215">
        <v>338658.34600000002</v>
      </c>
      <c r="R20" s="184"/>
      <c r="S20" s="214">
        <v>477.26900000000001</v>
      </c>
      <c r="T20" s="213">
        <v>4602374.375</v>
      </c>
      <c r="U20" s="170"/>
    </row>
    <row r="21" spans="1:24" ht="15" customHeight="1">
      <c r="A21" s="288" t="s">
        <v>111</v>
      </c>
      <c r="B21" s="286" t="s">
        <v>53</v>
      </c>
      <c r="C21" s="181"/>
      <c r="D21" s="214">
        <v>0</v>
      </c>
      <c r="E21" s="216">
        <v>0</v>
      </c>
      <c r="F21" s="216">
        <v>0</v>
      </c>
      <c r="G21" s="215">
        <v>0</v>
      </c>
      <c r="H21" s="185"/>
      <c r="I21" s="214">
        <v>0</v>
      </c>
      <c r="J21" s="216">
        <v>0</v>
      </c>
      <c r="K21" s="216">
        <v>0</v>
      </c>
      <c r="L21" s="215">
        <v>0</v>
      </c>
      <c r="M21" s="184"/>
      <c r="N21" s="214">
        <v>0</v>
      </c>
      <c r="O21" s="216">
        <v>0</v>
      </c>
      <c r="P21" s="216">
        <v>0</v>
      </c>
      <c r="Q21" s="215">
        <v>0</v>
      </c>
      <c r="R21" s="184"/>
      <c r="S21" s="214">
        <v>0</v>
      </c>
      <c r="T21" s="213">
        <v>0</v>
      </c>
      <c r="U21" s="170"/>
    </row>
    <row r="22" spans="1:24" ht="15" customHeight="1">
      <c r="A22" s="287" t="s">
        <v>11</v>
      </c>
      <c r="B22" s="286" t="s">
        <v>53</v>
      </c>
      <c r="C22" s="181"/>
      <c r="D22" s="214">
        <v>0</v>
      </c>
      <c r="E22" s="216">
        <v>6</v>
      </c>
      <c r="F22" s="216">
        <v>2</v>
      </c>
      <c r="G22" s="215">
        <v>2</v>
      </c>
      <c r="H22" s="185"/>
      <c r="I22" s="214">
        <v>0</v>
      </c>
      <c r="J22" s="216">
        <v>0.73499999999999999</v>
      </c>
      <c r="K22" s="216">
        <v>21.6</v>
      </c>
      <c r="L22" s="215">
        <v>48.905000000000001</v>
      </c>
      <c r="M22" s="184"/>
      <c r="N22" s="214">
        <v>0</v>
      </c>
      <c r="O22" s="216">
        <v>1596.91</v>
      </c>
      <c r="P22" s="216">
        <v>58802.057999999997</v>
      </c>
      <c r="Q22" s="215">
        <v>84927.365999999995</v>
      </c>
      <c r="R22" s="184"/>
      <c r="S22" s="214">
        <v>71.241</v>
      </c>
      <c r="T22" s="213">
        <v>207322.212</v>
      </c>
      <c r="U22" s="170"/>
    </row>
    <row r="23" spans="1:24" ht="15" customHeight="1">
      <c r="A23" s="287" t="s">
        <v>40</v>
      </c>
      <c r="B23" s="286" t="s">
        <v>41</v>
      </c>
      <c r="C23" s="181"/>
      <c r="D23" s="214">
        <v>3</v>
      </c>
      <c r="E23" s="216">
        <v>7</v>
      </c>
      <c r="F23" s="216">
        <v>2</v>
      </c>
      <c r="G23" s="215">
        <v>5</v>
      </c>
      <c r="H23" s="185"/>
      <c r="I23" s="214">
        <v>0</v>
      </c>
      <c r="J23" s="216">
        <v>25.885999999999999</v>
      </c>
      <c r="K23" s="216">
        <v>17.625</v>
      </c>
      <c r="L23" s="215">
        <v>66.834999999999994</v>
      </c>
      <c r="M23" s="184"/>
      <c r="N23" s="214">
        <v>0</v>
      </c>
      <c r="O23" s="216">
        <v>125881.272</v>
      </c>
      <c r="P23" s="216">
        <v>96901.535999999993</v>
      </c>
      <c r="Q23" s="215">
        <v>326367.84999999998</v>
      </c>
      <c r="R23" s="184"/>
      <c r="S23" s="214">
        <v>110.346</v>
      </c>
      <c r="T23" s="213">
        <v>897814.73800000001</v>
      </c>
      <c r="U23" s="170"/>
    </row>
    <row r="24" spans="1:24" ht="15" customHeight="1">
      <c r="A24" s="274" t="s">
        <v>158</v>
      </c>
      <c r="B24" s="280" t="s">
        <v>137</v>
      </c>
      <c r="C24" s="174"/>
      <c r="D24" s="268">
        <v>0</v>
      </c>
      <c r="E24" s="271">
        <v>0</v>
      </c>
      <c r="F24" s="271">
        <v>0</v>
      </c>
      <c r="G24" s="270">
        <v>0</v>
      </c>
      <c r="H24" s="174"/>
      <c r="I24" s="268">
        <v>0</v>
      </c>
      <c r="J24" s="271">
        <v>0</v>
      </c>
      <c r="K24" s="271">
        <v>0</v>
      </c>
      <c r="L24" s="270">
        <v>0</v>
      </c>
      <c r="M24" s="172"/>
      <c r="N24" s="268">
        <v>0</v>
      </c>
      <c r="O24" s="271">
        <v>0</v>
      </c>
      <c r="P24" s="271">
        <v>0</v>
      </c>
      <c r="Q24" s="270">
        <v>0</v>
      </c>
      <c r="R24" s="172"/>
      <c r="S24" s="268">
        <v>0</v>
      </c>
      <c r="T24" s="267">
        <v>0</v>
      </c>
      <c r="U24" s="172"/>
    </row>
    <row r="25" spans="1:24" s="47" customFormat="1" ht="15" customHeight="1">
      <c r="A25" s="285" t="s">
        <v>159</v>
      </c>
      <c r="B25" s="284" t="s">
        <v>137</v>
      </c>
      <c r="C25" s="181"/>
      <c r="D25" s="282">
        <v>0</v>
      </c>
      <c r="E25" s="283">
        <v>0</v>
      </c>
      <c r="F25" s="283">
        <v>0</v>
      </c>
      <c r="G25" s="281">
        <v>0</v>
      </c>
      <c r="H25" s="185"/>
      <c r="I25" s="282">
        <v>0</v>
      </c>
      <c r="J25" s="283">
        <v>0</v>
      </c>
      <c r="K25" s="283">
        <v>0</v>
      </c>
      <c r="L25" s="281">
        <v>0</v>
      </c>
      <c r="M25" s="191"/>
      <c r="N25" s="282">
        <v>0</v>
      </c>
      <c r="O25" s="283">
        <v>0</v>
      </c>
      <c r="P25" s="283">
        <v>0</v>
      </c>
      <c r="Q25" s="281">
        <v>0</v>
      </c>
      <c r="R25" s="191"/>
      <c r="S25" s="282">
        <v>0</v>
      </c>
      <c r="T25" s="281">
        <v>0</v>
      </c>
      <c r="U25" s="174"/>
    </row>
    <row r="26" spans="1:24" ht="15" customHeight="1">
      <c r="A26" s="274" t="s">
        <v>49</v>
      </c>
      <c r="B26" s="280" t="s">
        <v>10</v>
      </c>
      <c r="C26" s="174"/>
      <c r="D26" s="272">
        <v>3</v>
      </c>
      <c r="E26" s="271">
        <v>3</v>
      </c>
      <c r="F26" s="271">
        <v>2</v>
      </c>
      <c r="G26" s="270">
        <v>2</v>
      </c>
      <c r="H26" s="174"/>
      <c r="I26" s="268">
        <v>4018.3739999999998</v>
      </c>
      <c r="J26" s="271">
        <v>4030.2179999999998</v>
      </c>
      <c r="K26" s="271">
        <v>3894.4540000000002</v>
      </c>
      <c r="L26" s="270">
        <v>4440.0330000000004</v>
      </c>
      <c r="M26" s="172"/>
      <c r="N26" s="268">
        <v>156889.29999999999</v>
      </c>
      <c r="O26" s="271">
        <v>58580.5</v>
      </c>
      <c r="P26" s="271">
        <v>52001.86</v>
      </c>
      <c r="Q26" s="270">
        <v>0</v>
      </c>
      <c r="R26" s="172"/>
      <c r="S26" s="268">
        <v>4440.0330000000004</v>
      </c>
      <c r="T26" s="267">
        <v>267471.65999999997</v>
      </c>
      <c r="U26" s="172"/>
    </row>
    <row r="27" spans="1:24">
      <c r="A27" s="240" t="s">
        <v>112</v>
      </c>
      <c r="B27" s="239"/>
      <c r="C27" s="181"/>
      <c r="D27" s="238"/>
      <c r="E27" s="209"/>
      <c r="F27" s="209"/>
      <c r="G27" s="208"/>
      <c r="H27" s="185"/>
      <c r="I27" s="183">
        <v>4483.6369999999997</v>
      </c>
      <c r="J27" s="183">
        <v>4830.8620000000001</v>
      </c>
      <c r="K27" s="183">
        <v>4238.0469999999996</v>
      </c>
      <c r="L27" s="183">
        <v>4882.0320000000002</v>
      </c>
      <c r="M27" s="184"/>
      <c r="N27" s="183">
        <v>2343100.017</v>
      </c>
      <c r="O27" s="183">
        <v>4250530.875</v>
      </c>
      <c r="P27" s="183">
        <v>5520233.5999999996</v>
      </c>
      <c r="Q27" s="183">
        <v>2584191.39</v>
      </c>
      <c r="R27" s="184"/>
      <c r="S27" s="183">
        <v>6440.6750000000002</v>
      </c>
      <c r="T27" s="183">
        <v>34949222.368000001</v>
      </c>
      <c r="U27" s="207"/>
    </row>
    <row r="28" spans="1:24" ht="3.75" customHeight="1">
      <c r="A28" s="279"/>
      <c r="B28" s="278"/>
      <c r="C28" s="181"/>
      <c r="D28" s="278"/>
      <c r="E28" s="278"/>
      <c r="F28" s="278"/>
      <c r="G28" s="278"/>
      <c r="H28" s="185"/>
      <c r="I28" s="277"/>
      <c r="J28" s="277"/>
      <c r="K28" s="277"/>
      <c r="L28" s="277"/>
      <c r="M28" s="184"/>
      <c r="N28" s="277"/>
      <c r="O28" s="277"/>
      <c r="P28" s="184"/>
      <c r="Q28" s="184"/>
      <c r="R28" s="184"/>
      <c r="S28" s="193"/>
      <c r="T28" s="194"/>
      <c r="U28" s="276"/>
    </row>
    <row r="29" spans="1:24" ht="12" customHeight="1">
      <c r="A29" s="247" t="s">
        <v>113</v>
      </c>
      <c r="B29" s="246"/>
      <c r="C29" s="181"/>
      <c r="D29" s="249"/>
      <c r="E29" s="236"/>
      <c r="F29" s="236"/>
      <c r="G29" s="235"/>
      <c r="H29" s="185"/>
      <c r="I29" s="247"/>
      <c r="J29" s="248"/>
      <c r="K29" s="248"/>
      <c r="L29" s="246"/>
      <c r="M29" s="184"/>
      <c r="N29" s="247"/>
      <c r="O29" s="248"/>
      <c r="P29" s="248"/>
      <c r="Q29" s="246"/>
      <c r="R29" s="184"/>
      <c r="S29" s="247"/>
      <c r="T29" s="246"/>
      <c r="U29" s="230"/>
    </row>
    <row r="30" spans="1:24" ht="15" customHeight="1">
      <c r="A30" s="245" t="s">
        <v>114</v>
      </c>
      <c r="B30" s="228" t="s">
        <v>13</v>
      </c>
      <c r="C30" s="181"/>
      <c r="D30" s="214">
        <v>0</v>
      </c>
      <c r="E30" s="216">
        <v>0</v>
      </c>
      <c r="F30" s="216">
        <v>0</v>
      </c>
      <c r="G30" s="215">
        <v>0</v>
      </c>
      <c r="H30" s="185"/>
      <c r="I30" s="214">
        <v>0</v>
      </c>
      <c r="J30" s="216">
        <v>0</v>
      </c>
      <c r="K30" s="216">
        <v>0</v>
      </c>
      <c r="L30" s="215">
        <v>0</v>
      </c>
      <c r="M30" s="184"/>
      <c r="N30" s="214">
        <v>0</v>
      </c>
      <c r="O30" s="216">
        <v>0</v>
      </c>
      <c r="P30" s="216">
        <v>0</v>
      </c>
      <c r="Q30" s="215">
        <v>0</v>
      </c>
      <c r="R30" s="184"/>
      <c r="S30" s="214">
        <v>0</v>
      </c>
      <c r="T30" s="213">
        <v>0</v>
      </c>
      <c r="U30" s="170"/>
    </row>
    <row r="31" spans="1:24" ht="15" customHeight="1">
      <c r="A31" s="244" t="s">
        <v>115</v>
      </c>
      <c r="B31" s="220" t="s">
        <v>13</v>
      </c>
      <c r="C31" s="181"/>
      <c r="D31" s="214">
        <v>0</v>
      </c>
      <c r="E31" s="216">
        <v>0</v>
      </c>
      <c r="F31" s="216">
        <v>0</v>
      </c>
      <c r="G31" s="215">
        <v>0</v>
      </c>
      <c r="H31" s="185"/>
      <c r="I31" s="214">
        <v>0</v>
      </c>
      <c r="J31" s="216">
        <v>0</v>
      </c>
      <c r="K31" s="216">
        <v>0</v>
      </c>
      <c r="L31" s="215">
        <v>0</v>
      </c>
      <c r="M31" s="184"/>
      <c r="N31" s="214">
        <v>0</v>
      </c>
      <c r="O31" s="216">
        <v>0</v>
      </c>
      <c r="P31" s="216">
        <v>0</v>
      </c>
      <c r="Q31" s="215">
        <v>0</v>
      </c>
      <c r="R31" s="184"/>
      <c r="S31" s="214">
        <v>0</v>
      </c>
      <c r="T31" s="213">
        <v>0</v>
      </c>
      <c r="U31" s="170"/>
    </row>
    <row r="32" spans="1:24" ht="15" customHeight="1">
      <c r="A32" s="244" t="s">
        <v>116</v>
      </c>
      <c r="B32" s="220" t="s">
        <v>13</v>
      </c>
      <c r="C32" s="181"/>
      <c r="D32" s="214">
        <v>0</v>
      </c>
      <c r="E32" s="216">
        <v>0</v>
      </c>
      <c r="F32" s="216">
        <v>0</v>
      </c>
      <c r="G32" s="215">
        <v>0</v>
      </c>
      <c r="H32" s="185"/>
      <c r="I32" s="214">
        <v>0</v>
      </c>
      <c r="J32" s="216">
        <v>0</v>
      </c>
      <c r="K32" s="216">
        <v>0</v>
      </c>
      <c r="L32" s="215">
        <v>0</v>
      </c>
      <c r="M32" s="184"/>
      <c r="N32" s="214">
        <v>0</v>
      </c>
      <c r="O32" s="216">
        <v>0</v>
      </c>
      <c r="P32" s="216">
        <v>0</v>
      </c>
      <c r="Q32" s="215">
        <v>0</v>
      </c>
      <c r="R32" s="184"/>
      <c r="S32" s="214">
        <v>0</v>
      </c>
      <c r="T32" s="213">
        <v>0</v>
      </c>
      <c r="U32" s="170"/>
    </row>
    <row r="33" spans="1:21" ht="15" customHeight="1">
      <c r="A33" s="275" t="s">
        <v>12</v>
      </c>
      <c r="B33" s="220" t="s">
        <v>13</v>
      </c>
      <c r="C33" s="181"/>
      <c r="D33" s="214">
        <v>0</v>
      </c>
      <c r="E33" s="216">
        <v>0</v>
      </c>
      <c r="F33" s="216">
        <v>0</v>
      </c>
      <c r="G33" s="215">
        <v>0</v>
      </c>
      <c r="H33" s="185"/>
      <c r="I33" s="214">
        <v>0</v>
      </c>
      <c r="J33" s="216">
        <v>0</v>
      </c>
      <c r="K33" s="216">
        <v>0</v>
      </c>
      <c r="L33" s="215">
        <v>0</v>
      </c>
      <c r="M33" s="184"/>
      <c r="N33" s="214">
        <v>0</v>
      </c>
      <c r="O33" s="216">
        <v>0</v>
      </c>
      <c r="P33" s="216">
        <v>0</v>
      </c>
      <c r="Q33" s="215">
        <v>0</v>
      </c>
      <c r="R33" s="184"/>
      <c r="S33" s="214">
        <v>0</v>
      </c>
      <c r="T33" s="213">
        <v>0</v>
      </c>
      <c r="U33" s="170"/>
    </row>
    <row r="34" spans="1:21" ht="15" customHeight="1">
      <c r="A34" s="274" t="s">
        <v>295</v>
      </c>
      <c r="B34" s="273" t="s">
        <v>10</v>
      </c>
      <c r="C34" s="174"/>
      <c r="D34" s="272">
        <v>0</v>
      </c>
      <c r="E34" s="271">
        <v>1</v>
      </c>
      <c r="F34" s="271">
        <v>1</v>
      </c>
      <c r="G34" s="270">
        <v>0</v>
      </c>
      <c r="H34" s="174"/>
      <c r="I34" s="268">
        <v>0</v>
      </c>
      <c r="J34" s="271">
        <v>349.20400000000001</v>
      </c>
      <c r="K34" s="271">
        <v>325.505</v>
      </c>
      <c r="L34" s="270">
        <v>0</v>
      </c>
      <c r="M34" s="269"/>
      <c r="N34" s="268">
        <v>0</v>
      </c>
      <c r="O34" s="271">
        <v>8415.6730000000007</v>
      </c>
      <c r="P34" s="271">
        <v>7411.9459999999999</v>
      </c>
      <c r="Q34" s="270">
        <v>0</v>
      </c>
      <c r="R34" s="269"/>
      <c r="S34" s="268">
        <v>0</v>
      </c>
      <c r="T34" s="267">
        <v>15827.619000000001</v>
      </c>
      <c r="U34" s="172"/>
    </row>
    <row r="35" spans="1:21">
      <c r="A35" s="240" t="s">
        <v>117</v>
      </c>
      <c r="B35" s="239"/>
      <c r="C35" s="181"/>
      <c r="D35" s="238"/>
      <c r="E35" s="209"/>
      <c r="F35" s="209"/>
      <c r="G35" s="208"/>
      <c r="H35" s="185"/>
      <c r="I35" s="183">
        <v>0</v>
      </c>
      <c r="J35" s="183">
        <v>349.20400000000001</v>
      </c>
      <c r="K35" s="183">
        <v>325.505</v>
      </c>
      <c r="L35" s="183">
        <v>0</v>
      </c>
      <c r="M35" s="184"/>
      <c r="N35" s="183">
        <v>0</v>
      </c>
      <c r="O35" s="183">
        <v>8415.6730000000007</v>
      </c>
      <c r="P35" s="183">
        <v>7411.9459999999999</v>
      </c>
      <c r="Q35" s="183">
        <v>0</v>
      </c>
      <c r="R35" s="184"/>
      <c r="S35" s="183">
        <v>0</v>
      </c>
      <c r="T35" s="183">
        <v>15827.619000000001</v>
      </c>
      <c r="U35" s="207"/>
    </row>
    <row r="36" spans="1:21" ht="3" customHeight="1">
      <c r="A36" s="266"/>
      <c r="B36" s="265"/>
      <c r="C36" s="181"/>
      <c r="D36" s="264"/>
      <c r="E36" s="264"/>
      <c r="F36" s="264"/>
      <c r="G36" s="264"/>
      <c r="H36" s="185"/>
      <c r="I36" s="251"/>
      <c r="J36" s="251"/>
      <c r="K36" s="251"/>
      <c r="L36" s="251"/>
      <c r="M36" s="184"/>
      <c r="N36" s="251"/>
      <c r="O36" s="251"/>
      <c r="P36" s="184"/>
      <c r="Q36" s="184"/>
      <c r="R36" s="184"/>
      <c r="S36" s="193"/>
      <c r="T36" s="250"/>
      <c r="U36" s="170"/>
    </row>
    <row r="37" spans="1:21" ht="12" customHeight="1">
      <c r="A37" s="247" t="s">
        <v>23</v>
      </c>
      <c r="B37" s="246"/>
      <c r="C37" s="181"/>
      <c r="D37" s="249"/>
      <c r="E37" s="236"/>
      <c r="F37" s="236"/>
      <c r="G37" s="235"/>
      <c r="H37" s="185"/>
      <c r="I37" s="247"/>
      <c r="J37" s="248"/>
      <c r="K37" s="248"/>
      <c r="L37" s="246"/>
      <c r="M37" s="184"/>
      <c r="N37" s="247"/>
      <c r="O37" s="248"/>
      <c r="P37" s="248"/>
      <c r="Q37" s="246"/>
      <c r="R37" s="184"/>
      <c r="S37" s="247"/>
      <c r="T37" s="246"/>
      <c r="U37" s="230"/>
    </row>
    <row r="38" spans="1:21" ht="15" customHeight="1">
      <c r="A38" s="243" t="s">
        <v>23</v>
      </c>
      <c r="B38" s="242" t="s">
        <v>138</v>
      </c>
      <c r="C38" s="181"/>
      <c r="D38" s="263">
        <v>0</v>
      </c>
      <c r="E38" s="262">
        <v>71</v>
      </c>
      <c r="F38" s="262">
        <v>349</v>
      </c>
      <c r="G38" s="261">
        <v>43</v>
      </c>
      <c r="H38" s="185"/>
      <c r="I38" s="214">
        <v>0</v>
      </c>
      <c r="J38" s="216">
        <v>5.8680000000000003</v>
      </c>
      <c r="K38" s="216">
        <v>26.881</v>
      </c>
      <c r="L38" s="215">
        <v>7.694</v>
      </c>
      <c r="M38" s="184"/>
      <c r="N38" s="214">
        <v>0</v>
      </c>
      <c r="O38" s="216">
        <v>48513.360999999997</v>
      </c>
      <c r="P38" s="216">
        <v>272016.255</v>
      </c>
      <c r="Q38" s="215">
        <v>46219.709000000003</v>
      </c>
      <c r="R38" s="184"/>
      <c r="S38" s="214">
        <v>40.155999999999999</v>
      </c>
      <c r="T38" s="213">
        <v>730261.64300000004</v>
      </c>
      <c r="U38" s="170"/>
    </row>
    <row r="39" spans="1:21">
      <c r="A39" s="240" t="s">
        <v>118</v>
      </c>
      <c r="B39" s="239"/>
      <c r="C39" s="181"/>
      <c r="D39" s="257"/>
      <c r="E39" s="256"/>
      <c r="F39" s="256"/>
      <c r="G39" s="255"/>
      <c r="H39" s="185"/>
      <c r="I39" s="183">
        <v>0</v>
      </c>
      <c r="J39" s="183">
        <v>5.8680000000000003</v>
      </c>
      <c r="K39" s="183">
        <v>26.881</v>
      </c>
      <c r="L39" s="183">
        <v>7.694</v>
      </c>
      <c r="M39" s="184"/>
      <c r="N39" s="183">
        <v>0</v>
      </c>
      <c r="O39" s="183">
        <v>48513.360999999997</v>
      </c>
      <c r="P39" s="183">
        <v>272016.255</v>
      </c>
      <c r="Q39" s="183">
        <v>46219.709000000003</v>
      </c>
      <c r="R39" s="184"/>
      <c r="S39" s="183">
        <v>40.155999999999999</v>
      </c>
      <c r="T39" s="183">
        <v>730261.64300000004</v>
      </c>
      <c r="U39" s="207"/>
    </row>
    <row r="40" spans="1:21" ht="3.75" customHeight="1">
      <c r="A40" s="254"/>
      <c r="B40" s="253"/>
      <c r="C40" s="181"/>
      <c r="D40" s="253"/>
      <c r="E40" s="253"/>
      <c r="F40" s="253"/>
      <c r="G40" s="253"/>
      <c r="H40" s="185"/>
      <c r="I40" s="252"/>
      <c r="J40" s="252"/>
      <c r="K40" s="252"/>
      <c r="L40" s="252"/>
      <c r="M40" s="184"/>
      <c r="N40" s="251"/>
      <c r="O40" s="251"/>
      <c r="P40" s="184"/>
      <c r="Q40" s="184"/>
      <c r="R40" s="184"/>
      <c r="S40" s="193"/>
      <c r="T40" s="250"/>
      <c r="U40" s="170"/>
    </row>
    <row r="41" spans="1:21" ht="12" customHeight="1">
      <c r="A41" s="247" t="s">
        <v>119</v>
      </c>
      <c r="B41" s="246"/>
      <c r="C41" s="181"/>
      <c r="D41" s="249"/>
      <c r="E41" s="236"/>
      <c r="F41" s="236"/>
      <c r="G41" s="235"/>
      <c r="H41" s="185"/>
      <c r="I41" s="247"/>
      <c r="J41" s="248"/>
      <c r="K41" s="248"/>
      <c r="L41" s="246"/>
      <c r="M41" s="184"/>
      <c r="N41" s="247"/>
      <c r="O41" s="248"/>
      <c r="P41" s="248"/>
      <c r="Q41" s="246"/>
      <c r="R41" s="184"/>
      <c r="S41" s="247"/>
      <c r="T41" s="246"/>
      <c r="U41" s="230"/>
    </row>
    <row r="42" spans="1:21" ht="15.75" customHeight="1">
      <c r="A42" s="229" t="s">
        <v>23</v>
      </c>
      <c r="B42" s="228" t="s">
        <v>138</v>
      </c>
      <c r="C42" s="181"/>
      <c r="D42" s="227">
        <v>0</v>
      </c>
      <c r="E42" s="216">
        <v>0</v>
      </c>
      <c r="F42" s="216">
        <v>0</v>
      </c>
      <c r="G42" s="215">
        <v>0</v>
      </c>
      <c r="H42" s="185"/>
      <c r="I42" s="214">
        <v>0</v>
      </c>
      <c r="J42" s="216">
        <v>0</v>
      </c>
      <c r="K42" s="216">
        <v>0</v>
      </c>
      <c r="L42" s="215">
        <v>0</v>
      </c>
      <c r="M42" s="184"/>
      <c r="N42" s="214">
        <v>0</v>
      </c>
      <c r="O42" s="216">
        <v>0</v>
      </c>
      <c r="P42" s="216">
        <v>0</v>
      </c>
      <c r="Q42" s="215">
        <v>0</v>
      </c>
      <c r="R42" s="184"/>
      <c r="S42" s="214">
        <v>0</v>
      </c>
      <c r="T42" s="213">
        <v>0</v>
      </c>
      <c r="U42" s="170"/>
    </row>
    <row r="43" spans="1:21" ht="15.75" customHeight="1">
      <c r="A43" s="221" t="s">
        <v>38</v>
      </c>
      <c r="B43" s="220" t="s">
        <v>13</v>
      </c>
      <c r="C43" s="181"/>
      <c r="D43" s="260">
        <v>0</v>
      </c>
      <c r="E43" s="259">
        <v>0</v>
      </c>
      <c r="F43" s="259">
        <v>0</v>
      </c>
      <c r="G43" s="258">
        <v>0</v>
      </c>
      <c r="H43" s="185"/>
      <c r="I43" s="214">
        <v>0</v>
      </c>
      <c r="J43" s="216">
        <v>0</v>
      </c>
      <c r="K43" s="216">
        <v>0</v>
      </c>
      <c r="L43" s="215">
        <v>0</v>
      </c>
      <c r="M43" s="184"/>
      <c r="N43" s="214">
        <v>0</v>
      </c>
      <c r="O43" s="216">
        <v>0</v>
      </c>
      <c r="P43" s="216">
        <v>0</v>
      </c>
      <c r="Q43" s="215">
        <v>0</v>
      </c>
      <c r="R43" s="184"/>
      <c r="S43" s="214">
        <v>0</v>
      </c>
      <c r="T43" s="213">
        <v>0</v>
      </c>
      <c r="U43" s="170"/>
    </row>
    <row r="44" spans="1:21">
      <c r="A44" s="240" t="s">
        <v>120</v>
      </c>
      <c r="B44" s="239"/>
      <c r="C44" s="181"/>
      <c r="D44" s="257"/>
      <c r="E44" s="256"/>
      <c r="F44" s="256"/>
      <c r="G44" s="255"/>
      <c r="H44" s="185"/>
      <c r="I44" s="183">
        <v>0</v>
      </c>
      <c r="J44" s="183">
        <v>0</v>
      </c>
      <c r="K44" s="183">
        <v>0</v>
      </c>
      <c r="L44" s="183">
        <v>0</v>
      </c>
      <c r="M44" s="184"/>
      <c r="N44" s="183">
        <v>0</v>
      </c>
      <c r="O44" s="183">
        <v>0</v>
      </c>
      <c r="P44" s="183">
        <v>0</v>
      </c>
      <c r="Q44" s="183">
        <v>0</v>
      </c>
      <c r="R44" s="184"/>
      <c r="S44" s="183">
        <v>0</v>
      </c>
      <c r="T44" s="183">
        <v>0</v>
      </c>
      <c r="U44" s="207"/>
    </row>
    <row r="45" spans="1:21" ht="3.75" customHeight="1">
      <c r="A45" s="254"/>
      <c r="B45" s="253"/>
      <c r="C45" s="181"/>
      <c r="D45" s="253"/>
      <c r="E45" s="253"/>
      <c r="F45" s="253"/>
      <c r="G45" s="253"/>
      <c r="H45" s="185"/>
      <c r="I45" s="252"/>
      <c r="J45" s="252"/>
      <c r="K45" s="252"/>
      <c r="L45" s="252"/>
      <c r="M45" s="184"/>
      <c r="N45" s="251"/>
      <c r="O45" s="251"/>
      <c r="P45" s="184"/>
      <c r="Q45" s="184"/>
      <c r="R45" s="184"/>
      <c r="S45" s="193"/>
      <c r="T45" s="250"/>
      <c r="U45" s="170"/>
    </row>
    <row r="46" spans="1:21" ht="12.75" customHeight="1">
      <c r="A46" s="247" t="s">
        <v>121</v>
      </c>
      <c r="B46" s="246"/>
      <c r="C46" s="181"/>
      <c r="D46" s="249"/>
      <c r="E46" s="236"/>
      <c r="F46" s="236"/>
      <c r="G46" s="235"/>
      <c r="H46" s="185"/>
      <c r="I46" s="247"/>
      <c r="J46" s="248"/>
      <c r="K46" s="248"/>
      <c r="L46" s="246"/>
      <c r="M46" s="184"/>
      <c r="N46" s="247"/>
      <c r="O46" s="248"/>
      <c r="P46" s="248"/>
      <c r="Q46" s="246"/>
      <c r="R46" s="184"/>
      <c r="S46" s="247"/>
      <c r="T46" s="246"/>
      <c r="U46" s="230"/>
    </row>
    <row r="47" spans="1:21" ht="15.75" customHeight="1">
      <c r="A47" s="245" t="s">
        <v>55</v>
      </c>
      <c r="B47" s="228" t="s">
        <v>13</v>
      </c>
      <c r="C47" s="181"/>
      <c r="D47" s="227">
        <v>3</v>
      </c>
      <c r="E47" s="216">
        <v>0</v>
      </c>
      <c r="F47" s="216">
        <v>0</v>
      </c>
      <c r="G47" s="215">
        <v>0</v>
      </c>
      <c r="H47" s="185"/>
      <c r="I47" s="214">
        <v>12.423</v>
      </c>
      <c r="J47" s="216">
        <v>0</v>
      </c>
      <c r="K47" s="216">
        <v>0</v>
      </c>
      <c r="L47" s="215">
        <v>0</v>
      </c>
      <c r="M47" s="184"/>
      <c r="N47" s="214">
        <v>79337.02</v>
      </c>
      <c r="O47" s="216">
        <v>0</v>
      </c>
      <c r="P47" s="216">
        <v>0</v>
      </c>
      <c r="Q47" s="215">
        <v>0</v>
      </c>
      <c r="R47" s="184"/>
      <c r="S47" s="214">
        <v>12.423</v>
      </c>
      <c r="T47" s="213">
        <v>317348.08199999999</v>
      </c>
      <c r="U47" s="170"/>
    </row>
    <row r="48" spans="1:21" ht="15.75" customHeight="1">
      <c r="A48" s="244" t="s">
        <v>42</v>
      </c>
      <c r="B48" s="220" t="s">
        <v>13</v>
      </c>
      <c r="C48" s="181"/>
      <c r="D48" s="214">
        <v>3</v>
      </c>
      <c r="E48" s="216">
        <v>2.0049999999999999</v>
      </c>
      <c r="F48" s="216">
        <v>0</v>
      </c>
      <c r="G48" s="215">
        <v>0</v>
      </c>
      <c r="H48" s="185"/>
      <c r="I48" s="214">
        <v>64.454999999999998</v>
      </c>
      <c r="J48" s="216">
        <v>90.391999999999996</v>
      </c>
      <c r="K48" s="216">
        <v>0</v>
      </c>
      <c r="L48" s="215">
        <v>0</v>
      </c>
      <c r="M48" s="184"/>
      <c r="N48" s="214">
        <v>331043.19699999999</v>
      </c>
      <c r="O48" s="216">
        <v>327225.69900000002</v>
      </c>
      <c r="P48" s="216">
        <v>0</v>
      </c>
      <c r="Q48" s="215">
        <v>0</v>
      </c>
      <c r="R48" s="184"/>
      <c r="S48" s="214">
        <v>154.84700000000001</v>
      </c>
      <c r="T48" s="213">
        <v>2305849.8840000001</v>
      </c>
      <c r="U48" s="170"/>
    </row>
    <row r="49" spans="1:21" ht="15.75" customHeight="1">
      <c r="A49" s="244" t="s">
        <v>139</v>
      </c>
      <c r="B49" s="220" t="s">
        <v>13</v>
      </c>
      <c r="C49" s="181"/>
      <c r="D49" s="214">
        <v>0</v>
      </c>
      <c r="E49" s="216">
        <v>0</v>
      </c>
      <c r="F49" s="216">
        <v>0</v>
      </c>
      <c r="G49" s="215">
        <v>0</v>
      </c>
      <c r="H49" s="185"/>
      <c r="I49" s="214">
        <v>0</v>
      </c>
      <c r="J49" s="216">
        <v>0</v>
      </c>
      <c r="K49" s="216">
        <v>0</v>
      </c>
      <c r="L49" s="215">
        <v>0</v>
      </c>
      <c r="M49" s="184"/>
      <c r="N49" s="214">
        <v>0</v>
      </c>
      <c r="O49" s="216">
        <v>0</v>
      </c>
      <c r="P49" s="216">
        <v>0</v>
      </c>
      <c r="Q49" s="215">
        <v>0</v>
      </c>
      <c r="R49" s="184"/>
      <c r="S49" s="214">
        <v>0</v>
      </c>
      <c r="T49" s="213">
        <v>0</v>
      </c>
      <c r="U49" s="170"/>
    </row>
    <row r="50" spans="1:21" ht="15.75" customHeight="1">
      <c r="A50" s="244" t="s">
        <v>140</v>
      </c>
      <c r="B50" s="220" t="s">
        <v>13</v>
      </c>
      <c r="C50" s="181"/>
      <c r="D50" s="214">
        <v>0</v>
      </c>
      <c r="E50" s="216">
        <v>0</v>
      </c>
      <c r="F50" s="216">
        <v>0</v>
      </c>
      <c r="G50" s="215">
        <v>0</v>
      </c>
      <c r="H50" s="185"/>
      <c r="I50" s="214">
        <v>0</v>
      </c>
      <c r="J50" s="216">
        <v>0</v>
      </c>
      <c r="K50" s="216">
        <v>0</v>
      </c>
      <c r="L50" s="215">
        <v>0</v>
      </c>
      <c r="M50" s="184"/>
      <c r="N50" s="214">
        <v>0</v>
      </c>
      <c r="O50" s="216">
        <v>0</v>
      </c>
      <c r="P50" s="216">
        <v>0</v>
      </c>
      <c r="Q50" s="215">
        <v>0</v>
      </c>
      <c r="R50" s="184"/>
      <c r="S50" s="214">
        <v>0</v>
      </c>
      <c r="T50" s="213">
        <v>0</v>
      </c>
      <c r="U50" s="170"/>
    </row>
    <row r="51" spans="1:21" ht="15.75" customHeight="1">
      <c r="A51" s="243" t="s">
        <v>141</v>
      </c>
      <c r="B51" s="242" t="s">
        <v>13</v>
      </c>
      <c r="C51" s="181"/>
      <c r="D51" s="241">
        <v>0</v>
      </c>
      <c r="E51" s="216">
        <v>0</v>
      </c>
      <c r="F51" s="216">
        <v>0</v>
      </c>
      <c r="G51" s="215">
        <v>0</v>
      </c>
      <c r="H51" s="185"/>
      <c r="I51" s="214">
        <v>0</v>
      </c>
      <c r="J51" s="216">
        <v>0</v>
      </c>
      <c r="K51" s="216">
        <v>0</v>
      </c>
      <c r="L51" s="215">
        <v>0</v>
      </c>
      <c r="M51" s="184"/>
      <c r="N51" s="214">
        <v>0</v>
      </c>
      <c r="O51" s="216">
        <v>0</v>
      </c>
      <c r="P51" s="216">
        <v>0</v>
      </c>
      <c r="Q51" s="215">
        <v>0</v>
      </c>
      <c r="R51" s="184"/>
      <c r="S51" s="214">
        <v>0</v>
      </c>
      <c r="T51" s="213">
        <v>0</v>
      </c>
      <c r="U51" s="170"/>
    </row>
    <row r="52" spans="1:21">
      <c r="A52" s="240" t="s">
        <v>122</v>
      </c>
      <c r="B52" s="239"/>
      <c r="C52" s="181"/>
      <c r="D52" s="238"/>
      <c r="E52" s="209"/>
      <c r="F52" s="209"/>
      <c r="G52" s="208"/>
      <c r="H52" s="185"/>
      <c r="I52" s="183">
        <v>76.878</v>
      </c>
      <c r="J52" s="183">
        <v>90.391999999999996</v>
      </c>
      <c r="K52" s="183">
        <v>0</v>
      </c>
      <c r="L52" s="183">
        <v>0</v>
      </c>
      <c r="M52" s="184"/>
      <c r="N52" s="183">
        <v>410380.217</v>
      </c>
      <c r="O52" s="183">
        <v>327225.69900000002</v>
      </c>
      <c r="P52" s="183">
        <v>0</v>
      </c>
      <c r="Q52" s="183">
        <v>0</v>
      </c>
      <c r="R52" s="184"/>
      <c r="S52" s="183">
        <v>167.27</v>
      </c>
      <c r="T52" s="183">
        <v>2623197.966</v>
      </c>
      <c r="U52" s="207"/>
    </row>
    <row r="53" spans="1:21" ht="4.5" customHeight="1">
      <c r="A53" s="197"/>
      <c r="B53" s="196"/>
      <c r="C53" s="181"/>
      <c r="D53" s="195"/>
      <c r="E53" s="195"/>
      <c r="F53" s="195"/>
      <c r="G53" s="195"/>
      <c r="H53" s="185"/>
      <c r="I53" s="194"/>
      <c r="J53" s="194"/>
      <c r="K53" s="194"/>
      <c r="L53" s="194"/>
      <c r="M53" s="184"/>
      <c r="N53" s="192"/>
      <c r="O53" s="192"/>
      <c r="P53" s="192"/>
      <c r="Q53" s="192"/>
      <c r="R53" s="184"/>
      <c r="S53" s="193"/>
      <c r="T53" s="193"/>
      <c r="U53" s="170"/>
    </row>
    <row r="54" spans="1:21" ht="12.75" customHeight="1">
      <c r="A54" s="232" t="s">
        <v>123</v>
      </c>
      <c r="B54" s="231"/>
      <c r="C54" s="181"/>
      <c r="D54" s="237"/>
      <c r="E54" s="236"/>
      <c r="F54" s="236"/>
      <c r="G54" s="235"/>
      <c r="H54" s="185"/>
      <c r="I54" s="232"/>
      <c r="J54" s="234"/>
      <c r="K54" s="234"/>
      <c r="L54" s="233"/>
      <c r="M54" s="184"/>
      <c r="N54" s="232"/>
      <c r="O54" s="234"/>
      <c r="P54" s="234"/>
      <c r="Q54" s="233"/>
      <c r="R54" s="184"/>
      <c r="S54" s="232"/>
      <c r="T54" s="231"/>
      <c r="U54" s="230"/>
    </row>
    <row r="55" spans="1:21" ht="15.75" customHeight="1">
      <c r="A55" s="229" t="s">
        <v>124</v>
      </c>
      <c r="B55" s="228" t="s">
        <v>13</v>
      </c>
      <c r="C55" s="181"/>
      <c r="D55" s="227">
        <v>0</v>
      </c>
      <c r="E55" s="226">
        <v>3</v>
      </c>
      <c r="F55" s="226">
        <v>6</v>
      </c>
      <c r="G55" s="225">
        <v>1</v>
      </c>
      <c r="H55" s="185"/>
      <c r="I55" s="214">
        <v>0</v>
      </c>
      <c r="J55" s="216">
        <v>0</v>
      </c>
      <c r="K55" s="216">
        <v>0</v>
      </c>
      <c r="L55" s="215">
        <v>0</v>
      </c>
      <c r="M55" s="184"/>
      <c r="N55" s="214">
        <v>0</v>
      </c>
      <c r="O55" s="216">
        <v>0</v>
      </c>
      <c r="P55" s="216">
        <v>0</v>
      </c>
      <c r="Q55" s="215">
        <v>4712</v>
      </c>
      <c r="R55" s="184"/>
      <c r="S55" s="214">
        <v>0</v>
      </c>
      <c r="T55" s="213">
        <v>4712</v>
      </c>
      <c r="U55" s="170"/>
    </row>
    <row r="56" spans="1:21" ht="15.75" customHeight="1">
      <c r="A56" s="221" t="s">
        <v>142</v>
      </c>
      <c r="B56" s="220" t="s">
        <v>138</v>
      </c>
      <c r="C56" s="181"/>
      <c r="D56" s="224">
        <v>0</v>
      </c>
      <c r="E56" s="223">
        <v>0</v>
      </c>
      <c r="F56" s="223">
        <v>0</v>
      </c>
      <c r="G56" s="222" t="s">
        <v>58</v>
      </c>
      <c r="H56" s="185"/>
      <c r="I56" s="214">
        <v>0</v>
      </c>
      <c r="J56" s="216">
        <v>0</v>
      </c>
      <c r="K56" s="216">
        <v>0</v>
      </c>
      <c r="L56" s="215">
        <v>273.14499999999998</v>
      </c>
      <c r="M56" s="184"/>
      <c r="N56" s="214">
        <v>0</v>
      </c>
      <c r="O56" s="216">
        <v>0</v>
      </c>
      <c r="P56" s="216">
        <v>0</v>
      </c>
      <c r="Q56" s="215">
        <v>0</v>
      </c>
      <c r="R56" s="184"/>
      <c r="S56" s="214">
        <v>273.14499999999998</v>
      </c>
      <c r="T56" s="213">
        <v>0</v>
      </c>
      <c r="U56" s="170"/>
    </row>
    <row r="57" spans="1:21" ht="15.75" customHeight="1">
      <c r="A57" s="221" t="s">
        <v>294</v>
      </c>
      <c r="B57" s="220" t="s">
        <v>13</v>
      </c>
      <c r="C57" s="181"/>
      <c r="D57" s="219">
        <v>0</v>
      </c>
      <c r="E57" s="218">
        <v>0</v>
      </c>
      <c r="F57" s="218">
        <v>0</v>
      </c>
      <c r="G57" s="217">
        <v>0</v>
      </c>
      <c r="H57" s="185"/>
      <c r="I57" s="214">
        <v>0</v>
      </c>
      <c r="J57" s="216">
        <v>0</v>
      </c>
      <c r="K57" s="216">
        <v>0</v>
      </c>
      <c r="L57" s="215">
        <v>0</v>
      </c>
      <c r="M57" s="184"/>
      <c r="N57" s="214">
        <v>0</v>
      </c>
      <c r="O57" s="216">
        <v>0</v>
      </c>
      <c r="P57" s="216">
        <v>0</v>
      </c>
      <c r="Q57" s="215">
        <v>0</v>
      </c>
      <c r="R57" s="184"/>
      <c r="S57" s="214">
        <v>0</v>
      </c>
      <c r="T57" s="213">
        <v>0</v>
      </c>
      <c r="U57" s="170"/>
    </row>
    <row r="58" spans="1:21">
      <c r="A58" s="212" t="s">
        <v>125</v>
      </c>
      <c r="B58" s="211"/>
      <c r="C58" s="181"/>
      <c r="D58" s="210"/>
      <c r="E58" s="209"/>
      <c r="F58" s="209"/>
      <c r="G58" s="208"/>
      <c r="H58" s="185"/>
      <c r="I58" s="183">
        <v>0</v>
      </c>
      <c r="J58" s="183">
        <v>0</v>
      </c>
      <c r="K58" s="183">
        <v>0</v>
      </c>
      <c r="L58" s="183">
        <v>273.14499999999998</v>
      </c>
      <c r="M58" s="191"/>
      <c r="N58" s="183">
        <v>0</v>
      </c>
      <c r="O58" s="183">
        <v>0</v>
      </c>
      <c r="P58" s="183">
        <v>0</v>
      </c>
      <c r="Q58" s="183">
        <v>4712</v>
      </c>
      <c r="R58" s="184"/>
      <c r="S58" s="183">
        <v>273.14499999999998</v>
      </c>
      <c r="T58" s="183">
        <v>4712</v>
      </c>
      <c r="U58" s="207"/>
    </row>
    <row r="59" spans="1:21" ht="4.5" customHeight="1">
      <c r="A59" s="197"/>
      <c r="B59" s="196"/>
      <c r="C59" s="181"/>
      <c r="D59" s="195"/>
      <c r="E59" s="195"/>
      <c r="F59" s="195"/>
      <c r="G59" s="195"/>
      <c r="H59" s="185"/>
      <c r="I59" s="194"/>
      <c r="J59" s="194"/>
      <c r="K59" s="194"/>
      <c r="L59" s="194"/>
      <c r="M59" s="191"/>
      <c r="N59" s="192"/>
      <c r="O59" s="192"/>
      <c r="P59" s="192"/>
      <c r="Q59" s="192"/>
      <c r="R59" s="184"/>
      <c r="S59" s="193"/>
      <c r="T59" s="193"/>
      <c r="U59" s="170"/>
    </row>
    <row r="60" spans="1:21" s="169" customFormat="1">
      <c r="A60" s="206" t="s">
        <v>160</v>
      </c>
      <c r="B60" s="205"/>
      <c r="C60" s="204"/>
      <c r="D60" s="870"/>
      <c r="E60" s="871"/>
      <c r="F60" s="871"/>
      <c r="G60" s="872"/>
      <c r="H60" s="203"/>
      <c r="I60" s="202"/>
      <c r="J60" s="201">
        <v>82.674999999999997</v>
      </c>
      <c r="K60" s="199">
        <v>0</v>
      </c>
      <c r="L60" s="199">
        <v>0.493550451</v>
      </c>
      <c r="M60" s="192"/>
      <c r="N60" s="199"/>
      <c r="O60" s="199">
        <v>491454.57299999997</v>
      </c>
      <c r="P60" s="199">
        <v>0</v>
      </c>
      <c r="Q60" s="199">
        <v>44852.081237810002</v>
      </c>
      <c r="R60" s="200"/>
      <c r="S60" s="199">
        <v>82.941000000000003</v>
      </c>
      <c r="T60" s="199">
        <v>2144346.3689999999</v>
      </c>
      <c r="U60" s="198"/>
    </row>
    <row r="61" spans="1:21" s="169" customFormat="1">
      <c r="A61" s="206" t="s">
        <v>161</v>
      </c>
      <c r="B61" s="205"/>
      <c r="C61" s="204"/>
      <c r="D61" s="870"/>
      <c r="E61" s="871"/>
      <c r="F61" s="871"/>
      <c r="G61" s="872"/>
      <c r="H61" s="203"/>
      <c r="I61" s="202"/>
      <c r="J61" s="201"/>
      <c r="K61" s="199">
        <v>45.237000000000002</v>
      </c>
      <c r="L61" s="199">
        <v>3.4106914660000003</v>
      </c>
      <c r="M61" s="192"/>
      <c r="N61" s="199"/>
      <c r="O61" s="199"/>
      <c r="P61" s="199">
        <v>142728.12299999999</v>
      </c>
      <c r="Q61" s="199">
        <v>35925.218333518002</v>
      </c>
      <c r="R61" s="200"/>
      <c r="S61" s="199">
        <v>48.646999999999998</v>
      </c>
      <c r="T61" s="199">
        <v>536052.42500000005</v>
      </c>
      <c r="U61" s="198"/>
    </row>
    <row r="62" spans="1:21" s="169" customFormat="1">
      <c r="A62" s="206" t="s">
        <v>162</v>
      </c>
      <c r="B62" s="205"/>
      <c r="C62" s="204"/>
      <c r="D62" s="870"/>
      <c r="E62" s="871"/>
      <c r="F62" s="871"/>
      <c r="G62" s="872"/>
      <c r="H62" s="203"/>
      <c r="I62" s="202"/>
      <c r="J62" s="201"/>
      <c r="K62" s="199"/>
      <c r="L62" s="199">
        <v>28.464109868999994</v>
      </c>
      <c r="M62" s="192"/>
      <c r="N62" s="199"/>
      <c r="O62" s="199"/>
      <c r="P62" s="199"/>
      <c r="Q62" s="199">
        <v>248397.26813659997</v>
      </c>
      <c r="R62" s="200"/>
      <c r="S62" s="199">
        <v>28.463999999999999</v>
      </c>
      <c r="T62" s="199">
        <v>496807.43400000001</v>
      </c>
      <c r="U62" s="198"/>
    </row>
    <row r="63" spans="1:21" ht="4.5" customHeight="1">
      <c r="A63" s="197"/>
      <c r="B63" s="196"/>
      <c r="C63" s="181"/>
      <c r="D63" s="195"/>
      <c r="E63" s="195"/>
      <c r="F63" s="195"/>
      <c r="G63" s="195"/>
      <c r="H63" s="185"/>
      <c r="I63" s="194"/>
      <c r="J63" s="194"/>
      <c r="K63" s="194"/>
      <c r="L63" s="194"/>
      <c r="M63" s="192"/>
      <c r="N63" s="192"/>
      <c r="O63" s="192"/>
      <c r="P63" s="192"/>
      <c r="Q63" s="192"/>
      <c r="R63" s="192"/>
      <c r="S63" s="192"/>
      <c r="T63" s="193"/>
      <c r="U63" s="170"/>
    </row>
    <row r="64" spans="1:21">
      <c r="A64" s="190" t="s">
        <v>143</v>
      </c>
      <c r="B64" s="189"/>
      <c r="C64" s="181"/>
      <c r="D64" s="188"/>
      <c r="E64" s="187"/>
      <c r="F64" s="187"/>
      <c r="G64" s="186"/>
      <c r="H64" s="185"/>
      <c r="I64" s="183">
        <v>686.78200000000004</v>
      </c>
      <c r="J64" s="183">
        <v>972.84799999999996</v>
      </c>
      <c r="K64" s="183">
        <v>421.71800000000002</v>
      </c>
      <c r="L64" s="183">
        <v>854.63599999999997</v>
      </c>
      <c r="M64" s="192"/>
      <c r="N64" s="183">
        <v>3145587.9509999999</v>
      </c>
      <c r="O64" s="183">
        <v>4857213.0939999996</v>
      </c>
      <c r="P64" s="183">
        <v>5956682.7110000001</v>
      </c>
      <c r="Q64" s="183">
        <v>3597393.3590000002</v>
      </c>
      <c r="R64" s="184"/>
      <c r="S64" s="183">
        <v>2883.1579999999999</v>
      </c>
      <c r="T64" s="183">
        <v>42498117.637999997</v>
      </c>
      <c r="U64" s="182"/>
    </row>
    <row r="65" spans="1:22">
      <c r="A65" s="190" t="s">
        <v>144</v>
      </c>
      <c r="B65" s="189"/>
      <c r="C65" s="181"/>
      <c r="D65" s="188"/>
      <c r="E65" s="187"/>
      <c r="F65" s="187"/>
      <c r="G65" s="186"/>
      <c r="H65" s="185"/>
      <c r="I65" s="183">
        <v>4018.3739999999998</v>
      </c>
      <c r="J65" s="183">
        <v>4379.4219999999996</v>
      </c>
      <c r="K65" s="183">
        <v>4219.9589999999998</v>
      </c>
      <c r="L65" s="183">
        <v>4440.0330000000004</v>
      </c>
      <c r="M65" s="192"/>
      <c r="N65" s="183">
        <v>156889.29999999999</v>
      </c>
      <c r="O65" s="183">
        <v>66996.172999999995</v>
      </c>
      <c r="P65" s="183">
        <v>59413.805999999997</v>
      </c>
      <c r="Q65" s="183">
        <v>0</v>
      </c>
      <c r="R65" s="184"/>
      <c r="S65" s="183">
        <v>4440.0330000000004</v>
      </c>
      <c r="T65" s="183">
        <v>283299.27899999998</v>
      </c>
      <c r="U65" s="182"/>
    </row>
    <row r="66" spans="1:22">
      <c r="A66" s="190" t="s">
        <v>163</v>
      </c>
      <c r="B66" s="189"/>
      <c r="C66" s="181"/>
      <c r="D66" s="188"/>
      <c r="E66" s="187"/>
      <c r="F66" s="187"/>
      <c r="G66" s="186"/>
      <c r="H66" s="185"/>
      <c r="I66" s="183">
        <v>0</v>
      </c>
      <c r="J66" s="183">
        <v>82.674999999999997</v>
      </c>
      <c r="K66" s="183">
        <v>45.237000000000002</v>
      </c>
      <c r="L66" s="183">
        <v>32.368000000000002</v>
      </c>
      <c r="M66" s="191"/>
      <c r="N66" s="183">
        <v>0</v>
      </c>
      <c r="O66" s="183">
        <v>491454.57299999997</v>
      </c>
      <c r="P66" s="183">
        <v>142728.12299999999</v>
      </c>
      <c r="Q66" s="183">
        <v>329174.56800000003</v>
      </c>
      <c r="R66" s="184"/>
      <c r="S66" s="183">
        <v>160.05199999999999</v>
      </c>
      <c r="T66" s="183">
        <v>3177206.2280000001</v>
      </c>
      <c r="U66" s="182"/>
    </row>
    <row r="67" spans="1:22">
      <c r="A67" s="190" t="s">
        <v>164</v>
      </c>
      <c r="B67" s="189"/>
      <c r="C67" s="181"/>
      <c r="D67" s="188"/>
      <c r="E67" s="187"/>
      <c r="F67" s="187"/>
      <c r="G67" s="186"/>
      <c r="H67" s="185"/>
      <c r="I67" s="183">
        <v>4705.1559999999999</v>
      </c>
      <c r="J67" s="183">
        <v>5434.9449999999997</v>
      </c>
      <c r="K67" s="183">
        <v>4686.9139999999998</v>
      </c>
      <c r="L67" s="183">
        <v>5327.0370000000003</v>
      </c>
      <c r="M67" s="184"/>
      <c r="N67" s="183">
        <v>3302477.2510000002</v>
      </c>
      <c r="O67" s="183">
        <v>5415663.8399999999</v>
      </c>
      <c r="P67" s="183">
        <v>6158824.6399999997</v>
      </c>
      <c r="Q67" s="183">
        <v>3926567.9270000001</v>
      </c>
      <c r="R67" s="184"/>
      <c r="S67" s="183">
        <v>7483.2430000000004</v>
      </c>
      <c r="T67" s="183">
        <v>45958623.145000003</v>
      </c>
      <c r="U67" s="182"/>
      <c r="V67" s="51"/>
    </row>
    <row r="68" spans="1:22" ht="3" customHeight="1">
      <c r="A68" s="174"/>
      <c r="B68" s="174"/>
      <c r="C68" s="181"/>
      <c r="D68" s="174"/>
      <c r="E68" s="174"/>
      <c r="F68" s="174"/>
      <c r="G68" s="174"/>
      <c r="H68" s="174"/>
      <c r="I68" s="173"/>
      <c r="J68" s="173"/>
      <c r="K68" s="173"/>
      <c r="L68" s="173"/>
      <c r="M68" s="173"/>
      <c r="N68" s="173"/>
      <c r="O68" s="173"/>
      <c r="P68" s="173"/>
      <c r="Q68" s="173"/>
      <c r="R68" s="172"/>
      <c r="S68" s="180"/>
      <c r="T68" s="180"/>
      <c r="U68" s="170"/>
    </row>
    <row r="69" spans="1:22" ht="16.5" customHeight="1">
      <c r="A69" s="892" t="s">
        <v>293</v>
      </c>
      <c r="B69" s="893"/>
      <c r="C69" s="893"/>
      <c r="D69" s="893"/>
      <c r="E69" s="893"/>
      <c r="F69" s="893"/>
      <c r="G69" s="894" t="s">
        <v>146</v>
      </c>
      <c r="H69" s="894"/>
      <c r="I69" s="894"/>
      <c r="J69" s="894"/>
      <c r="K69" s="894"/>
      <c r="L69" s="894"/>
      <c r="M69" s="178"/>
      <c r="N69" s="891" t="s">
        <v>145</v>
      </c>
      <c r="O69" s="891"/>
      <c r="P69" s="891"/>
      <c r="Q69" s="891"/>
      <c r="R69" s="177"/>
      <c r="S69" s="179">
        <v>6630</v>
      </c>
      <c r="T69" s="179">
        <v>37160000</v>
      </c>
      <c r="U69" s="170"/>
    </row>
    <row r="70" spans="1:22" ht="34.5" customHeight="1">
      <c r="A70" s="893"/>
      <c r="B70" s="893"/>
      <c r="C70" s="893"/>
      <c r="D70" s="893"/>
      <c r="E70" s="893"/>
      <c r="F70" s="893"/>
      <c r="G70" s="894" t="s">
        <v>165</v>
      </c>
      <c r="H70" s="894"/>
      <c r="I70" s="894"/>
      <c r="J70" s="894"/>
      <c r="K70" s="894"/>
      <c r="L70" s="894"/>
      <c r="M70" s="178"/>
      <c r="N70" s="891" t="s">
        <v>147</v>
      </c>
      <c r="O70" s="891"/>
      <c r="P70" s="891"/>
      <c r="Q70" s="891"/>
      <c r="R70" s="177"/>
      <c r="S70" s="176">
        <v>1.1286942684766215</v>
      </c>
      <c r="T70" s="176">
        <v>1.236776726184069</v>
      </c>
      <c r="U70" s="170"/>
    </row>
    <row r="71" spans="1:22" ht="18" customHeight="1">
      <c r="C71" s="174"/>
      <c r="D71" s="175"/>
      <c r="E71" s="174"/>
      <c r="F71" s="174"/>
      <c r="G71" s="174"/>
      <c r="H71" s="174"/>
      <c r="I71" s="173"/>
      <c r="J71" s="173"/>
      <c r="K71" s="173"/>
      <c r="L71" s="173"/>
      <c r="M71" s="173"/>
      <c r="N71" s="173"/>
      <c r="O71" s="173"/>
      <c r="P71" s="173"/>
      <c r="Q71" s="173"/>
      <c r="R71" s="172"/>
      <c r="S71" s="171"/>
      <c r="T71" s="171"/>
      <c r="U71" s="170"/>
    </row>
    <row r="73" spans="1:22">
      <c r="S73" s="51"/>
    </row>
  </sheetData>
  <mergeCells count="14">
    <mergeCell ref="N69:Q69"/>
    <mergeCell ref="D61:G61"/>
    <mergeCell ref="D62:G62"/>
    <mergeCell ref="A69:F70"/>
    <mergeCell ref="G69:L69"/>
    <mergeCell ref="G70:L70"/>
    <mergeCell ref="N70:Q70"/>
    <mergeCell ref="D60:G60"/>
    <mergeCell ref="S2:T2"/>
    <mergeCell ref="A2:A4"/>
    <mergeCell ref="B2:B4"/>
    <mergeCell ref="D2:G3"/>
    <mergeCell ref="I2:L3"/>
    <mergeCell ref="N2:Q3"/>
  </mergeCells>
  <printOptions horizontalCentered="1"/>
  <pageMargins left="0.23622047244094491" right="0.23622047244094491" top="0.47244094488188981" bottom="0.47244094488188981" header="0.15748031496062992" footer="0.15748031496062992"/>
  <pageSetup scale="55" orientation="landscape" cellComments="asDisplayed" r:id="rId1"/>
  <headerFooter>
    <oddHeader>&amp;L&amp;G</oddHeader>
    <oddFooter>&amp;L&amp;10Kingston Hydro Corporation&amp;C&amp;10_x000D_2011-2014 Final Results Report&amp;R&amp;P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S51"/>
  <sheetViews>
    <sheetView topLeftCell="A22" zoomScaleNormal="100" zoomScaleSheetLayoutView="100" zoomScalePageLayoutView="85" workbookViewId="0">
      <selection activeCell="L9" sqref="L9"/>
    </sheetView>
  </sheetViews>
  <sheetFormatPr defaultColWidth="9.1796875" defaultRowHeight="14.5"/>
  <cols>
    <col min="1" max="1" width="43.7265625" style="45" customWidth="1"/>
    <col min="2" max="2" width="1.1796875" style="45" customWidth="1"/>
    <col min="3" max="4" width="8" style="45" customWidth="1"/>
    <col min="5" max="6" width="6.7265625" style="45" customWidth="1"/>
    <col min="7" max="8" width="8" style="45" customWidth="1"/>
    <col min="9" max="10" width="6.7265625" style="45" customWidth="1"/>
    <col min="11" max="11" width="1.1796875" style="45" customWidth="1"/>
    <col min="12" max="13" width="8" style="45" customWidth="1"/>
    <col min="14" max="15" width="6.7265625" style="45" customWidth="1"/>
    <col min="16" max="17" width="8" style="45" customWidth="1"/>
    <col min="18" max="19" width="6.7265625" style="45" customWidth="1"/>
    <col min="20" max="16384" width="9.1796875" style="45"/>
  </cols>
  <sheetData>
    <row r="1" spans="1:19" s="303" customFormat="1" ht="15.75" customHeight="1">
      <c r="A1" s="181"/>
      <c r="B1" s="181"/>
      <c r="D1" s="181"/>
      <c r="E1" s="371" t="s">
        <v>301</v>
      </c>
      <c r="F1" s="181"/>
      <c r="H1" s="181"/>
      <c r="I1" s="204"/>
      <c r="J1" s="181"/>
      <c r="K1" s="181"/>
      <c r="M1" s="181"/>
      <c r="N1" s="204"/>
      <c r="O1" s="181"/>
      <c r="Q1" s="181"/>
      <c r="R1" s="204"/>
      <c r="S1" s="181"/>
    </row>
    <row r="2" spans="1:19" ht="22.5" customHeight="1">
      <c r="A2" s="875" t="s">
        <v>30</v>
      </c>
      <c r="B2" s="181"/>
      <c r="C2" s="895" t="s">
        <v>300</v>
      </c>
      <c r="D2" s="895"/>
      <c r="E2" s="895"/>
      <c r="F2" s="895"/>
      <c r="G2" s="895"/>
      <c r="H2" s="895"/>
      <c r="I2" s="895"/>
      <c r="J2" s="895"/>
      <c r="K2" s="181"/>
      <c r="L2" s="895" t="s">
        <v>299</v>
      </c>
      <c r="M2" s="895"/>
      <c r="N2" s="895"/>
      <c r="O2" s="895"/>
      <c r="P2" s="895"/>
      <c r="Q2" s="895"/>
      <c r="R2" s="895"/>
      <c r="S2" s="895"/>
    </row>
    <row r="3" spans="1:19" ht="19.5" customHeight="1">
      <c r="A3" s="875"/>
      <c r="B3" s="181"/>
      <c r="C3" s="895" t="s">
        <v>298</v>
      </c>
      <c r="D3" s="895"/>
      <c r="E3" s="895"/>
      <c r="F3" s="895"/>
      <c r="G3" s="895" t="s">
        <v>297</v>
      </c>
      <c r="H3" s="895"/>
      <c r="I3" s="895"/>
      <c r="J3" s="895"/>
      <c r="K3" s="181"/>
      <c r="L3" s="895" t="s">
        <v>298</v>
      </c>
      <c r="M3" s="895"/>
      <c r="N3" s="895"/>
      <c r="O3" s="895"/>
      <c r="P3" s="895" t="s">
        <v>297</v>
      </c>
      <c r="Q3" s="895"/>
      <c r="R3" s="895"/>
      <c r="S3" s="895"/>
    </row>
    <row r="4" spans="1:19" ht="18" customHeight="1">
      <c r="A4" s="875"/>
      <c r="B4" s="181"/>
      <c r="C4" s="370">
        <v>2011</v>
      </c>
      <c r="D4" s="370">
        <v>2012</v>
      </c>
      <c r="E4" s="370">
        <v>2013</v>
      </c>
      <c r="F4" s="370">
        <v>2014</v>
      </c>
      <c r="G4" s="370">
        <v>2011</v>
      </c>
      <c r="H4" s="370">
        <v>2012</v>
      </c>
      <c r="I4" s="370">
        <v>2013</v>
      </c>
      <c r="J4" s="370">
        <v>2014</v>
      </c>
      <c r="K4" s="181"/>
      <c r="L4" s="370">
        <v>2011</v>
      </c>
      <c r="M4" s="370">
        <v>2012</v>
      </c>
      <c r="N4" s="370">
        <v>2013</v>
      </c>
      <c r="O4" s="370">
        <v>2014</v>
      </c>
      <c r="P4" s="370">
        <v>2011</v>
      </c>
      <c r="Q4" s="370">
        <v>2012</v>
      </c>
      <c r="R4" s="370">
        <v>2013</v>
      </c>
      <c r="S4" s="370">
        <v>2014</v>
      </c>
    </row>
    <row r="5" spans="1:19" ht="3.75" customHeight="1">
      <c r="A5" s="170"/>
      <c r="B5" s="181"/>
      <c r="C5" s="170"/>
      <c r="D5" s="170"/>
      <c r="E5" s="170"/>
      <c r="F5" s="170"/>
      <c r="G5" s="170"/>
      <c r="H5" s="170"/>
      <c r="I5" s="170"/>
      <c r="J5" s="170"/>
      <c r="K5" s="181"/>
      <c r="L5" s="170"/>
      <c r="M5" s="170"/>
      <c r="N5" s="170"/>
      <c r="O5" s="170"/>
      <c r="P5" s="170"/>
      <c r="Q5" s="170"/>
      <c r="R5" s="170"/>
      <c r="S5" s="170"/>
    </row>
    <row r="6" spans="1:19">
      <c r="A6" s="320" t="s">
        <v>107</v>
      </c>
      <c r="B6" s="174"/>
      <c r="C6" s="249"/>
      <c r="D6" s="319"/>
      <c r="E6" s="319"/>
      <c r="F6" s="369"/>
      <c r="G6" s="318"/>
      <c r="H6" s="315"/>
      <c r="I6" s="315"/>
      <c r="J6" s="317"/>
      <c r="K6" s="35"/>
      <c r="L6" s="316"/>
      <c r="M6" s="315"/>
      <c r="N6" s="315"/>
      <c r="O6" s="317"/>
      <c r="P6" s="316"/>
      <c r="Q6" s="315"/>
      <c r="R6" s="248"/>
      <c r="S6" s="246"/>
    </row>
    <row r="7" spans="1:19" ht="15" customHeight="1">
      <c r="A7" s="330" t="s">
        <v>21</v>
      </c>
      <c r="B7" s="181"/>
      <c r="C7" s="329">
        <v>1</v>
      </c>
      <c r="D7" s="324">
        <v>1</v>
      </c>
      <c r="E7" s="324" t="s">
        <v>58</v>
      </c>
      <c r="F7" s="324" t="s">
        <v>58</v>
      </c>
      <c r="G7" s="329">
        <v>0.49</v>
      </c>
      <c r="H7" s="324">
        <v>0.46</v>
      </c>
      <c r="I7" s="324">
        <v>0.42</v>
      </c>
      <c r="J7" s="328">
        <v>0.42</v>
      </c>
      <c r="K7" s="323"/>
      <c r="L7" s="329">
        <v>1</v>
      </c>
      <c r="M7" s="324">
        <v>1</v>
      </c>
      <c r="N7" s="324" t="s">
        <v>58</v>
      </c>
      <c r="O7" s="324" t="s">
        <v>58</v>
      </c>
      <c r="P7" s="329">
        <v>0.5</v>
      </c>
      <c r="Q7" s="324">
        <v>0.47</v>
      </c>
      <c r="R7" s="324">
        <v>0.44</v>
      </c>
      <c r="S7" s="328">
        <v>0.44</v>
      </c>
    </row>
    <row r="8" spans="1:19" ht="15" customHeight="1">
      <c r="A8" s="245" t="s">
        <v>19</v>
      </c>
      <c r="B8" s="181"/>
      <c r="C8" s="311">
        <v>1</v>
      </c>
      <c r="D8" s="313">
        <v>1</v>
      </c>
      <c r="E8" s="352">
        <v>1</v>
      </c>
      <c r="F8" s="352">
        <v>1</v>
      </c>
      <c r="G8" s="311">
        <v>0.52</v>
      </c>
      <c r="H8" s="313">
        <v>0.52</v>
      </c>
      <c r="I8" s="313">
        <v>0.53</v>
      </c>
      <c r="J8" s="312">
        <v>0.53</v>
      </c>
      <c r="K8" s="323"/>
      <c r="L8" s="311">
        <v>1</v>
      </c>
      <c r="M8" s="313">
        <v>1</v>
      </c>
      <c r="N8" s="313">
        <v>1</v>
      </c>
      <c r="O8" s="313">
        <v>1</v>
      </c>
      <c r="P8" s="311">
        <v>0.52</v>
      </c>
      <c r="Q8" s="313">
        <v>0.52</v>
      </c>
      <c r="R8" s="313">
        <v>0.53</v>
      </c>
      <c r="S8" s="312">
        <v>0.53</v>
      </c>
    </row>
    <row r="9" spans="1:19" ht="15" customHeight="1">
      <c r="A9" s="245" t="s">
        <v>46</v>
      </c>
      <c r="B9" s="181"/>
      <c r="C9" s="311">
        <v>1</v>
      </c>
      <c r="D9" s="313">
        <v>1</v>
      </c>
      <c r="E9" s="352" t="s">
        <v>58</v>
      </c>
      <c r="F9" s="352">
        <v>1</v>
      </c>
      <c r="G9" s="311">
        <v>0.6</v>
      </c>
      <c r="H9" s="313">
        <v>0.49</v>
      </c>
      <c r="I9" s="313">
        <v>0.48</v>
      </c>
      <c r="J9" s="312">
        <v>0.51</v>
      </c>
      <c r="K9" s="323"/>
      <c r="L9" s="311">
        <v>1</v>
      </c>
      <c r="M9" s="313">
        <v>1</v>
      </c>
      <c r="N9" s="313" t="s">
        <v>58</v>
      </c>
      <c r="O9" s="313">
        <v>1</v>
      </c>
      <c r="P9" s="311">
        <v>0.6</v>
      </c>
      <c r="Q9" s="313">
        <v>0.49</v>
      </c>
      <c r="R9" s="313">
        <v>0.48</v>
      </c>
      <c r="S9" s="312">
        <v>0.51</v>
      </c>
    </row>
    <row r="10" spans="1:19" ht="15" customHeight="1">
      <c r="A10" s="244" t="s">
        <v>45</v>
      </c>
      <c r="B10" s="181"/>
      <c r="C10" s="311">
        <v>1</v>
      </c>
      <c r="D10" s="313">
        <v>1</v>
      </c>
      <c r="E10" s="352">
        <v>1</v>
      </c>
      <c r="F10" s="352">
        <v>1</v>
      </c>
      <c r="G10" s="311">
        <v>1.1399999999999999</v>
      </c>
      <c r="H10" s="313">
        <v>1</v>
      </c>
      <c r="I10" s="313">
        <v>1.1100000000000001</v>
      </c>
      <c r="J10" s="312">
        <v>1.6</v>
      </c>
      <c r="K10" s="323"/>
      <c r="L10" s="311">
        <v>1</v>
      </c>
      <c r="M10" s="313">
        <v>1</v>
      </c>
      <c r="N10" s="313">
        <v>1</v>
      </c>
      <c r="O10" s="313">
        <v>1</v>
      </c>
      <c r="P10" s="311">
        <v>1.1100000000000001</v>
      </c>
      <c r="Q10" s="313">
        <v>1.05</v>
      </c>
      <c r="R10" s="313">
        <v>1.1299999999999999</v>
      </c>
      <c r="S10" s="312">
        <v>1.61</v>
      </c>
    </row>
    <row r="11" spans="1:19" ht="15" customHeight="1">
      <c r="A11" s="244" t="s">
        <v>43</v>
      </c>
      <c r="B11" s="181"/>
      <c r="C11" s="311">
        <v>1</v>
      </c>
      <c r="D11" s="313">
        <v>1</v>
      </c>
      <c r="E11" s="352">
        <v>1</v>
      </c>
      <c r="F11" s="352">
        <v>1</v>
      </c>
      <c r="G11" s="311">
        <v>1.1299999999999999</v>
      </c>
      <c r="H11" s="313">
        <v>0.91</v>
      </c>
      <c r="I11" s="313">
        <v>1.04</v>
      </c>
      <c r="J11" s="312">
        <v>1.74</v>
      </c>
      <c r="K11" s="323"/>
      <c r="L11" s="311">
        <v>1</v>
      </c>
      <c r="M11" s="313">
        <v>1</v>
      </c>
      <c r="N11" s="313">
        <v>1</v>
      </c>
      <c r="O11" s="313">
        <v>1</v>
      </c>
      <c r="P11" s="311">
        <v>1.1000000000000001</v>
      </c>
      <c r="Q11" s="313">
        <v>0.92</v>
      </c>
      <c r="R11" s="313">
        <v>1.04</v>
      </c>
      <c r="S11" s="312">
        <v>1.75</v>
      </c>
    </row>
    <row r="12" spans="1:19" ht="15" customHeight="1">
      <c r="A12" s="244" t="s">
        <v>54</v>
      </c>
      <c r="B12" s="181"/>
      <c r="C12" s="311" t="s">
        <v>58</v>
      </c>
      <c r="D12" s="313" t="s">
        <v>58</v>
      </c>
      <c r="E12" s="352" t="s">
        <v>58</v>
      </c>
      <c r="F12" s="352" t="s">
        <v>58</v>
      </c>
      <c r="G12" s="311" t="s">
        <v>58</v>
      </c>
      <c r="H12" s="313" t="s">
        <v>58</v>
      </c>
      <c r="I12" s="313" t="s">
        <v>58</v>
      </c>
      <c r="J12" s="312" t="s">
        <v>58</v>
      </c>
      <c r="K12" s="323"/>
      <c r="L12" s="311" t="s">
        <v>58</v>
      </c>
      <c r="M12" s="313" t="s">
        <v>58</v>
      </c>
      <c r="N12" s="313" t="s">
        <v>58</v>
      </c>
      <c r="O12" s="313" t="s">
        <v>58</v>
      </c>
      <c r="P12" s="311" t="s">
        <v>58</v>
      </c>
      <c r="Q12" s="313" t="s">
        <v>58</v>
      </c>
      <c r="R12" s="313" t="s">
        <v>58</v>
      </c>
      <c r="S12" s="312" t="s">
        <v>58</v>
      </c>
    </row>
    <row r="13" spans="1:19" ht="15" customHeight="1">
      <c r="A13" s="362" t="s">
        <v>156</v>
      </c>
      <c r="B13" s="174"/>
      <c r="C13" s="363" t="s">
        <v>58</v>
      </c>
      <c r="D13" s="359" t="s">
        <v>58</v>
      </c>
      <c r="E13" s="359" t="s">
        <v>58</v>
      </c>
      <c r="F13" s="359" t="s">
        <v>58</v>
      </c>
      <c r="G13" s="363" t="s">
        <v>58</v>
      </c>
      <c r="H13" s="359" t="s">
        <v>58</v>
      </c>
      <c r="I13" s="359" t="s">
        <v>58</v>
      </c>
      <c r="J13" s="358" t="s">
        <v>58</v>
      </c>
      <c r="K13" s="368"/>
      <c r="L13" s="363" t="s">
        <v>58</v>
      </c>
      <c r="M13" s="359" t="s">
        <v>58</v>
      </c>
      <c r="N13" s="359" t="s">
        <v>58</v>
      </c>
      <c r="O13" s="359" t="s">
        <v>58</v>
      </c>
      <c r="P13" s="363" t="s">
        <v>58</v>
      </c>
      <c r="Q13" s="359" t="s">
        <v>58</v>
      </c>
      <c r="R13" s="359" t="s">
        <v>58</v>
      </c>
      <c r="S13" s="358" t="s">
        <v>58</v>
      </c>
    </row>
    <row r="14" spans="1:19" ht="15" customHeight="1">
      <c r="A14" s="244" t="s">
        <v>157</v>
      </c>
      <c r="B14" s="181"/>
      <c r="C14" s="366" t="s">
        <v>58</v>
      </c>
      <c r="D14" s="313" t="s">
        <v>58</v>
      </c>
      <c r="E14" s="367" t="s">
        <v>58</v>
      </c>
      <c r="F14" s="367" t="s">
        <v>58</v>
      </c>
      <c r="G14" s="366" t="s">
        <v>58</v>
      </c>
      <c r="H14" s="313" t="s">
        <v>58</v>
      </c>
      <c r="I14" s="313" t="s">
        <v>58</v>
      </c>
      <c r="J14" s="312" t="s">
        <v>58</v>
      </c>
      <c r="K14" s="323"/>
      <c r="L14" s="366" t="s">
        <v>58</v>
      </c>
      <c r="M14" s="313" t="s">
        <v>58</v>
      </c>
      <c r="N14" s="313" t="s">
        <v>58</v>
      </c>
      <c r="O14" s="313" t="s">
        <v>58</v>
      </c>
      <c r="P14" s="366" t="s">
        <v>58</v>
      </c>
      <c r="Q14" s="313" t="s">
        <v>58</v>
      </c>
      <c r="R14" s="313" t="s">
        <v>58</v>
      </c>
      <c r="S14" s="312" t="s">
        <v>58</v>
      </c>
    </row>
    <row r="15" spans="1:19" ht="15" customHeight="1">
      <c r="A15" s="308" t="s">
        <v>108</v>
      </c>
      <c r="B15" s="181"/>
      <c r="C15" s="307" t="s">
        <v>58</v>
      </c>
      <c r="D15" s="326" t="s">
        <v>58</v>
      </c>
      <c r="E15" s="365" t="s">
        <v>58</v>
      </c>
      <c r="F15" s="365" t="s">
        <v>58</v>
      </c>
      <c r="G15" s="307" t="s">
        <v>58</v>
      </c>
      <c r="H15" s="326" t="s">
        <v>58</v>
      </c>
      <c r="I15" s="326" t="s">
        <v>58</v>
      </c>
      <c r="J15" s="325" t="s">
        <v>58</v>
      </c>
      <c r="K15" s="323"/>
      <c r="L15" s="307" t="s">
        <v>58</v>
      </c>
      <c r="M15" s="326" t="s">
        <v>58</v>
      </c>
      <c r="N15" s="326" t="s">
        <v>58</v>
      </c>
      <c r="O15" s="326" t="s">
        <v>58</v>
      </c>
      <c r="P15" s="307" t="s">
        <v>58</v>
      </c>
      <c r="Q15" s="326" t="s">
        <v>58</v>
      </c>
      <c r="R15" s="326" t="s">
        <v>58</v>
      </c>
      <c r="S15" s="325" t="s">
        <v>58</v>
      </c>
    </row>
    <row r="16" spans="1:19" ht="3.75" customHeight="1">
      <c r="A16" s="292"/>
      <c r="B16" s="181"/>
      <c r="C16" s="344"/>
      <c r="D16" s="342"/>
      <c r="E16" s="343"/>
      <c r="F16" s="343"/>
      <c r="G16" s="342"/>
      <c r="H16" s="342"/>
      <c r="I16" s="343"/>
      <c r="J16" s="343"/>
      <c r="K16" s="323"/>
      <c r="L16" s="342"/>
      <c r="M16" s="342"/>
      <c r="N16" s="343"/>
      <c r="O16" s="343"/>
      <c r="P16" s="342"/>
      <c r="Q16" s="342"/>
      <c r="R16" s="341"/>
      <c r="S16" s="341"/>
    </row>
    <row r="17" spans="1:19">
      <c r="A17" s="320" t="s">
        <v>110</v>
      </c>
      <c r="B17" s="174"/>
      <c r="C17" s="249"/>
      <c r="D17" s="319"/>
      <c r="E17" s="319"/>
      <c r="F17" s="319"/>
      <c r="G17" s="318"/>
      <c r="H17" s="315"/>
      <c r="I17" s="315"/>
      <c r="J17" s="317"/>
      <c r="K17" s="35"/>
      <c r="L17" s="316"/>
      <c r="M17" s="315"/>
      <c r="N17" s="315"/>
      <c r="O17" s="315"/>
      <c r="P17" s="316"/>
      <c r="Q17" s="315"/>
      <c r="R17" s="248"/>
      <c r="S17" s="246"/>
    </row>
    <row r="18" spans="1:19" ht="15" customHeight="1">
      <c r="A18" s="364" t="s">
        <v>12</v>
      </c>
      <c r="B18" s="181"/>
      <c r="C18" s="329">
        <v>0.93</v>
      </c>
      <c r="D18" s="324">
        <v>0.99</v>
      </c>
      <c r="E18" s="324">
        <v>0.92</v>
      </c>
      <c r="F18" s="324">
        <v>0.86</v>
      </c>
      <c r="G18" s="329">
        <v>0.69</v>
      </c>
      <c r="H18" s="324">
        <v>0.77</v>
      </c>
      <c r="I18" s="324">
        <v>0.74</v>
      </c>
      <c r="J18" s="328">
        <v>0.72</v>
      </c>
      <c r="K18" s="323"/>
      <c r="L18" s="329">
        <v>1.08</v>
      </c>
      <c r="M18" s="324">
        <v>1.0900000000000001</v>
      </c>
      <c r="N18" s="324">
        <v>0.96480538400000004</v>
      </c>
      <c r="O18" s="324">
        <v>1.077047785</v>
      </c>
      <c r="P18" s="329">
        <v>0.69</v>
      </c>
      <c r="Q18" s="324">
        <v>0.75</v>
      </c>
      <c r="R18" s="324">
        <v>0.66</v>
      </c>
      <c r="S18" s="328">
        <v>0.72</v>
      </c>
    </row>
    <row r="19" spans="1:19" ht="15" customHeight="1">
      <c r="A19" s="244" t="s">
        <v>38</v>
      </c>
      <c r="B19" s="181"/>
      <c r="C19" s="311">
        <v>1.08</v>
      </c>
      <c r="D19" s="313">
        <v>0.68</v>
      </c>
      <c r="E19" s="352">
        <v>0.81</v>
      </c>
      <c r="F19" s="352">
        <v>0.78</v>
      </c>
      <c r="G19" s="311">
        <v>0.93</v>
      </c>
      <c r="H19" s="313">
        <v>0.94</v>
      </c>
      <c r="I19" s="313">
        <v>0.94</v>
      </c>
      <c r="J19" s="312">
        <v>0.94</v>
      </c>
      <c r="K19" s="323"/>
      <c r="L19" s="311">
        <v>0.9</v>
      </c>
      <c r="M19" s="313">
        <v>0.85</v>
      </c>
      <c r="N19" s="313">
        <v>0.84353169900000002</v>
      </c>
      <c r="O19" s="313">
        <v>0.82617698699999997</v>
      </c>
      <c r="P19" s="311">
        <v>0.93</v>
      </c>
      <c r="Q19" s="313">
        <v>0.94</v>
      </c>
      <c r="R19" s="313">
        <v>0.94</v>
      </c>
      <c r="S19" s="312">
        <v>0.94</v>
      </c>
    </row>
    <row r="20" spans="1:19" ht="15" customHeight="1">
      <c r="A20" s="244" t="s">
        <v>111</v>
      </c>
      <c r="B20" s="181"/>
      <c r="C20" s="311" t="s">
        <v>58</v>
      </c>
      <c r="D20" s="313" t="s">
        <v>58</v>
      </c>
      <c r="E20" s="352" t="s">
        <v>58</v>
      </c>
      <c r="F20" s="352" t="s">
        <v>58</v>
      </c>
      <c r="G20" s="311" t="s">
        <v>58</v>
      </c>
      <c r="H20" s="313" t="s">
        <v>58</v>
      </c>
      <c r="I20" s="313" t="s">
        <v>58</v>
      </c>
      <c r="J20" s="312" t="s">
        <v>58</v>
      </c>
      <c r="K20" s="323"/>
      <c r="L20" s="311" t="s">
        <v>58</v>
      </c>
      <c r="M20" s="313" t="s">
        <v>58</v>
      </c>
      <c r="N20" s="313" t="s">
        <v>58</v>
      </c>
      <c r="O20" s="313" t="s">
        <v>58</v>
      </c>
      <c r="P20" s="311" t="s">
        <v>58</v>
      </c>
      <c r="Q20" s="313" t="s">
        <v>58</v>
      </c>
      <c r="R20" s="313" t="s">
        <v>58</v>
      </c>
      <c r="S20" s="312" t="s">
        <v>58</v>
      </c>
    </row>
    <row r="21" spans="1:19" ht="15" customHeight="1">
      <c r="A21" s="362" t="s">
        <v>11</v>
      </c>
      <c r="B21" s="181"/>
      <c r="C21" s="311" t="s">
        <v>58</v>
      </c>
      <c r="D21" s="313">
        <v>0.86</v>
      </c>
      <c r="E21" s="352">
        <v>1</v>
      </c>
      <c r="F21" s="352">
        <v>0.99</v>
      </c>
      <c r="G21" s="311" t="s">
        <v>58</v>
      </c>
      <c r="H21" s="313">
        <v>0.49</v>
      </c>
      <c r="I21" s="313">
        <v>0.54</v>
      </c>
      <c r="J21" s="312">
        <v>0.54</v>
      </c>
      <c r="K21" s="323"/>
      <c r="L21" s="311" t="s">
        <v>58</v>
      </c>
      <c r="M21" s="313">
        <v>0.84</v>
      </c>
      <c r="N21" s="313">
        <v>1</v>
      </c>
      <c r="O21" s="313">
        <v>1</v>
      </c>
      <c r="P21" s="311" t="s">
        <v>58</v>
      </c>
      <c r="Q21" s="313">
        <v>0.49</v>
      </c>
      <c r="R21" s="313">
        <v>0.54</v>
      </c>
      <c r="S21" s="312">
        <v>0.54</v>
      </c>
    </row>
    <row r="22" spans="1:19" ht="15" customHeight="1">
      <c r="A22" s="362" t="s">
        <v>40</v>
      </c>
      <c r="B22" s="181"/>
      <c r="C22" s="311" t="s">
        <v>58</v>
      </c>
      <c r="D22" s="313" t="s">
        <v>58</v>
      </c>
      <c r="E22" s="352">
        <v>1.02</v>
      </c>
      <c r="F22" s="352">
        <v>0.96</v>
      </c>
      <c r="G22" s="311" t="s">
        <v>58</v>
      </c>
      <c r="H22" s="313" t="s">
        <v>58</v>
      </c>
      <c r="I22" s="313">
        <v>0.66</v>
      </c>
      <c r="J22" s="312">
        <v>0.68</v>
      </c>
      <c r="K22" s="323"/>
      <c r="L22" s="311" t="s">
        <v>58</v>
      </c>
      <c r="M22" s="313" t="s">
        <v>58</v>
      </c>
      <c r="N22" s="313">
        <v>0.96648201600000005</v>
      </c>
      <c r="O22" s="313">
        <v>0.997</v>
      </c>
      <c r="P22" s="311" t="s">
        <v>58</v>
      </c>
      <c r="Q22" s="313" t="s">
        <v>58</v>
      </c>
      <c r="R22" s="313">
        <v>0.66</v>
      </c>
      <c r="S22" s="312">
        <v>0.67</v>
      </c>
    </row>
    <row r="23" spans="1:19" ht="15" customHeight="1">
      <c r="A23" s="362" t="s">
        <v>158</v>
      </c>
      <c r="B23" s="174"/>
      <c r="C23" s="363" t="s">
        <v>58</v>
      </c>
      <c r="D23" s="359" t="s">
        <v>58</v>
      </c>
      <c r="E23" s="359" t="s">
        <v>58</v>
      </c>
      <c r="F23" s="359" t="s">
        <v>58</v>
      </c>
      <c r="G23" s="363" t="s">
        <v>58</v>
      </c>
      <c r="H23" s="359" t="s">
        <v>58</v>
      </c>
      <c r="I23" s="359" t="s">
        <v>58</v>
      </c>
      <c r="J23" s="358" t="s">
        <v>58</v>
      </c>
      <c r="K23" s="353"/>
      <c r="L23" s="363" t="s">
        <v>58</v>
      </c>
      <c r="M23" s="359" t="s">
        <v>58</v>
      </c>
      <c r="N23" s="359" t="s">
        <v>58</v>
      </c>
      <c r="O23" s="359" t="s">
        <v>58</v>
      </c>
      <c r="P23" s="363" t="s">
        <v>58</v>
      </c>
      <c r="Q23" s="359" t="s">
        <v>58</v>
      </c>
      <c r="R23" s="359" t="s">
        <v>58</v>
      </c>
      <c r="S23" s="358" t="s">
        <v>58</v>
      </c>
    </row>
    <row r="24" spans="1:19" ht="15" customHeight="1">
      <c r="A24" s="362" t="s">
        <v>159</v>
      </c>
      <c r="B24" s="181"/>
      <c r="C24" s="360" t="s">
        <v>58</v>
      </c>
      <c r="D24" s="359" t="s">
        <v>58</v>
      </c>
      <c r="E24" s="361" t="s">
        <v>58</v>
      </c>
      <c r="F24" s="361" t="s">
        <v>58</v>
      </c>
      <c r="G24" s="360" t="s">
        <v>58</v>
      </c>
      <c r="H24" s="359" t="s">
        <v>58</v>
      </c>
      <c r="I24" s="359" t="s">
        <v>58</v>
      </c>
      <c r="J24" s="358" t="s">
        <v>58</v>
      </c>
      <c r="K24" s="353"/>
      <c r="L24" s="360" t="s">
        <v>58</v>
      </c>
      <c r="M24" s="359" t="s">
        <v>58</v>
      </c>
      <c r="N24" s="359" t="s">
        <v>58</v>
      </c>
      <c r="O24" s="359" t="s">
        <v>58</v>
      </c>
      <c r="P24" s="360" t="s">
        <v>58</v>
      </c>
      <c r="Q24" s="359" t="s">
        <v>58</v>
      </c>
      <c r="R24" s="359" t="s">
        <v>58</v>
      </c>
      <c r="S24" s="358" t="s">
        <v>58</v>
      </c>
    </row>
    <row r="25" spans="1:19" ht="15" customHeight="1">
      <c r="A25" s="348" t="s">
        <v>49</v>
      </c>
      <c r="B25" s="174"/>
      <c r="C25" s="347">
        <v>0.76</v>
      </c>
      <c r="D25" s="346" t="s">
        <v>58</v>
      </c>
      <c r="E25" s="346" t="s">
        <v>58</v>
      </c>
      <c r="F25" s="346" t="s">
        <v>58</v>
      </c>
      <c r="G25" s="347" t="s">
        <v>58</v>
      </c>
      <c r="H25" s="346" t="s">
        <v>58</v>
      </c>
      <c r="I25" s="346" t="s">
        <v>58</v>
      </c>
      <c r="J25" s="345" t="s">
        <v>58</v>
      </c>
      <c r="K25" s="353"/>
      <c r="L25" s="347">
        <v>1</v>
      </c>
      <c r="M25" s="346" t="s">
        <v>58</v>
      </c>
      <c r="N25" s="346" t="s">
        <v>58</v>
      </c>
      <c r="O25" s="346" t="s">
        <v>58</v>
      </c>
      <c r="P25" s="347" t="s">
        <v>58</v>
      </c>
      <c r="Q25" s="346" t="s">
        <v>58</v>
      </c>
      <c r="R25" s="346" t="s">
        <v>58</v>
      </c>
      <c r="S25" s="345" t="s">
        <v>58</v>
      </c>
    </row>
    <row r="26" spans="1:19" ht="3.75" customHeight="1">
      <c r="A26" s="279"/>
      <c r="B26" s="181"/>
      <c r="C26" s="357"/>
      <c r="D26" s="355"/>
      <c r="E26" s="356"/>
      <c r="F26" s="356"/>
      <c r="G26" s="355"/>
      <c r="H26" s="355"/>
      <c r="I26" s="356"/>
      <c r="J26" s="356"/>
      <c r="K26" s="353"/>
      <c r="L26" s="355"/>
      <c r="M26" s="355"/>
      <c r="N26" s="356"/>
      <c r="O26" s="356"/>
      <c r="P26" s="355"/>
      <c r="Q26" s="355"/>
      <c r="R26" s="354"/>
      <c r="S26" s="354"/>
    </row>
    <row r="27" spans="1:19">
      <c r="A27" s="320" t="s">
        <v>113</v>
      </c>
      <c r="B27" s="174"/>
      <c r="C27" s="249"/>
      <c r="D27" s="319"/>
      <c r="E27" s="319"/>
      <c r="F27" s="319"/>
      <c r="G27" s="318"/>
      <c r="H27" s="315"/>
      <c r="I27" s="315"/>
      <c r="J27" s="317"/>
      <c r="K27" s="353"/>
      <c r="L27" s="316"/>
      <c r="M27" s="315"/>
      <c r="N27" s="315"/>
      <c r="O27" s="315"/>
      <c r="P27" s="316"/>
      <c r="Q27" s="315"/>
      <c r="R27" s="248"/>
      <c r="S27" s="246"/>
    </row>
    <row r="28" spans="1:19" ht="15" customHeight="1">
      <c r="A28" s="245" t="s">
        <v>114</v>
      </c>
      <c r="B28" s="181"/>
      <c r="C28" s="329" t="s">
        <v>58</v>
      </c>
      <c r="D28" s="324" t="s">
        <v>58</v>
      </c>
      <c r="E28" s="324" t="s">
        <v>58</v>
      </c>
      <c r="F28" s="324" t="s">
        <v>58</v>
      </c>
      <c r="G28" s="329" t="s">
        <v>58</v>
      </c>
      <c r="H28" s="324" t="s">
        <v>58</v>
      </c>
      <c r="I28" s="324" t="s">
        <v>58</v>
      </c>
      <c r="J28" s="328" t="s">
        <v>58</v>
      </c>
      <c r="K28" s="353"/>
      <c r="L28" s="329" t="s">
        <v>58</v>
      </c>
      <c r="M28" s="324" t="s">
        <v>58</v>
      </c>
      <c r="N28" s="324" t="s">
        <v>58</v>
      </c>
      <c r="O28" s="324" t="s">
        <v>58</v>
      </c>
      <c r="P28" s="329" t="s">
        <v>58</v>
      </c>
      <c r="Q28" s="324" t="s">
        <v>58</v>
      </c>
      <c r="R28" s="324" t="s">
        <v>58</v>
      </c>
      <c r="S28" s="328" t="s">
        <v>58</v>
      </c>
    </row>
    <row r="29" spans="1:19" ht="15" customHeight="1">
      <c r="A29" s="244" t="s">
        <v>115</v>
      </c>
      <c r="B29" s="181"/>
      <c r="C29" s="311" t="s">
        <v>58</v>
      </c>
      <c r="D29" s="313" t="s">
        <v>58</v>
      </c>
      <c r="E29" s="352" t="s">
        <v>58</v>
      </c>
      <c r="F29" s="352" t="s">
        <v>58</v>
      </c>
      <c r="G29" s="311" t="s">
        <v>58</v>
      </c>
      <c r="H29" s="313" t="s">
        <v>58</v>
      </c>
      <c r="I29" s="313" t="s">
        <v>58</v>
      </c>
      <c r="J29" s="312" t="s">
        <v>58</v>
      </c>
      <c r="K29" s="353"/>
      <c r="L29" s="311" t="s">
        <v>58</v>
      </c>
      <c r="M29" s="313" t="s">
        <v>58</v>
      </c>
      <c r="N29" s="313" t="s">
        <v>58</v>
      </c>
      <c r="O29" s="313" t="s">
        <v>58</v>
      </c>
      <c r="P29" s="311" t="s">
        <v>58</v>
      </c>
      <c r="Q29" s="313" t="s">
        <v>58</v>
      </c>
      <c r="R29" s="313" t="s">
        <v>58</v>
      </c>
      <c r="S29" s="312" t="s">
        <v>58</v>
      </c>
    </row>
    <row r="30" spans="1:19" ht="15" customHeight="1">
      <c r="A30" s="244" t="s">
        <v>116</v>
      </c>
      <c r="B30" s="181"/>
      <c r="C30" s="311" t="s">
        <v>58</v>
      </c>
      <c r="D30" s="313" t="s">
        <v>58</v>
      </c>
      <c r="E30" s="352" t="s">
        <v>58</v>
      </c>
      <c r="F30" s="352" t="s">
        <v>58</v>
      </c>
      <c r="G30" s="311" t="s">
        <v>58</v>
      </c>
      <c r="H30" s="313" t="s">
        <v>58</v>
      </c>
      <c r="I30" s="313" t="s">
        <v>58</v>
      </c>
      <c r="J30" s="312" t="s">
        <v>58</v>
      </c>
      <c r="K30" s="323"/>
      <c r="L30" s="311" t="s">
        <v>58</v>
      </c>
      <c r="M30" s="313" t="s">
        <v>58</v>
      </c>
      <c r="N30" s="313" t="s">
        <v>58</v>
      </c>
      <c r="O30" s="313" t="s">
        <v>58</v>
      </c>
      <c r="P30" s="311" t="s">
        <v>58</v>
      </c>
      <c r="Q30" s="313" t="s">
        <v>58</v>
      </c>
      <c r="R30" s="313" t="s">
        <v>58</v>
      </c>
      <c r="S30" s="312" t="s">
        <v>58</v>
      </c>
    </row>
    <row r="31" spans="1:19" ht="15" customHeight="1">
      <c r="A31" s="275" t="s">
        <v>12</v>
      </c>
      <c r="B31" s="181"/>
      <c r="C31" s="351"/>
      <c r="D31" s="350"/>
      <c r="E31" s="350"/>
      <c r="F31" s="350"/>
      <c r="G31" s="351"/>
      <c r="H31" s="350"/>
      <c r="I31" s="350"/>
      <c r="J31" s="349"/>
      <c r="K31" s="323"/>
      <c r="L31" s="351"/>
      <c r="M31" s="350"/>
      <c r="N31" s="350"/>
      <c r="O31" s="350"/>
      <c r="P31" s="351"/>
      <c r="Q31" s="350"/>
      <c r="R31" s="350"/>
      <c r="S31" s="349"/>
    </row>
    <row r="32" spans="1:19" ht="15" customHeight="1">
      <c r="A32" s="348" t="s">
        <v>49</v>
      </c>
      <c r="B32" s="174"/>
      <c r="C32" s="347">
        <v>0.84</v>
      </c>
      <c r="D32" s="346" t="s">
        <v>58</v>
      </c>
      <c r="E32" s="346" t="s">
        <v>58</v>
      </c>
      <c r="F32" s="346" t="s">
        <v>58</v>
      </c>
      <c r="G32" s="347" t="s">
        <v>58</v>
      </c>
      <c r="H32" s="346" t="s">
        <v>58</v>
      </c>
      <c r="I32" s="346" t="s">
        <v>58</v>
      </c>
      <c r="J32" s="345" t="s">
        <v>58</v>
      </c>
      <c r="K32" s="323"/>
      <c r="L32" s="347">
        <v>1</v>
      </c>
      <c r="M32" s="346" t="s">
        <v>58</v>
      </c>
      <c r="N32" s="346" t="s">
        <v>58</v>
      </c>
      <c r="O32" s="346" t="s">
        <v>58</v>
      </c>
      <c r="P32" s="347" t="s">
        <v>58</v>
      </c>
      <c r="Q32" s="346" t="s">
        <v>58</v>
      </c>
      <c r="R32" s="346" t="s">
        <v>58</v>
      </c>
      <c r="S32" s="345" t="s">
        <v>58</v>
      </c>
    </row>
    <row r="33" spans="1:19" ht="3" customHeight="1">
      <c r="A33" s="266"/>
      <c r="B33" s="181"/>
      <c r="C33" s="344"/>
      <c r="D33" s="342"/>
      <c r="E33" s="343"/>
      <c r="F33" s="343"/>
      <c r="G33" s="342"/>
      <c r="H33" s="342"/>
      <c r="I33" s="343"/>
      <c r="J33" s="343"/>
      <c r="K33" s="323"/>
      <c r="L33" s="342"/>
      <c r="M33" s="342"/>
      <c r="N33" s="343"/>
      <c r="O33" s="343"/>
      <c r="P33" s="342"/>
      <c r="Q33" s="342"/>
      <c r="R33" s="341"/>
      <c r="S33" s="341"/>
    </row>
    <row r="34" spans="1:19">
      <c r="A34" s="320" t="s">
        <v>23</v>
      </c>
      <c r="B34" s="174"/>
      <c r="C34" s="249"/>
      <c r="D34" s="319"/>
      <c r="E34" s="319"/>
      <c r="F34" s="319"/>
      <c r="G34" s="318"/>
      <c r="H34" s="315"/>
      <c r="I34" s="315"/>
      <c r="J34" s="317"/>
      <c r="K34" s="323"/>
      <c r="L34" s="316"/>
      <c r="M34" s="315"/>
      <c r="N34" s="315"/>
      <c r="O34" s="315"/>
      <c r="P34" s="316"/>
      <c r="Q34" s="315"/>
      <c r="R34" s="248"/>
      <c r="S34" s="246"/>
    </row>
    <row r="35" spans="1:19" ht="15" customHeight="1">
      <c r="A35" s="340" t="s">
        <v>23</v>
      </c>
      <c r="B35" s="181"/>
      <c r="C35" s="339" t="s">
        <v>58</v>
      </c>
      <c r="D35" s="338">
        <v>0.16</v>
      </c>
      <c r="E35" s="338">
        <v>0.55000000000000004</v>
      </c>
      <c r="F35" s="338">
        <v>0.19</v>
      </c>
      <c r="G35" s="339" t="s">
        <v>58</v>
      </c>
      <c r="H35" s="338">
        <v>1</v>
      </c>
      <c r="I35" s="338">
        <v>1</v>
      </c>
      <c r="J35" s="337">
        <v>1</v>
      </c>
      <c r="K35" s="323"/>
      <c r="L35" s="339" t="s">
        <v>58</v>
      </c>
      <c r="M35" s="338">
        <v>0.98</v>
      </c>
      <c r="N35" s="338">
        <v>0.89401793500000004</v>
      </c>
      <c r="O35" s="338">
        <v>0.81321471899999997</v>
      </c>
      <c r="P35" s="339" t="s">
        <v>58</v>
      </c>
      <c r="Q35" s="338">
        <v>1</v>
      </c>
      <c r="R35" s="338">
        <v>1</v>
      </c>
      <c r="S35" s="337">
        <v>1</v>
      </c>
    </row>
    <row r="36" spans="1:19" ht="3.75" customHeight="1">
      <c r="A36" s="254"/>
      <c r="B36" s="181"/>
      <c r="C36" s="334"/>
      <c r="D36" s="332"/>
      <c r="E36" s="333"/>
      <c r="F36" s="333"/>
      <c r="G36" s="332"/>
      <c r="H36" s="332"/>
      <c r="I36" s="333"/>
      <c r="J36" s="333"/>
      <c r="K36" s="323"/>
      <c r="L36" s="332"/>
      <c r="M36" s="332"/>
      <c r="N36" s="333"/>
      <c r="O36" s="333"/>
      <c r="P36" s="332"/>
      <c r="Q36" s="332"/>
      <c r="R36" s="331"/>
      <c r="S36" s="331"/>
    </row>
    <row r="37" spans="1:19">
      <c r="A37" s="320" t="s">
        <v>119</v>
      </c>
      <c r="B37" s="174"/>
      <c r="C37" s="249"/>
      <c r="D37" s="319"/>
      <c r="E37" s="319"/>
      <c r="F37" s="319"/>
      <c r="G37" s="318"/>
      <c r="H37" s="315"/>
      <c r="I37" s="315"/>
      <c r="J37" s="317"/>
      <c r="K37" s="35"/>
      <c r="L37" s="316"/>
      <c r="M37" s="315"/>
      <c r="N37" s="315"/>
      <c r="O37" s="315"/>
      <c r="P37" s="316"/>
      <c r="Q37" s="315"/>
      <c r="R37" s="248"/>
      <c r="S37" s="246"/>
    </row>
    <row r="38" spans="1:19">
      <c r="A38" s="229" t="s">
        <v>23</v>
      </c>
      <c r="C38" s="314" t="s">
        <v>58</v>
      </c>
      <c r="D38" s="313" t="s">
        <v>58</v>
      </c>
      <c r="E38" s="313" t="s">
        <v>58</v>
      </c>
      <c r="F38" s="313" t="s">
        <v>58</v>
      </c>
      <c r="G38" s="314" t="s">
        <v>58</v>
      </c>
      <c r="H38" s="313" t="s">
        <v>58</v>
      </c>
      <c r="I38" s="313" t="s">
        <v>58</v>
      </c>
      <c r="J38" s="312" t="s">
        <v>58</v>
      </c>
      <c r="K38" s="35"/>
      <c r="L38" s="314" t="s">
        <v>58</v>
      </c>
      <c r="M38" s="313" t="s">
        <v>58</v>
      </c>
      <c r="N38" s="313" t="s">
        <v>58</v>
      </c>
      <c r="O38" s="313" t="s">
        <v>58</v>
      </c>
      <c r="P38" s="314" t="s">
        <v>58</v>
      </c>
      <c r="Q38" s="313" t="s">
        <v>58</v>
      </c>
      <c r="R38" s="324" t="s">
        <v>58</v>
      </c>
      <c r="S38" s="328" t="s">
        <v>58</v>
      </c>
    </row>
    <row r="39" spans="1:19">
      <c r="A39" s="336" t="s">
        <v>38</v>
      </c>
      <c r="C39" s="335" t="s">
        <v>58</v>
      </c>
      <c r="D39" s="306" t="s">
        <v>58</v>
      </c>
      <c r="E39" s="306" t="s">
        <v>58</v>
      </c>
      <c r="F39" s="306" t="s">
        <v>58</v>
      </c>
      <c r="G39" s="335" t="s">
        <v>58</v>
      </c>
      <c r="H39" s="306" t="s">
        <v>58</v>
      </c>
      <c r="I39" s="306" t="s">
        <v>58</v>
      </c>
      <c r="J39" s="305" t="s">
        <v>58</v>
      </c>
      <c r="K39" s="35"/>
      <c r="L39" s="335" t="s">
        <v>58</v>
      </c>
      <c r="M39" s="306" t="s">
        <v>58</v>
      </c>
      <c r="N39" s="306" t="s">
        <v>58</v>
      </c>
      <c r="O39" s="306" t="s">
        <v>58</v>
      </c>
      <c r="P39" s="335" t="s">
        <v>58</v>
      </c>
      <c r="Q39" s="306" t="s">
        <v>58</v>
      </c>
      <c r="R39" s="306" t="s">
        <v>58</v>
      </c>
      <c r="S39" s="305" t="s">
        <v>58</v>
      </c>
    </row>
    <row r="40" spans="1:19" ht="3.75" customHeight="1">
      <c r="A40" s="254"/>
      <c r="B40" s="181"/>
      <c r="C40" s="334"/>
      <c r="D40" s="332"/>
      <c r="E40" s="333"/>
      <c r="F40" s="333"/>
      <c r="G40" s="332"/>
      <c r="H40" s="332"/>
      <c r="I40" s="333"/>
      <c r="J40" s="333"/>
      <c r="K40" s="323"/>
      <c r="L40" s="332"/>
      <c r="M40" s="332"/>
      <c r="N40" s="333"/>
      <c r="O40" s="333"/>
      <c r="P40" s="332"/>
      <c r="Q40" s="332"/>
      <c r="R40" s="331"/>
      <c r="S40" s="331"/>
    </row>
    <row r="41" spans="1:19">
      <c r="A41" s="320" t="s">
        <v>121</v>
      </c>
      <c r="B41" s="174"/>
      <c r="C41" s="249"/>
      <c r="D41" s="319"/>
      <c r="E41" s="319"/>
      <c r="F41" s="319"/>
      <c r="G41" s="318"/>
      <c r="H41" s="315"/>
      <c r="I41" s="315"/>
      <c r="J41" s="317"/>
      <c r="K41" s="35"/>
      <c r="L41" s="316"/>
      <c r="M41" s="315"/>
      <c r="N41" s="315"/>
      <c r="O41" s="315"/>
      <c r="P41" s="316"/>
      <c r="Q41" s="315"/>
      <c r="R41" s="248"/>
      <c r="S41" s="246"/>
    </row>
    <row r="42" spans="1:19" ht="15.75" customHeight="1">
      <c r="A42" s="330" t="s">
        <v>55</v>
      </c>
      <c r="B42" s="181"/>
      <c r="C42" s="329">
        <v>0.84</v>
      </c>
      <c r="D42" s="324" t="s">
        <v>58</v>
      </c>
      <c r="E42" s="324" t="s">
        <v>58</v>
      </c>
      <c r="F42" s="324" t="s">
        <v>58</v>
      </c>
      <c r="G42" s="329">
        <v>0.55000000000000004</v>
      </c>
      <c r="H42" s="324" t="s">
        <v>58</v>
      </c>
      <c r="I42" s="324" t="s">
        <v>58</v>
      </c>
      <c r="J42" s="328" t="s">
        <v>58</v>
      </c>
      <c r="K42" s="323"/>
      <c r="L42" s="329">
        <v>0.85</v>
      </c>
      <c r="M42" s="324" t="s">
        <v>58</v>
      </c>
      <c r="N42" s="324" t="s">
        <v>58</v>
      </c>
      <c r="O42" s="324" t="s">
        <v>58</v>
      </c>
      <c r="P42" s="329">
        <v>0.56000000000000005</v>
      </c>
      <c r="Q42" s="324" t="s">
        <v>58</v>
      </c>
      <c r="R42" s="324" t="s">
        <v>58</v>
      </c>
      <c r="S42" s="328" t="s">
        <v>58</v>
      </c>
    </row>
    <row r="43" spans="1:19" ht="15.75" customHeight="1">
      <c r="A43" s="244" t="s">
        <v>42</v>
      </c>
      <c r="B43" s="181"/>
      <c r="C43" s="311">
        <v>1</v>
      </c>
      <c r="D43" s="313">
        <v>1</v>
      </c>
      <c r="E43" s="313">
        <v>1</v>
      </c>
      <c r="F43" s="313">
        <v>1</v>
      </c>
      <c r="G43" s="311">
        <v>0.5</v>
      </c>
      <c r="H43" s="313">
        <v>0.5</v>
      </c>
      <c r="I43" s="313">
        <v>0.5</v>
      </c>
      <c r="J43" s="312">
        <v>0.5</v>
      </c>
      <c r="K43" s="323"/>
      <c r="L43" s="311">
        <v>1</v>
      </c>
      <c r="M43" s="313">
        <v>1</v>
      </c>
      <c r="N43" s="313">
        <v>1</v>
      </c>
      <c r="O43" s="313">
        <v>1</v>
      </c>
      <c r="P43" s="311">
        <v>0.5</v>
      </c>
      <c r="Q43" s="313">
        <v>0.5</v>
      </c>
      <c r="R43" s="313">
        <v>0.5</v>
      </c>
      <c r="S43" s="312">
        <v>0.5</v>
      </c>
    </row>
    <row r="44" spans="1:19" ht="15.75" customHeight="1">
      <c r="A44" s="244" t="s">
        <v>139</v>
      </c>
      <c r="B44" s="181"/>
      <c r="C44" s="311" t="s">
        <v>58</v>
      </c>
      <c r="D44" s="313" t="s">
        <v>58</v>
      </c>
      <c r="E44" s="313" t="s">
        <v>58</v>
      </c>
      <c r="F44" s="313" t="s">
        <v>58</v>
      </c>
      <c r="G44" s="311" t="s">
        <v>58</v>
      </c>
      <c r="H44" s="313" t="s">
        <v>58</v>
      </c>
      <c r="I44" s="313" t="s">
        <v>58</v>
      </c>
      <c r="J44" s="312" t="s">
        <v>58</v>
      </c>
      <c r="K44" s="323"/>
      <c r="L44" s="311" t="s">
        <v>58</v>
      </c>
      <c r="M44" s="313" t="s">
        <v>58</v>
      </c>
      <c r="N44" s="313" t="s">
        <v>58</v>
      </c>
      <c r="O44" s="313" t="s">
        <v>58</v>
      </c>
      <c r="P44" s="311" t="s">
        <v>58</v>
      </c>
      <c r="Q44" s="313" t="s">
        <v>58</v>
      </c>
      <c r="R44" s="313" t="s">
        <v>58</v>
      </c>
      <c r="S44" s="312" t="s">
        <v>58</v>
      </c>
    </row>
    <row r="45" spans="1:19" ht="15.75" customHeight="1">
      <c r="A45" s="244" t="s">
        <v>140</v>
      </c>
      <c r="B45" s="181"/>
      <c r="C45" s="311" t="s">
        <v>58</v>
      </c>
      <c r="D45" s="313" t="s">
        <v>58</v>
      </c>
      <c r="E45" s="313" t="s">
        <v>58</v>
      </c>
      <c r="F45" s="313" t="s">
        <v>58</v>
      </c>
      <c r="G45" s="311" t="s">
        <v>58</v>
      </c>
      <c r="H45" s="313" t="s">
        <v>58</v>
      </c>
      <c r="I45" s="313" t="s">
        <v>58</v>
      </c>
      <c r="J45" s="312" t="s">
        <v>58</v>
      </c>
      <c r="K45" s="323"/>
      <c r="L45" s="311" t="s">
        <v>58</v>
      </c>
      <c r="M45" s="313" t="s">
        <v>58</v>
      </c>
      <c r="N45" s="313" t="s">
        <v>58</v>
      </c>
      <c r="O45" s="313" t="s">
        <v>58</v>
      </c>
      <c r="P45" s="311" t="s">
        <v>58</v>
      </c>
      <c r="Q45" s="313" t="s">
        <v>58</v>
      </c>
      <c r="R45" s="313" t="s">
        <v>58</v>
      </c>
      <c r="S45" s="312" t="s">
        <v>58</v>
      </c>
    </row>
    <row r="46" spans="1:19" ht="15.75" customHeight="1">
      <c r="A46" s="327" t="s">
        <v>141</v>
      </c>
      <c r="B46" s="181"/>
      <c r="C46" s="307" t="s">
        <v>58</v>
      </c>
      <c r="D46" s="326" t="s">
        <v>58</v>
      </c>
      <c r="E46" s="326" t="s">
        <v>58</v>
      </c>
      <c r="F46" s="326" t="s">
        <v>58</v>
      </c>
      <c r="G46" s="307" t="s">
        <v>58</v>
      </c>
      <c r="H46" s="326" t="s">
        <v>58</v>
      </c>
      <c r="I46" s="326" t="s">
        <v>58</v>
      </c>
      <c r="J46" s="325" t="s">
        <v>58</v>
      </c>
      <c r="K46" s="323"/>
      <c r="L46" s="307" t="s">
        <v>58</v>
      </c>
      <c r="M46" s="326" t="s">
        <v>58</v>
      </c>
      <c r="N46" s="326" t="s">
        <v>58</v>
      </c>
      <c r="O46" s="326" t="s">
        <v>58</v>
      </c>
      <c r="P46" s="307" t="s">
        <v>58</v>
      </c>
      <c r="Q46" s="326" t="s">
        <v>58</v>
      </c>
      <c r="R46" s="326" t="s">
        <v>58</v>
      </c>
      <c r="S46" s="325" t="s">
        <v>58</v>
      </c>
    </row>
    <row r="47" spans="1:19" ht="4.5" customHeight="1">
      <c r="A47" s="197"/>
      <c r="B47" s="181"/>
      <c r="C47" s="321"/>
      <c r="D47" s="322"/>
      <c r="E47" s="322"/>
      <c r="F47" s="322"/>
      <c r="G47" s="322"/>
      <c r="H47" s="322"/>
      <c r="I47" s="324"/>
      <c r="J47" s="324"/>
      <c r="K47" s="323"/>
      <c r="L47" s="322"/>
      <c r="M47" s="322"/>
      <c r="N47" s="322"/>
      <c r="O47" s="322"/>
      <c r="P47" s="322"/>
      <c r="Q47" s="322"/>
      <c r="R47" s="321"/>
      <c r="S47" s="321"/>
    </row>
    <row r="48" spans="1:19">
      <c r="A48" s="320" t="s">
        <v>123</v>
      </c>
      <c r="B48" s="174"/>
      <c r="C48" s="249"/>
      <c r="D48" s="319"/>
      <c r="E48" s="319"/>
      <c r="F48" s="319"/>
      <c r="G48" s="318"/>
      <c r="H48" s="315"/>
      <c r="I48" s="315"/>
      <c r="J48" s="317"/>
      <c r="K48" s="35"/>
      <c r="L48" s="316"/>
      <c r="M48" s="315"/>
      <c r="N48" s="315"/>
      <c r="O48" s="315"/>
      <c r="P48" s="316"/>
      <c r="Q48" s="315"/>
      <c r="R48" s="248"/>
      <c r="S48" s="246"/>
    </row>
    <row r="49" spans="1:19">
      <c r="A49" s="245" t="s">
        <v>124</v>
      </c>
      <c r="C49" s="314" t="s">
        <v>58</v>
      </c>
      <c r="D49" s="313" t="s">
        <v>58</v>
      </c>
      <c r="E49" s="313" t="s">
        <v>58</v>
      </c>
      <c r="F49" s="313" t="s">
        <v>58</v>
      </c>
      <c r="G49" s="314" t="s">
        <v>58</v>
      </c>
      <c r="H49" s="313" t="s">
        <v>58</v>
      </c>
      <c r="I49" s="313" t="s">
        <v>58</v>
      </c>
      <c r="J49" s="312">
        <v>1</v>
      </c>
      <c r="K49" s="35"/>
      <c r="L49" s="314" t="s">
        <v>58</v>
      </c>
      <c r="M49" s="313" t="s">
        <v>58</v>
      </c>
      <c r="N49" s="313" t="s">
        <v>58</v>
      </c>
      <c r="O49" s="313">
        <v>0.96359918200000005</v>
      </c>
      <c r="P49" s="314" t="s">
        <v>58</v>
      </c>
      <c r="Q49" s="313" t="s">
        <v>58</v>
      </c>
      <c r="R49" s="313" t="s">
        <v>58</v>
      </c>
      <c r="S49" s="312">
        <v>1</v>
      </c>
    </row>
    <row r="50" spans="1:19">
      <c r="A50" s="244" t="s">
        <v>142</v>
      </c>
      <c r="C50" s="311" t="s">
        <v>58</v>
      </c>
      <c r="D50" s="310" t="s">
        <v>58</v>
      </c>
      <c r="E50" s="310" t="s">
        <v>58</v>
      </c>
      <c r="F50" s="310" t="s">
        <v>58</v>
      </c>
      <c r="G50" s="311" t="s">
        <v>58</v>
      </c>
      <c r="H50" s="310" t="s">
        <v>58</v>
      </c>
      <c r="I50" s="310" t="s">
        <v>58</v>
      </c>
      <c r="J50" s="309" t="s">
        <v>58</v>
      </c>
      <c r="K50" s="35"/>
      <c r="L50" s="311" t="s">
        <v>58</v>
      </c>
      <c r="M50" s="310" t="s">
        <v>58</v>
      </c>
      <c r="N50" s="310" t="s">
        <v>58</v>
      </c>
      <c r="O50" s="310" t="s">
        <v>58</v>
      </c>
      <c r="P50" s="311" t="s">
        <v>58</v>
      </c>
      <c r="Q50" s="310" t="s">
        <v>58</v>
      </c>
      <c r="R50" s="310" t="s">
        <v>58</v>
      </c>
      <c r="S50" s="309" t="s">
        <v>58</v>
      </c>
    </row>
    <row r="51" spans="1:19">
      <c r="A51" s="308" t="s">
        <v>294</v>
      </c>
      <c r="C51" s="307" t="s">
        <v>58</v>
      </c>
      <c r="D51" s="306" t="s">
        <v>58</v>
      </c>
      <c r="E51" s="306" t="s">
        <v>58</v>
      </c>
      <c r="F51" s="306" t="s">
        <v>58</v>
      </c>
      <c r="G51" s="306" t="s">
        <v>58</v>
      </c>
      <c r="H51" s="306" t="s">
        <v>58</v>
      </c>
      <c r="I51" s="306" t="s">
        <v>58</v>
      </c>
      <c r="J51" s="305" t="s">
        <v>58</v>
      </c>
      <c r="K51" s="35"/>
      <c r="L51" s="307" t="s">
        <v>58</v>
      </c>
      <c r="M51" s="306" t="s">
        <v>58</v>
      </c>
      <c r="N51" s="306" t="s">
        <v>58</v>
      </c>
      <c r="O51" s="306" t="s">
        <v>58</v>
      </c>
      <c r="P51" s="306" t="s">
        <v>58</v>
      </c>
      <c r="Q51" s="306" t="s">
        <v>58</v>
      </c>
      <c r="R51" s="306" t="s">
        <v>58</v>
      </c>
      <c r="S51" s="305" t="s">
        <v>58</v>
      </c>
    </row>
  </sheetData>
  <autoFilter ref="C1:S50"/>
  <mergeCells count="7">
    <mergeCell ref="A2:A4"/>
    <mergeCell ref="C3:F3"/>
    <mergeCell ref="G3:J3"/>
    <mergeCell ref="C2:J2"/>
    <mergeCell ref="L2:S2"/>
    <mergeCell ref="L3:O3"/>
    <mergeCell ref="P3:S3"/>
  </mergeCells>
  <printOptions horizontalCentered="1"/>
  <pageMargins left="0.23622047244094491" right="0.15748031496062992" top="0.59055118110236227" bottom="0.59055118110236227" header="0.31496062992125984" footer="0.31496062992125984"/>
  <pageSetup scale="77" orientation="landscape" cellComments="asDisplayed" r:id="rId1"/>
  <headerFooter>
    <oddHeader>&amp;L&amp;G</oddHeader>
    <oddFooter>&amp;L&amp;10Kingston Hydro Corporation&amp;C&amp;10_x000D_2011-2014 Final Results Report&amp;R&amp;P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128"/>
  <sheetViews>
    <sheetView workbookViewId="0">
      <pane ySplit="1" topLeftCell="A570" activePane="bottomLeft" state="frozen"/>
      <selection activeCell="AO1" sqref="AO1"/>
      <selection pane="bottomLeft" activeCell="CS1" sqref="CS1:CW1048576"/>
    </sheetView>
  </sheetViews>
  <sheetFormatPr defaultRowHeight="14.5"/>
  <cols>
    <col min="1" max="1" width="26" style="45" customWidth="1"/>
    <col min="2" max="2" width="10.7265625" style="45" customWidth="1"/>
    <col min="3" max="3" width="8.7265625" style="45" customWidth="1"/>
    <col min="4" max="4" width="21.90625" style="45" bestFit="1" customWidth="1"/>
    <col min="5" max="5" width="34.08984375" style="45" bestFit="1" customWidth="1"/>
    <col min="6" max="6" width="8.7265625" style="45"/>
    <col min="7" max="7" width="8.7265625" style="45" customWidth="1"/>
    <col min="8" max="8" width="9.08984375" style="45" customWidth="1"/>
    <col min="9" max="9" width="8.7265625" style="45"/>
    <col min="10" max="44" width="8.7265625" style="45" customWidth="1"/>
    <col min="45" max="70" width="8.7265625" style="45"/>
    <col min="71" max="71" width="9.81640625" style="45" bestFit="1" customWidth="1"/>
    <col min="72" max="73" width="8.7265625" style="45"/>
    <col min="74" max="74" width="11.81640625" style="45" bestFit="1" customWidth="1"/>
    <col min="75" max="16384" width="8.7265625" style="45"/>
  </cols>
  <sheetData>
    <row r="1" spans="1:96" ht="130.5">
      <c r="A1" s="806" t="s">
        <v>1212</v>
      </c>
      <c r="B1" s="806" t="s">
        <v>1211</v>
      </c>
      <c r="C1" s="806" t="s">
        <v>1210</v>
      </c>
      <c r="D1" s="806" t="s">
        <v>29</v>
      </c>
      <c r="E1" s="806" t="s">
        <v>30</v>
      </c>
      <c r="F1" s="806" t="s">
        <v>31</v>
      </c>
      <c r="G1" s="806" t="s">
        <v>1209</v>
      </c>
      <c r="H1" s="806" t="s">
        <v>1208</v>
      </c>
      <c r="I1" s="806" t="s">
        <v>1207</v>
      </c>
      <c r="J1" s="806" t="s">
        <v>1206</v>
      </c>
      <c r="K1" s="806" t="s">
        <v>1205</v>
      </c>
      <c r="L1" s="806" t="s">
        <v>1204</v>
      </c>
      <c r="M1" s="806" t="s">
        <v>1203</v>
      </c>
      <c r="N1" s="806" t="s">
        <v>1202</v>
      </c>
      <c r="O1" s="806" t="s">
        <v>1201</v>
      </c>
      <c r="P1" s="806" t="s">
        <v>1200</v>
      </c>
      <c r="Q1" s="806" t="s">
        <v>1199</v>
      </c>
      <c r="R1" s="806" t="s">
        <v>1198</v>
      </c>
      <c r="S1" s="806" t="s">
        <v>1197</v>
      </c>
      <c r="T1" s="806" t="s">
        <v>1196</v>
      </c>
      <c r="U1" s="806" t="s">
        <v>1195</v>
      </c>
      <c r="V1" s="806" t="s">
        <v>1194</v>
      </c>
      <c r="W1" s="806" t="s">
        <v>1193</v>
      </c>
      <c r="X1" s="806" t="s">
        <v>1192</v>
      </c>
      <c r="Y1" s="806" t="s">
        <v>1191</v>
      </c>
      <c r="Z1" s="806" t="s">
        <v>1190</v>
      </c>
      <c r="AA1" s="806" t="s">
        <v>1189</v>
      </c>
      <c r="AB1" s="806" t="s">
        <v>1188</v>
      </c>
      <c r="AC1" s="806" t="s">
        <v>1187</v>
      </c>
      <c r="AD1" s="806" t="s">
        <v>1186</v>
      </c>
      <c r="AE1" s="806" t="s">
        <v>1184</v>
      </c>
      <c r="AF1" s="808" t="s">
        <v>1183</v>
      </c>
      <c r="AG1" s="808" t="s">
        <v>1182</v>
      </c>
      <c r="AH1" s="806" t="s">
        <v>1185</v>
      </c>
      <c r="AI1" s="806" t="s">
        <v>1184</v>
      </c>
      <c r="AJ1" s="806" t="s">
        <v>1183</v>
      </c>
      <c r="AK1" s="806" t="s">
        <v>1182</v>
      </c>
      <c r="AL1" s="806" t="s">
        <v>1181</v>
      </c>
      <c r="AM1" s="806" t="s">
        <v>1180</v>
      </c>
      <c r="AN1" s="807" t="s">
        <v>1179</v>
      </c>
      <c r="AO1" s="807" t="s">
        <v>1178</v>
      </c>
      <c r="AP1" s="807" t="s">
        <v>1177</v>
      </c>
      <c r="AQ1" s="807" t="s">
        <v>1176</v>
      </c>
      <c r="AR1" s="807" t="s">
        <v>1175</v>
      </c>
      <c r="AS1" s="806">
        <v>2011</v>
      </c>
      <c r="AT1" s="806">
        <v>2012</v>
      </c>
      <c r="AU1" s="806">
        <v>2013</v>
      </c>
      <c r="AV1" s="806">
        <v>2014</v>
      </c>
      <c r="AW1" s="806">
        <v>2015</v>
      </c>
      <c r="AX1" s="806">
        <v>2016</v>
      </c>
      <c r="AY1" s="806">
        <v>2017</v>
      </c>
      <c r="AZ1" s="806">
        <v>2018</v>
      </c>
      <c r="BA1" s="806">
        <v>2019</v>
      </c>
      <c r="BB1" s="806">
        <v>2020</v>
      </c>
      <c r="BC1" s="806">
        <v>2021</v>
      </c>
      <c r="BD1" s="806">
        <v>2022</v>
      </c>
      <c r="BE1" s="806">
        <v>2023</v>
      </c>
      <c r="BF1" s="806">
        <v>2024</v>
      </c>
      <c r="BG1" s="806">
        <v>2025</v>
      </c>
      <c r="BH1" s="806">
        <v>2026</v>
      </c>
      <c r="BI1" s="806">
        <v>2027</v>
      </c>
      <c r="BJ1" s="806">
        <v>2028</v>
      </c>
      <c r="BK1" s="806">
        <v>2029</v>
      </c>
      <c r="BL1" s="806">
        <v>2030</v>
      </c>
      <c r="BM1" s="806">
        <v>2031</v>
      </c>
      <c r="BN1" s="806">
        <v>2032</v>
      </c>
      <c r="BO1" s="806">
        <v>2033</v>
      </c>
      <c r="BP1" s="806">
        <v>2034</v>
      </c>
      <c r="BQ1" s="806">
        <v>2035</v>
      </c>
      <c r="BR1" s="806">
        <v>2036</v>
      </c>
      <c r="BS1" s="806">
        <v>2011</v>
      </c>
      <c r="BT1" s="806">
        <v>2012</v>
      </c>
      <c r="BU1" s="806">
        <v>2013</v>
      </c>
      <c r="BV1" s="806">
        <v>2014</v>
      </c>
      <c r="BW1" s="806">
        <v>2015</v>
      </c>
      <c r="BX1" s="806">
        <v>2016</v>
      </c>
      <c r="BY1" s="806">
        <v>2017</v>
      </c>
      <c r="BZ1" s="806">
        <v>2018</v>
      </c>
      <c r="CA1" s="806">
        <v>2019</v>
      </c>
      <c r="CB1" s="806">
        <v>2020</v>
      </c>
      <c r="CC1" s="806">
        <v>2021</v>
      </c>
      <c r="CD1" s="806">
        <v>2022</v>
      </c>
      <c r="CE1" s="806">
        <v>2023</v>
      </c>
      <c r="CF1" s="806">
        <v>2024</v>
      </c>
      <c r="CG1" s="806">
        <v>2025</v>
      </c>
      <c r="CH1" s="806">
        <v>2026</v>
      </c>
      <c r="CI1" s="806">
        <v>2027</v>
      </c>
      <c r="CJ1" s="806">
        <v>2028</v>
      </c>
      <c r="CK1" s="806">
        <v>2029</v>
      </c>
      <c r="CL1" s="806">
        <v>2030</v>
      </c>
      <c r="CM1" s="806">
        <v>2031</v>
      </c>
      <c r="CN1" s="806">
        <v>2032</v>
      </c>
      <c r="CO1" s="806">
        <v>2033</v>
      </c>
      <c r="CP1" s="806">
        <v>2034</v>
      </c>
      <c r="CQ1" s="806">
        <v>2035</v>
      </c>
      <c r="CR1" s="806">
        <v>2036</v>
      </c>
    </row>
    <row r="2" spans="1:96">
      <c r="A2" s="743" t="s">
        <v>3</v>
      </c>
      <c r="B2" s="752" t="s">
        <v>1172</v>
      </c>
      <c r="C2" s="743">
        <v>2014</v>
      </c>
      <c r="D2" s="773" t="s">
        <v>15</v>
      </c>
      <c r="E2" s="706" t="s">
        <v>21</v>
      </c>
      <c r="F2" s="706" t="s">
        <v>17</v>
      </c>
      <c r="G2" s="706"/>
      <c r="H2" s="743" t="s">
        <v>1120</v>
      </c>
      <c r="I2" s="706" t="s">
        <v>5</v>
      </c>
      <c r="J2" s="706" t="s">
        <v>376</v>
      </c>
      <c r="K2" s="706">
        <v>1</v>
      </c>
      <c r="L2" s="743"/>
      <c r="M2" s="743" t="s">
        <v>1174</v>
      </c>
      <c r="N2" s="743">
        <v>4</v>
      </c>
      <c r="O2" s="706"/>
      <c r="P2" s="706"/>
      <c r="Q2" s="706"/>
      <c r="R2" s="706"/>
      <c r="S2" s="706"/>
      <c r="T2" s="706"/>
      <c r="U2" s="706"/>
      <c r="V2" s="706"/>
      <c r="W2" s="793">
        <v>0.14372165331137679</v>
      </c>
      <c r="X2" s="802">
        <v>1040.6264850287016</v>
      </c>
      <c r="Y2" s="805">
        <v>4162.5059401148064</v>
      </c>
      <c r="Z2" s="805">
        <v>2016.8565546309214</v>
      </c>
      <c r="AA2" s="805">
        <v>504.21413865773036</v>
      </c>
      <c r="AB2" s="738">
        <v>6.96373681368124E-2</v>
      </c>
      <c r="AC2" s="706"/>
      <c r="AD2" s="706"/>
      <c r="AE2" s="770">
        <v>0.55147058823529405</v>
      </c>
      <c r="AF2" s="770">
        <v>3.5999999999999997E-2</v>
      </c>
      <c r="AG2" s="706" t="s">
        <v>7</v>
      </c>
      <c r="AH2" s="770">
        <v>0.48452941176470593</v>
      </c>
      <c r="AI2" s="748">
        <v>0.55147058823529405</v>
      </c>
      <c r="AJ2" s="748">
        <v>3.5999999999999997E-2</v>
      </c>
      <c r="AK2" s="748"/>
      <c r="AL2" s="770">
        <v>0.48452941176470593</v>
      </c>
      <c r="AM2" s="706"/>
      <c r="AN2" s="706"/>
      <c r="AO2" s="706"/>
      <c r="AP2" s="804">
        <v>1070.6264850287016</v>
      </c>
      <c r="AQ2" s="733">
        <v>1070.6264850287016</v>
      </c>
      <c r="AR2" s="706"/>
      <c r="AS2" s="706"/>
      <c r="AT2" s="706"/>
      <c r="AU2" s="803"/>
      <c r="AV2" s="803">
        <v>6.96373681368124E-2</v>
      </c>
      <c r="AW2" s="803">
        <v>6.96373681368124E-2</v>
      </c>
      <c r="AX2" s="803">
        <v>6.96373681368124E-2</v>
      </c>
      <c r="AY2" s="803">
        <v>6.96373681368124E-2</v>
      </c>
      <c r="AZ2" s="803">
        <v>0</v>
      </c>
      <c r="BA2" s="803">
        <v>0</v>
      </c>
      <c r="BB2" s="803">
        <v>0</v>
      </c>
      <c r="BC2" s="803">
        <v>0</v>
      </c>
      <c r="BD2" s="803">
        <v>0</v>
      </c>
      <c r="BE2" s="803">
        <v>0</v>
      </c>
      <c r="BF2" s="803">
        <v>0</v>
      </c>
      <c r="BG2" s="803">
        <v>0</v>
      </c>
      <c r="BH2" s="803">
        <v>0</v>
      </c>
      <c r="BI2" s="803">
        <v>0</v>
      </c>
      <c r="BJ2" s="803">
        <v>0</v>
      </c>
      <c r="BK2" s="803">
        <v>0</v>
      </c>
      <c r="BL2" s="803">
        <v>0</v>
      </c>
      <c r="BM2" s="803">
        <v>0</v>
      </c>
      <c r="BN2" s="803">
        <v>0</v>
      </c>
      <c r="BO2" s="803">
        <v>0</v>
      </c>
      <c r="BP2" s="803">
        <v>0</v>
      </c>
      <c r="BQ2" s="803">
        <v>0</v>
      </c>
      <c r="BR2" s="803">
        <v>0</v>
      </c>
      <c r="BS2" s="706"/>
      <c r="BT2" s="706"/>
      <c r="BU2" s="802"/>
      <c r="BV2" s="802">
        <v>504.21413865773036</v>
      </c>
      <c r="BW2" s="802">
        <v>504.21413865773036</v>
      </c>
      <c r="BX2" s="802">
        <v>504.21413865773036</v>
      </c>
      <c r="BY2" s="802">
        <v>504.21413865773036</v>
      </c>
      <c r="BZ2" s="802">
        <v>0</v>
      </c>
      <c r="CA2" s="802">
        <v>0</v>
      </c>
      <c r="CB2" s="802">
        <v>0</v>
      </c>
      <c r="CC2" s="802">
        <v>0</v>
      </c>
      <c r="CD2" s="802">
        <v>0</v>
      </c>
      <c r="CE2" s="802">
        <v>0</v>
      </c>
      <c r="CF2" s="802">
        <v>0</v>
      </c>
      <c r="CG2" s="802">
        <v>0</v>
      </c>
      <c r="CH2" s="802">
        <v>0</v>
      </c>
      <c r="CI2" s="802">
        <v>0</v>
      </c>
      <c r="CJ2" s="802">
        <v>0</v>
      </c>
      <c r="CK2" s="802">
        <v>0</v>
      </c>
      <c r="CL2" s="802">
        <v>0</v>
      </c>
      <c r="CM2" s="802">
        <v>0</v>
      </c>
      <c r="CN2" s="802">
        <v>0</v>
      </c>
      <c r="CO2" s="802">
        <v>0</v>
      </c>
      <c r="CP2" s="802">
        <v>0</v>
      </c>
      <c r="CQ2" s="802">
        <v>0</v>
      </c>
      <c r="CR2" s="802">
        <v>0</v>
      </c>
    </row>
    <row r="3" spans="1:96">
      <c r="A3" s="743" t="s">
        <v>3</v>
      </c>
      <c r="B3" s="752" t="s">
        <v>1172</v>
      </c>
      <c r="C3" s="743">
        <v>2014</v>
      </c>
      <c r="D3" s="773" t="s">
        <v>15</v>
      </c>
      <c r="E3" s="706" t="s">
        <v>21</v>
      </c>
      <c r="F3" s="706" t="s">
        <v>17</v>
      </c>
      <c r="G3" s="706"/>
      <c r="H3" s="743" t="s">
        <v>1114</v>
      </c>
      <c r="I3" s="706" t="s">
        <v>5</v>
      </c>
      <c r="J3" s="706" t="s">
        <v>376</v>
      </c>
      <c r="K3" s="706">
        <v>1</v>
      </c>
      <c r="L3" s="743"/>
      <c r="M3" s="743" t="s">
        <v>1173</v>
      </c>
      <c r="N3" s="743">
        <v>5</v>
      </c>
      <c r="O3" s="706"/>
      <c r="P3" s="706"/>
      <c r="Q3" s="706"/>
      <c r="R3" s="706"/>
      <c r="S3" s="706"/>
      <c r="T3" s="706"/>
      <c r="U3" s="706"/>
      <c r="V3" s="706"/>
      <c r="W3" s="793">
        <v>0.12891159127639251</v>
      </c>
      <c r="X3" s="802">
        <v>877.16350560741421</v>
      </c>
      <c r="Y3" s="805">
        <v>4385.8175280370706</v>
      </c>
      <c r="Z3" s="805">
        <v>2041.0263790524905</v>
      </c>
      <c r="AA3" s="805">
        <v>408.20527581049816</v>
      </c>
      <c r="AB3" s="738">
        <v>5.9991542438499308E-2</v>
      </c>
      <c r="AC3" s="706"/>
      <c r="AD3" s="706"/>
      <c r="AE3" s="770">
        <v>0.57063034747686403</v>
      </c>
      <c r="AF3" s="770">
        <v>3.5999999999999997E-2</v>
      </c>
      <c r="AG3" s="706" t="s">
        <v>7</v>
      </c>
      <c r="AH3" s="770">
        <v>0.46536965252313595</v>
      </c>
      <c r="AI3" s="748">
        <v>0.57063034747686403</v>
      </c>
      <c r="AJ3" s="748">
        <v>3.5999999999999997E-2</v>
      </c>
      <c r="AK3" s="748"/>
      <c r="AL3" s="770">
        <v>0.46536965252313595</v>
      </c>
      <c r="AM3" s="706"/>
      <c r="AN3" s="706"/>
      <c r="AO3" s="706"/>
      <c r="AP3" s="804">
        <v>910.16350560741421</v>
      </c>
      <c r="AQ3" s="733">
        <v>910.16350560741421</v>
      </c>
      <c r="AR3" s="706"/>
      <c r="AS3" s="706"/>
      <c r="AT3" s="706"/>
      <c r="AU3" s="803"/>
      <c r="AV3" s="803">
        <v>5.9991542438499308E-2</v>
      </c>
      <c r="AW3" s="803">
        <v>5.9991542438499308E-2</v>
      </c>
      <c r="AX3" s="803">
        <v>5.9991542438499308E-2</v>
      </c>
      <c r="AY3" s="803">
        <v>5.9991542438499308E-2</v>
      </c>
      <c r="AZ3" s="803">
        <v>5.9991542438499308E-2</v>
      </c>
      <c r="BA3" s="803">
        <v>0</v>
      </c>
      <c r="BB3" s="803">
        <v>0</v>
      </c>
      <c r="BC3" s="803">
        <v>0</v>
      </c>
      <c r="BD3" s="803">
        <v>0</v>
      </c>
      <c r="BE3" s="803">
        <v>0</v>
      </c>
      <c r="BF3" s="803">
        <v>0</v>
      </c>
      <c r="BG3" s="803">
        <v>0</v>
      </c>
      <c r="BH3" s="803">
        <v>0</v>
      </c>
      <c r="BI3" s="803">
        <v>0</v>
      </c>
      <c r="BJ3" s="803">
        <v>0</v>
      </c>
      <c r="BK3" s="803">
        <v>0</v>
      </c>
      <c r="BL3" s="803">
        <v>0</v>
      </c>
      <c r="BM3" s="803">
        <v>0</v>
      </c>
      <c r="BN3" s="803">
        <v>0</v>
      </c>
      <c r="BO3" s="803">
        <v>0</v>
      </c>
      <c r="BP3" s="803">
        <v>0</v>
      </c>
      <c r="BQ3" s="803">
        <v>0</v>
      </c>
      <c r="BR3" s="803">
        <v>0</v>
      </c>
      <c r="BS3" s="706"/>
      <c r="BT3" s="706"/>
      <c r="BU3" s="802"/>
      <c r="BV3" s="802">
        <v>408.20527581049816</v>
      </c>
      <c r="BW3" s="802">
        <v>408.20527581049816</v>
      </c>
      <c r="BX3" s="802">
        <v>408.20527581049816</v>
      </c>
      <c r="BY3" s="802">
        <v>408.20527581049816</v>
      </c>
      <c r="BZ3" s="802">
        <v>408.20527581049816</v>
      </c>
      <c r="CA3" s="802">
        <v>0</v>
      </c>
      <c r="CB3" s="802">
        <v>0</v>
      </c>
      <c r="CC3" s="802">
        <v>0</v>
      </c>
      <c r="CD3" s="802">
        <v>0</v>
      </c>
      <c r="CE3" s="802">
        <v>0</v>
      </c>
      <c r="CF3" s="802">
        <v>0</v>
      </c>
      <c r="CG3" s="802">
        <v>0</v>
      </c>
      <c r="CH3" s="802">
        <v>0</v>
      </c>
      <c r="CI3" s="802">
        <v>0</v>
      </c>
      <c r="CJ3" s="802">
        <v>0</v>
      </c>
      <c r="CK3" s="802">
        <v>0</v>
      </c>
      <c r="CL3" s="802">
        <v>0</v>
      </c>
      <c r="CM3" s="802">
        <v>0</v>
      </c>
      <c r="CN3" s="802">
        <v>0</v>
      </c>
      <c r="CO3" s="802">
        <v>0</v>
      </c>
      <c r="CP3" s="802">
        <v>0</v>
      </c>
      <c r="CQ3" s="802">
        <v>0</v>
      </c>
      <c r="CR3" s="802">
        <v>0</v>
      </c>
    </row>
    <row r="4" spans="1:96">
      <c r="A4" s="743" t="s">
        <v>3</v>
      </c>
      <c r="B4" s="752" t="s">
        <v>1172</v>
      </c>
      <c r="C4" s="743">
        <v>2014</v>
      </c>
      <c r="D4" s="773" t="s">
        <v>15</v>
      </c>
      <c r="E4" s="706" t="s">
        <v>21</v>
      </c>
      <c r="F4" s="706" t="s">
        <v>17</v>
      </c>
      <c r="G4" s="706"/>
      <c r="H4" s="743" t="s">
        <v>1120</v>
      </c>
      <c r="I4" s="706" t="s">
        <v>5</v>
      </c>
      <c r="J4" s="706" t="s">
        <v>376</v>
      </c>
      <c r="K4" s="706">
        <v>1</v>
      </c>
      <c r="L4" s="743"/>
      <c r="M4" s="743" t="s">
        <v>1171</v>
      </c>
      <c r="N4" s="743">
        <v>4</v>
      </c>
      <c r="O4" s="706"/>
      <c r="P4" s="706"/>
      <c r="Q4" s="706"/>
      <c r="R4" s="706"/>
      <c r="S4" s="706"/>
      <c r="T4" s="706"/>
      <c r="U4" s="706"/>
      <c r="V4" s="706"/>
      <c r="W4" s="793">
        <v>0.14372165331137679</v>
      </c>
      <c r="X4" s="802">
        <v>1040.6264850287016</v>
      </c>
      <c r="Y4" s="805">
        <v>4162.5059401148064</v>
      </c>
      <c r="Z4" s="805">
        <v>2016.8565546309214</v>
      </c>
      <c r="AA4" s="805">
        <v>504.21413865773036</v>
      </c>
      <c r="AB4" s="738">
        <v>6.96373681368124E-2</v>
      </c>
      <c r="AC4" s="706"/>
      <c r="AD4" s="706"/>
      <c r="AE4" s="770">
        <v>0.55147058823529405</v>
      </c>
      <c r="AF4" s="770">
        <v>3.5999999999999997E-2</v>
      </c>
      <c r="AG4" s="706" t="s">
        <v>7</v>
      </c>
      <c r="AH4" s="770">
        <v>0.48452941176470593</v>
      </c>
      <c r="AI4" s="748">
        <v>0.55147058823529405</v>
      </c>
      <c r="AJ4" s="748">
        <v>3.5999999999999997E-2</v>
      </c>
      <c r="AK4" s="748"/>
      <c r="AL4" s="770">
        <v>0.48452941176470593</v>
      </c>
      <c r="AM4" s="706"/>
      <c r="AN4" s="706"/>
      <c r="AO4" s="706"/>
      <c r="AP4" s="804">
        <v>1070.6264850287016</v>
      </c>
      <c r="AQ4" s="733">
        <v>1070.6264850287016</v>
      </c>
      <c r="AR4" s="706"/>
      <c r="AS4" s="706"/>
      <c r="AT4" s="706"/>
      <c r="AU4" s="803"/>
      <c r="AV4" s="803">
        <v>6.96373681368124E-2</v>
      </c>
      <c r="AW4" s="803">
        <v>6.96373681368124E-2</v>
      </c>
      <c r="AX4" s="803">
        <v>6.96373681368124E-2</v>
      </c>
      <c r="AY4" s="803">
        <v>6.96373681368124E-2</v>
      </c>
      <c r="AZ4" s="803">
        <v>0</v>
      </c>
      <c r="BA4" s="803">
        <v>0</v>
      </c>
      <c r="BB4" s="803">
        <v>0</v>
      </c>
      <c r="BC4" s="803">
        <v>0</v>
      </c>
      <c r="BD4" s="803">
        <v>0</v>
      </c>
      <c r="BE4" s="803">
        <v>0</v>
      </c>
      <c r="BF4" s="803">
        <v>0</v>
      </c>
      <c r="BG4" s="803">
        <v>0</v>
      </c>
      <c r="BH4" s="803">
        <v>0</v>
      </c>
      <c r="BI4" s="803">
        <v>0</v>
      </c>
      <c r="BJ4" s="803">
        <v>0</v>
      </c>
      <c r="BK4" s="803">
        <v>0</v>
      </c>
      <c r="BL4" s="803">
        <v>0</v>
      </c>
      <c r="BM4" s="803">
        <v>0</v>
      </c>
      <c r="BN4" s="803">
        <v>0</v>
      </c>
      <c r="BO4" s="803">
        <v>0</v>
      </c>
      <c r="BP4" s="803">
        <v>0</v>
      </c>
      <c r="BQ4" s="803">
        <v>0</v>
      </c>
      <c r="BR4" s="803">
        <v>0</v>
      </c>
      <c r="BS4" s="706"/>
      <c r="BT4" s="706"/>
      <c r="BU4" s="802"/>
      <c r="BV4" s="802">
        <v>504.21413865773036</v>
      </c>
      <c r="BW4" s="802">
        <v>504.21413865773036</v>
      </c>
      <c r="BX4" s="802">
        <v>504.21413865773036</v>
      </c>
      <c r="BY4" s="802">
        <v>504.21413865773036</v>
      </c>
      <c r="BZ4" s="802">
        <v>0</v>
      </c>
      <c r="CA4" s="802">
        <v>0</v>
      </c>
      <c r="CB4" s="802">
        <v>0</v>
      </c>
      <c r="CC4" s="802">
        <v>0</v>
      </c>
      <c r="CD4" s="802">
        <v>0</v>
      </c>
      <c r="CE4" s="802">
        <v>0</v>
      </c>
      <c r="CF4" s="802">
        <v>0</v>
      </c>
      <c r="CG4" s="802">
        <v>0</v>
      </c>
      <c r="CH4" s="802">
        <v>0</v>
      </c>
      <c r="CI4" s="802">
        <v>0</v>
      </c>
      <c r="CJ4" s="802">
        <v>0</v>
      </c>
      <c r="CK4" s="802">
        <v>0</v>
      </c>
      <c r="CL4" s="802">
        <v>0</v>
      </c>
      <c r="CM4" s="802">
        <v>0</v>
      </c>
      <c r="CN4" s="802">
        <v>0</v>
      </c>
      <c r="CO4" s="802">
        <v>0</v>
      </c>
      <c r="CP4" s="802">
        <v>0</v>
      </c>
      <c r="CQ4" s="802">
        <v>0</v>
      </c>
      <c r="CR4" s="802">
        <v>0</v>
      </c>
    </row>
    <row r="5" spans="1:96">
      <c r="A5" s="743" t="s">
        <v>3</v>
      </c>
      <c r="B5" s="752" t="s">
        <v>1168</v>
      </c>
      <c r="C5" s="743">
        <v>2014</v>
      </c>
      <c r="D5" s="773" t="s">
        <v>15</v>
      </c>
      <c r="E5" s="706" t="s">
        <v>21</v>
      </c>
      <c r="F5" s="706" t="s">
        <v>17</v>
      </c>
      <c r="G5" s="706"/>
      <c r="H5" s="743" t="s">
        <v>1114</v>
      </c>
      <c r="I5" s="706" t="s">
        <v>5</v>
      </c>
      <c r="J5" s="706" t="s">
        <v>376</v>
      </c>
      <c r="K5" s="706">
        <v>1</v>
      </c>
      <c r="L5" s="743"/>
      <c r="M5" s="743" t="s">
        <v>1170</v>
      </c>
      <c r="N5" s="743">
        <v>5</v>
      </c>
      <c r="O5" s="706"/>
      <c r="P5" s="706"/>
      <c r="Q5" s="706"/>
      <c r="R5" s="706"/>
      <c r="S5" s="706"/>
      <c r="T5" s="706"/>
      <c r="U5" s="706"/>
      <c r="V5" s="706"/>
      <c r="W5" s="793">
        <v>0.12891159127639251</v>
      </c>
      <c r="X5" s="802">
        <v>877.16350560741421</v>
      </c>
      <c r="Y5" s="805">
        <v>4385.8175280370706</v>
      </c>
      <c r="Z5" s="805">
        <v>2041.0263790524905</v>
      </c>
      <c r="AA5" s="805">
        <v>408.20527581049816</v>
      </c>
      <c r="AB5" s="738">
        <v>5.9991542438499308E-2</v>
      </c>
      <c r="AC5" s="706"/>
      <c r="AD5" s="706"/>
      <c r="AE5" s="770">
        <v>0.57063034747686403</v>
      </c>
      <c r="AF5" s="770">
        <v>3.5999999999999997E-2</v>
      </c>
      <c r="AG5" s="706" t="s">
        <v>7</v>
      </c>
      <c r="AH5" s="770">
        <v>0.46536965252313595</v>
      </c>
      <c r="AI5" s="748">
        <v>0.57063034747686403</v>
      </c>
      <c r="AJ5" s="748">
        <v>3.5999999999999997E-2</v>
      </c>
      <c r="AK5" s="748"/>
      <c r="AL5" s="770">
        <v>0.46536965252313595</v>
      </c>
      <c r="AM5" s="706"/>
      <c r="AN5" s="706"/>
      <c r="AO5" s="706"/>
      <c r="AP5" s="804">
        <v>910.16350560741421</v>
      </c>
      <c r="AQ5" s="733">
        <v>910.16350560741421</v>
      </c>
      <c r="AR5" s="706"/>
      <c r="AS5" s="706"/>
      <c r="AT5" s="706"/>
      <c r="AU5" s="803"/>
      <c r="AV5" s="803">
        <v>5.9991542438499308E-2</v>
      </c>
      <c r="AW5" s="803">
        <v>5.9991542438499308E-2</v>
      </c>
      <c r="AX5" s="803">
        <v>5.9991542438499308E-2</v>
      </c>
      <c r="AY5" s="803">
        <v>5.9991542438499308E-2</v>
      </c>
      <c r="AZ5" s="803">
        <v>5.9991542438499308E-2</v>
      </c>
      <c r="BA5" s="803">
        <v>0</v>
      </c>
      <c r="BB5" s="803">
        <v>0</v>
      </c>
      <c r="BC5" s="803">
        <v>0</v>
      </c>
      <c r="BD5" s="803">
        <v>0</v>
      </c>
      <c r="BE5" s="803">
        <v>0</v>
      </c>
      <c r="BF5" s="803">
        <v>0</v>
      </c>
      <c r="BG5" s="803">
        <v>0</v>
      </c>
      <c r="BH5" s="803">
        <v>0</v>
      </c>
      <c r="BI5" s="803">
        <v>0</v>
      </c>
      <c r="BJ5" s="803">
        <v>0</v>
      </c>
      <c r="BK5" s="803">
        <v>0</v>
      </c>
      <c r="BL5" s="803">
        <v>0</v>
      </c>
      <c r="BM5" s="803">
        <v>0</v>
      </c>
      <c r="BN5" s="803">
        <v>0</v>
      </c>
      <c r="BO5" s="803">
        <v>0</v>
      </c>
      <c r="BP5" s="803">
        <v>0</v>
      </c>
      <c r="BQ5" s="803">
        <v>0</v>
      </c>
      <c r="BR5" s="803">
        <v>0</v>
      </c>
      <c r="BS5" s="706"/>
      <c r="BT5" s="706"/>
      <c r="BU5" s="802"/>
      <c r="BV5" s="802">
        <v>408.20527581049816</v>
      </c>
      <c r="BW5" s="802">
        <v>408.20527581049816</v>
      </c>
      <c r="BX5" s="802">
        <v>408.20527581049816</v>
      </c>
      <c r="BY5" s="802">
        <v>408.20527581049816</v>
      </c>
      <c r="BZ5" s="802">
        <v>408.20527581049816</v>
      </c>
      <c r="CA5" s="802">
        <v>0</v>
      </c>
      <c r="CB5" s="802">
        <v>0</v>
      </c>
      <c r="CC5" s="802">
        <v>0</v>
      </c>
      <c r="CD5" s="802">
        <v>0</v>
      </c>
      <c r="CE5" s="802">
        <v>0</v>
      </c>
      <c r="CF5" s="802">
        <v>0</v>
      </c>
      <c r="CG5" s="802">
        <v>0</v>
      </c>
      <c r="CH5" s="802">
        <v>0</v>
      </c>
      <c r="CI5" s="802">
        <v>0</v>
      </c>
      <c r="CJ5" s="802">
        <v>0</v>
      </c>
      <c r="CK5" s="802">
        <v>0</v>
      </c>
      <c r="CL5" s="802">
        <v>0</v>
      </c>
      <c r="CM5" s="802">
        <v>0</v>
      </c>
      <c r="CN5" s="802">
        <v>0</v>
      </c>
      <c r="CO5" s="802">
        <v>0</v>
      </c>
      <c r="CP5" s="802">
        <v>0</v>
      </c>
      <c r="CQ5" s="802">
        <v>0</v>
      </c>
      <c r="CR5" s="802">
        <v>0</v>
      </c>
    </row>
    <row r="6" spans="1:96">
      <c r="A6" s="743" t="s">
        <v>3</v>
      </c>
      <c r="B6" s="752" t="s">
        <v>1168</v>
      </c>
      <c r="C6" s="743">
        <v>2014</v>
      </c>
      <c r="D6" s="773" t="s">
        <v>15</v>
      </c>
      <c r="E6" s="706" t="s">
        <v>21</v>
      </c>
      <c r="F6" s="706" t="s">
        <v>17</v>
      </c>
      <c r="G6" s="706"/>
      <c r="H6" s="743" t="s">
        <v>1114</v>
      </c>
      <c r="I6" s="706" t="s">
        <v>5</v>
      </c>
      <c r="J6" s="706" t="s">
        <v>376</v>
      </c>
      <c r="K6" s="706">
        <v>1</v>
      </c>
      <c r="L6" s="743"/>
      <c r="M6" s="743" t="s">
        <v>1169</v>
      </c>
      <c r="N6" s="743">
        <v>5</v>
      </c>
      <c r="O6" s="706"/>
      <c r="P6" s="706"/>
      <c r="Q6" s="706"/>
      <c r="R6" s="706"/>
      <c r="S6" s="706"/>
      <c r="T6" s="706"/>
      <c r="U6" s="706"/>
      <c r="V6" s="706"/>
      <c r="W6" s="793">
        <v>0.12891159127639251</v>
      </c>
      <c r="X6" s="802">
        <v>877.16350560741421</v>
      </c>
      <c r="Y6" s="805">
        <v>4385.8175280370706</v>
      </c>
      <c r="Z6" s="805">
        <v>2041.0263790524905</v>
      </c>
      <c r="AA6" s="805">
        <v>408.20527581049816</v>
      </c>
      <c r="AB6" s="738">
        <v>5.9991542438499308E-2</v>
      </c>
      <c r="AC6" s="706"/>
      <c r="AD6" s="706"/>
      <c r="AE6" s="770">
        <v>0.57063034747686403</v>
      </c>
      <c r="AF6" s="770">
        <v>3.5999999999999997E-2</v>
      </c>
      <c r="AG6" s="706" t="s">
        <v>7</v>
      </c>
      <c r="AH6" s="770">
        <v>0.46536965252313595</v>
      </c>
      <c r="AI6" s="748">
        <v>0.57063034747686403</v>
      </c>
      <c r="AJ6" s="748">
        <v>3.5999999999999997E-2</v>
      </c>
      <c r="AK6" s="748"/>
      <c r="AL6" s="770">
        <v>0.46536965252313595</v>
      </c>
      <c r="AM6" s="706"/>
      <c r="AN6" s="706"/>
      <c r="AO6" s="706"/>
      <c r="AP6" s="804">
        <v>910.16350560741421</v>
      </c>
      <c r="AQ6" s="733">
        <v>910.16350560741421</v>
      </c>
      <c r="AR6" s="706"/>
      <c r="AS6" s="706"/>
      <c r="AT6" s="706"/>
      <c r="AU6" s="803"/>
      <c r="AV6" s="803">
        <v>5.9991542438499308E-2</v>
      </c>
      <c r="AW6" s="803">
        <v>5.9991542438499308E-2</v>
      </c>
      <c r="AX6" s="803">
        <v>5.9991542438499308E-2</v>
      </c>
      <c r="AY6" s="803">
        <v>5.9991542438499308E-2</v>
      </c>
      <c r="AZ6" s="803">
        <v>5.9991542438499308E-2</v>
      </c>
      <c r="BA6" s="803">
        <v>0</v>
      </c>
      <c r="BB6" s="803">
        <v>0</v>
      </c>
      <c r="BC6" s="803">
        <v>0</v>
      </c>
      <c r="BD6" s="803">
        <v>0</v>
      </c>
      <c r="BE6" s="803">
        <v>0</v>
      </c>
      <c r="BF6" s="803">
        <v>0</v>
      </c>
      <c r="BG6" s="803">
        <v>0</v>
      </c>
      <c r="BH6" s="803">
        <v>0</v>
      </c>
      <c r="BI6" s="803">
        <v>0</v>
      </c>
      <c r="BJ6" s="803">
        <v>0</v>
      </c>
      <c r="BK6" s="803">
        <v>0</v>
      </c>
      <c r="BL6" s="803">
        <v>0</v>
      </c>
      <c r="BM6" s="803">
        <v>0</v>
      </c>
      <c r="BN6" s="803">
        <v>0</v>
      </c>
      <c r="BO6" s="803">
        <v>0</v>
      </c>
      <c r="BP6" s="803">
        <v>0</v>
      </c>
      <c r="BQ6" s="803">
        <v>0</v>
      </c>
      <c r="BR6" s="803">
        <v>0</v>
      </c>
      <c r="BS6" s="706"/>
      <c r="BT6" s="706"/>
      <c r="BU6" s="802"/>
      <c r="BV6" s="802">
        <v>408.20527581049816</v>
      </c>
      <c r="BW6" s="802">
        <v>408.20527581049816</v>
      </c>
      <c r="BX6" s="802">
        <v>408.20527581049816</v>
      </c>
      <c r="BY6" s="802">
        <v>408.20527581049816</v>
      </c>
      <c r="BZ6" s="802">
        <v>408.20527581049816</v>
      </c>
      <c r="CA6" s="802">
        <v>0</v>
      </c>
      <c r="CB6" s="802">
        <v>0</v>
      </c>
      <c r="CC6" s="802">
        <v>0</v>
      </c>
      <c r="CD6" s="802">
        <v>0</v>
      </c>
      <c r="CE6" s="802">
        <v>0</v>
      </c>
      <c r="CF6" s="802">
        <v>0</v>
      </c>
      <c r="CG6" s="802">
        <v>0</v>
      </c>
      <c r="CH6" s="802">
        <v>0</v>
      </c>
      <c r="CI6" s="802">
        <v>0</v>
      </c>
      <c r="CJ6" s="802">
        <v>0</v>
      </c>
      <c r="CK6" s="802">
        <v>0</v>
      </c>
      <c r="CL6" s="802">
        <v>0</v>
      </c>
      <c r="CM6" s="802">
        <v>0</v>
      </c>
      <c r="CN6" s="802">
        <v>0</v>
      </c>
      <c r="CO6" s="802">
        <v>0</v>
      </c>
      <c r="CP6" s="802">
        <v>0</v>
      </c>
      <c r="CQ6" s="802">
        <v>0</v>
      </c>
      <c r="CR6" s="802">
        <v>0</v>
      </c>
    </row>
    <row r="7" spans="1:96">
      <c r="A7" s="743" t="s">
        <v>3</v>
      </c>
      <c r="B7" s="752" t="s">
        <v>1168</v>
      </c>
      <c r="C7" s="743">
        <v>2014</v>
      </c>
      <c r="D7" s="773" t="s">
        <v>15</v>
      </c>
      <c r="E7" s="706" t="s">
        <v>21</v>
      </c>
      <c r="F7" s="706" t="s">
        <v>17</v>
      </c>
      <c r="G7" s="706"/>
      <c r="H7" s="743" t="s">
        <v>1127</v>
      </c>
      <c r="I7" s="706" t="s">
        <v>5</v>
      </c>
      <c r="J7" s="706" t="s">
        <v>376</v>
      </c>
      <c r="K7" s="706">
        <v>1</v>
      </c>
      <c r="L7" s="743"/>
      <c r="M7" s="743" t="s">
        <v>1169</v>
      </c>
      <c r="N7" s="743">
        <v>4</v>
      </c>
      <c r="O7" s="706"/>
      <c r="P7" s="706"/>
      <c r="Q7" s="706"/>
      <c r="R7" s="706"/>
      <c r="S7" s="706"/>
      <c r="T7" s="706"/>
      <c r="U7" s="706"/>
      <c r="V7" s="706"/>
      <c r="W7" s="793">
        <v>0.46184647995319622</v>
      </c>
      <c r="X7" s="802">
        <v>823.50080422112387</v>
      </c>
      <c r="Y7" s="805">
        <v>3294.0032168844955</v>
      </c>
      <c r="Z7" s="805">
        <v>1262.3352327816249</v>
      </c>
      <c r="AA7" s="805">
        <v>315.58380819540622</v>
      </c>
      <c r="AB7" s="738">
        <v>0.17698983437317484</v>
      </c>
      <c r="AC7" s="706"/>
      <c r="AD7" s="706"/>
      <c r="AE7" s="770">
        <v>0.65277777777777779</v>
      </c>
      <c r="AF7" s="770">
        <v>3.5999999999999997E-2</v>
      </c>
      <c r="AG7" s="706" t="s">
        <v>7</v>
      </c>
      <c r="AH7" s="770">
        <v>0.38322222222222219</v>
      </c>
      <c r="AI7" s="748">
        <v>0.65277777777777779</v>
      </c>
      <c r="AJ7" s="748">
        <v>3.5999999999999997E-2</v>
      </c>
      <c r="AK7" s="748"/>
      <c r="AL7" s="770">
        <v>0.38322222222222219</v>
      </c>
      <c r="AM7" s="706"/>
      <c r="AN7" s="706"/>
      <c r="AO7" s="706"/>
      <c r="AP7" s="804">
        <v>863.50080422112387</v>
      </c>
      <c r="AQ7" s="733">
        <v>863.50080422112387</v>
      </c>
      <c r="AR7" s="706"/>
      <c r="AS7" s="706"/>
      <c r="AT7" s="706"/>
      <c r="AU7" s="803"/>
      <c r="AV7" s="803">
        <v>0.17698983437317484</v>
      </c>
      <c r="AW7" s="803">
        <v>0.17698983437317484</v>
      </c>
      <c r="AX7" s="803">
        <v>0.17698983437317484</v>
      </c>
      <c r="AY7" s="803">
        <v>0.17698983437317484</v>
      </c>
      <c r="AZ7" s="803">
        <v>0</v>
      </c>
      <c r="BA7" s="803">
        <v>0</v>
      </c>
      <c r="BB7" s="803">
        <v>0</v>
      </c>
      <c r="BC7" s="803">
        <v>0</v>
      </c>
      <c r="BD7" s="803">
        <v>0</v>
      </c>
      <c r="BE7" s="803">
        <v>0</v>
      </c>
      <c r="BF7" s="803">
        <v>0</v>
      </c>
      <c r="BG7" s="803">
        <v>0</v>
      </c>
      <c r="BH7" s="803">
        <v>0</v>
      </c>
      <c r="BI7" s="803">
        <v>0</v>
      </c>
      <c r="BJ7" s="803">
        <v>0</v>
      </c>
      <c r="BK7" s="803">
        <v>0</v>
      </c>
      <c r="BL7" s="803">
        <v>0</v>
      </c>
      <c r="BM7" s="803">
        <v>0</v>
      </c>
      <c r="BN7" s="803">
        <v>0</v>
      </c>
      <c r="BO7" s="803">
        <v>0</v>
      </c>
      <c r="BP7" s="803">
        <v>0</v>
      </c>
      <c r="BQ7" s="803">
        <v>0</v>
      </c>
      <c r="BR7" s="803">
        <v>0</v>
      </c>
      <c r="BS7" s="706"/>
      <c r="BT7" s="706"/>
      <c r="BU7" s="802"/>
      <c r="BV7" s="802">
        <v>315.58380819540622</v>
      </c>
      <c r="BW7" s="802">
        <v>315.58380819540622</v>
      </c>
      <c r="BX7" s="802">
        <v>315.58380819540622</v>
      </c>
      <c r="BY7" s="802">
        <v>315.58380819540622</v>
      </c>
      <c r="BZ7" s="802">
        <v>0</v>
      </c>
      <c r="CA7" s="802">
        <v>0</v>
      </c>
      <c r="CB7" s="802">
        <v>0</v>
      </c>
      <c r="CC7" s="802">
        <v>0</v>
      </c>
      <c r="CD7" s="802">
        <v>0</v>
      </c>
      <c r="CE7" s="802">
        <v>0</v>
      </c>
      <c r="CF7" s="802">
        <v>0</v>
      </c>
      <c r="CG7" s="802">
        <v>0</v>
      </c>
      <c r="CH7" s="802">
        <v>0</v>
      </c>
      <c r="CI7" s="802">
        <v>0</v>
      </c>
      <c r="CJ7" s="802">
        <v>0</v>
      </c>
      <c r="CK7" s="802">
        <v>0</v>
      </c>
      <c r="CL7" s="802">
        <v>0</v>
      </c>
      <c r="CM7" s="802">
        <v>0</v>
      </c>
      <c r="CN7" s="802">
        <v>0</v>
      </c>
      <c r="CO7" s="802">
        <v>0</v>
      </c>
      <c r="CP7" s="802">
        <v>0</v>
      </c>
      <c r="CQ7" s="802">
        <v>0</v>
      </c>
      <c r="CR7" s="802">
        <v>0</v>
      </c>
    </row>
    <row r="8" spans="1:96">
      <c r="A8" s="743" t="s">
        <v>3</v>
      </c>
      <c r="B8" s="752" t="s">
        <v>1168</v>
      </c>
      <c r="C8" s="743">
        <v>2014</v>
      </c>
      <c r="D8" s="773" t="s">
        <v>15</v>
      </c>
      <c r="E8" s="706" t="s">
        <v>21</v>
      </c>
      <c r="F8" s="706" t="s">
        <v>17</v>
      </c>
      <c r="G8" s="706"/>
      <c r="H8" s="743" t="s">
        <v>1140</v>
      </c>
      <c r="I8" s="706" t="s">
        <v>5</v>
      </c>
      <c r="J8" s="706" t="s">
        <v>376</v>
      </c>
      <c r="K8" s="706">
        <v>1</v>
      </c>
      <c r="L8" s="743"/>
      <c r="M8" s="743" t="s">
        <v>1169</v>
      </c>
      <c r="N8" s="743">
        <v>3</v>
      </c>
      <c r="O8" s="706"/>
      <c r="P8" s="706"/>
      <c r="Q8" s="706"/>
      <c r="R8" s="706"/>
      <c r="S8" s="706"/>
      <c r="T8" s="706"/>
      <c r="U8" s="706"/>
      <c r="V8" s="706"/>
      <c r="W8" s="793">
        <v>0.30466473681290229</v>
      </c>
      <c r="X8" s="802">
        <v>272.44778761061946</v>
      </c>
      <c r="Y8" s="805">
        <v>817.34336283185837</v>
      </c>
      <c r="Z8" s="805">
        <v>313.22413982300878</v>
      </c>
      <c r="AA8" s="805">
        <v>104.4080466076696</v>
      </c>
      <c r="AB8" s="738">
        <v>0.11675429747418888</v>
      </c>
      <c r="AC8" s="706"/>
      <c r="AD8" s="706"/>
      <c r="AE8" s="770">
        <v>0.65277777777777779</v>
      </c>
      <c r="AF8" s="770">
        <v>3.5999999999999997E-2</v>
      </c>
      <c r="AG8" s="706" t="s">
        <v>7</v>
      </c>
      <c r="AH8" s="770">
        <v>0.38322222222222219</v>
      </c>
      <c r="AI8" s="748">
        <v>0.65277777777777779</v>
      </c>
      <c r="AJ8" s="748">
        <v>3.5999999999999997E-2</v>
      </c>
      <c r="AK8" s="748"/>
      <c r="AL8" s="770">
        <v>0.38322222222222219</v>
      </c>
      <c r="AM8" s="706"/>
      <c r="AN8" s="706"/>
      <c r="AO8" s="706"/>
      <c r="AP8" s="804">
        <v>312.44778761061946</v>
      </c>
      <c r="AQ8" s="733">
        <v>312.44778761061946</v>
      </c>
      <c r="AR8" s="706"/>
      <c r="AS8" s="706"/>
      <c r="AT8" s="706"/>
      <c r="AU8" s="803"/>
      <c r="AV8" s="803">
        <v>0.11675429747418888</v>
      </c>
      <c r="AW8" s="803">
        <v>0.11675429747418888</v>
      </c>
      <c r="AX8" s="803">
        <v>0.11675429747418888</v>
      </c>
      <c r="AY8" s="803">
        <v>0</v>
      </c>
      <c r="AZ8" s="803">
        <v>0</v>
      </c>
      <c r="BA8" s="803">
        <v>0</v>
      </c>
      <c r="BB8" s="803">
        <v>0</v>
      </c>
      <c r="BC8" s="803">
        <v>0</v>
      </c>
      <c r="BD8" s="803">
        <v>0</v>
      </c>
      <c r="BE8" s="803">
        <v>0</v>
      </c>
      <c r="BF8" s="803">
        <v>0</v>
      </c>
      <c r="BG8" s="803">
        <v>0</v>
      </c>
      <c r="BH8" s="803">
        <v>0</v>
      </c>
      <c r="BI8" s="803">
        <v>0</v>
      </c>
      <c r="BJ8" s="803">
        <v>0</v>
      </c>
      <c r="BK8" s="803">
        <v>0</v>
      </c>
      <c r="BL8" s="803">
        <v>0</v>
      </c>
      <c r="BM8" s="803">
        <v>0</v>
      </c>
      <c r="BN8" s="803">
        <v>0</v>
      </c>
      <c r="BO8" s="803">
        <v>0</v>
      </c>
      <c r="BP8" s="803">
        <v>0</v>
      </c>
      <c r="BQ8" s="803">
        <v>0</v>
      </c>
      <c r="BR8" s="803">
        <v>0</v>
      </c>
      <c r="BS8" s="706"/>
      <c r="BT8" s="706"/>
      <c r="BU8" s="802"/>
      <c r="BV8" s="802">
        <v>104.4080466076696</v>
      </c>
      <c r="BW8" s="802">
        <v>104.4080466076696</v>
      </c>
      <c r="BX8" s="802">
        <v>104.4080466076696</v>
      </c>
      <c r="BY8" s="802">
        <v>0</v>
      </c>
      <c r="BZ8" s="802">
        <v>0</v>
      </c>
      <c r="CA8" s="802">
        <v>0</v>
      </c>
      <c r="CB8" s="802">
        <v>0</v>
      </c>
      <c r="CC8" s="802">
        <v>0</v>
      </c>
      <c r="CD8" s="802">
        <v>0</v>
      </c>
      <c r="CE8" s="802">
        <v>0</v>
      </c>
      <c r="CF8" s="802">
        <v>0</v>
      </c>
      <c r="CG8" s="802">
        <v>0</v>
      </c>
      <c r="CH8" s="802">
        <v>0</v>
      </c>
      <c r="CI8" s="802">
        <v>0</v>
      </c>
      <c r="CJ8" s="802">
        <v>0</v>
      </c>
      <c r="CK8" s="802">
        <v>0</v>
      </c>
      <c r="CL8" s="802">
        <v>0</v>
      </c>
      <c r="CM8" s="802">
        <v>0</v>
      </c>
      <c r="CN8" s="802">
        <v>0</v>
      </c>
      <c r="CO8" s="802">
        <v>0</v>
      </c>
      <c r="CP8" s="802">
        <v>0</v>
      </c>
      <c r="CQ8" s="802">
        <v>0</v>
      </c>
      <c r="CR8" s="802">
        <v>0</v>
      </c>
    </row>
    <row r="9" spans="1:96">
      <c r="A9" s="743" t="s">
        <v>3</v>
      </c>
      <c r="B9" s="752" t="s">
        <v>1168</v>
      </c>
      <c r="C9" s="743">
        <v>2014</v>
      </c>
      <c r="D9" s="773" t="s">
        <v>15</v>
      </c>
      <c r="E9" s="706" t="s">
        <v>21</v>
      </c>
      <c r="F9" s="706" t="s">
        <v>17</v>
      </c>
      <c r="G9" s="706"/>
      <c r="H9" s="743" t="s">
        <v>1120</v>
      </c>
      <c r="I9" s="706" t="s">
        <v>5</v>
      </c>
      <c r="J9" s="706" t="s">
        <v>376</v>
      </c>
      <c r="K9" s="706">
        <v>1</v>
      </c>
      <c r="L9" s="743"/>
      <c r="M9" s="743" t="s">
        <v>1167</v>
      </c>
      <c r="N9" s="743">
        <v>4</v>
      </c>
      <c r="O9" s="706"/>
      <c r="P9" s="706"/>
      <c r="Q9" s="706"/>
      <c r="R9" s="706"/>
      <c r="S9" s="706"/>
      <c r="T9" s="706"/>
      <c r="U9" s="706"/>
      <c r="V9" s="706"/>
      <c r="W9" s="793">
        <v>0.14372165331137679</v>
      </c>
      <c r="X9" s="802">
        <v>1040.6264850287016</v>
      </c>
      <c r="Y9" s="805">
        <v>4162.5059401148064</v>
      </c>
      <c r="Z9" s="805">
        <v>2016.8565546309214</v>
      </c>
      <c r="AA9" s="805">
        <v>504.21413865773036</v>
      </c>
      <c r="AB9" s="738">
        <v>6.96373681368124E-2</v>
      </c>
      <c r="AC9" s="706"/>
      <c r="AD9" s="706"/>
      <c r="AE9" s="770">
        <v>0.55147058823529405</v>
      </c>
      <c r="AF9" s="770">
        <v>3.5999999999999997E-2</v>
      </c>
      <c r="AG9" s="706" t="s">
        <v>7</v>
      </c>
      <c r="AH9" s="770">
        <v>0.48452941176470593</v>
      </c>
      <c r="AI9" s="748">
        <v>0.55147058823529405</v>
      </c>
      <c r="AJ9" s="748">
        <v>3.5999999999999997E-2</v>
      </c>
      <c r="AK9" s="748"/>
      <c r="AL9" s="770">
        <v>0.48452941176470593</v>
      </c>
      <c r="AM9" s="706"/>
      <c r="AN9" s="706"/>
      <c r="AO9" s="706"/>
      <c r="AP9" s="804">
        <v>1070.6264850287016</v>
      </c>
      <c r="AQ9" s="733">
        <v>1070.6264850287016</v>
      </c>
      <c r="AR9" s="706"/>
      <c r="AS9" s="706"/>
      <c r="AT9" s="706"/>
      <c r="AU9" s="803"/>
      <c r="AV9" s="803">
        <v>6.96373681368124E-2</v>
      </c>
      <c r="AW9" s="803">
        <v>6.96373681368124E-2</v>
      </c>
      <c r="AX9" s="803">
        <v>6.96373681368124E-2</v>
      </c>
      <c r="AY9" s="803">
        <v>6.96373681368124E-2</v>
      </c>
      <c r="AZ9" s="803">
        <v>0</v>
      </c>
      <c r="BA9" s="803">
        <v>0</v>
      </c>
      <c r="BB9" s="803">
        <v>0</v>
      </c>
      <c r="BC9" s="803">
        <v>0</v>
      </c>
      <c r="BD9" s="803">
        <v>0</v>
      </c>
      <c r="BE9" s="803">
        <v>0</v>
      </c>
      <c r="BF9" s="803">
        <v>0</v>
      </c>
      <c r="BG9" s="803">
        <v>0</v>
      </c>
      <c r="BH9" s="803">
        <v>0</v>
      </c>
      <c r="BI9" s="803">
        <v>0</v>
      </c>
      <c r="BJ9" s="803">
        <v>0</v>
      </c>
      <c r="BK9" s="803">
        <v>0</v>
      </c>
      <c r="BL9" s="803">
        <v>0</v>
      </c>
      <c r="BM9" s="803">
        <v>0</v>
      </c>
      <c r="BN9" s="803">
        <v>0</v>
      </c>
      <c r="BO9" s="803">
        <v>0</v>
      </c>
      <c r="BP9" s="803">
        <v>0</v>
      </c>
      <c r="BQ9" s="803">
        <v>0</v>
      </c>
      <c r="BR9" s="803">
        <v>0</v>
      </c>
      <c r="BS9" s="706"/>
      <c r="BT9" s="706"/>
      <c r="BU9" s="802"/>
      <c r="BV9" s="802">
        <v>504.21413865773036</v>
      </c>
      <c r="BW9" s="802">
        <v>504.21413865773036</v>
      </c>
      <c r="BX9" s="802">
        <v>504.21413865773036</v>
      </c>
      <c r="BY9" s="802">
        <v>504.21413865773036</v>
      </c>
      <c r="BZ9" s="802">
        <v>0</v>
      </c>
      <c r="CA9" s="802">
        <v>0</v>
      </c>
      <c r="CB9" s="802">
        <v>0</v>
      </c>
      <c r="CC9" s="802">
        <v>0</v>
      </c>
      <c r="CD9" s="802">
        <v>0</v>
      </c>
      <c r="CE9" s="802">
        <v>0</v>
      </c>
      <c r="CF9" s="802">
        <v>0</v>
      </c>
      <c r="CG9" s="802">
        <v>0</v>
      </c>
      <c r="CH9" s="802">
        <v>0</v>
      </c>
      <c r="CI9" s="802">
        <v>0</v>
      </c>
      <c r="CJ9" s="802">
        <v>0</v>
      </c>
      <c r="CK9" s="802">
        <v>0</v>
      </c>
      <c r="CL9" s="802">
        <v>0</v>
      </c>
      <c r="CM9" s="802">
        <v>0</v>
      </c>
      <c r="CN9" s="802">
        <v>0</v>
      </c>
      <c r="CO9" s="802">
        <v>0</v>
      </c>
      <c r="CP9" s="802">
        <v>0</v>
      </c>
      <c r="CQ9" s="802">
        <v>0</v>
      </c>
      <c r="CR9" s="802">
        <v>0</v>
      </c>
    </row>
    <row r="10" spans="1:96">
      <c r="A10" s="743" t="s">
        <v>3</v>
      </c>
      <c r="B10" s="752" t="s">
        <v>1166</v>
      </c>
      <c r="C10" s="743">
        <v>2014</v>
      </c>
      <c r="D10" s="773" t="s">
        <v>15</v>
      </c>
      <c r="E10" s="706" t="s">
        <v>21</v>
      </c>
      <c r="F10" s="706" t="s">
        <v>17</v>
      </c>
      <c r="G10" s="706"/>
      <c r="H10" s="743" t="s">
        <v>1114</v>
      </c>
      <c r="I10" s="706" t="s">
        <v>5</v>
      </c>
      <c r="J10" s="706" t="s">
        <v>376</v>
      </c>
      <c r="K10" s="706">
        <v>1</v>
      </c>
      <c r="L10" s="743"/>
      <c r="M10" s="743" t="s">
        <v>1082</v>
      </c>
      <c r="N10" s="743">
        <v>5</v>
      </c>
      <c r="O10" s="706"/>
      <c r="P10" s="706"/>
      <c r="Q10" s="706"/>
      <c r="R10" s="706"/>
      <c r="S10" s="706"/>
      <c r="T10" s="706"/>
      <c r="U10" s="706"/>
      <c r="V10" s="706"/>
      <c r="W10" s="793">
        <v>0.12891159127639251</v>
      </c>
      <c r="X10" s="802">
        <v>877.16350560741421</v>
      </c>
      <c r="Y10" s="805">
        <v>4385.8175280370706</v>
      </c>
      <c r="Z10" s="805">
        <v>2041.0263790524905</v>
      </c>
      <c r="AA10" s="805">
        <v>408.20527581049816</v>
      </c>
      <c r="AB10" s="738">
        <v>5.9991542438499308E-2</v>
      </c>
      <c r="AC10" s="706"/>
      <c r="AD10" s="706"/>
      <c r="AE10" s="770">
        <v>0.57063034747686403</v>
      </c>
      <c r="AF10" s="770">
        <v>3.5999999999999997E-2</v>
      </c>
      <c r="AG10" s="706" t="s">
        <v>7</v>
      </c>
      <c r="AH10" s="770">
        <v>0.46536965252313595</v>
      </c>
      <c r="AI10" s="748">
        <v>0.57063034747686403</v>
      </c>
      <c r="AJ10" s="748">
        <v>3.5999999999999997E-2</v>
      </c>
      <c r="AK10" s="748"/>
      <c r="AL10" s="770">
        <v>0.46536965252313595</v>
      </c>
      <c r="AM10" s="706"/>
      <c r="AN10" s="706"/>
      <c r="AO10" s="706"/>
      <c r="AP10" s="804">
        <v>910.16350560741421</v>
      </c>
      <c r="AQ10" s="733">
        <v>910.16350560741421</v>
      </c>
      <c r="AR10" s="706"/>
      <c r="AS10" s="706"/>
      <c r="AT10" s="706"/>
      <c r="AU10" s="803"/>
      <c r="AV10" s="803">
        <v>5.9991542438499308E-2</v>
      </c>
      <c r="AW10" s="803">
        <v>5.9991542438499308E-2</v>
      </c>
      <c r="AX10" s="803">
        <v>5.9991542438499308E-2</v>
      </c>
      <c r="AY10" s="803">
        <v>5.9991542438499308E-2</v>
      </c>
      <c r="AZ10" s="803">
        <v>5.9991542438499308E-2</v>
      </c>
      <c r="BA10" s="803">
        <v>0</v>
      </c>
      <c r="BB10" s="803">
        <v>0</v>
      </c>
      <c r="BC10" s="803">
        <v>0</v>
      </c>
      <c r="BD10" s="803">
        <v>0</v>
      </c>
      <c r="BE10" s="803">
        <v>0</v>
      </c>
      <c r="BF10" s="803">
        <v>0</v>
      </c>
      <c r="BG10" s="803">
        <v>0</v>
      </c>
      <c r="BH10" s="803">
        <v>0</v>
      </c>
      <c r="BI10" s="803">
        <v>0</v>
      </c>
      <c r="BJ10" s="803">
        <v>0</v>
      </c>
      <c r="BK10" s="803">
        <v>0</v>
      </c>
      <c r="BL10" s="803">
        <v>0</v>
      </c>
      <c r="BM10" s="803">
        <v>0</v>
      </c>
      <c r="BN10" s="803">
        <v>0</v>
      </c>
      <c r="BO10" s="803">
        <v>0</v>
      </c>
      <c r="BP10" s="803">
        <v>0</v>
      </c>
      <c r="BQ10" s="803">
        <v>0</v>
      </c>
      <c r="BR10" s="803">
        <v>0</v>
      </c>
      <c r="BS10" s="706"/>
      <c r="BT10" s="706"/>
      <c r="BU10" s="802"/>
      <c r="BV10" s="802">
        <v>408.20527581049816</v>
      </c>
      <c r="BW10" s="802">
        <v>408.20527581049816</v>
      </c>
      <c r="BX10" s="802">
        <v>408.20527581049816</v>
      </c>
      <c r="BY10" s="802">
        <v>408.20527581049816</v>
      </c>
      <c r="BZ10" s="802">
        <v>408.20527581049816</v>
      </c>
      <c r="CA10" s="802">
        <v>0</v>
      </c>
      <c r="CB10" s="802">
        <v>0</v>
      </c>
      <c r="CC10" s="802">
        <v>0</v>
      </c>
      <c r="CD10" s="802">
        <v>0</v>
      </c>
      <c r="CE10" s="802">
        <v>0</v>
      </c>
      <c r="CF10" s="802">
        <v>0</v>
      </c>
      <c r="CG10" s="802">
        <v>0</v>
      </c>
      <c r="CH10" s="802">
        <v>0</v>
      </c>
      <c r="CI10" s="802">
        <v>0</v>
      </c>
      <c r="CJ10" s="802">
        <v>0</v>
      </c>
      <c r="CK10" s="802">
        <v>0</v>
      </c>
      <c r="CL10" s="802">
        <v>0</v>
      </c>
      <c r="CM10" s="802">
        <v>0</v>
      </c>
      <c r="CN10" s="802">
        <v>0</v>
      </c>
      <c r="CO10" s="802">
        <v>0</v>
      </c>
      <c r="CP10" s="802">
        <v>0</v>
      </c>
      <c r="CQ10" s="802">
        <v>0</v>
      </c>
      <c r="CR10" s="802">
        <v>0</v>
      </c>
    </row>
    <row r="11" spans="1:96">
      <c r="A11" s="743" t="s">
        <v>3</v>
      </c>
      <c r="B11" s="752" t="s">
        <v>1162</v>
      </c>
      <c r="C11" s="743">
        <v>2014</v>
      </c>
      <c r="D11" s="773" t="s">
        <v>15</v>
      </c>
      <c r="E11" s="706" t="s">
        <v>21</v>
      </c>
      <c r="F11" s="706" t="s">
        <v>17</v>
      </c>
      <c r="G11" s="706"/>
      <c r="H11" s="743" t="s">
        <v>1114</v>
      </c>
      <c r="I11" s="706" t="s">
        <v>5</v>
      </c>
      <c r="J11" s="706" t="s">
        <v>376</v>
      </c>
      <c r="K11" s="706">
        <v>1</v>
      </c>
      <c r="L11" s="743"/>
      <c r="M11" s="743" t="s">
        <v>1165</v>
      </c>
      <c r="N11" s="743">
        <v>5</v>
      </c>
      <c r="O11" s="706"/>
      <c r="P11" s="706"/>
      <c r="Q11" s="706"/>
      <c r="R11" s="706"/>
      <c r="S11" s="706"/>
      <c r="T11" s="706"/>
      <c r="U11" s="706"/>
      <c r="V11" s="706"/>
      <c r="W11" s="793">
        <v>0.12891159127639251</v>
      </c>
      <c r="X11" s="802">
        <v>877.16350560741421</v>
      </c>
      <c r="Y11" s="805">
        <v>4385.8175280370706</v>
      </c>
      <c r="Z11" s="805">
        <v>2041.0263790524905</v>
      </c>
      <c r="AA11" s="805">
        <v>408.20527581049816</v>
      </c>
      <c r="AB11" s="738">
        <v>5.9991542438499308E-2</v>
      </c>
      <c r="AC11" s="706"/>
      <c r="AD11" s="706"/>
      <c r="AE11" s="770">
        <v>0.57063034747686403</v>
      </c>
      <c r="AF11" s="770">
        <v>3.5999999999999997E-2</v>
      </c>
      <c r="AG11" s="706" t="s">
        <v>7</v>
      </c>
      <c r="AH11" s="770">
        <v>0.46536965252313595</v>
      </c>
      <c r="AI11" s="748">
        <v>0.57063034747686403</v>
      </c>
      <c r="AJ11" s="748">
        <v>3.5999999999999997E-2</v>
      </c>
      <c r="AK11" s="748"/>
      <c r="AL11" s="770">
        <v>0.46536965252313595</v>
      </c>
      <c r="AM11" s="706"/>
      <c r="AN11" s="706"/>
      <c r="AO11" s="706"/>
      <c r="AP11" s="804">
        <v>910.16350560741421</v>
      </c>
      <c r="AQ11" s="733">
        <v>910.16350560741421</v>
      </c>
      <c r="AR11" s="706"/>
      <c r="AS11" s="706"/>
      <c r="AT11" s="706"/>
      <c r="AU11" s="803"/>
      <c r="AV11" s="803">
        <v>5.9991542438499308E-2</v>
      </c>
      <c r="AW11" s="803">
        <v>5.9991542438499308E-2</v>
      </c>
      <c r="AX11" s="803">
        <v>5.9991542438499308E-2</v>
      </c>
      <c r="AY11" s="803">
        <v>5.9991542438499308E-2</v>
      </c>
      <c r="AZ11" s="803">
        <v>5.9991542438499308E-2</v>
      </c>
      <c r="BA11" s="803">
        <v>0</v>
      </c>
      <c r="BB11" s="803">
        <v>0</v>
      </c>
      <c r="BC11" s="803">
        <v>0</v>
      </c>
      <c r="BD11" s="803">
        <v>0</v>
      </c>
      <c r="BE11" s="803">
        <v>0</v>
      </c>
      <c r="BF11" s="803">
        <v>0</v>
      </c>
      <c r="BG11" s="803">
        <v>0</v>
      </c>
      <c r="BH11" s="803">
        <v>0</v>
      </c>
      <c r="BI11" s="803">
        <v>0</v>
      </c>
      <c r="BJ11" s="803">
        <v>0</v>
      </c>
      <c r="BK11" s="803">
        <v>0</v>
      </c>
      <c r="BL11" s="803">
        <v>0</v>
      </c>
      <c r="BM11" s="803">
        <v>0</v>
      </c>
      <c r="BN11" s="803">
        <v>0</v>
      </c>
      <c r="BO11" s="803">
        <v>0</v>
      </c>
      <c r="BP11" s="803">
        <v>0</v>
      </c>
      <c r="BQ11" s="803">
        <v>0</v>
      </c>
      <c r="BR11" s="803">
        <v>0</v>
      </c>
      <c r="BS11" s="706"/>
      <c r="BT11" s="706"/>
      <c r="BU11" s="802"/>
      <c r="BV11" s="802">
        <v>408.20527581049816</v>
      </c>
      <c r="BW11" s="802">
        <v>408.20527581049816</v>
      </c>
      <c r="BX11" s="802">
        <v>408.20527581049816</v>
      </c>
      <c r="BY11" s="802">
        <v>408.20527581049816</v>
      </c>
      <c r="BZ11" s="802">
        <v>408.20527581049816</v>
      </c>
      <c r="CA11" s="802">
        <v>0</v>
      </c>
      <c r="CB11" s="802">
        <v>0</v>
      </c>
      <c r="CC11" s="802">
        <v>0</v>
      </c>
      <c r="CD11" s="802">
        <v>0</v>
      </c>
      <c r="CE11" s="802">
        <v>0</v>
      </c>
      <c r="CF11" s="802">
        <v>0</v>
      </c>
      <c r="CG11" s="802">
        <v>0</v>
      </c>
      <c r="CH11" s="802">
        <v>0</v>
      </c>
      <c r="CI11" s="802">
        <v>0</v>
      </c>
      <c r="CJ11" s="802">
        <v>0</v>
      </c>
      <c r="CK11" s="802">
        <v>0</v>
      </c>
      <c r="CL11" s="802">
        <v>0</v>
      </c>
      <c r="CM11" s="802">
        <v>0</v>
      </c>
      <c r="CN11" s="802">
        <v>0</v>
      </c>
      <c r="CO11" s="802">
        <v>0</v>
      </c>
      <c r="CP11" s="802">
        <v>0</v>
      </c>
      <c r="CQ11" s="802">
        <v>0</v>
      </c>
      <c r="CR11" s="802">
        <v>0</v>
      </c>
    </row>
    <row r="12" spans="1:96">
      <c r="A12" s="743" t="s">
        <v>3</v>
      </c>
      <c r="B12" s="752" t="s">
        <v>1162</v>
      </c>
      <c r="C12" s="743">
        <v>2014</v>
      </c>
      <c r="D12" s="773" t="s">
        <v>15</v>
      </c>
      <c r="E12" s="706" t="s">
        <v>21</v>
      </c>
      <c r="F12" s="706" t="s">
        <v>17</v>
      </c>
      <c r="G12" s="706"/>
      <c r="H12" s="743" t="s">
        <v>1120</v>
      </c>
      <c r="I12" s="706" t="s">
        <v>5</v>
      </c>
      <c r="J12" s="706" t="s">
        <v>376</v>
      </c>
      <c r="K12" s="706">
        <v>1</v>
      </c>
      <c r="L12" s="743"/>
      <c r="M12" s="743" t="s">
        <v>1164</v>
      </c>
      <c r="N12" s="743">
        <v>4</v>
      </c>
      <c r="O12" s="706"/>
      <c r="P12" s="706"/>
      <c r="Q12" s="706"/>
      <c r="R12" s="706"/>
      <c r="S12" s="706"/>
      <c r="T12" s="706"/>
      <c r="U12" s="706"/>
      <c r="V12" s="706"/>
      <c r="W12" s="793">
        <v>0.14372165331137679</v>
      </c>
      <c r="X12" s="802">
        <v>1040.6264850287016</v>
      </c>
      <c r="Y12" s="805">
        <v>4162.5059401148064</v>
      </c>
      <c r="Z12" s="805">
        <v>2016.8565546309214</v>
      </c>
      <c r="AA12" s="805">
        <v>504.21413865773036</v>
      </c>
      <c r="AB12" s="738">
        <v>6.96373681368124E-2</v>
      </c>
      <c r="AC12" s="706"/>
      <c r="AD12" s="706"/>
      <c r="AE12" s="770">
        <v>0.55147058823529405</v>
      </c>
      <c r="AF12" s="770">
        <v>3.5999999999999997E-2</v>
      </c>
      <c r="AG12" s="706" t="s">
        <v>7</v>
      </c>
      <c r="AH12" s="770">
        <v>0.48452941176470593</v>
      </c>
      <c r="AI12" s="748">
        <v>0.55147058823529405</v>
      </c>
      <c r="AJ12" s="748">
        <v>3.5999999999999997E-2</v>
      </c>
      <c r="AK12" s="748"/>
      <c r="AL12" s="770">
        <v>0.48452941176470593</v>
      </c>
      <c r="AM12" s="706"/>
      <c r="AN12" s="706"/>
      <c r="AO12" s="706"/>
      <c r="AP12" s="804">
        <v>1070.6264850287016</v>
      </c>
      <c r="AQ12" s="733">
        <v>1070.6264850287016</v>
      </c>
      <c r="AR12" s="706"/>
      <c r="AS12" s="706"/>
      <c r="AT12" s="706"/>
      <c r="AU12" s="803"/>
      <c r="AV12" s="803">
        <v>6.96373681368124E-2</v>
      </c>
      <c r="AW12" s="803">
        <v>6.96373681368124E-2</v>
      </c>
      <c r="AX12" s="803">
        <v>6.96373681368124E-2</v>
      </c>
      <c r="AY12" s="803">
        <v>6.96373681368124E-2</v>
      </c>
      <c r="AZ12" s="803">
        <v>0</v>
      </c>
      <c r="BA12" s="803">
        <v>0</v>
      </c>
      <c r="BB12" s="803">
        <v>0</v>
      </c>
      <c r="BC12" s="803">
        <v>0</v>
      </c>
      <c r="BD12" s="803">
        <v>0</v>
      </c>
      <c r="BE12" s="803">
        <v>0</v>
      </c>
      <c r="BF12" s="803">
        <v>0</v>
      </c>
      <c r="BG12" s="803">
        <v>0</v>
      </c>
      <c r="BH12" s="803">
        <v>0</v>
      </c>
      <c r="BI12" s="803">
        <v>0</v>
      </c>
      <c r="BJ12" s="803">
        <v>0</v>
      </c>
      <c r="BK12" s="803">
        <v>0</v>
      </c>
      <c r="BL12" s="803">
        <v>0</v>
      </c>
      <c r="BM12" s="803">
        <v>0</v>
      </c>
      <c r="BN12" s="803">
        <v>0</v>
      </c>
      <c r="BO12" s="803">
        <v>0</v>
      </c>
      <c r="BP12" s="803">
        <v>0</v>
      </c>
      <c r="BQ12" s="803">
        <v>0</v>
      </c>
      <c r="BR12" s="803">
        <v>0</v>
      </c>
      <c r="BS12" s="706"/>
      <c r="BT12" s="706"/>
      <c r="BU12" s="802"/>
      <c r="BV12" s="802">
        <v>504.21413865773036</v>
      </c>
      <c r="BW12" s="802">
        <v>504.21413865773036</v>
      </c>
      <c r="BX12" s="802">
        <v>504.21413865773036</v>
      </c>
      <c r="BY12" s="802">
        <v>504.21413865773036</v>
      </c>
      <c r="BZ12" s="802">
        <v>0</v>
      </c>
      <c r="CA12" s="802">
        <v>0</v>
      </c>
      <c r="CB12" s="802">
        <v>0</v>
      </c>
      <c r="CC12" s="802">
        <v>0</v>
      </c>
      <c r="CD12" s="802">
        <v>0</v>
      </c>
      <c r="CE12" s="802">
        <v>0</v>
      </c>
      <c r="CF12" s="802">
        <v>0</v>
      </c>
      <c r="CG12" s="802">
        <v>0</v>
      </c>
      <c r="CH12" s="802">
        <v>0</v>
      </c>
      <c r="CI12" s="802">
        <v>0</v>
      </c>
      <c r="CJ12" s="802">
        <v>0</v>
      </c>
      <c r="CK12" s="802">
        <v>0</v>
      </c>
      <c r="CL12" s="802">
        <v>0</v>
      </c>
      <c r="CM12" s="802">
        <v>0</v>
      </c>
      <c r="CN12" s="802">
        <v>0</v>
      </c>
      <c r="CO12" s="802">
        <v>0</v>
      </c>
      <c r="CP12" s="802">
        <v>0</v>
      </c>
      <c r="CQ12" s="802">
        <v>0</v>
      </c>
      <c r="CR12" s="802">
        <v>0</v>
      </c>
    </row>
    <row r="13" spans="1:96">
      <c r="A13" s="743" t="s">
        <v>3</v>
      </c>
      <c r="B13" s="752" t="s">
        <v>1162</v>
      </c>
      <c r="C13" s="743">
        <v>2014</v>
      </c>
      <c r="D13" s="773" t="s">
        <v>15</v>
      </c>
      <c r="E13" s="706" t="s">
        <v>21</v>
      </c>
      <c r="F13" s="706" t="s">
        <v>17</v>
      </c>
      <c r="G13" s="706"/>
      <c r="H13" s="743" t="s">
        <v>1120</v>
      </c>
      <c r="I13" s="706" t="s">
        <v>5</v>
      </c>
      <c r="J13" s="706" t="s">
        <v>376</v>
      </c>
      <c r="K13" s="706">
        <v>1</v>
      </c>
      <c r="L13" s="743"/>
      <c r="M13" s="743" t="s">
        <v>999</v>
      </c>
      <c r="N13" s="743">
        <v>4</v>
      </c>
      <c r="O13" s="706"/>
      <c r="P13" s="706"/>
      <c r="Q13" s="706"/>
      <c r="R13" s="706"/>
      <c r="S13" s="706"/>
      <c r="T13" s="706"/>
      <c r="U13" s="706"/>
      <c r="V13" s="706"/>
      <c r="W13" s="793">
        <v>0.14372165331137679</v>
      </c>
      <c r="X13" s="802">
        <v>1040.6264850287016</v>
      </c>
      <c r="Y13" s="805">
        <v>4162.5059401148064</v>
      </c>
      <c r="Z13" s="805">
        <v>2016.8565546309214</v>
      </c>
      <c r="AA13" s="805">
        <v>504.21413865773036</v>
      </c>
      <c r="AB13" s="738">
        <v>6.96373681368124E-2</v>
      </c>
      <c r="AC13" s="706"/>
      <c r="AD13" s="706"/>
      <c r="AE13" s="770">
        <v>0.55147058823529405</v>
      </c>
      <c r="AF13" s="770">
        <v>3.5999999999999997E-2</v>
      </c>
      <c r="AG13" s="706" t="s">
        <v>7</v>
      </c>
      <c r="AH13" s="770">
        <v>0.48452941176470593</v>
      </c>
      <c r="AI13" s="748">
        <v>0.55147058823529405</v>
      </c>
      <c r="AJ13" s="748">
        <v>3.5999999999999997E-2</v>
      </c>
      <c r="AK13" s="748"/>
      <c r="AL13" s="770">
        <v>0.48452941176470593</v>
      </c>
      <c r="AM13" s="706"/>
      <c r="AN13" s="706"/>
      <c r="AO13" s="706"/>
      <c r="AP13" s="804">
        <v>1070.6264850287016</v>
      </c>
      <c r="AQ13" s="733">
        <v>1070.6264850287016</v>
      </c>
      <c r="AR13" s="706"/>
      <c r="AS13" s="706"/>
      <c r="AT13" s="706"/>
      <c r="AU13" s="803"/>
      <c r="AV13" s="803">
        <v>6.96373681368124E-2</v>
      </c>
      <c r="AW13" s="803">
        <v>6.96373681368124E-2</v>
      </c>
      <c r="AX13" s="803">
        <v>6.96373681368124E-2</v>
      </c>
      <c r="AY13" s="803">
        <v>6.96373681368124E-2</v>
      </c>
      <c r="AZ13" s="803">
        <v>0</v>
      </c>
      <c r="BA13" s="803">
        <v>0</v>
      </c>
      <c r="BB13" s="803">
        <v>0</v>
      </c>
      <c r="BC13" s="803">
        <v>0</v>
      </c>
      <c r="BD13" s="803">
        <v>0</v>
      </c>
      <c r="BE13" s="803">
        <v>0</v>
      </c>
      <c r="BF13" s="803">
        <v>0</v>
      </c>
      <c r="BG13" s="803">
        <v>0</v>
      </c>
      <c r="BH13" s="803">
        <v>0</v>
      </c>
      <c r="BI13" s="803">
        <v>0</v>
      </c>
      <c r="BJ13" s="803">
        <v>0</v>
      </c>
      <c r="BK13" s="803">
        <v>0</v>
      </c>
      <c r="BL13" s="803">
        <v>0</v>
      </c>
      <c r="BM13" s="803">
        <v>0</v>
      </c>
      <c r="BN13" s="803">
        <v>0</v>
      </c>
      <c r="BO13" s="803">
        <v>0</v>
      </c>
      <c r="BP13" s="803">
        <v>0</v>
      </c>
      <c r="BQ13" s="803">
        <v>0</v>
      </c>
      <c r="BR13" s="803">
        <v>0</v>
      </c>
      <c r="BS13" s="706"/>
      <c r="BT13" s="706"/>
      <c r="BU13" s="802"/>
      <c r="BV13" s="802">
        <v>504.21413865773036</v>
      </c>
      <c r="BW13" s="802">
        <v>504.21413865773036</v>
      </c>
      <c r="BX13" s="802">
        <v>504.21413865773036</v>
      </c>
      <c r="BY13" s="802">
        <v>504.21413865773036</v>
      </c>
      <c r="BZ13" s="802">
        <v>0</v>
      </c>
      <c r="CA13" s="802">
        <v>0</v>
      </c>
      <c r="CB13" s="802">
        <v>0</v>
      </c>
      <c r="CC13" s="802">
        <v>0</v>
      </c>
      <c r="CD13" s="802">
        <v>0</v>
      </c>
      <c r="CE13" s="802">
        <v>0</v>
      </c>
      <c r="CF13" s="802">
        <v>0</v>
      </c>
      <c r="CG13" s="802">
        <v>0</v>
      </c>
      <c r="CH13" s="802">
        <v>0</v>
      </c>
      <c r="CI13" s="802">
        <v>0</v>
      </c>
      <c r="CJ13" s="802">
        <v>0</v>
      </c>
      <c r="CK13" s="802">
        <v>0</v>
      </c>
      <c r="CL13" s="802">
        <v>0</v>
      </c>
      <c r="CM13" s="802">
        <v>0</v>
      </c>
      <c r="CN13" s="802">
        <v>0</v>
      </c>
      <c r="CO13" s="802">
        <v>0</v>
      </c>
      <c r="CP13" s="802">
        <v>0</v>
      </c>
      <c r="CQ13" s="802">
        <v>0</v>
      </c>
      <c r="CR13" s="802">
        <v>0</v>
      </c>
    </row>
    <row r="14" spans="1:96">
      <c r="A14" s="743" t="s">
        <v>3</v>
      </c>
      <c r="B14" s="752" t="s">
        <v>1162</v>
      </c>
      <c r="C14" s="743">
        <v>2014</v>
      </c>
      <c r="D14" s="773" t="s">
        <v>15</v>
      </c>
      <c r="E14" s="706" t="s">
        <v>21</v>
      </c>
      <c r="F14" s="706" t="s">
        <v>17</v>
      </c>
      <c r="G14" s="706"/>
      <c r="H14" s="743" t="s">
        <v>1114</v>
      </c>
      <c r="I14" s="706" t="s">
        <v>5</v>
      </c>
      <c r="J14" s="706" t="s">
        <v>376</v>
      </c>
      <c r="K14" s="706">
        <v>1</v>
      </c>
      <c r="L14" s="743"/>
      <c r="M14" s="743" t="s">
        <v>999</v>
      </c>
      <c r="N14" s="743">
        <v>5</v>
      </c>
      <c r="O14" s="706"/>
      <c r="P14" s="706"/>
      <c r="Q14" s="706"/>
      <c r="R14" s="706"/>
      <c r="S14" s="706"/>
      <c r="T14" s="706"/>
      <c r="U14" s="706"/>
      <c r="V14" s="706"/>
      <c r="W14" s="793">
        <v>0.12891159127639251</v>
      </c>
      <c r="X14" s="802">
        <v>877.16350560741421</v>
      </c>
      <c r="Y14" s="805">
        <v>4385.8175280370706</v>
      </c>
      <c r="Z14" s="805">
        <v>2041.0263790524905</v>
      </c>
      <c r="AA14" s="805">
        <v>408.20527581049816</v>
      </c>
      <c r="AB14" s="738">
        <v>5.9991542438499308E-2</v>
      </c>
      <c r="AC14" s="706"/>
      <c r="AD14" s="706"/>
      <c r="AE14" s="770">
        <v>0.57063034747686403</v>
      </c>
      <c r="AF14" s="770">
        <v>3.5999999999999997E-2</v>
      </c>
      <c r="AG14" s="706" t="s">
        <v>7</v>
      </c>
      <c r="AH14" s="770">
        <v>0.46536965252313595</v>
      </c>
      <c r="AI14" s="748">
        <v>0.57063034747686403</v>
      </c>
      <c r="AJ14" s="748">
        <v>3.5999999999999997E-2</v>
      </c>
      <c r="AK14" s="748"/>
      <c r="AL14" s="770">
        <v>0.46536965252313595</v>
      </c>
      <c r="AM14" s="706"/>
      <c r="AN14" s="706"/>
      <c r="AO14" s="706"/>
      <c r="AP14" s="804">
        <v>910.16350560741421</v>
      </c>
      <c r="AQ14" s="733">
        <v>910.16350560741421</v>
      </c>
      <c r="AR14" s="706"/>
      <c r="AS14" s="706"/>
      <c r="AT14" s="706"/>
      <c r="AU14" s="803"/>
      <c r="AV14" s="803">
        <v>5.9991542438499308E-2</v>
      </c>
      <c r="AW14" s="803">
        <v>5.9991542438499308E-2</v>
      </c>
      <c r="AX14" s="803">
        <v>5.9991542438499308E-2</v>
      </c>
      <c r="AY14" s="803">
        <v>5.9991542438499308E-2</v>
      </c>
      <c r="AZ14" s="803">
        <v>5.9991542438499308E-2</v>
      </c>
      <c r="BA14" s="803">
        <v>0</v>
      </c>
      <c r="BB14" s="803">
        <v>0</v>
      </c>
      <c r="BC14" s="803">
        <v>0</v>
      </c>
      <c r="BD14" s="803">
        <v>0</v>
      </c>
      <c r="BE14" s="803">
        <v>0</v>
      </c>
      <c r="BF14" s="803">
        <v>0</v>
      </c>
      <c r="BG14" s="803">
        <v>0</v>
      </c>
      <c r="BH14" s="803">
        <v>0</v>
      </c>
      <c r="BI14" s="803">
        <v>0</v>
      </c>
      <c r="BJ14" s="803">
        <v>0</v>
      </c>
      <c r="BK14" s="803">
        <v>0</v>
      </c>
      <c r="BL14" s="803">
        <v>0</v>
      </c>
      <c r="BM14" s="803">
        <v>0</v>
      </c>
      <c r="BN14" s="803">
        <v>0</v>
      </c>
      <c r="BO14" s="803">
        <v>0</v>
      </c>
      <c r="BP14" s="803">
        <v>0</v>
      </c>
      <c r="BQ14" s="803">
        <v>0</v>
      </c>
      <c r="BR14" s="803">
        <v>0</v>
      </c>
      <c r="BS14" s="706"/>
      <c r="BT14" s="706"/>
      <c r="BU14" s="802"/>
      <c r="BV14" s="802">
        <v>408.20527581049816</v>
      </c>
      <c r="BW14" s="802">
        <v>408.20527581049816</v>
      </c>
      <c r="BX14" s="802">
        <v>408.20527581049816</v>
      </c>
      <c r="BY14" s="802">
        <v>408.20527581049816</v>
      </c>
      <c r="BZ14" s="802">
        <v>408.20527581049816</v>
      </c>
      <c r="CA14" s="802">
        <v>0</v>
      </c>
      <c r="CB14" s="802">
        <v>0</v>
      </c>
      <c r="CC14" s="802">
        <v>0</v>
      </c>
      <c r="CD14" s="802">
        <v>0</v>
      </c>
      <c r="CE14" s="802">
        <v>0</v>
      </c>
      <c r="CF14" s="802">
        <v>0</v>
      </c>
      <c r="CG14" s="802">
        <v>0</v>
      </c>
      <c r="CH14" s="802">
        <v>0</v>
      </c>
      <c r="CI14" s="802">
        <v>0</v>
      </c>
      <c r="CJ14" s="802">
        <v>0</v>
      </c>
      <c r="CK14" s="802">
        <v>0</v>
      </c>
      <c r="CL14" s="802">
        <v>0</v>
      </c>
      <c r="CM14" s="802">
        <v>0</v>
      </c>
      <c r="CN14" s="802">
        <v>0</v>
      </c>
      <c r="CO14" s="802">
        <v>0</v>
      </c>
      <c r="CP14" s="802">
        <v>0</v>
      </c>
      <c r="CQ14" s="802">
        <v>0</v>
      </c>
      <c r="CR14" s="802">
        <v>0</v>
      </c>
    </row>
    <row r="15" spans="1:96">
      <c r="A15" s="743" t="s">
        <v>3</v>
      </c>
      <c r="B15" s="752" t="s">
        <v>1163</v>
      </c>
      <c r="C15" s="743">
        <v>2014</v>
      </c>
      <c r="D15" s="773" t="s">
        <v>15</v>
      </c>
      <c r="E15" s="706" t="s">
        <v>21</v>
      </c>
      <c r="F15" s="706" t="s">
        <v>17</v>
      </c>
      <c r="G15" s="706"/>
      <c r="H15" s="743" t="s">
        <v>1120</v>
      </c>
      <c r="I15" s="706" t="s">
        <v>5</v>
      </c>
      <c r="J15" s="706" t="s">
        <v>376</v>
      </c>
      <c r="K15" s="706">
        <v>1</v>
      </c>
      <c r="L15" s="743"/>
      <c r="M15" s="743" t="s">
        <v>827</v>
      </c>
      <c r="N15" s="743">
        <v>4</v>
      </c>
      <c r="O15" s="706"/>
      <c r="P15" s="706"/>
      <c r="Q15" s="706"/>
      <c r="R15" s="706"/>
      <c r="S15" s="706"/>
      <c r="T15" s="706"/>
      <c r="U15" s="706"/>
      <c r="V15" s="706"/>
      <c r="W15" s="793">
        <v>0.14372165331137679</v>
      </c>
      <c r="X15" s="802">
        <v>1040.6264850287016</v>
      </c>
      <c r="Y15" s="805">
        <v>4162.5059401148064</v>
      </c>
      <c r="Z15" s="805">
        <v>2016.8565546309214</v>
      </c>
      <c r="AA15" s="805">
        <v>504.21413865773036</v>
      </c>
      <c r="AB15" s="738">
        <v>6.96373681368124E-2</v>
      </c>
      <c r="AC15" s="706"/>
      <c r="AD15" s="706"/>
      <c r="AE15" s="770">
        <v>0.55147058823529405</v>
      </c>
      <c r="AF15" s="770">
        <v>3.5999999999999997E-2</v>
      </c>
      <c r="AG15" s="706" t="s">
        <v>7</v>
      </c>
      <c r="AH15" s="770">
        <v>0.48452941176470593</v>
      </c>
      <c r="AI15" s="748">
        <v>0.55147058823529405</v>
      </c>
      <c r="AJ15" s="748">
        <v>3.5999999999999997E-2</v>
      </c>
      <c r="AK15" s="748"/>
      <c r="AL15" s="770">
        <v>0.48452941176470593</v>
      </c>
      <c r="AM15" s="706"/>
      <c r="AN15" s="706"/>
      <c r="AO15" s="706"/>
      <c r="AP15" s="804">
        <v>1070.6264850287016</v>
      </c>
      <c r="AQ15" s="733">
        <v>1070.6264850287016</v>
      </c>
      <c r="AR15" s="706"/>
      <c r="AS15" s="706"/>
      <c r="AT15" s="706"/>
      <c r="AU15" s="803"/>
      <c r="AV15" s="803">
        <v>6.96373681368124E-2</v>
      </c>
      <c r="AW15" s="803">
        <v>6.96373681368124E-2</v>
      </c>
      <c r="AX15" s="803">
        <v>6.96373681368124E-2</v>
      </c>
      <c r="AY15" s="803">
        <v>6.96373681368124E-2</v>
      </c>
      <c r="AZ15" s="803">
        <v>0</v>
      </c>
      <c r="BA15" s="803">
        <v>0</v>
      </c>
      <c r="BB15" s="803">
        <v>0</v>
      </c>
      <c r="BC15" s="803">
        <v>0</v>
      </c>
      <c r="BD15" s="803">
        <v>0</v>
      </c>
      <c r="BE15" s="803">
        <v>0</v>
      </c>
      <c r="BF15" s="803">
        <v>0</v>
      </c>
      <c r="BG15" s="803">
        <v>0</v>
      </c>
      <c r="BH15" s="803">
        <v>0</v>
      </c>
      <c r="BI15" s="803">
        <v>0</v>
      </c>
      <c r="BJ15" s="803">
        <v>0</v>
      </c>
      <c r="BK15" s="803">
        <v>0</v>
      </c>
      <c r="BL15" s="803">
        <v>0</v>
      </c>
      <c r="BM15" s="803">
        <v>0</v>
      </c>
      <c r="BN15" s="803">
        <v>0</v>
      </c>
      <c r="BO15" s="803">
        <v>0</v>
      </c>
      <c r="BP15" s="803">
        <v>0</v>
      </c>
      <c r="BQ15" s="803">
        <v>0</v>
      </c>
      <c r="BR15" s="803">
        <v>0</v>
      </c>
      <c r="BS15" s="706"/>
      <c r="BT15" s="706"/>
      <c r="BU15" s="802"/>
      <c r="BV15" s="802">
        <v>504.21413865773036</v>
      </c>
      <c r="BW15" s="802">
        <v>504.21413865773036</v>
      </c>
      <c r="BX15" s="802">
        <v>504.21413865773036</v>
      </c>
      <c r="BY15" s="802">
        <v>504.21413865773036</v>
      </c>
      <c r="BZ15" s="802">
        <v>0</v>
      </c>
      <c r="CA15" s="802">
        <v>0</v>
      </c>
      <c r="CB15" s="802">
        <v>0</v>
      </c>
      <c r="CC15" s="802">
        <v>0</v>
      </c>
      <c r="CD15" s="802">
        <v>0</v>
      </c>
      <c r="CE15" s="802">
        <v>0</v>
      </c>
      <c r="CF15" s="802">
        <v>0</v>
      </c>
      <c r="CG15" s="802">
        <v>0</v>
      </c>
      <c r="CH15" s="802">
        <v>0</v>
      </c>
      <c r="CI15" s="802">
        <v>0</v>
      </c>
      <c r="CJ15" s="802">
        <v>0</v>
      </c>
      <c r="CK15" s="802">
        <v>0</v>
      </c>
      <c r="CL15" s="802">
        <v>0</v>
      </c>
      <c r="CM15" s="802">
        <v>0</v>
      </c>
      <c r="CN15" s="802">
        <v>0</v>
      </c>
      <c r="CO15" s="802">
        <v>0</v>
      </c>
      <c r="CP15" s="802">
        <v>0</v>
      </c>
      <c r="CQ15" s="802">
        <v>0</v>
      </c>
      <c r="CR15" s="802">
        <v>0</v>
      </c>
    </row>
    <row r="16" spans="1:96">
      <c r="A16" s="743" t="s">
        <v>3</v>
      </c>
      <c r="B16" s="752" t="s">
        <v>1162</v>
      </c>
      <c r="C16" s="743">
        <v>2014</v>
      </c>
      <c r="D16" s="773" t="s">
        <v>15</v>
      </c>
      <c r="E16" s="706" t="s">
        <v>21</v>
      </c>
      <c r="F16" s="706" t="s">
        <v>17</v>
      </c>
      <c r="G16" s="706"/>
      <c r="H16" s="743" t="s">
        <v>1120</v>
      </c>
      <c r="I16" s="706" t="s">
        <v>5</v>
      </c>
      <c r="J16" s="706" t="s">
        <v>376</v>
      </c>
      <c r="K16" s="706">
        <v>1</v>
      </c>
      <c r="L16" s="743"/>
      <c r="M16" s="743" t="s">
        <v>1044</v>
      </c>
      <c r="N16" s="743">
        <v>4</v>
      </c>
      <c r="O16" s="706"/>
      <c r="P16" s="706"/>
      <c r="Q16" s="706"/>
      <c r="R16" s="706"/>
      <c r="S16" s="706"/>
      <c r="T16" s="706"/>
      <c r="U16" s="706"/>
      <c r="V16" s="706"/>
      <c r="W16" s="793">
        <v>0.14372165331137679</v>
      </c>
      <c r="X16" s="802">
        <v>1040.6264850287016</v>
      </c>
      <c r="Y16" s="805">
        <v>4162.5059401148064</v>
      </c>
      <c r="Z16" s="805">
        <v>2016.8565546309214</v>
      </c>
      <c r="AA16" s="805">
        <v>504.21413865773036</v>
      </c>
      <c r="AB16" s="738">
        <v>6.96373681368124E-2</v>
      </c>
      <c r="AC16" s="706"/>
      <c r="AD16" s="706"/>
      <c r="AE16" s="770">
        <v>0.55147058823529405</v>
      </c>
      <c r="AF16" s="770">
        <v>3.5999999999999997E-2</v>
      </c>
      <c r="AG16" s="706" t="s">
        <v>7</v>
      </c>
      <c r="AH16" s="770">
        <v>0.48452941176470593</v>
      </c>
      <c r="AI16" s="748">
        <v>0.55147058823529405</v>
      </c>
      <c r="AJ16" s="748">
        <v>3.5999999999999997E-2</v>
      </c>
      <c r="AK16" s="748"/>
      <c r="AL16" s="770">
        <v>0.48452941176470593</v>
      </c>
      <c r="AM16" s="706"/>
      <c r="AN16" s="706"/>
      <c r="AO16" s="706"/>
      <c r="AP16" s="804">
        <v>1070.6264850287016</v>
      </c>
      <c r="AQ16" s="733">
        <v>1070.6264850287016</v>
      </c>
      <c r="AR16" s="706"/>
      <c r="AS16" s="706"/>
      <c r="AT16" s="706"/>
      <c r="AU16" s="803"/>
      <c r="AV16" s="803">
        <v>6.96373681368124E-2</v>
      </c>
      <c r="AW16" s="803">
        <v>6.96373681368124E-2</v>
      </c>
      <c r="AX16" s="803">
        <v>6.96373681368124E-2</v>
      </c>
      <c r="AY16" s="803">
        <v>6.96373681368124E-2</v>
      </c>
      <c r="AZ16" s="803">
        <v>0</v>
      </c>
      <c r="BA16" s="803">
        <v>0</v>
      </c>
      <c r="BB16" s="803">
        <v>0</v>
      </c>
      <c r="BC16" s="803">
        <v>0</v>
      </c>
      <c r="BD16" s="803">
        <v>0</v>
      </c>
      <c r="BE16" s="803">
        <v>0</v>
      </c>
      <c r="BF16" s="803">
        <v>0</v>
      </c>
      <c r="BG16" s="803">
        <v>0</v>
      </c>
      <c r="BH16" s="803">
        <v>0</v>
      </c>
      <c r="BI16" s="803">
        <v>0</v>
      </c>
      <c r="BJ16" s="803">
        <v>0</v>
      </c>
      <c r="BK16" s="803">
        <v>0</v>
      </c>
      <c r="BL16" s="803">
        <v>0</v>
      </c>
      <c r="BM16" s="803">
        <v>0</v>
      </c>
      <c r="BN16" s="803">
        <v>0</v>
      </c>
      <c r="BO16" s="803">
        <v>0</v>
      </c>
      <c r="BP16" s="803">
        <v>0</v>
      </c>
      <c r="BQ16" s="803">
        <v>0</v>
      </c>
      <c r="BR16" s="803">
        <v>0</v>
      </c>
      <c r="BS16" s="706"/>
      <c r="BT16" s="706"/>
      <c r="BU16" s="802"/>
      <c r="BV16" s="802">
        <v>504.21413865773036</v>
      </c>
      <c r="BW16" s="802">
        <v>504.21413865773036</v>
      </c>
      <c r="BX16" s="802">
        <v>504.21413865773036</v>
      </c>
      <c r="BY16" s="802">
        <v>504.21413865773036</v>
      </c>
      <c r="BZ16" s="802">
        <v>0</v>
      </c>
      <c r="CA16" s="802">
        <v>0</v>
      </c>
      <c r="CB16" s="802">
        <v>0</v>
      </c>
      <c r="CC16" s="802">
        <v>0</v>
      </c>
      <c r="CD16" s="802">
        <v>0</v>
      </c>
      <c r="CE16" s="802">
        <v>0</v>
      </c>
      <c r="CF16" s="802">
        <v>0</v>
      </c>
      <c r="CG16" s="802">
        <v>0</v>
      </c>
      <c r="CH16" s="802">
        <v>0</v>
      </c>
      <c r="CI16" s="802">
        <v>0</v>
      </c>
      <c r="CJ16" s="802">
        <v>0</v>
      </c>
      <c r="CK16" s="802">
        <v>0</v>
      </c>
      <c r="CL16" s="802">
        <v>0</v>
      </c>
      <c r="CM16" s="802">
        <v>0</v>
      </c>
      <c r="CN16" s="802">
        <v>0</v>
      </c>
      <c r="CO16" s="802">
        <v>0</v>
      </c>
      <c r="CP16" s="802">
        <v>0</v>
      </c>
      <c r="CQ16" s="802">
        <v>0</v>
      </c>
      <c r="CR16" s="802">
        <v>0</v>
      </c>
    </row>
    <row r="17" spans="1:96">
      <c r="A17" s="743" t="s">
        <v>3</v>
      </c>
      <c r="B17" s="752" t="s">
        <v>1162</v>
      </c>
      <c r="C17" s="743">
        <v>2014</v>
      </c>
      <c r="D17" s="773" t="s">
        <v>15</v>
      </c>
      <c r="E17" s="706" t="s">
        <v>21</v>
      </c>
      <c r="F17" s="706" t="s">
        <v>17</v>
      </c>
      <c r="G17" s="706"/>
      <c r="H17" s="743" t="s">
        <v>1114</v>
      </c>
      <c r="I17" s="706" t="s">
        <v>5</v>
      </c>
      <c r="J17" s="706" t="s">
        <v>376</v>
      </c>
      <c r="K17" s="706">
        <v>1</v>
      </c>
      <c r="L17" s="743"/>
      <c r="M17" s="743" t="s">
        <v>1161</v>
      </c>
      <c r="N17" s="743">
        <v>5</v>
      </c>
      <c r="O17" s="706"/>
      <c r="P17" s="706"/>
      <c r="Q17" s="706"/>
      <c r="R17" s="706"/>
      <c r="S17" s="706"/>
      <c r="T17" s="706"/>
      <c r="U17" s="706"/>
      <c r="V17" s="706"/>
      <c r="W17" s="793">
        <v>0.12891159127639251</v>
      </c>
      <c r="X17" s="802">
        <v>877.16350560741421</v>
      </c>
      <c r="Y17" s="805">
        <v>4385.8175280370706</v>
      </c>
      <c r="Z17" s="805">
        <v>2041.0263790524905</v>
      </c>
      <c r="AA17" s="805">
        <v>408.20527581049816</v>
      </c>
      <c r="AB17" s="738">
        <v>5.9991542438499308E-2</v>
      </c>
      <c r="AC17" s="706"/>
      <c r="AD17" s="706"/>
      <c r="AE17" s="770">
        <v>0.57063034747686403</v>
      </c>
      <c r="AF17" s="770">
        <v>3.5999999999999997E-2</v>
      </c>
      <c r="AG17" s="706" t="s">
        <v>7</v>
      </c>
      <c r="AH17" s="770">
        <v>0.46536965252313595</v>
      </c>
      <c r="AI17" s="748">
        <v>0.57063034747686403</v>
      </c>
      <c r="AJ17" s="748">
        <v>3.5999999999999997E-2</v>
      </c>
      <c r="AK17" s="748"/>
      <c r="AL17" s="770">
        <v>0.46536965252313595</v>
      </c>
      <c r="AM17" s="706"/>
      <c r="AN17" s="706"/>
      <c r="AO17" s="706"/>
      <c r="AP17" s="804">
        <v>910.16350560741421</v>
      </c>
      <c r="AQ17" s="733">
        <v>910.16350560741421</v>
      </c>
      <c r="AR17" s="706"/>
      <c r="AS17" s="706"/>
      <c r="AT17" s="706"/>
      <c r="AU17" s="803"/>
      <c r="AV17" s="803">
        <v>5.9991542438499308E-2</v>
      </c>
      <c r="AW17" s="803">
        <v>5.9991542438499308E-2</v>
      </c>
      <c r="AX17" s="803">
        <v>5.9991542438499308E-2</v>
      </c>
      <c r="AY17" s="803">
        <v>5.9991542438499308E-2</v>
      </c>
      <c r="AZ17" s="803">
        <v>5.9991542438499308E-2</v>
      </c>
      <c r="BA17" s="803">
        <v>0</v>
      </c>
      <c r="BB17" s="803">
        <v>0</v>
      </c>
      <c r="BC17" s="803">
        <v>0</v>
      </c>
      <c r="BD17" s="803">
        <v>0</v>
      </c>
      <c r="BE17" s="803">
        <v>0</v>
      </c>
      <c r="BF17" s="803">
        <v>0</v>
      </c>
      <c r="BG17" s="803">
        <v>0</v>
      </c>
      <c r="BH17" s="803">
        <v>0</v>
      </c>
      <c r="BI17" s="803">
        <v>0</v>
      </c>
      <c r="BJ17" s="803">
        <v>0</v>
      </c>
      <c r="BK17" s="803">
        <v>0</v>
      </c>
      <c r="BL17" s="803">
        <v>0</v>
      </c>
      <c r="BM17" s="803">
        <v>0</v>
      </c>
      <c r="BN17" s="803">
        <v>0</v>
      </c>
      <c r="BO17" s="803">
        <v>0</v>
      </c>
      <c r="BP17" s="803">
        <v>0</v>
      </c>
      <c r="BQ17" s="803">
        <v>0</v>
      </c>
      <c r="BR17" s="803">
        <v>0</v>
      </c>
      <c r="BS17" s="706"/>
      <c r="BT17" s="706"/>
      <c r="BU17" s="802"/>
      <c r="BV17" s="802">
        <v>408.20527581049816</v>
      </c>
      <c r="BW17" s="802">
        <v>408.20527581049816</v>
      </c>
      <c r="BX17" s="802">
        <v>408.20527581049816</v>
      </c>
      <c r="BY17" s="802">
        <v>408.20527581049816</v>
      </c>
      <c r="BZ17" s="802">
        <v>408.20527581049816</v>
      </c>
      <c r="CA17" s="802">
        <v>0</v>
      </c>
      <c r="CB17" s="802">
        <v>0</v>
      </c>
      <c r="CC17" s="802">
        <v>0</v>
      </c>
      <c r="CD17" s="802">
        <v>0</v>
      </c>
      <c r="CE17" s="802">
        <v>0</v>
      </c>
      <c r="CF17" s="802">
        <v>0</v>
      </c>
      <c r="CG17" s="802">
        <v>0</v>
      </c>
      <c r="CH17" s="802">
        <v>0</v>
      </c>
      <c r="CI17" s="802">
        <v>0</v>
      </c>
      <c r="CJ17" s="802">
        <v>0</v>
      </c>
      <c r="CK17" s="802">
        <v>0</v>
      </c>
      <c r="CL17" s="802">
        <v>0</v>
      </c>
      <c r="CM17" s="802">
        <v>0</v>
      </c>
      <c r="CN17" s="802">
        <v>0</v>
      </c>
      <c r="CO17" s="802">
        <v>0</v>
      </c>
      <c r="CP17" s="802">
        <v>0</v>
      </c>
      <c r="CQ17" s="802">
        <v>0</v>
      </c>
      <c r="CR17" s="802">
        <v>0</v>
      </c>
    </row>
    <row r="18" spans="1:96">
      <c r="A18" s="743" t="s">
        <v>3</v>
      </c>
      <c r="B18" s="752" t="s">
        <v>1162</v>
      </c>
      <c r="C18" s="743">
        <v>2014</v>
      </c>
      <c r="D18" s="773" t="s">
        <v>15</v>
      </c>
      <c r="E18" s="706" t="s">
        <v>21</v>
      </c>
      <c r="F18" s="706" t="s">
        <v>17</v>
      </c>
      <c r="G18" s="706"/>
      <c r="H18" s="743" t="s">
        <v>1140</v>
      </c>
      <c r="I18" s="706" t="s">
        <v>5</v>
      </c>
      <c r="J18" s="706" t="s">
        <v>376</v>
      </c>
      <c r="K18" s="706">
        <v>1</v>
      </c>
      <c r="L18" s="743"/>
      <c r="M18" s="743" t="s">
        <v>1161</v>
      </c>
      <c r="N18" s="743">
        <v>3</v>
      </c>
      <c r="O18" s="706"/>
      <c r="P18" s="706"/>
      <c r="Q18" s="706"/>
      <c r="R18" s="706"/>
      <c r="S18" s="706"/>
      <c r="T18" s="706"/>
      <c r="U18" s="706"/>
      <c r="V18" s="706"/>
      <c r="W18" s="793">
        <v>0.30466473681290229</v>
      </c>
      <c r="X18" s="802">
        <v>272.44778761061946</v>
      </c>
      <c r="Y18" s="805">
        <v>817.34336283185837</v>
      </c>
      <c r="Z18" s="805">
        <v>313.22413982300878</v>
      </c>
      <c r="AA18" s="805">
        <v>104.4080466076696</v>
      </c>
      <c r="AB18" s="738">
        <v>0.11675429747418888</v>
      </c>
      <c r="AC18" s="706"/>
      <c r="AD18" s="706"/>
      <c r="AE18" s="770">
        <v>0.65277777777777779</v>
      </c>
      <c r="AF18" s="770">
        <v>3.5999999999999997E-2</v>
      </c>
      <c r="AG18" s="706" t="s">
        <v>7</v>
      </c>
      <c r="AH18" s="770">
        <v>0.38322222222222219</v>
      </c>
      <c r="AI18" s="748">
        <v>0.65277777777777779</v>
      </c>
      <c r="AJ18" s="748">
        <v>3.5999999999999997E-2</v>
      </c>
      <c r="AK18" s="748"/>
      <c r="AL18" s="770">
        <v>0.38322222222222219</v>
      </c>
      <c r="AM18" s="706"/>
      <c r="AN18" s="706"/>
      <c r="AO18" s="706"/>
      <c r="AP18" s="804">
        <v>312.44778761061946</v>
      </c>
      <c r="AQ18" s="733">
        <v>312.44778761061946</v>
      </c>
      <c r="AR18" s="706"/>
      <c r="AS18" s="706"/>
      <c r="AT18" s="706"/>
      <c r="AU18" s="803"/>
      <c r="AV18" s="803">
        <v>0.11675429747418888</v>
      </c>
      <c r="AW18" s="803">
        <v>0.11675429747418888</v>
      </c>
      <c r="AX18" s="803">
        <v>0.11675429747418888</v>
      </c>
      <c r="AY18" s="803">
        <v>0</v>
      </c>
      <c r="AZ18" s="803">
        <v>0</v>
      </c>
      <c r="BA18" s="803">
        <v>0</v>
      </c>
      <c r="BB18" s="803">
        <v>0</v>
      </c>
      <c r="BC18" s="803">
        <v>0</v>
      </c>
      <c r="BD18" s="803">
        <v>0</v>
      </c>
      <c r="BE18" s="803">
        <v>0</v>
      </c>
      <c r="BF18" s="803">
        <v>0</v>
      </c>
      <c r="BG18" s="803">
        <v>0</v>
      </c>
      <c r="BH18" s="803">
        <v>0</v>
      </c>
      <c r="BI18" s="803">
        <v>0</v>
      </c>
      <c r="BJ18" s="803">
        <v>0</v>
      </c>
      <c r="BK18" s="803">
        <v>0</v>
      </c>
      <c r="BL18" s="803">
        <v>0</v>
      </c>
      <c r="BM18" s="803">
        <v>0</v>
      </c>
      <c r="BN18" s="803">
        <v>0</v>
      </c>
      <c r="BO18" s="803">
        <v>0</v>
      </c>
      <c r="BP18" s="803">
        <v>0</v>
      </c>
      <c r="BQ18" s="803">
        <v>0</v>
      </c>
      <c r="BR18" s="803">
        <v>0</v>
      </c>
      <c r="BS18" s="706"/>
      <c r="BT18" s="706"/>
      <c r="BU18" s="802"/>
      <c r="BV18" s="802">
        <v>104.4080466076696</v>
      </c>
      <c r="BW18" s="802">
        <v>104.4080466076696</v>
      </c>
      <c r="BX18" s="802">
        <v>104.4080466076696</v>
      </c>
      <c r="BY18" s="802">
        <v>0</v>
      </c>
      <c r="BZ18" s="802">
        <v>0</v>
      </c>
      <c r="CA18" s="802">
        <v>0</v>
      </c>
      <c r="CB18" s="802">
        <v>0</v>
      </c>
      <c r="CC18" s="802">
        <v>0</v>
      </c>
      <c r="CD18" s="802">
        <v>0</v>
      </c>
      <c r="CE18" s="802">
        <v>0</v>
      </c>
      <c r="CF18" s="802">
        <v>0</v>
      </c>
      <c r="CG18" s="802">
        <v>0</v>
      </c>
      <c r="CH18" s="802">
        <v>0</v>
      </c>
      <c r="CI18" s="802">
        <v>0</v>
      </c>
      <c r="CJ18" s="802">
        <v>0</v>
      </c>
      <c r="CK18" s="802">
        <v>0</v>
      </c>
      <c r="CL18" s="802">
        <v>0</v>
      </c>
      <c r="CM18" s="802">
        <v>0</v>
      </c>
      <c r="CN18" s="802">
        <v>0</v>
      </c>
      <c r="CO18" s="802">
        <v>0</v>
      </c>
      <c r="CP18" s="802">
        <v>0</v>
      </c>
      <c r="CQ18" s="802">
        <v>0</v>
      </c>
      <c r="CR18" s="802">
        <v>0</v>
      </c>
    </row>
    <row r="19" spans="1:96">
      <c r="A19" s="743" t="s">
        <v>3</v>
      </c>
      <c r="B19" s="752" t="s">
        <v>1160</v>
      </c>
      <c r="C19" s="743">
        <v>2014</v>
      </c>
      <c r="D19" s="773" t="s">
        <v>15</v>
      </c>
      <c r="E19" s="706" t="s">
        <v>21</v>
      </c>
      <c r="F19" s="706" t="s">
        <v>17</v>
      </c>
      <c r="G19" s="706"/>
      <c r="H19" s="743" t="s">
        <v>1120</v>
      </c>
      <c r="I19" s="706" t="s">
        <v>5</v>
      </c>
      <c r="J19" s="706" t="s">
        <v>376</v>
      </c>
      <c r="K19" s="706">
        <v>1</v>
      </c>
      <c r="L19" s="743"/>
      <c r="M19" s="743" t="s">
        <v>894</v>
      </c>
      <c r="N19" s="743">
        <v>4</v>
      </c>
      <c r="O19" s="706"/>
      <c r="P19" s="706"/>
      <c r="Q19" s="706"/>
      <c r="R19" s="706"/>
      <c r="S19" s="706"/>
      <c r="T19" s="706"/>
      <c r="U19" s="706"/>
      <c r="V19" s="706"/>
      <c r="W19" s="793">
        <v>0.14372165331137679</v>
      </c>
      <c r="X19" s="802">
        <v>1040.6264850287016</v>
      </c>
      <c r="Y19" s="805">
        <v>4162.5059401148064</v>
      </c>
      <c r="Z19" s="805">
        <v>2016.8565546309214</v>
      </c>
      <c r="AA19" s="805">
        <v>504.21413865773036</v>
      </c>
      <c r="AB19" s="738">
        <v>6.96373681368124E-2</v>
      </c>
      <c r="AC19" s="706"/>
      <c r="AD19" s="706"/>
      <c r="AE19" s="770">
        <v>0.55147058823529405</v>
      </c>
      <c r="AF19" s="770">
        <v>3.5999999999999997E-2</v>
      </c>
      <c r="AG19" s="706" t="s">
        <v>7</v>
      </c>
      <c r="AH19" s="770">
        <v>0.48452941176470593</v>
      </c>
      <c r="AI19" s="748">
        <v>0.55147058823529405</v>
      </c>
      <c r="AJ19" s="748">
        <v>3.5999999999999997E-2</v>
      </c>
      <c r="AK19" s="748"/>
      <c r="AL19" s="770">
        <v>0.48452941176470593</v>
      </c>
      <c r="AM19" s="706"/>
      <c r="AN19" s="706"/>
      <c r="AO19" s="706"/>
      <c r="AP19" s="804">
        <v>1070.6264850287016</v>
      </c>
      <c r="AQ19" s="733">
        <v>1070.6264850287016</v>
      </c>
      <c r="AR19" s="706"/>
      <c r="AS19" s="706"/>
      <c r="AT19" s="706"/>
      <c r="AU19" s="803"/>
      <c r="AV19" s="803">
        <v>6.96373681368124E-2</v>
      </c>
      <c r="AW19" s="803">
        <v>6.96373681368124E-2</v>
      </c>
      <c r="AX19" s="803">
        <v>6.96373681368124E-2</v>
      </c>
      <c r="AY19" s="803">
        <v>6.96373681368124E-2</v>
      </c>
      <c r="AZ19" s="803">
        <v>0</v>
      </c>
      <c r="BA19" s="803">
        <v>0</v>
      </c>
      <c r="BB19" s="803">
        <v>0</v>
      </c>
      <c r="BC19" s="803">
        <v>0</v>
      </c>
      <c r="BD19" s="803">
        <v>0</v>
      </c>
      <c r="BE19" s="803">
        <v>0</v>
      </c>
      <c r="BF19" s="803">
        <v>0</v>
      </c>
      <c r="BG19" s="803">
        <v>0</v>
      </c>
      <c r="BH19" s="803">
        <v>0</v>
      </c>
      <c r="BI19" s="803">
        <v>0</v>
      </c>
      <c r="BJ19" s="803">
        <v>0</v>
      </c>
      <c r="BK19" s="803">
        <v>0</v>
      </c>
      <c r="BL19" s="803">
        <v>0</v>
      </c>
      <c r="BM19" s="803">
        <v>0</v>
      </c>
      <c r="BN19" s="803">
        <v>0</v>
      </c>
      <c r="BO19" s="803">
        <v>0</v>
      </c>
      <c r="BP19" s="803">
        <v>0</v>
      </c>
      <c r="BQ19" s="803">
        <v>0</v>
      </c>
      <c r="BR19" s="803">
        <v>0</v>
      </c>
      <c r="BS19" s="706"/>
      <c r="BT19" s="706"/>
      <c r="BU19" s="802"/>
      <c r="BV19" s="802">
        <v>504.21413865773036</v>
      </c>
      <c r="BW19" s="802">
        <v>504.21413865773036</v>
      </c>
      <c r="BX19" s="802">
        <v>504.21413865773036</v>
      </c>
      <c r="BY19" s="802">
        <v>504.21413865773036</v>
      </c>
      <c r="BZ19" s="802">
        <v>0</v>
      </c>
      <c r="CA19" s="802">
        <v>0</v>
      </c>
      <c r="CB19" s="802">
        <v>0</v>
      </c>
      <c r="CC19" s="802">
        <v>0</v>
      </c>
      <c r="CD19" s="802">
        <v>0</v>
      </c>
      <c r="CE19" s="802">
        <v>0</v>
      </c>
      <c r="CF19" s="802">
        <v>0</v>
      </c>
      <c r="CG19" s="802">
        <v>0</v>
      </c>
      <c r="CH19" s="802">
        <v>0</v>
      </c>
      <c r="CI19" s="802">
        <v>0</v>
      </c>
      <c r="CJ19" s="802">
        <v>0</v>
      </c>
      <c r="CK19" s="802">
        <v>0</v>
      </c>
      <c r="CL19" s="802">
        <v>0</v>
      </c>
      <c r="CM19" s="802">
        <v>0</v>
      </c>
      <c r="CN19" s="802">
        <v>0</v>
      </c>
      <c r="CO19" s="802">
        <v>0</v>
      </c>
      <c r="CP19" s="802">
        <v>0</v>
      </c>
      <c r="CQ19" s="802">
        <v>0</v>
      </c>
      <c r="CR19" s="802">
        <v>0</v>
      </c>
    </row>
    <row r="20" spans="1:96">
      <c r="A20" s="743" t="s">
        <v>3</v>
      </c>
      <c r="B20" s="752" t="s">
        <v>1160</v>
      </c>
      <c r="C20" s="743">
        <v>2014</v>
      </c>
      <c r="D20" s="773" t="s">
        <v>15</v>
      </c>
      <c r="E20" s="706" t="s">
        <v>21</v>
      </c>
      <c r="F20" s="706" t="s">
        <v>17</v>
      </c>
      <c r="G20" s="706"/>
      <c r="H20" s="743" t="s">
        <v>1127</v>
      </c>
      <c r="I20" s="706" t="s">
        <v>5</v>
      </c>
      <c r="J20" s="706" t="s">
        <v>376</v>
      </c>
      <c r="K20" s="706">
        <v>1</v>
      </c>
      <c r="L20" s="743"/>
      <c r="M20" s="743" t="s">
        <v>894</v>
      </c>
      <c r="N20" s="743">
        <v>4</v>
      </c>
      <c r="O20" s="706"/>
      <c r="P20" s="706"/>
      <c r="Q20" s="706"/>
      <c r="R20" s="706"/>
      <c r="S20" s="706"/>
      <c r="T20" s="706"/>
      <c r="U20" s="706"/>
      <c r="V20" s="706"/>
      <c r="W20" s="793">
        <v>0.46184647995319622</v>
      </c>
      <c r="X20" s="802">
        <v>823.50080422112387</v>
      </c>
      <c r="Y20" s="805">
        <v>3294.0032168844955</v>
      </c>
      <c r="Z20" s="805">
        <v>1262.3352327816249</v>
      </c>
      <c r="AA20" s="805">
        <v>315.58380819540622</v>
      </c>
      <c r="AB20" s="738">
        <v>0.17698983437317484</v>
      </c>
      <c r="AC20" s="706"/>
      <c r="AD20" s="706"/>
      <c r="AE20" s="770">
        <v>0.65277777777777779</v>
      </c>
      <c r="AF20" s="770">
        <v>3.5999999999999997E-2</v>
      </c>
      <c r="AG20" s="706" t="s">
        <v>7</v>
      </c>
      <c r="AH20" s="770">
        <v>0.38322222222222219</v>
      </c>
      <c r="AI20" s="748">
        <v>0.65277777777777779</v>
      </c>
      <c r="AJ20" s="748">
        <v>3.5999999999999997E-2</v>
      </c>
      <c r="AK20" s="748"/>
      <c r="AL20" s="770">
        <v>0.38322222222222219</v>
      </c>
      <c r="AM20" s="706"/>
      <c r="AN20" s="706"/>
      <c r="AO20" s="706"/>
      <c r="AP20" s="804">
        <v>863.50080422112387</v>
      </c>
      <c r="AQ20" s="733">
        <v>863.50080422112387</v>
      </c>
      <c r="AR20" s="706"/>
      <c r="AS20" s="706"/>
      <c r="AT20" s="706"/>
      <c r="AU20" s="803"/>
      <c r="AV20" s="803">
        <v>0.17698983437317484</v>
      </c>
      <c r="AW20" s="803">
        <v>0.17698983437317484</v>
      </c>
      <c r="AX20" s="803">
        <v>0.17698983437317484</v>
      </c>
      <c r="AY20" s="803">
        <v>0.17698983437317484</v>
      </c>
      <c r="AZ20" s="803">
        <v>0</v>
      </c>
      <c r="BA20" s="803">
        <v>0</v>
      </c>
      <c r="BB20" s="803">
        <v>0</v>
      </c>
      <c r="BC20" s="803">
        <v>0</v>
      </c>
      <c r="BD20" s="803">
        <v>0</v>
      </c>
      <c r="BE20" s="803">
        <v>0</v>
      </c>
      <c r="BF20" s="803">
        <v>0</v>
      </c>
      <c r="BG20" s="803">
        <v>0</v>
      </c>
      <c r="BH20" s="803">
        <v>0</v>
      </c>
      <c r="BI20" s="803">
        <v>0</v>
      </c>
      <c r="BJ20" s="803">
        <v>0</v>
      </c>
      <c r="BK20" s="803">
        <v>0</v>
      </c>
      <c r="BL20" s="803">
        <v>0</v>
      </c>
      <c r="BM20" s="803">
        <v>0</v>
      </c>
      <c r="BN20" s="803">
        <v>0</v>
      </c>
      <c r="BO20" s="803">
        <v>0</v>
      </c>
      <c r="BP20" s="803">
        <v>0</v>
      </c>
      <c r="BQ20" s="803">
        <v>0</v>
      </c>
      <c r="BR20" s="803">
        <v>0</v>
      </c>
      <c r="BS20" s="706"/>
      <c r="BT20" s="706"/>
      <c r="BU20" s="802"/>
      <c r="BV20" s="802">
        <v>315.58380819540622</v>
      </c>
      <c r="BW20" s="802">
        <v>315.58380819540622</v>
      </c>
      <c r="BX20" s="802">
        <v>315.58380819540622</v>
      </c>
      <c r="BY20" s="802">
        <v>315.58380819540622</v>
      </c>
      <c r="BZ20" s="802">
        <v>0</v>
      </c>
      <c r="CA20" s="802">
        <v>0</v>
      </c>
      <c r="CB20" s="802">
        <v>0</v>
      </c>
      <c r="CC20" s="802">
        <v>0</v>
      </c>
      <c r="CD20" s="802">
        <v>0</v>
      </c>
      <c r="CE20" s="802">
        <v>0</v>
      </c>
      <c r="CF20" s="802">
        <v>0</v>
      </c>
      <c r="CG20" s="802">
        <v>0</v>
      </c>
      <c r="CH20" s="802">
        <v>0</v>
      </c>
      <c r="CI20" s="802">
        <v>0</v>
      </c>
      <c r="CJ20" s="802">
        <v>0</v>
      </c>
      <c r="CK20" s="802">
        <v>0</v>
      </c>
      <c r="CL20" s="802">
        <v>0</v>
      </c>
      <c r="CM20" s="802">
        <v>0</v>
      </c>
      <c r="CN20" s="802">
        <v>0</v>
      </c>
      <c r="CO20" s="802">
        <v>0</v>
      </c>
      <c r="CP20" s="802">
        <v>0</v>
      </c>
      <c r="CQ20" s="802">
        <v>0</v>
      </c>
      <c r="CR20" s="802">
        <v>0</v>
      </c>
    </row>
    <row r="21" spans="1:96">
      <c r="A21" s="743" t="s">
        <v>3</v>
      </c>
      <c r="B21" s="752" t="s">
        <v>1160</v>
      </c>
      <c r="C21" s="743">
        <v>2014</v>
      </c>
      <c r="D21" s="773" t="s">
        <v>15</v>
      </c>
      <c r="E21" s="706" t="s">
        <v>21</v>
      </c>
      <c r="F21" s="706" t="s">
        <v>17</v>
      </c>
      <c r="G21" s="706"/>
      <c r="H21" s="743" t="s">
        <v>1120</v>
      </c>
      <c r="I21" s="706" t="s">
        <v>5</v>
      </c>
      <c r="J21" s="706" t="s">
        <v>376</v>
      </c>
      <c r="K21" s="706">
        <v>1</v>
      </c>
      <c r="L21" s="743"/>
      <c r="M21" s="743" t="s">
        <v>1159</v>
      </c>
      <c r="N21" s="743">
        <v>4</v>
      </c>
      <c r="O21" s="706"/>
      <c r="P21" s="706"/>
      <c r="Q21" s="706"/>
      <c r="R21" s="706"/>
      <c r="S21" s="706"/>
      <c r="T21" s="706"/>
      <c r="U21" s="706"/>
      <c r="V21" s="706"/>
      <c r="W21" s="793">
        <v>0.14372165331137679</v>
      </c>
      <c r="X21" s="802">
        <v>1040.6264850287016</v>
      </c>
      <c r="Y21" s="805">
        <v>4162.5059401148064</v>
      </c>
      <c r="Z21" s="805">
        <v>2016.8565546309214</v>
      </c>
      <c r="AA21" s="805">
        <v>504.21413865773036</v>
      </c>
      <c r="AB21" s="738">
        <v>6.96373681368124E-2</v>
      </c>
      <c r="AC21" s="706"/>
      <c r="AD21" s="706"/>
      <c r="AE21" s="770">
        <v>0.55147058823529405</v>
      </c>
      <c r="AF21" s="770">
        <v>3.5999999999999997E-2</v>
      </c>
      <c r="AG21" s="706" t="s">
        <v>7</v>
      </c>
      <c r="AH21" s="770">
        <v>0.48452941176470593</v>
      </c>
      <c r="AI21" s="748">
        <v>0.55147058823529405</v>
      </c>
      <c r="AJ21" s="748">
        <v>3.5999999999999997E-2</v>
      </c>
      <c r="AK21" s="748"/>
      <c r="AL21" s="770">
        <v>0.48452941176470593</v>
      </c>
      <c r="AM21" s="706"/>
      <c r="AN21" s="706"/>
      <c r="AO21" s="706"/>
      <c r="AP21" s="804">
        <v>1070.6264850287016</v>
      </c>
      <c r="AQ21" s="733">
        <v>1070.6264850287016</v>
      </c>
      <c r="AR21" s="706"/>
      <c r="AS21" s="706"/>
      <c r="AT21" s="706"/>
      <c r="AU21" s="803"/>
      <c r="AV21" s="803">
        <v>6.96373681368124E-2</v>
      </c>
      <c r="AW21" s="803">
        <v>6.96373681368124E-2</v>
      </c>
      <c r="AX21" s="803">
        <v>6.96373681368124E-2</v>
      </c>
      <c r="AY21" s="803">
        <v>6.96373681368124E-2</v>
      </c>
      <c r="AZ21" s="803">
        <v>0</v>
      </c>
      <c r="BA21" s="803">
        <v>0</v>
      </c>
      <c r="BB21" s="803">
        <v>0</v>
      </c>
      <c r="BC21" s="803">
        <v>0</v>
      </c>
      <c r="BD21" s="803">
        <v>0</v>
      </c>
      <c r="BE21" s="803">
        <v>0</v>
      </c>
      <c r="BF21" s="803">
        <v>0</v>
      </c>
      <c r="BG21" s="803">
        <v>0</v>
      </c>
      <c r="BH21" s="803">
        <v>0</v>
      </c>
      <c r="BI21" s="803">
        <v>0</v>
      </c>
      <c r="BJ21" s="803">
        <v>0</v>
      </c>
      <c r="BK21" s="803">
        <v>0</v>
      </c>
      <c r="BL21" s="803">
        <v>0</v>
      </c>
      <c r="BM21" s="803">
        <v>0</v>
      </c>
      <c r="BN21" s="803">
        <v>0</v>
      </c>
      <c r="BO21" s="803">
        <v>0</v>
      </c>
      <c r="BP21" s="803">
        <v>0</v>
      </c>
      <c r="BQ21" s="803">
        <v>0</v>
      </c>
      <c r="BR21" s="803">
        <v>0</v>
      </c>
      <c r="BS21" s="706"/>
      <c r="BT21" s="706"/>
      <c r="BU21" s="802"/>
      <c r="BV21" s="802">
        <v>504.21413865773036</v>
      </c>
      <c r="BW21" s="802">
        <v>504.21413865773036</v>
      </c>
      <c r="BX21" s="802">
        <v>504.21413865773036</v>
      </c>
      <c r="BY21" s="802">
        <v>504.21413865773036</v>
      </c>
      <c r="BZ21" s="802">
        <v>0</v>
      </c>
      <c r="CA21" s="802">
        <v>0</v>
      </c>
      <c r="CB21" s="802">
        <v>0</v>
      </c>
      <c r="CC21" s="802">
        <v>0</v>
      </c>
      <c r="CD21" s="802">
        <v>0</v>
      </c>
      <c r="CE21" s="802">
        <v>0</v>
      </c>
      <c r="CF21" s="802">
        <v>0</v>
      </c>
      <c r="CG21" s="802">
        <v>0</v>
      </c>
      <c r="CH21" s="802">
        <v>0</v>
      </c>
      <c r="CI21" s="802">
        <v>0</v>
      </c>
      <c r="CJ21" s="802">
        <v>0</v>
      </c>
      <c r="CK21" s="802">
        <v>0</v>
      </c>
      <c r="CL21" s="802">
        <v>0</v>
      </c>
      <c r="CM21" s="802">
        <v>0</v>
      </c>
      <c r="CN21" s="802">
        <v>0</v>
      </c>
      <c r="CO21" s="802">
        <v>0</v>
      </c>
      <c r="CP21" s="802">
        <v>0</v>
      </c>
      <c r="CQ21" s="802">
        <v>0</v>
      </c>
      <c r="CR21" s="802">
        <v>0</v>
      </c>
    </row>
    <row r="22" spans="1:96">
      <c r="A22" s="743" t="s">
        <v>3</v>
      </c>
      <c r="B22" s="752" t="s">
        <v>1154</v>
      </c>
      <c r="C22" s="743">
        <v>2014</v>
      </c>
      <c r="D22" s="773" t="s">
        <v>15</v>
      </c>
      <c r="E22" s="706" t="s">
        <v>21</v>
      </c>
      <c r="F22" s="706" t="s">
        <v>17</v>
      </c>
      <c r="G22" s="706"/>
      <c r="H22" s="743" t="s">
        <v>1114</v>
      </c>
      <c r="I22" s="706" t="s">
        <v>5</v>
      </c>
      <c r="J22" s="706" t="s">
        <v>376</v>
      </c>
      <c r="K22" s="706">
        <v>1</v>
      </c>
      <c r="L22" s="743"/>
      <c r="M22" s="743" t="s">
        <v>1158</v>
      </c>
      <c r="N22" s="743">
        <v>5</v>
      </c>
      <c r="O22" s="706"/>
      <c r="P22" s="706"/>
      <c r="Q22" s="706"/>
      <c r="R22" s="706"/>
      <c r="S22" s="706"/>
      <c r="T22" s="706"/>
      <c r="U22" s="706"/>
      <c r="V22" s="706"/>
      <c r="W22" s="793">
        <v>0.12891159127639251</v>
      </c>
      <c r="X22" s="802">
        <v>877.16350560741421</v>
      </c>
      <c r="Y22" s="805">
        <v>4385.8175280370706</v>
      </c>
      <c r="Z22" s="805">
        <v>2041.0263790524905</v>
      </c>
      <c r="AA22" s="805">
        <v>408.20527581049816</v>
      </c>
      <c r="AB22" s="738">
        <v>5.9991542438499308E-2</v>
      </c>
      <c r="AC22" s="706"/>
      <c r="AD22" s="706"/>
      <c r="AE22" s="770">
        <v>0.57063034747686403</v>
      </c>
      <c r="AF22" s="770">
        <v>3.5999999999999997E-2</v>
      </c>
      <c r="AG22" s="706" t="s">
        <v>7</v>
      </c>
      <c r="AH22" s="770">
        <v>0.46536965252313595</v>
      </c>
      <c r="AI22" s="748">
        <v>0.57063034747686403</v>
      </c>
      <c r="AJ22" s="748">
        <v>3.5999999999999997E-2</v>
      </c>
      <c r="AK22" s="748"/>
      <c r="AL22" s="770">
        <v>0.46536965252313595</v>
      </c>
      <c r="AM22" s="706"/>
      <c r="AN22" s="706"/>
      <c r="AO22" s="706"/>
      <c r="AP22" s="804">
        <v>910.16350560741421</v>
      </c>
      <c r="AQ22" s="733">
        <v>910.16350560741421</v>
      </c>
      <c r="AR22" s="706"/>
      <c r="AS22" s="706"/>
      <c r="AT22" s="706"/>
      <c r="AU22" s="803"/>
      <c r="AV22" s="803">
        <v>5.9991542438499308E-2</v>
      </c>
      <c r="AW22" s="803">
        <v>5.9991542438499308E-2</v>
      </c>
      <c r="AX22" s="803">
        <v>5.9991542438499308E-2</v>
      </c>
      <c r="AY22" s="803">
        <v>5.9991542438499308E-2</v>
      </c>
      <c r="AZ22" s="803">
        <v>5.9991542438499308E-2</v>
      </c>
      <c r="BA22" s="803">
        <v>0</v>
      </c>
      <c r="BB22" s="803">
        <v>0</v>
      </c>
      <c r="BC22" s="803">
        <v>0</v>
      </c>
      <c r="BD22" s="803">
        <v>0</v>
      </c>
      <c r="BE22" s="803">
        <v>0</v>
      </c>
      <c r="BF22" s="803">
        <v>0</v>
      </c>
      <c r="BG22" s="803">
        <v>0</v>
      </c>
      <c r="BH22" s="803">
        <v>0</v>
      </c>
      <c r="BI22" s="803">
        <v>0</v>
      </c>
      <c r="BJ22" s="803">
        <v>0</v>
      </c>
      <c r="BK22" s="803">
        <v>0</v>
      </c>
      <c r="BL22" s="803">
        <v>0</v>
      </c>
      <c r="BM22" s="803">
        <v>0</v>
      </c>
      <c r="BN22" s="803">
        <v>0</v>
      </c>
      <c r="BO22" s="803">
        <v>0</v>
      </c>
      <c r="BP22" s="803">
        <v>0</v>
      </c>
      <c r="BQ22" s="803">
        <v>0</v>
      </c>
      <c r="BR22" s="803">
        <v>0</v>
      </c>
      <c r="BS22" s="706"/>
      <c r="BT22" s="706"/>
      <c r="BU22" s="802"/>
      <c r="BV22" s="802">
        <v>408.20527581049816</v>
      </c>
      <c r="BW22" s="802">
        <v>408.20527581049816</v>
      </c>
      <c r="BX22" s="802">
        <v>408.20527581049816</v>
      </c>
      <c r="BY22" s="802">
        <v>408.20527581049816</v>
      </c>
      <c r="BZ22" s="802">
        <v>408.20527581049816</v>
      </c>
      <c r="CA22" s="802">
        <v>0</v>
      </c>
      <c r="CB22" s="802">
        <v>0</v>
      </c>
      <c r="CC22" s="802">
        <v>0</v>
      </c>
      <c r="CD22" s="802">
        <v>0</v>
      </c>
      <c r="CE22" s="802">
        <v>0</v>
      </c>
      <c r="CF22" s="802">
        <v>0</v>
      </c>
      <c r="CG22" s="802">
        <v>0</v>
      </c>
      <c r="CH22" s="802">
        <v>0</v>
      </c>
      <c r="CI22" s="802">
        <v>0</v>
      </c>
      <c r="CJ22" s="802">
        <v>0</v>
      </c>
      <c r="CK22" s="802">
        <v>0</v>
      </c>
      <c r="CL22" s="802">
        <v>0</v>
      </c>
      <c r="CM22" s="802">
        <v>0</v>
      </c>
      <c r="CN22" s="802">
        <v>0</v>
      </c>
      <c r="CO22" s="802">
        <v>0</v>
      </c>
      <c r="CP22" s="802">
        <v>0</v>
      </c>
      <c r="CQ22" s="802">
        <v>0</v>
      </c>
      <c r="CR22" s="802">
        <v>0</v>
      </c>
    </row>
    <row r="23" spans="1:96">
      <c r="A23" s="743" t="s">
        <v>3</v>
      </c>
      <c r="B23" s="752" t="s">
        <v>1157</v>
      </c>
      <c r="C23" s="743">
        <v>2014</v>
      </c>
      <c r="D23" s="773" t="s">
        <v>15</v>
      </c>
      <c r="E23" s="706" t="s">
        <v>21</v>
      </c>
      <c r="F23" s="706" t="s">
        <v>17</v>
      </c>
      <c r="G23" s="706"/>
      <c r="H23" s="743" t="s">
        <v>1114</v>
      </c>
      <c r="I23" s="706" t="s">
        <v>5</v>
      </c>
      <c r="J23" s="706" t="s">
        <v>376</v>
      </c>
      <c r="K23" s="706">
        <v>1</v>
      </c>
      <c r="L23" s="743"/>
      <c r="M23" s="743" t="s">
        <v>1156</v>
      </c>
      <c r="N23" s="743">
        <v>5</v>
      </c>
      <c r="O23" s="706"/>
      <c r="P23" s="706"/>
      <c r="Q23" s="706"/>
      <c r="R23" s="706"/>
      <c r="S23" s="706"/>
      <c r="T23" s="706"/>
      <c r="U23" s="706"/>
      <c r="V23" s="706"/>
      <c r="W23" s="793">
        <v>0.12891159127639251</v>
      </c>
      <c r="X23" s="802">
        <v>877.16350560741421</v>
      </c>
      <c r="Y23" s="805">
        <v>4385.8175280370706</v>
      </c>
      <c r="Z23" s="805">
        <v>2041.0263790524905</v>
      </c>
      <c r="AA23" s="805">
        <v>408.20527581049816</v>
      </c>
      <c r="AB23" s="738">
        <v>5.9991542438499308E-2</v>
      </c>
      <c r="AC23" s="706"/>
      <c r="AD23" s="706"/>
      <c r="AE23" s="770">
        <v>0.57063034747686403</v>
      </c>
      <c r="AF23" s="770">
        <v>3.5999999999999997E-2</v>
      </c>
      <c r="AG23" s="706" t="s">
        <v>7</v>
      </c>
      <c r="AH23" s="770">
        <v>0.46536965252313595</v>
      </c>
      <c r="AI23" s="748">
        <v>0.57063034747686403</v>
      </c>
      <c r="AJ23" s="748">
        <v>3.5999999999999997E-2</v>
      </c>
      <c r="AK23" s="748"/>
      <c r="AL23" s="770">
        <v>0.46536965252313595</v>
      </c>
      <c r="AM23" s="706"/>
      <c r="AN23" s="706"/>
      <c r="AO23" s="706"/>
      <c r="AP23" s="804">
        <v>910.16350560741421</v>
      </c>
      <c r="AQ23" s="733">
        <v>910.16350560741421</v>
      </c>
      <c r="AR23" s="706"/>
      <c r="AS23" s="706"/>
      <c r="AT23" s="706"/>
      <c r="AU23" s="803"/>
      <c r="AV23" s="803">
        <v>5.9991542438499308E-2</v>
      </c>
      <c r="AW23" s="803">
        <v>5.9991542438499308E-2</v>
      </c>
      <c r="AX23" s="803">
        <v>5.9991542438499308E-2</v>
      </c>
      <c r="AY23" s="803">
        <v>5.9991542438499308E-2</v>
      </c>
      <c r="AZ23" s="803">
        <v>5.9991542438499308E-2</v>
      </c>
      <c r="BA23" s="803">
        <v>0</v>
      </c>
      <c r="BB23" s="803">
        <v>0</v>
      </c>
      <c r="BC23" s="803">
        <v>0</v>
      </c>
      <c r="BD23" s="803">
        <v>0</v>
      </c>
      <c r="BE23" s="803">
        <v>0</v>
      </c>
      <c r="BF23" s="803">
        <v>0</v>
      </c>
      <c r="BG23" s="803">
        <v>0</v>
      </c>
      <c r="BH23" s="803">
        <v>0</v>
      </c>
      <c r="BI23" s="803">
        <v>0</v>
      </c>
      <c r="BJ23" s="803">
        <v>0</v>
      </c>
      <c r="BK23" s="803">
        <v>0</v>
      </c>
      <c r="BL23" s="803">
        <v>0</v>
      </c>
      <c r="BM23" s="803">
        <v>0</v>
      </c>
      <c r="BN23" s="803">
        <v>0</v>
      </c>
      <c r="BO23" s="803">
        <v>0</v>
      </c>
      <c r="BP23" s="803">
        <v>0</v>
      </c>
      <c r="BQ23" s="803">
        <v>0</v>
      </c>
      <c r="BR23" s="803">
        <v>0</v>
      </c>
      <c r="BS23" s="706"/>
      <c r="BT23" s="706"/>
      <c r="BU23" s="802"/>
      <c r="BV23" s="802">
        <v>408.20527581049816</v>
      </c>
      <c r="BW23" s="802">
        <v>408.20527581049816</v>
      </c>
      <c r="BX23" s="802">
        <v>408.20527581049816</v>
      </c>
      <c r="BY23" s="802">
        <v>408.20527581049816</v>
      </c>
      <c r="BZ23" s="802">
        <v>408.20527581049816</v>
      </c>
      <c r="CA23" s="802">
        <v>0</v>
      </c>
      <c r="CB23" s="802">
        <v>0</v>
      </c>
      <c r="CC23" s="802">
        <v>0</v>
      </c>
      <c r="CD23" s="802">
        <v>0</v>
      </c>
      <c r="CE23" s="802">
        <v>0</v>
      </c>
      <c r="CF23" s="802">
        <v>0</v>
      </c>
      <c r="CG23" s="802">
        <v>0</v>
      </c>
      <c r="CH23" s="802">
        <v>0</v>
      </c>
      <c r="CI23" s="802">
        <v>0</v>
      </c>
      <c r="CJ23" s="802">
        <v>0</v>
      </c>
      <c r="CK23" s="802">
        <v>0</v>
      </c>
      <c r="CL23" s="802">
        <v>0</v>
      </c>
      <c r="CM23" s="802">
        <v>0</v>
      </c>
      <c r="CN23" s="802">
        <v>0</v>
      </c>
      <c r="CO23" s="802">
        <v>0</v>
      </c>
      <c r="CP23" s="802">
        <v>0</v>
      </c>
      <c r="CQ23" s="802">
        <v>0</v>
      </c>
      <c r="CR23" s="802">
        <v>0</v>
      </c>
    </row>
    <row r="24" spans="1:96">
      <c r="A24" s="743" t="s">
        <v>3</v>
      </c>
      <c r="B24" s="752" t="s">
        <v>1155</v>
      </c>
      <c r="C24" s="743">
        <v>2014</v>
      </c>
      <c r="D24" s="773" t="s">
        <v>15</v>
      </c>
      <c r="E24" s="706" t="s">
        <v>21</v>
      </c>
      <c r="F24" s="706" t="s">
        <v>17</v>
      </c>
      <c r="G24" s="706"/>
      <c r="H24" s="743" t="s">
        <v>1114</v>
      </c>
      <c r="I24" s="706" t="s">
        <v>5</v>
      </c>
      <c r="J24" s="706" t="s">
        <v>376</v>
      </c>
      <c r="K24" s="706">
        <v>1</v>
      </c>
      <c r="L24" s="743"/>
      <c r="M24" s="743" t="s">
        <v>1037</v>
      </c>
      <c r="N24" s="743">
        <v>5</v>
      </c>
      <c r="O24" s="706"/>
      <c r="P24" s="706"/>
      <c r="Q24" s="706"/>
      <c r="R24" s="706"/>
      <c r="S24" s="706"/>
      <c r="T24" s="706"/>
      <c r="U24" s="706"/>
      <c r="V24" s="706"/>
      <c r="W24" s="793">
        <v>0.12891159127639251</v>
      </c>
      <c r="X24" s="802">
        <v>877.16350560741421</v>
      </c>
      <c r="Y24" s="805">
        <v>4385.8175280370706</v>
      </c>
      <c r="Z24" s="805">
        <v>2041.0263790524905</v>
      </c>
      <c r="AA24" s="805">
        <v>408.20527581049816</v>
      </c>
      <c r="AB24" s="738">
        <v>5.9991542438499308E-2</v>
      </c>
      <c r="AC24" s="706"/>
      <c r="AD24" s="706"/>
      <c r="AE24" s="770">
        <v>0.57063034747686403</v>
      </c>
      <c r="AF24" s="770">
        <v>3.5999999999999997E-2</v>
      </c>
      <c r="AG24" s="706" t="s">
        <v>7</v>
      </c>
      <c r="AH24" s="770">
        <v>0.46536965252313595</v>
      </c>
      <c r="AI24" s="748">
        <v>0.57063034747686403</v>
      </c>
      <c r="AJ24" s="748">
        <v>3.5999999999999997E-2</v>
      </c>
      <c r="AK24" s="748"/>
      <c r="AL24" s="770">
        <v>0.46536965252313595</v>
      </c>
      <c r="AM24" s="706"/>
      <c r="AN24" s="706"/>
      <c r="AO24" s="706"/>
      <c r="AP24" s="804">
        <v>910.16350560741421</v>
      </c>
      <c r="AQ24" s="733">
        <v>910.16350560741421</v>
      </c>
      <c r="AR24" s="706"/>
      <c r="AS24" s="706"/>
      <c r="AT24" s="706"/>
      <c r="AU24" s="803"/>
      <c r="AV24" s="803">
        <v>5.9991542438499308E-2</v>
      </c>
      <c r="AW24" s="803">
        <v>5.9991542438499308E-2</v>
      </c>
      <c r="AX24" s="803">
        <v>5.9991542438499308E-2</v>
      </c>
      <c r="AY24" s="803">
        <v>5.9991542438499308E-2</v>
      </c>
      <c r="AZ24" s="803">
        <v>5.9991542438499308E-2</v>
      </c>
      <c r="BA24" s="803">
        <v>0</v>
      </c>
      <c r="BB24" s="803">
        <v>0</v>
      </c>
      <c r="BC24" s="803">
        <v>0</v>
      </c>
      <c r="BD24" s="803">
        <v>0</v>
      </c>
      <c r="BE24" s="803">
        <v>0</v>
      </c>
      <c r="BF24" s="803">
        <v>0</v>
      </c>
      <c r="BG24" s="803">
        <v>0</v>
      </c>
      <c r="BH24" s="803">
        <v>0</v>
      </c>
      <c r="BI24" s="803">
        <v>0</v>
      </c>
      <c r="BJ24" s="803">
        <v>0</v>
      </c>
      <c r="BK24" s="803">
        <v>0</v>
      </c>
      <c r="BL24" s="803">
        <v>0</v>
      </c>
      <c r="BM24" s="803">
        <v>0</v>
      </c>
      <c r="BN24" s="803">
        <v>0</v>
      </c>
      <c r="BO24" s="803">
        <v>0</v>
      </c>
      <c r="BP24" s="803">
        <v>0</v>
      </c>
      <c r="BQ24" s="803">
        <v>0</v>
      </c>
      <c r="BR24" s="803">
        <v>0</v>
      </c>
      <c r="BS24" s="706"/>
      <c r="BT24" s="706"/>
      <c r="BU24" s="802"/>
      <c r="BV24" s="802">
        <v>408.20527581049816</v>
      </c>
      <c r="BW24" s="802">
        <v>408.20527581049816</v>
      </c>
      <c r="BX24" s="802">
        <v>408.20527581049816</v>
      </c>
      <c r="BY24" s="802">
        <v>408.20527581049816</v>
      </c>
      <c r="BZ24" s="802">
        <v>408.20527581049816</v>
      </c>
      <c r="CA24" s="802">
        <v>0</v>
      </c>
      <c r="CB24" s="802">
        <v>0</v>
      </c>
      <c r="CC24" s="802">
        <v>0</v>
      </c>
      <c r="CD24" s="802">
        <v>0</v>
      </c>
      <c r="CE24" s="802">
        <v>0</v>
      </c>
      <c r="CF24" s="802">
        <v>0</v>
      </c>
      <c r="CG24" s="802">
        <v>0</v>
      </c>
      <c r="CH24" s="802">
        <v>0</v>
      </c>
      <c r="CI24" s="802">
        <v>0</v>
      </c>
      <c r="CJ24" s="802">
        <v>0</v>
      </c>
      <c r="CK24" s="802">
        <v>0</v>
      </c>
      <c r="CL24" s="802">
        <v>0</v>
      </c>
      <c r="CM24" s="802">
        <v>0</v>
      </c>
      <c r="CN24" s="802">
        <v>0</v>
      </c>
      <c r="CO24" s="802">
        <v>0</v>
      </c>
      <c r="CP24" s="802">
        <v>0</v>
      </c>
      <c r="CQ24" s="802">
        <v>0</v>
      </c>
      <c r="CR24" s="802">
        <v>0</v>
      </c>
    </row>
    <row r="25" spans="1:96">
      <c r="A25" s="743" t="s">
        <v>3</v>
      </c>
      <c r="B25" s="752" t="s">
        <v>1154</v>
      </c>
      <c r="C25" s="743">
        <v>2014</v>
      </c>
      <c r="D25" s="773" t="s">
        <v>15</v>
      </c>
      <c r="E25" s="706" t="s">
        <v>21</v>
      </c>
      <c r="F25" s="706" t="s">
        <v>17</v>
      </c>
      <c r="G25" s="706"/>
      <c r="H25" s="743" t="s">
        <v>1114</v>
      </c>
      <c r="I25" s="706" t="s">
        <v>5</v>
      </c>
      <c r="J25" s="706" t="s">
        <v>376</v>
      </c>
      <c r="K25" s="706">
        <v>1</v>
      </c>
      <c r="L25" s="743"/>
      <c r="M25" s="743" t="s">
        <v>1153</v>
      </c>
      <c r="N25" s="743">
        <v>5</v>
      </c>
      <c r="O25" s="706"/>
      <c r="P25" s="706"/>
      <c r="Q25" s="706"/>
      <c r="R25" s="706"/>
      <c r="S25" s="706"/>
      <c r="T25" s="706"/>
      <c r="U25" s="706"/>
      <c r="V25" s="706"/>
      <c r="W25" s="793">
        <v>0.12891159127639251</v>
      </c>
      <c r="X25" s="802">
        <v>877.16350560741421</v>
      </c>
      <c r="Y25" s="805">
        <v>4385.8175280370706</v>
      </c>
      <c r="Z25" s="805">
        <v>2041.0263790524905</v>
      </c>
      <c r="AA25" s="805">
        <v>408.20527581049816</v>
      </c>
      <c r="AB25" s="738">
        <v>5.9991542438499308E-2</v>
      </c>
      <c r="AC25" s="706"/>
      <c r="AD25" s="706"/>
      <c r="AE25" s="770">
        <v>0.57063034747686403</v>
      </c>
      <c r="AF25" s="770">
        <v>3.5999999999999997E-2</v>
      </c>
      <c r="AG25" s="706" t="s">
        <v>7</v>
      </c>
      <c r="AH25" s="770">
        <v>0.46536965252313595</v>
      </c>
      <c r="AI25" s="748">
        <v>0.57063034747686403</v>
      </c>
      <c r="AJ25" s="748">
        <v>3.5999999999999997E-2</v>
      </c>
      <c r="AK25" s="748"/>
      <c r="AL25" s="770">
        <v>0.46536965252313595</v>
      </c>
      <c r="AM25" s="706"/>
      <c r="AN25" s="706"/>
      <c r="AO25" s="706"/>
      <c r="AP25" s="804">
        <v>910.16350560741421</v>
      </c>
      <c r="AQ25" s="733">
        <v>910.16350560741421</v>
      </c>
      <c r="AR25" s="706"/>
      <c r="AS25" s="706"/>
      <c r="AT25" s="706"/>
      <c r="AU25" s="803"/>
      <c r="AV25" s="803">
        <v>5.9991542438499308E-2</v>
      </c>
      <c r="AW25" s="803">
        <v>5.9991542438499308E-2</v>
      </c>
      <c r="AX25" s="803">
        <v>5.9991542438499308E-2</v>
      </c>
      <c r="AY25" s="803">
        <v>5.9991542438499308E-2</v>
      </c>
      <c r="AZ25" s="803">
        <v>5.9991542438499308E-2</v>
      </c>
      <c r="BA25" s="803">
        <v>0</v>
      </c>
      <c r="BB25" s="803">
        <v>0</v>
      </c>
      <c r="BC25" s="803">
        <v>0</v>
      </c>
      <c r="BD25" s="803">
        <v>0</v>
      </c>
      <c r="BE25" s="803">
        <v>0</v>
      </c>
      <c r="BF25" s="803">
        <v>0</v>
      </c>
      <c r="BG25" s="803">
        <v>0</v>
      </c>
      <c r="BH25" s="803">
        <v>0</v>
      </c>
      <c r="BI25" s="803">
        <v>0</v>
      </c>
      <c r="BJ25" s="803">
        <v>0</v>
      </c>
      <c r="BK25" s="803">
        <v>0</v>
      </c>
      <c r="BL25" s="803">
        <v>0</v>
      </c>
      <c r="BM25" s="803">
        <v>0</v>
      </c>
      <c r="BN25" s="803">
        <v>0</v>
      </c>
      <c r="BO25" s="803">
        <v>0</v>
      </c>
      <c r="BP25" s="803">
        <v>0</v>
      </c>
      <c r="BQ25" s="803">
        <v>0</v>
      </c>
      <c r="BR25" s="803">
        <v>0</v>
      </c>
      <c r="BS25" s="706"/>
      <c r="BT25" s="706"/>
      <c r="BU25" s="802"/>
      <c r="BV25" s="802">
        <v>408.20527581049816</v>
      </c>
      <c r="BW25" s="802">
        <v>408.20527581049816</v>
      </c>
      <c r="BX25" s="802">
        <v>408.20527581049816</v>
      </c>
      <c r="BY25" s="802">
        <v>408.20527581049816</v>
      </c>
      <c r="BZ25" s="802">
        <v>408.20527581049816</v>
      </c>
      <c r="CA25" s="802">
        <v>0</v>
      </c>
      <c r="CB25" s="802">
        <v>0</v>
      </c>
      <c r="CC25" s="802">
        <v>0</v>
      </c>
      <c r="CD25" s="802">
        <v>0</v>
      </c>
      <c r="CE25" s="802">
        <v>0</v>
      </c>
      <c r="CF25" s="802">
        <v>0</v>
      </c>
      <c r="CG25" s="802">
        <v>0</v>
      </c>
      <c r="CH25" s="802">
        <v>0</v>
      </c>
      <c r="CI25" s="802">
        <v>0</v>
      </c>
      <c r="CJ25" s="802">
        <v>0</v>
      </c>
      <c r="CK25" s="802">
        <v>0</v>
      </c>
      <c r="CL25" s="802">
        <v>0</v>
      </c>
      <c r="CM25" s="802">
        <v>0</v>
      </c>
      <c r="CN25" s="802">
        <v>0</v>
      </c>
      <c r="CO25" s="802">
        <v>0</v>
      </c>
      <c r="CP25" s="802">
        <v>0</v>
      </c>
      <c r="CQ25" s="802">
        <v>0</v>
      </c>
      <c r="CR25" s="802">
        <v>0</v>
      </c>
    </row>
    <row r="26" spans="1:96">
      <c r="A26" s="743" t="s">
        <v>3</v>
      </c>
      <c r="B26" s="752" t="s">
        <v>1149</v>
      </c>
      <c r="C26" s="743">
        <v>2014</v>
      </c>
      <c r="D26" s="773" t="s">
        <v>15</v>
      </c>
      <c r="E26" s="706" t="s">
        <v>21</v>
      </c>
      <c r="F26" s="706" t="s">
        <v>17</v>
      </c>
      <c r="G26" s="706"/>
      <c r="H26" s="743" t="s">
        <v>1114</v>
      </c>
      <c r="I26" s="706" t="s">
        <v>5</v>
      </c>
      <c r="J26" s="706" t="s">
        <v>376</v>
      </c>
      <c r="K26" s="706">
        <v>1</v>
      </c>
      <c r="L26" s="743"/>
      <c r="M26" s="743" t="s">
        <v>1152</v>
      </c>
      <c r="N26" s="743">
        <v>5</v>
      </c>
      <c r="O26" s="706"/>
      <c r="P26" s="706"/>
      <c r="Q26" s="706"/>
      <c r="R26" s="706"/>
      <c r="S26" s="706"/>
      <c r="T26" s="706"/>
      <c r="U26" s="706"/>
      <c r="V26" s="706"/>
      <c r="W26" s="793">
        <v>0.12891159127639251</v>
      </c>
      <c r="X26" s="802">
        <v>877.16350560741421</v>
      </c>
      <c r="Y26" s="805">
        <v>4385.8175280370706</v>
      </c>
      <c r="Z26" s="805">
        <v>2041.0263790524905</v>
      </c>
      <c r="AA26" s="805">
        <v>408.20527581049816</v>
      </c>
      <c r="AB26" s="738">
        <v>5.9991542438499308E-2</v>
      </c>
      <c r="AC26" s="706"/>
      <c r="AD26" s="706"/>
      <c r="AE26" s="770">
        <v>0.57063034747686403</v>
      </c>
      <c r="AF26" s="770">
        <v>3.5999999999999997E-2</v>
      </c>
      <c r="AG26" s="706" t="s">
        <v>7</v>
      </c>
      <c r="AH26" s="770">
        <v>0.46536965252313595</v>
      </c>
      <c r="AI26" s="748">
        <v>0.57063034747686403</v>
      </c>
      <c r="AJ26" s="748">
        <v>3.5999999999999997E-2</v>
      </c>
      <c r="AK26" s="748"/>
      <c r="AL26" s="770">
        <v>0.46536965252313595</v>
      </c>
      <c r="AM26" s="706"/>
      <c r="AN26" s="706"/>
      <c r="AO26" s="706"/>
      <c r="AP26" s="804">
        <v>910.16350560741421</v>
      </c>
      <c r="AQ26" s="733">
        <v>910.16350560741421</v>
      </c>
      <c r="AR26" s="706"/>
      <c r="AS26" s="706"/>
      <c r="AT26" s="706"/>
      <c r="AU26" s="803"/>
      <c r="AV26" s="803">
        <v>5.9991542438499308E-2</v>
      </c>
      <c r="AW26" s="803">
        <v>5.9991542438499308E-2</v>
      </c>
      <c r="AX26" s="803">
        <v>5.9991542438499308E-2</v>
      </c>
      <c r="AY26" s="803">
        <v>5.9991542438499308E-2</v>
      </c>
      <c r="AZ26" s="803">
        <v>5.9991542438499308E-2</v>
      </c>
      <c r="BA26" s="803">
        <v>0</v>
      </c>
      <c r="BB26" s="803">
        <v>0</v>
      </c>
      <c r="BC26" s="803">
        <v>0</v>
      </c>
      <c r="BD26" s="803">
        <v>0</v>
      </c>
      <c r="BE26" s="803">
        <v>0</v>
      </c>
      <c r="BF26" s="803">
        <v>0</v>
      </c>
      <c r="BG26" s="803">
        <v>0</v>
      </c>
      <c r="BH26" s="803">
        <v>0</v>
      </c>
      <c r="BI26" s="803">
        <v>0</v>
      </c>
      <c r="BJ26" s="803">
        <v>0</v>
      </c>
      <c r="BK26" s="803">
        <v>0</v>
      </c>
      <c r="BL26" s="803">
        <v>0</v>
      </c>
      <c r="BM26" s="803">
        <v>0</v>
      </c>
      <c r="BN26" s="803">
        <v>0</v>
      </c>
      <c r="BO26" s="803">
        <v>0</v>
      </c>
      <c r="BP26" s="803">
        <v>0</v>
      </c>
      <c r="BQ26" s="803">
        <v>0</v>
      </c>
      <c r="BR26" s="803">
        <v>0</v>
      </c>
      <c r="BS26" s="706"/>
      <c r="BT26" s="706"/>
      <c r="BU26" s="802"/>
      <c r="BV26" s="802">
        <v>408.20527581049816</v>
      </c>
      <c r="BW26" s="802">
        <v>408.20527581049816</v>
      </c>
      <c r="BX26" s="802">
        <v>408.20527581049816</v>
      </c>
      <c r="BY26" s="802">
        <v>408.20527581049816</v>
      </c>
      <c r="BZ26" s="802">
        <v>408.20527581049816</v>
      </c>
      <c r="CA26" s="802">
        <v>0</v>
      </c>
      <c r="CB26" s="802">
        <v>0</v>
      </c>
      <c r="CC26" s="802">
        <v>0</v>
      </c>
      <c r="CD26" s="802">
        <v>0</v>
      </c>
      <c r="CE26" s="802">
        <v>0</v>
      </c>
      <c r="CF26" s="802">
        <v>0</v>
      </c>
      <c r="CG26" s="802">
        <v>0</v>
      </c>
      <c r="CH26" s="802">
        <v>0</v>
      </c>
      <c r="CI26" s="802">
        <v>0</v>
      </c>
      <c r="CJ26" s="802">
        <v>0</v>
      </c>
      <c r="CK26" s="802">
        <v>0</v>
      </c>
      <c r="CL26" s="802">
        <v>0</v>
      </c>
      <c r="CM26" s="802">
        <v>0</v>
      </c>
      <c r="CN26" s="802">
        <v>0</v>
      </c>
      <c r="CO26" s="802">
        <v>0</v>
      </c>
      <c r="CP26" s="802">
        <v>0</v>
      </c>
      <c r="CQ26" s="802">
        <v>0</v>
      </c>
      <c r="CR26" s="802">
        <v>0</v>
      </c>
    </row>
    <row r="27" spans="1:96">
      <c r="A27" s="743" t="s">
        <v>3</v>
      </c>
      <c r="B27" s="752" t="s">
        <v>1149</v>
      </c>
      <c r="C27" s="743">
        <v>2014</v>
      </c>
      <c r="D27" s="773" t="s">
        <v>15</v>
      </c>
      <c r="E27" s="706" t="s">
        <v>21</v>
      </c>
      <c r="F27" s="706" t="s">
        <v>17</v>
      </c>
      <c r="G27" s="706"/>
      <c r="H27" s="743" t="s">
        <v>1140</v>
      </c>
      <c r="I27" s="706" t="s">
        <v>5</v>
      </c>
      <c r="J27" s="706" t="s">
        <v>376</v>
      </c>
      <c r="K27" s="706">
        <v>1</v>
      </c>
      <c r="L27" s="743"/>
      <c r="M27" s="743" t="s">
        <v>1151</v>
      </c>
      <c r="N27" s="743">
        <v>3</v>
      </c>
      <c r="O27" s="706"/>
      <c r="P27" s="706"/>
      <c r="Q27" s="706"/>
      <c r="R27" s="706"/>
      <c r="S27" s="706"/>
      <c r="T27" s="706"/>
      <c r="U27" s="706"/>
      <c r="V27" s="706"/>
      <c r="W27" s="793">
        <v>0.30466473681290229</v>
      </c>
      <c r="X27" s="802">
        <v>272.44778761061946</v>
      </c>
      <c r="Y27" s="805">
        <v>817.34336283185837</v>
      </c>
      <c r="Z27" s="805">
        <v>313.22413982300878</v>
      </c>
      <c r="AA27" s="805">
        <v>104.4080466076696</v>
      </c>
      <c r="AB27" s="738">
        <v>0.11675429747418888</v>
      </c>
      <c r="AC27" s="706"/>
      <c r="AD27" s="706"/>
      <c r="AE27" s="770">
        <v>0.65277777777777779</v>
      </c>
      <c r="AF27" s="770">
        <v>3.5999999999999997E-2</v>
      </c>
      <c r="AG27" s="706" t="s">
        <v>7</v>
      </c>
      <c r="AH27" s="770">
        <v>0.38322222222222219</v>
      </c>
      <c r="AI27" s="748">
        <v>0.65277777777777779</v>
      </c>
      <c r="AJ27" s="748">
        <v>3.5999999999999997E-2</v>
      </c>
      <c r="AK27" s="748"/>
      <c r="AL27" s="770">
        <v>0.38322222222222219</v>
      </c>
      <c r="AM27" s="706"/>
      <c r="AN27" s="706"/>
      <c r="AO27" s="706"/>
      <c r="AP27" s="804">
        <v>312.44778761061946</v>
      </c>
      <c r="AQ27" s="733">
        <v>312.44778761061946</v>
      </c>
      <c r="AR27" s="706"/>
      <c r="AS27" s="706"/>
      <c r="AT27" s="706"/>
      <c r="AU27" s="803"/>
      <c r="AV27" s="803">
        <v>0.11675429747418888</v>
      </c>
      <c r="AW27" s="803">
        <v>0.11675429747418888</v>
      </c>
      <c r="AX27" s="803">
        <v>0.11675429747418888</v>
      </c>
      <c r="AY27" s="803">
        <v>0</v>
      </c>
      <c r="AZ27" s="803">
        <v>0</v>
      </c>
      <c r="BA27" s="803">
        <v>0</v>
      </c>
      <c r="BB27" s="803">
        <v>0</v>
      </c>
      <c r="BC27" s="803">
        <v>0</v>
      </c>
      <c r="BD27" s="803">
        <v>0</v>
      </c>
      <c r="BE27" s="803">
        <v>0</v>
      </c>
      <c r="BF27" s="803">
        <v>0</v>
      </c>
      <c r="BG27" s="803">
        <v>0</v>
      </c>
      <c r="BH27" s="803">
        <v>0</v>
      </c>
      <c r="BI27" s="803">
        <v>0</v>
      </c>
      <c r="BJ27" s="803">
        <v>0</v>
      </c>
      <c r="BK27" s="803">
        <v>0</v>
      </c>
      <c r="BL27" s="803">
        <v>0</v>
      </c>
      <c r="BM27" s="803">
        <v>0</v>
      </c>
      <c r="BN27" s="803">
        <v>0</v>
      </c>
      <c r="BO27" s="803">
        <v>0</v>
      </c>
      <c r="BP27" s="803">
        <v>0</v>
      </c>
      <c r="BQ27" s="803">
        <v>0</v>
      </c>
      <c r="BR27" s="803">
        <v>0</v>
      </c>
      <c r="BS27" s="706"/>
      <c r="BT27" s="706"/>
      <c r="BU27" s="802"/>
      <c r="BV27" s="802">
        <v>104.4080466076696</v>
      </c>
      <c r="BW27" s="802">
        <v>104.4080466076696</v>
      </c>
      <c r="BX27" s="802">
        <v>104.4080466076696</v>
      </c>
      <c r="BY27" s="802">
        <v>0</v>
      </c>
      <c r="BZ27" s="802">
        <v>0</v>
      </c>
      <c r="CA27" s="802">
        <v>0</v>
      </c>
      <c r="CB27" s="802">
        <v>0</v>
      </c>
      <c r="CC27" s="802">
        <v>0</v>
      </c>
      <c r="CD27" s="802">
        <v>0</v>
      </c>
      <c r="CE27" s="802">
        <v>0</v>
      </c>
      <c r="CF27" s="802">
        <v>0</v>
      </c>
      <c r="CG27" s="802">
        <v>0</v>
      </c>
      <c r="CH27" s="802">
        <v>0</v>
      </c>
      <c r="CI27" s="802">
        <v>0</v>
      </c>
      <c r="CJ27" s="802">
        <v>0</v>
      </c>
      <c r="CK27" s="802">
        <v>0</v>
      </c>
      <c r="CL27" s="802">
        <v>0</v>
      </c>
      <c r="CM27" s="802">
        <v>0</v>
      </c>
      <c r="CN27" s="802">
        <v>0</v>
      </c>
      <c r="CO27" s="802">
        <v>0</v>
      </c>
      <c r="CP27" s="802">
        <v>0</v>
      </c>
      <c r="CQ27" s="802">
        <v>0</v>
      </c>
      <c r="CR27" s="802">
        <v>0</v>
      </c>
    </row>
    <row r="28" spans="1:96">
      <c r="A28" s="743" t="s">
        <v>3</v>
      </c>
      <c r="B28" s="752" t="s">
        <v>1149</v>
      </c>
      <c r="C28" s="743">
        <v>2014</v>
      </c>
      <c r="D28" s="773" t="s">
        <v>15</v>
      </c>
      <c r="E28" s="706" t="s">
        <v>21</v>
      </c>
      <c r="F28" s="706" t="s">
        <v>17</v>
      </c>
      <c r="G28" s="706"/>
      <c r="H28" s="743" t="s">
        <v>1114</v>
      </c>
      <c r="I28" s="706" t="s">
        <v>5</v>
      </c>
      <c r="J28" s="706" t="s">
        <v>376</v>
      </c>
      <c r="K28" s="706">
        <v>1</v>
      </c>
      <c r="L28" s="743"/>
      <c r="M28" s="743" t="s">
        <v>1151</v>
      </c>
      <c r="N28" s="743">
        <v>5</v>
      </c>
      <c r="O28" s="706"/>
      <c r="P28" s="706"/>
      <c r="Q28" s="706"/>
      <c r="R28" s="706"/>
      <c r="S28" s="706"/>
      <c r="T28" s="706"/>
      <c r="U28" s="706"/>
      <c r="V28" s="706"/>
      <c r="W28" s="793">
        <v>0.12891159127639251</v>
      </c>
      <c r="X28" s="802">
        <v>877.16350560741421</v>
      </c>
      <c r="Y28" s="805">
        <v>4385.8175280370706</v>
      </c>
      <c r="Z28" s="805">
        <v>2041.0263790524905</v>
      </c>
      <c r="AA28" s="805">
        <v>408.20527581049816</v>
      </c>
      <c r="AB28" s="738">
        <v>5.9991542438499308E-2</v>
      </c>
      <c r="AC28" s="706"/>
      <c r="AD28" s="706"/>
      <c r="AE28" s="770">
        <v>0.57063034747686403</v>
      </c>
      <c r="AF28" s="770">
        <v>3.5999999999999997E-2</v>
      </c>
      <c r="AG28" s="706" t="s">
        <v>7</v>
      </c>
      <c r="AH28" s="770">
        <v>0.46536965252313595</v>
      </c>
      <c r="AI28" s="748">
        <v>0.57063034747686403</v>
      </c>
      <c r="AJ28" s="748">
        <v>3.5999999999999997E-2</v>
      </c>
      <c r="AK28" s="748"/>
      <c r="AL28" s="770">
        <v>0.46536965252313595</v>
      </c>
      <c r="AM28" s="706"/>
      <c r="AN28" s="706"/>
      <c r="AO28" s="706"/>
      <c r="AP28" s="804">
        <v>910.16350560741421</v>
      </c>
      <c r="AQ28" s="733">
        <v>910.16350560741421</v>
      </c>
      <c r="AR28" s="706"/>
      <c r="AS28" s="706"/>
      <c r="AT28" s="706"/>
      <c r="AU28" s="803"/>
      <c r="AV28" s="803">
        <v>5.9991542438499308E-2</v>
      </c>
      <c r="AW28" s="803">
        <v>5.9991542438499308E-2</v>
      </c>
      <c r="AX28" s="803">
        <v>5.9991542438499308E-2</v>
      </c>
      <c r="AY28" s="803">
        <v>5.9991542438499308E-2</v>
      </c>
      <c r="AZ28" s="803">
        <v>5.9991542438499308E-2</v>
      </c>
      <c r="BA28" s="803">
        <v>0</v>
      </c>
      <c r="BB28" s="803">
        <v>0</v>
      </c>
      <c r="BC28" s="803">
        <v>0</v>
      </c>
      <c r="BD28" s="803">
        <v>0</v>
      </c>
      <c r="BE28" s="803">
        <v>0</v>
      </c>
      <c r="BF28" s="803">
        <v>0</v>
      </c>
      <c r="BG28" s="803">
        <v>0</v>
      </c>
      <c r="BH28" s="803">
        <v>0</v>
      </c>
      <c r="BI28" s="803">
        <v>0</v>
      </c>
      <c r="BJ28" s="803">
        <v>0</v>
      </c>
      <c r="BK28" s="803">
        <v>0</v>
      </c>
      <c r="BL28" s="803">
        <v>0</v>
      </c>
      <c r="BM28" s="803">
        <v>0</v>
      </c>
      <c r="BN28" s="803">
        <v>0</v>
      </c>
      <c r="BO28" s="803">
        <v>0</v>
      </c>
      <c r="BP28" s="803">
        <v>0</v>
      </c>
      <c r="BQ28" s="803">
        <v>0</v>
      </c>
      <c r="BR28" s="803">
        <v>0</v>
      </c>
      <c r="BS28" s="706"/>
      <c r="BT28" s="706"/>
      <c r="BU28" s="802"/>
      <c r="BV28" s="802">
        <v>408.20527581049816</v>
      </c>
      <c r="BW28" s="802">
        <v>408.20527581049816</v>
      </c>
      <c r="BX28" s="802">
        <v>408.20527581049816</v>
      </c>
      <c r="BY28" s="802">
        <v>408.20527581049816</v>
      </c>
      <c r="BZ28" s="802">
        <v>408.20527581049816</v>
      </c>
      <c r="CA28" s="802">
        <v>0</v>
      </c>
      <c r="CB28" s="802">
        <v>0</v>
      </c>
      <c r="CC28" s="802">
        <v>0</v>
      </c>
      <c r="CD28" s="802">
        <v>0</v>
      </c>
      <c r="CE28" s="802">
        <v>0</v>
      </c>
      <c r="CF28" s="802">
        <v>0</v>
      </c>
      <c r="CG28" s="802">
        <v>0</v>
      </c>
      <c r="CH28" s="802">
        <v>0</v>
      </c>
      <c r="CI28" s="802">
        <v>0</v>
      </c>
      <c r="CJ28" s="802">
        <v>0</v>
      </c>
      <c r="CK28" s="802">
        <v>0</v>
      </c>
      <c r="CL28" s="802">
        <v>0</v>
      </c>
      <c r="CM28" s="802">
        <v>0</v>
      </c>
      <c r="CN28" s="802">
        <v>0</v>
      </c>
      <c r="CO28" s="802">
        <v>0</v>
      </c>
      <c r="CP28" s="802">
        <v>0</v>
      </c>
      <c r="CQ28" s="802">
        <v>0</v>
      </c>
      <c r="CR28" s="802">
        <v>0</v>
      </c>
    </row>
    <row r="29" spans="1:96">
      <c r="A29" s="743" t="s">
        <v>3</v>
      </c>
      <c r="B29" s="752" t="s">
        <v>1149</v>
      </c>
      <c r="C29" s="743">
        <v>2014</v>
      </c>
      <c r="D29" s="773" t="s">
        <v>15</v>
      </c>
      <c r="E29" s="706" t="s">
        <v>21</v>
      </c>
      <c r="F29" s="706" t="s">
        <v>17</v>
      </c>
      <c r="G29" s="706"/>
      <c r="H29" s="743" t="s">
        <v>1127</v>
      </c>
      <c r="I29" s="706" t="s">
        <v>5</v>
      </c>
      <c r="J29" s="706" t="s">
        <v>376</v>
      </c>
      <c r="K29" s="706">
        <v>1</v>
      </c>
      <c r="L29" s="743"/>
      <c r="M29" s="743" t="s">
        <v>1151</v>
      </c>
      <c r="N29" s="743">
        <v>4</v>
      </c>
      <c r="O29" s="706"/>
      <c r="P29" s="706"/>
      <c r="Q29" s="706"/>
      <c r="R29" s="706"/>
      <c r="S29" s="706"/>
      <c r="T29" s="706"/>
      <c r="U29" s="706"/>
      <c r="V29" s="706"/>
      <c r="W29" s="793">
        <v>0.46184647995319622</v>
      </c>
      <c r="X29" s="802">
        <v>823.50080422112387</v>
      </c>
      <c r="Y29" s="805">
        <v>3294.0032168844955</v>
      </c>
      <c r="Z29" s="805">
        <v>1262.3352327816249</v>
      </c>
      <c r="AA29" s="805">
        <v>315.58380819540622</v>
      </c>
      <c r="AB29" s="738">
        <v>0.17698983437317484</v>
      </c>
      <c r="AC29" s="706"/>
      <c r="AD29" s="706"/>
      <c r="AE29" s="770">
        <v>0.65277777777777779</v>
      </c>
      <c r="AF29" s="770">
        <v>3.5999999999999997E-2</v>
      </c>
      <c r="AG29" s="706" t="s">
        <v>7</v>
      </c>
      <c r="AH29" s="770">
        <v>0.38322222222222219</v>
      </c>
      <c r="AI29" s="748">
        <v>0.65277777777777779</v>
      </c>
      <c r="AJ29" s="748">
        <v>3.5999999999999997E-2</v>
      </c>
      <c r="AK29" s="748"/>
      <c r="AL29" s="770">
        <v>0.38322222222222219</v>
      </c>
      <c r="AM29" s="706"/>
      <c r="AN29" s="706"/>
      <c r="AO29" s="706"/>
      <c r="AP29" s="804">
        <v>863.50080422112387</v>
      </c>
      <c r="AQ29" s="733">
        <v>863.50080422112387</v>
      </c>
      <c r="AR29" s="706"/>
      <c r="AS29" s="706"/>
      <c r="AT29" s="706"/>
      <c r="AU29" s="803"/>
      <c r="AV29" s="803">
        <v>0.17698983437317484</v>
      </c>
      <c r="AW29" s="803">
        <v>0.17698983437317484</v>
      </c>
      <c r="AX29" s="803">
        <v>0.17698983437317484</v>
      </c>
      <c r="AY29" s="803">
        <v>0.17698983437317484</v>
      </c>
      <c r="AZ29" s="803">
        <v>0</v>
      </c>
      <c r="BA29" s="803">
        <v>0</v>
      </c>
      <c r="BB29" s="803">
        <v>0</v>
      </c>
      <c r="BC29" s="803">
        <v>0</v>
      </c>
      <c r="BD29" s="803">
        <v>0</v>
      </c>
      <c r="BE29" s="803">
        <v>0</v>
      </c>
      <c r="BF29" s="803">
        <v>0</v>
      </c>
      <c r="BG29" s="803">
        <v>0</v>
      </c>
      <c r="BH29" s="803">
        <v>0</v>
      </c>
      <c r="BI29" s="803">
        <v>0</v>
      </c>
      <c r="BJ29" s="803">
        <v>0</v>
      </c>
      <c r="BK29" s="803">
        <v>0</v>
      </c>
      <c r="BL29" s="803">
        <v>0</v>
      </c>
      <c r="BM29" s="803">
        <v>0</v>
      </c>
      <c r="BN29" s="803">
        <v>0</v>
      </c>
      <c r="BO29" s="803">
        <v>0</v>
      </c>
      <c r="BP29" s="803">
        <v>0</v>
      </c>
      <c r="BQ29" s="803">
        <v>0</v>
      </c>
      <c r="BR29" s="803">
        <v>0</v>
      </c>
      <c r="BS29" s="706"/>
      <c r="BT29" s="706"/>
      <c r="BU29" s="802"/>
      <c r="BV29" s="802">
        <v>315.58380819540622</v>
      </c>
      <c r="BW29" s="802">
        <v>315.58380819540622</v>
      </c>
      <c r="BX29" s="802">
        <v>315.58380819540622</v>
      </c>
      <c r="BY29" s="802">
        <v>315.58380819540622</v>
      </c>
      <c r="BZ29" s="802">
        <v>0</v>
      </c>
      <c r="CA29" s="802">
        <v>0</v>
      </c>
      <c r="CB29" s="802">
        <v>0</v>
      </c>
      <c r="CC29" s="802">
        <v>0</v>
      </c>
      <c r="CD29" s="802">
        <v>0</v>
      </c>
      <c r="CE29" s="802">
        <v>0</v>
      </c>
      <c r="CF29" s="802">
        <v>0</v>
      </c>
      <c r="CG29" s="802">
        <v>0</v>
      </c>
      <c r="CH29" s="802">
        <v>0</v>
      </c>
      <c r="CI29" s="802">
        <v>0</v>
      </c>
      <c r="CJ29" s="802">
        <v>0</v>
      </c>
      <c r="CK29" s="802">
        <v>0</v>
      </c>
      <c r="CL29" s="802">
        <v>0</v>
      </c>
      <c r="CM29" s="802">
        <v>0</v>
      </c>
      <c r="CN29" s="802">
        <v>0</v>
      </c>
      <c r="CO29" s="802">
        <v>0</v>
      </c>
      <c r="CP29" s="802">
        <v>0</v>
      </c>
      <c r="CQ29" s="802">
        <v>0</v>
      </c>
      <c r="CR29" s="802">
        <v>0</v>
      </c>
    </row>
    <row r="30" spans="1:96">
      <c r="A30" s="743" t="s">
        <v>3</v>
      </c>
      <c r="B30" s="752" t="s">
        <v>1149</v>
      </c>
      <c r="C30" s="743">
        <v>2014</v>
      </c>
      <c r="D30" s="773" t="s">
        <v>15</v>
      </c>
      <c r="E30" s="706" t="s">
        <v>21</v>
      </c>
      <c r="F30" s="706" t="s">
        <v>17</v>
      </c>
      <c r="G30" s="706"/>
      <c r="H30" s="743" t="s">
        <v>1140</v>
      </c>
      <c r="I30" s="706" t="s">
        <v>5</v>
      </c>
      <c r="J30" s="706" t="s">
        <v>376</v>
      </c>
      <c r="K30" s="706">
        <v>1</v>
      </c>
      <c r="L30" s="743"/>
      <c r="M30" s="743" t="s">
        <v>1151</v>
      </c>
      <c r="N30" s="743">
        <v>3</v>
      </c>
      <c r="O30" s="706"/>
      <c r="P30" s="706"/>
      <c r="Q30" s="706"/>
      <c r="R30" s="706"/>
      <c r="S30" s="706"/>
      <c r="T30" s="706"/>
      <c r="U30" s="706"/>
      <c r="V30" s="706"/>
      <c r="W30" s="793">
        <v>0.30466473681290229</v>
      </c>
      <c r="X30" s="802">
        <v>272.44778761061946</v>
      </c>
      <c r="Y30" s="805">
        <v>817.34336283185837</v>
      </c>
      <c r="Z30" s="805">
        <v>313.22413982300878</v>
      </c>
      <c r="AA30" s="805">
        <v>104.4080466076696</v>
      </c>
      <c r="AB30" s="738">
        <v>0.11675429747418888</v>
      </c>
      <c r="AC30" s="706"/>
      <c r="AD30" s="706"/>
      <c r="AE30" s="770">
        <v>0.65277777777777779</v>
      </c>
      <c r="AF30" s="770">
        <v>3.5999999999999997E-2</v>
      </c>
      <c r="AG30" s="706" t="s">
        <v>7</v>
      </c>
      <c r="AH30" s="770">
        <v>0.38322222222222219</v>
      </c>
      <c r="AI30" s="748">
        <v>0.65277777777777779</v>
      </c>
      <c r="AJ30" s="748">
        <v>3.5999999999999997E-2</v>
      </c>
      <c r="AK30" s="748"/>
      <c r="AL30" s="770">
        <v>0.38322222222222219</v>
      </c>
      <c r="AM30" s="706"/>
      <c r="AN30" s="706"/>
      <c r="AO30" s="706"/>
      <c r="AP30" s="804">
        <v>312.44778761061946</v>
      </c>
      <c r="AQ30" s="733">
        <v>312.44778761061946</v>
      </c>
      <c r="AR30" s="706"/>
      <c r="AS30" s="706"/>
      <c r="AT30" s="706"/>
      <c r="AU30" s="803"/>
      <c r="AV30" s="803">
        <v>0.11675429747418888</v>
      </c>
      <c r="AW30" s="803">
        <v>0.11675429747418888</v>
      </c>
      <c r="AX30" s="803">
        <v>0.11675429747418888</v>
      </c>
      <c r="AY30" s="803">
        <v>0</v>
      </c>
      <c r="AZ30" s="803">
        <v>0</v>
      </c>
      <c r="BA30" s="803">
        <v>0</v>
      </c>
      <c r="BB30" s="803">
        <v>0</v>
      </c>
      <c r="BC30" s="803">
        <v>0</v>
      </c>
      <c r="BD30" s="803">
        <v>0</v>
      </c>
      <c r="BE30" s="803">
        <v>0</v>
      </c>
      <c r="BF30" s="803">
        <v>0</v>
      </c>
      <c r="BG30" s="803">
        <v>0</v>
      </c>
      <c r="BH30" s="803">
        <v>0</v>
      </c>
      <c r="BI30" s="803">
        <v>0</v>
      </c>
      <c r="BJ30" s="803">
        <v>0</v>
      </c>
      <c r="BK30" s="803">
        <v>0</v>
      </c>
      <c r="BL30" s="803">
        <v>0</v>
      </c>
      <c r="BM30" s="803">
        <v>0</v>
      </c>
      <c r="BN30" s="803">
        <v>0</v>
      </c>
      <c r="BO30" s="803">
        <v>0</v>
      </c>
      <c r="BP30" s="803">
        <v>0</v>
      </c>
      <c r="BQ30" s="803">
        <v>0</v>
      </c>
      <c r="BR30" s="803">
        <v>0</v>
      </c>
      <c r="BS30" s="706"/>
      <c r="BT30" s="706"/>
      <c r="BU30" s="802"/>
      <c r="BV30" s="802">
        <v>104.4080466076696</v>
      </c>
      <c r="BW30" s="802">
        <v>104.4080466076696</v>
      </c>
      <c r="BX30" s="802">
        <v>104.4080466076696</v>
      </c>
      <c r="BY30" s="802">
        <v>0</v>
      </c>
      <c r="BZ30" s="802">
        <v>0</v>
      </c>
      <c r="CA30" s="802">
        <v>0</v>
      </c>
      <c r="CB30" s="802">
        <v>0</v>
      </c>
      <c r="CC30" s="802">
        <v>0</v>
      </c>
      <c r="CD30" s="802">
        <v>0</v>
      </c>
      <c r="CE30" s="802">
        <v>0</v>
      </c>
      <c r="CF30" s="802">
        <v>0</v>
      </c>
      <c r="CG30" s="802">
        <v>0</v>
      </c>
      <c r="CH30" s="802">
        <v>0</v>
      </c>
      <c r="CI30" s="802">
        <v>0</v>
      </c>
      <c r="CJ30" s="802">
        <v>0</v>
      </c>
      <c r="CK30" s="802">
        <v>0</v>
      </c>
      <c r="CL30" s="802">
        <v>0</v>
      </c>
      <c r="CM30" s="802">
        <v>0</v>
      </c>
      <c r="CN30" s="802">
        <v>0</v>
      </c>
      <c r="CO30" s="802">
        <v>0</v>
      </c>
      <c r="CP30" s="802">
        <v>0</v>
      </c>
      <c r="CQ30" s="802">
        <v>0</v>
      </c>
      <c r="CR30" s="802">
        <v>0</v>
      </c>
    </row>
    <row r="31" spans="1:96">
      <c r="A31" s="743" t="s">
        <v>3</v>
      </c>
      <c r="B31" s="752" t="s">
        <v>1149</v>
      </c>
      <c r="C31" s="743">
        <v>2014</v>
      </c>
      <c r="D31" s="773" t="s">
        <v>15</v>
      </c>
      <c r="E31" s="706" t="s">
        <v>21</v>
      </c>
      <c r="F31" s="706" t="s">
        <v>17</v>
      </c>
      <c r="G31" s="706"/>
      <c r="H31" s="743" t="s">
        <v>1114</v>
      </c>
      <c r="I31" s="706" t="s">
        <v>5</v>
      </c>
      <c r="J31" s="706" t="s">
        <v>376</v>
      </c>
      <c r="K31" s="706">
        <v>1</v>
      </c>
      <c r="L31" s="743"/>
      <c r="M31" s="743" t="s">
        <v>1150</v>
      </c>
      <c r="N31" s="743">
        <v>5</v>
      </c>
      <c r="O31" s="706"/>
      <c r="P31" s="706"/>
      <c r="Q31" s="706"/>
      <c r="R31" s="706"/>
      <c r="S31" s="706"/>
      <c r="T31" s="706"/>
      <c r="U31" s="706"/>
      <c r="V31" s="706"/>
      <c r="W31" s="793">
        <v>0.12891159127639251</v>
      </c>
      <c r="X31" s="802">
        <v>877.16350560741421</v>
      </c>
      <c r="Y31" s="805">
        <v>4385.8175280370706</v>
      </c>
      <c r="Z31" s="805">
        <v>2041.0263790524905</v>
      </c>
      <c r="AA31" s="805">
        <v>408.20527581049816</v>
      </c>
      <c r="AB31" s="738">
        <v>5.9991542438499308E-2</v>
      </c>
      <c r="AC31" s="706"/>
      <c r="AD31" s="706"/>
      <c r="AE31" s="770">
        <v>0.57063034747686403</v>
      </c>
      <c r="AF31" s="770">
        <v>3.5999999999999997E-2</v>
      </c>
      <c r="AG31" s="706" t="s">
        <v>7</v>
      </c>
      <c r="AH31" s="770">
        <v>0.46536965252313595</v>
      </c>
      <c r="AI31" s="748">
        <v>0.57063034747686403</v>
      </c>
      <c r="AJ31" s="748">
        <v>3.5999999999999997E-2</v>
      </c>
      <c r="AK31" s="748"/>
      <c r="AL31" s="770">
        <v>0.46536965252313595</v>
      </c>
      <c r="AM31" s="706"/>
      <c r="AN31" s="706"/>
      <c r="AO31" s="706"/>
      <c r="AP31" s="804">
        <v>910.16350560741421</v>
      </c>
      <c r="AQ31" s="733">
        <v>910.16350560741421</v>
      </c>
      <c r="AR31" s="706"/>
      <c r="AS31" s="706"/>
      <c r="AT31" s="706"/>
      <c r="AU31" s="803"/>
      <c r="AV31" s="803">
        <v>5.9991542438499308E-2</v>
      </c>
      <c r="AW31" s="803">
        <v>5.9991542438499308E-2</v>
      </c>
      <c r="AX31" s="803">
        <v>5.9991542438499308E-2</v>
      </c>
      <c r="AY31" s="803">
        <v>5.9991542438499308E-2</v>
      </c>
      <c r="AZ31" s="803">
        <v>5.9991542438499308E-2</v>
      </c>
      <c r="BA31" s="803">
        <v>0</v>
      </c>
      <c r="BB31" s="803">
        <v>0</v>
      </c>
      <c r="BC31" s="803">
        <v>0</v>
      </c>
      <c r="BD31" s="803">
        <v>0</v>
      </c>
      <c r="BE31" s="803">
        <v>0</v>
      </c>
      <c r="BF31" s="803">
        <v>0</v>
      </c>
      <c r="BG31" s="803">
        <v>0</v>
      </c>
      <c r="BH31" s="803">
        <v>0</v>
      </c>
      <c r="BI31" s="803">
        <v>0</v>
      </c>
      <c r="BJ31" s="803">
        <v>0</v>
      </c>
      <c r="BK31" s="803">
        <v>0</v>
      </c>
      <c r="BL31" s="803">
        <v>0</v>
      </c>
      <c r="BM31" s="803">
        <v>0</v>
      </c>
      <c r="BN31" s="803">
        <v>0</v>
      </c>
      <c r="BO31" s="803">
        <v>0</v>
      </c>
      <c r="BP31" s="803">
        <v>0</v>
      </c>
      <c r="BQ31" s="803">
        <v>0</v>
      </c>
      <c r="BR31" s="803">
        <v>0</v>
      </c>
      <c r="BS31" s="706"/>
      <c r="BT31" s="706"/>
      <c r="BU31" s="802"/>
      <c r="BV31" s="802">
        <v>408.20527581049816</v>
      </c>
      <c r="BW31" s="802">
        <v>408.20527581049816</v>
      </c>
      <c r="BX31" s="802">
        <v>408.20527581049816</v>
      </c>
      <c r="BY31" s="802">
        <v>408.20527581049816</v>
      </c>
      <c r="BZ31" s="802">
        <v>408.20527581049816</v>
      </c>
      <c r="CA31" s="802">
        <v>0</v>
      </c>
      <c r="CB31" s="802">
        <v>0</v>
      </c>
      <c r="CC31" s="802">
        <v>0</v>
      </c>
      <c r="CD31" s="802">
        <v>0</v>
      </c>
      <c r="CE31" s="802">
        <v>0</v>
      </c>
      <c r="CF31" s="802">
        <v>0</v>
      </c>
      <c r="CG31" s="802">
        <v>0</v>
      </c>
      <c r="CH31" s="802">
        <v>0</v>
      </c>
      <c r="CI31" s="802">
        <v>0</v>
      </c>
      <c r="CJ31" s="802">
        <v>0</v>
      </c>
      <c r="CK31" s="802">
        <v>0</v>
      </c>
      <c r="CL31" s="802">
        <v>0</v>
      </c>
      <c r="CM31" s="802">
        <v>0</v>
      </c>
      <c r="CN31" s="802">
        <v>0</v>
      </c>
      <c r="CO31" s="802">
        <v>0</v>
      </c>
      <c r="CP31" s="802">
        <v>0</v>
      </c>
      <c r="CQ31" s="802">
        <v>0</v>
      </c>
      <c r="CR31" s="802">
        <v>0</v>
      </c>
    </row>
    <row r="32" spans="1:96">
      <c r="A32" s="743" t="s">
        <v>3</v>
      </c>
      <c r="B32" s="752" t="s">
        <v>1149</v>
      </c>
      <c r="C32" s="743">
        <v>2014</v>
      </c>
      <c r="D32" s="773" t="s">
        <v>15</v>
      </c>
      <c r="E32" s="706" t="s">
        <v>21</v>
      </c>
      <c r="F32" s="706" t="s">
        <v>17</v>
      </c>
      <c r="G32" s="706"/>
      <c r="H32" s="743" t="s">
        <v>1114</v>
      </c>
      <c r="I32" s="706" t="s">
        <v>5</v>
      </c>
      <c r="J32" s="706" t="s">
        <v>376</v>
      </c>
      <c r="K32" s="706">
        <v>1</v>
      </c>
      <c r="L32" s="743"/>
      <c r="M32" s="743" t="s">
        <v>1148</v>
      </c>
      <c r="N32" s="743">
        <v>5</v>
      </c>
      <c r="O32" s="706"/>
      <c r="P32" s="706"/>
      <c r="Q32" s="706"/>
      <c r="R32" s="706"/>
      <c r="S32" s="706"/>
      <c r="T32" s="706"/>
      <c r="U32" s="706"/>
      <c r="V32" s="706"/>
      <c r="W32" s="793">
        <v>0.12891159127639251</v>
      </c>
      <c r="X32" s="802">
        <v>877.16350560741421</v>
      </c>
      <c r="Y32" s="805">
        <v>4385.8175280370706</v>
      </c>
      <c r="Z32" s="805">
        <v>2041.0263790524905</v>
      </c>
      <c r="AA32" s="805">
        <v>408.20527581049816</v>
      </c>
      <c r="AB32" s="738">
        <v>5.9991542438499308E-2</v>
      </c>
      <c r="AC32" s="706"/>
      <c r="AD32" s="706"/>
      <c r="AE32" s="770">
        <v>0.57063034747686403</v>
      </c>
      <c r="AF32" s="770">
        <v>3.5999999999999997E-2</v>
      </c>
      <c r="AG32" s="706" t="s">
        <v>7</v>
      </c>
      <c r="AH32" s="770">
        <v>0.46536965252313595</v>
      </c>
      <c r="AI32" s="748">
        <v>0.57063034747686403</v>
      </c>
      <c r="AJ32" s="748">
        <v>3.5999999999999997E-2</v>
      </c>
      <c r="AK32" s="748"/>
      <c r="AL32" s="770">
        <v>0.46536965252313595</v>
      </c>
      <c r="AM32" s="706"/>
      <c r="AN32" s="706"/>
      <c r="AO32" s="706"/>
      <c r="AP32" s="804">
        <v>910.16350560741421</v>
      </c>
      <c r="AQ32" s="733">
        <v>910.16350560741421</v>
      </c>
      <c r="AR32" s="706"/>
      <c r="AS32" s="706"/>
      <c r="AT32" s="706"/>
      <c r="AU32" s="803"/>
      <c r="AV32" s="803">
        <v>5.9991542438499308E-2</v>
      </c>
      <c r="AW32" s="803">
        <v>5.9991542438499308E-2</v>
      </c>
      <c r="AX32" s="803">
        <v>5.9991542438499308E-2</v>
      </c>
      <c r="AY32" s="803">
        <v>5.9991542438499308E-2</v>
      </c>
      <c r="AZ32" s="803">
        <v>5.9991542438499308E-2</v>
      </c>
      <c r="BA32" s="803">
        <v>0</v>
      </c>
      <c r="BB32" s="803">
        <v>0</v>
      </c>
      <c r="BC32" s="803">
        <v>0</v>
      </c>
      <c r="BD32" s="803">
        <v>0</v>
      </c>
      <c r="BE32" s="803">
        <v>0</v>
      </c>
      <c r="BF32" s="803">
        <v>0</v>
      </c>
      <c r="BG32" s="803">
        <v>0</v>
      </c>
      <c r="BH32" s="803">
        <v>0</v>
      </c>
      <c r="BI32" s="803">
        <v>0</v>
      </c>
      <c r="BJ32" s="803">
        <v>0</v>
      </c>
      <c r="BK32" s="803">
        <v>0</v>
      </c>
      <c r="BL32" s="803">
        <v>0</v>
      </c>
      <c r="BM32" s="803">
        <v>0</v>
      </c>
      <c r="BN32" s="803">
        <v>0</v>
      </c>
      <c r="BO32" s="803">
        <v>0</v>
      </c>
      <c r="BP32" s="803">
        <v>0</v>
      </c>
      <c r="BQ32" s="803">
        <v>0</v>
      </c>
      <c r="BR32" s="803">
        <v>0</v>
      </c>
      <c r="BS32" s="706"/>
      <c r="BT32" s="706"/>
      <c r="BU32" s="802"/>
      <c r="BV32" s="802">
        <v>408.20527581049816</v>
      </c>
      <c r="BW32" s="802">
        <v>408.20527581049816</v>
      </c>
      <c r="BX32" s="802">
        <v>408.20527581049816</v>
      </c>
      <c r="BY32" s="802">
        <v>408.20527581049816</v>
      </c>
      <c r="BZ32" s="802">
        <v>408.20527581049816</v>
      </c>
      <c r="CA32" s="802">
        <v>0</v>
      </c>
      <c r="CB32" s="802">
        <v>0</v>
      </c>
      <c r="CC32" s="802">
        <v>0</v>
      </c>
      <c r="CD32" s="802">
        <v>0</v>
      </c>
      <c r="CE32" s="802">
        <v>0</v>
      </c>
      <c r="CF32" s="802">
        <v>0</v>
      </c>
      <c r="CG32" s="802">
        <v>0</v>
      </c>
      <c r="CH32" s="802">
        <v>0</v>
      </c>
      <c r="CI32" s="802">
        <v>0</v>
      </c>
      <c r="CJ32" s="802">
        <v>0</v>
      </c>
      <c r="CK32" s="802">
        <v>0</v>
      </c>
      <c r="CL32" s="802">
        <v>0</v>
      </c>
      <c r="CM32" s="802">
        <v>0</v>
      </c>
      <c r="CN32" s="802">
        <v>0</v>
      </c>
      <c r="CO32" s="802">
        <v>0</v>
      </c>
      <c r="CP32" s="802">
        <v>0</v>
      </c>
      <c r="CQ32" s="802">
        <v>0</v>
      </c>
      <c r="CR32" s="802">
        <v>0</v>
      </c>
    </row>
    <row r="33" spans="1:96">
      <c r="A33" s="743" t="s">
        <v>3</v>
      </c>
      <c r="B33" s="752" t="s">
        <v>1144</v>
      </c>
      <c r="C33" s="743">
        <v>2014</v>
      </c>
      <c r="D33" s="773" t="s">
        <v>15</v>
      </c>
      <c r="E33" s="706" t="s">
        <v>21</v>
      </c>
      <c r="F33" s="706" t="s">
        <v>17</v>
      </c>
      <c r="G33" s="706"/>
      <c r="H33" s="743" t="s">
        <v>1120</v>
      </c>
      <c r="I33" s="706" t="s">
        <v>5</v>
      </c>
      <c r="J33" s="706" t="s">
        <v>376</v>
      </c>
      <c r="K33" s="706">
        <v>1</v>
      </c>
      <c r="L33" s="743"/>
      <c r="M33" s="743" t="s">
        <v>1147</v>
      </c>
      <c r="N33" s="743">
        <v>4</v>
      </c>
      <c r="O33" s="706"/>
      <c r="P33" s="706"/>
      <c r="Q33" s="706"/>
      <c r="R33" s="706"/>
      <c r="S33" s="706"/>
      <c r="T33" s="706"/>
      <c r="U33" s="706"/>
      <c r="V33" s="706"/>
      <c r="W33" s="793">
        <v>0.14372165331137679</v>
      </c>
      <c r="X33" s="802">
        <v>1040.6264850287016</v>
      </c>
      <c r="Y33" s="805">
        <v>4162.5059401148064</v>
      </c>
      <c r="Z33" s="805">
        <v>2016.8565546309214</v>
      </c>
      <c r="AA33" s="805">
        <v>504.21413865773036</v>
      </c>
      <c r="AB33" s="738">
        <v>6.96373681368124E-2</v>
      </c>
      <c r="AC33" s="706"/>
      <c r="AD33" s="706"/>
      <c r="AE33" s="770">
        <v>0.55147058823529405</v>
      </c>
      <c r="AF33" s="770">
        <v>3.5999999999999997E-2</v>
      </c>
      <c r="AG33" s="706" t="s">
        <v>7</v>
      </c>
      <c r="AH33" s="770">
        <v>0.48452941176470593</v>
      </c>
      <c r="AI33" s="748">
        <v>0.55147058823529405</v>
      </c>
      <c r="AJ33" s="748">
        <v>3.5999999999999997E-2</v>
      </c>
      <c r="AK33" s="748"/>
      <c r="AL33" s="770">
        <v>0.48452941176470593</v>
      </c>
      <c r="AM33" s="706"/>
      <c r="AN33" s="706"/>
      <c r="AO33" s="706"/>
      <c r="AP33" s="804">
        <v>1070.6264850287016</v>
      </c>
      <c r="AQ33" s="733">
        <v>1070.6264850287016</v>
      </c>
      <c r="AR33" s="706"/>
      <c r="AS33" s="706"/>
      <c r="AT33" s="706"/>
      <c r="AU33" s="803"/>
      <c r="AV33" s="803">
        <v>6.96373681368124E-2</v>
      </c>
      <c r="AW33" s="803">
        <v>6.96373681368124E-2</v>
      </c>
      <c r="AX33" s="803">
        <v>6.96373681368124E-2</v>
      </c>
      <c r="AY33" s="803">
        <v>6.96373681368124E-2</v>
      </c>
      <c r="AZ33" s="803">
        <v>0</v>
      </c>
      <c r="BA33" s="803">
        <v>0</v>
      </c>
      <c r="BB33" s="803">
        <v>0</v>
      </c>
      <c r="BC33" s="803">
        <v>0</v>
      </c>
      <c r="BD33" s="803">
        <v>0</v>
      </c>
      <c r="BE33" s="803">
        <v>0</v>
      </c>
      <c r="BF33" s="803">
        <v>0</v>
      </c>
      <c r="BG33" s="803">
        <v>0</v>
      </c>
      <c r="BH33" s="803">
        <v>0</v>
      </c>
      <c r="BI33" s="803">
        <v>0</v>
      </c>
      <c r="BJ33" s="803">
        <v>0</v>
      </c>
      <c r="BK33" s="803">
        <v>0</v>
      </c>
      <c r="BL33" s="803">
        <v>0</v>
      </c>
      <c r="BM33" s="803">
        <v>0</v>
      </c>
      <c r="BN33" s="803">
        <v>0</v>
      </c>
      <c r="BO33" s="803">
        <v>0</v>
      </c>
      <c r="BP33" s="803">
        <v>0</v>
      </c>
      <c r="BQ33" s="803">
        <v>0</v>
      </c>
      <c r="BR33" s="803">
        <v>0</v>
      </c>
      <c r="BS33" s="706"/>
      <c r="BT33" s="706"/>
      <c r="BU33" s="802"/>
      <c r="BV33" s="802">
        <v>504.21413865773036</v>
      </c>
      <c r="BW33" s="802">
        <v>504.21413865773036</v>
      </c>
      <c r="BX33" s="802">
        <v>504.21413865773036</v>
      </c>
      <c r="BY33" s="802">
        <v>504.21413865773036</v>
      </c>
      <c r="BZ33" s="802">
        <v>0</v>
      </c>
      <c r="CA33" s="802">
        <v>0</v>
      </c>
      <c r="CB33" s="802">
        <v>0</v>
      </c>
      <c r="CC33" s="802">
        <v>0</v>
      </c>
      <c r="CD33" s="802">
        <v>0</v>
      </c>
      <c r="CE33" s="802">
        <v>0</v>
      </c>
      <c r="CF33" s="802">
        <v>0</v>
      </c>
      <c r="CG33" s="802">
        <v>0</v>
      </c>
      <c r="CH33" s="802">
        <v>0</v>
      </c>
      <c r="CI33" s="802">
        <v>0</v>
      </c>
      <c r="CJ33" s="802">
        <v>0</v>
      </c>
      <c r="CK33" s="802">
        <v>0</v>
      </c>
      <c r="CL33" s="802">
        <v>0</v>
      </c>
      <c r="CM33" s="802">
        <v>0</v>
      </c>
      <c r="CN33" s="802">
        <v>0</v>
      </c>
      <c r="CO33" s="802">
        <v>0</v>
      </c>
      <c r="CP33" s="802">
        <v>0</v>
      </c>
      <c r="CQ33" s="802">
        <v>0</v>
      </c>
      <c r="CR33" s="802">
        <v>0</v>
      </c>
    </row>
    <row r="34" spans="1:96">
      <c r="A34" s="743" t="s">
        <v>3</v>
      </c>
      <c r="B34" s="752" t="s">
        <v>1144</v>
      </c>
      <c r="C34" s="743">
        <v>2014</v>
      </c>
      <c r="D34" s="773" t="s">
        <v>15</v>
      </c>
      <c r="E34" s="706" t="s">
        <v>21</v>
      </c>
      <c r="F34" s="706" t="s">
        <v>17</v>
      </c>
      <c r="G34" s="706"/>
      <c r="H34" s="743" t="s">
        <v>1120</v>
      </c>
      <c r="I34" s="706" t="s">
        <v>5</v>
      </c>
      <c r="J34" s="706" t="s">
        <v>376</v>
      </c>
      <c r="K34" s="706">
        <v>1</v>
      </c>
      <c r="L34" s="743"/>
      <c r="M34" s="743" t="s">
        <v>1146</v>
      </c>
      <c r="N34" s="743">
        <v>4</v>
      </c>
      <c r="O34" s="706"/>
      <c r="P34" s="706"/>
      <c r="Q34" s="706"/>
      <c r="R34" s="706"/>
      <c r="S34" s="706"/>
      <c r="T34" s="706"/>
      <c r="U34" s="706"/>
      <c r="V34" s="706"/>
      <c r="W34" s="793">
        <v>0.14372165331137679</v>
      </c>
      <c r="X34" s="802">
        <v>1040.6264850287016</v>
      </c>
      <c r="Y34" s="805">
        <v>4162.5059401148064</v>
      </c>
      <c r="Z34" s="805">
        <v>2016.8565546309214</v>
      </c>
      <c r="AA34" s="805">
        <v>504.21413865773036</v>
      </c>
      <c r="AB34" s="738">
        <v>6.96373681368124E-2</v>
      </c>
      <c r="AC34" s="706"/>
      <c r="AD34" s="706"/>
      <c r="AE34" s="770">
        <v>0.55147058823529405</v>
      </c>
      <c r="AF34" s="770">
        <v>3.5999999999999997E-2</v>
      </c>
      <c r="AG34" s="706" t="s">
        <v>7</v>
      </c>
      <c r="AH34" s="770">
        <v>0.48452941176470593</v>
      </c>
      <c r="AI34" s="748">
        <v>0.55147058823529405</v>
      </c>
      <c r="AJ34" s="748">
        <v>3.5999999999999997E-2</v>
      </c>
      <c r="AK34" s="748"/>
      <c r="AL34" s="770">
        <v>0.48452941176470593</v>
      </c>
      <c r="AM34" s="706"/>
      <c r="AN34" s="706"/>
      <c r="AO34" s="706"/>
      <c r="AP34" s="804">
        <v>1070.6264850287016</v>
      </c>
      <c r="AQ34" s="733">
        <v>1070.6264850287016</v>
      </c>
      <c r="AR34" s="706"/>
      <c r="AS34" s="706"/>
      <c r="AT34" s="706"/>
      <c r="AU34" s="803"/>
      <c r="AV34" s="803">
        <v>6.96373681368124E-2</v>
      </c>
      <c r="AW34" s="803">
        <v>6.96373681368124E-2</v>
      </c>
      <c r="AX34" s="803">
        <v>6.96373681368124E-2</v>
      </c>
      <c r="AY34" s="803">
        <v>6.96373681368124E-2</v>
      </c>
      <c r="AZ34" s="803">
        <v>0</v>
      </c>
      <c r="BA34" s="803">
        <v>0</v>
      </c>
      <c r="BB34" s="803">
        <v>0</v>
      </c>
      <c r="BC34" s="803">
        <v>0</v>
      </c>
      <c r="BD34" s="803">
        <v>0</v>
      </c>
      <c r="BE34" s="803">
        <v>0</v>
      </c>
      <c r="BF34" s="803">
        <v>0</v>
      </c>
      <c r="BG34" s="803">
        <v>0</v>
      </c>
      <c r="BH34" s="803">
        <v>0</v>
      </c>
      <c r="BI34" s="803">
        <v>0</v>
      </c>
      <c r="BJ34" s="803">
        <v>0</v>
      </c>
      <c r="BK34" s="803">
        <v>0</v>
      </c>
      <c r="BL34" s="803">
        <v>0</v>
      </c>
      <c r="BM34" s="803">
        <v>0</v>
      </c>
      <c r="BN34" s="803">
        <v>0</v>
      </c>
      <c r="BO34" s="803">
        <v>0</v>
      </c>
      <c r="BP34" s="803">
        <v>0</v>
      </c>
      <c r="BQ34" s="803">
        <v>0</v>
      </c>
      <c r="BR34" s="803">
        <v>0</v>
      </c>
      <c r="BS34" s="706"/>
      <c r="BT34" s="706"/>
      <c r="BU34" s="802"/>
      <c r="BV34" s="802">
        <v>504.21413865773036</v>
      </c>
      <c r="BW34" s="802">
        <v>504.21413865773036</v>
      </c>
      <c r="BX34" s="802">
        <v>504.21413865773036</v>
      </c>
      <c r="BY34" s="802">
        <v>504.21413865773036</v>
      </c>
      <c r="BZ34" s="802">
        <v>0</v>
      </c>
      <c r="CA34" s="802">
        <v>0</v>
      </c>
      <c r="CB34" s="802">
        <v>0</v>
      </c>
      <c r="CC34" s="802">
        <v>0</v>
      </c>
      <c r="CD34" s="802">
        <v>0</v>
      </c>
      <c r="CE34" s="802">
        <v>0</v>
      </c>
      <c r="CF34" s="802">
        <v>0</v>
      </c>
      <c r="CG34" s="802">
        <v>0</v>
      </c>
      <c r="CH34" s="802">
        <v>0</v>
      </c>
      <c r="CI34" s="802">
        <v>0</v>
      </c>
      <c r="CJ34" s="802">
        <v>0</v>
      </c>
      <c r="CK34" s="802">
        <v>0</v>
      </c>
      <c r="CL34" s="802">
        <v>0</v>
      </c>
      <c r="CM34" s="802">
        <v>0</v>
      </c>
      <c r="CN34" s="802">
        <v>0</v>
      </c>
      <c r="CO34" s="802">
        <v>0</v>
      </c>
      <c r="CP34" s="802">
        <v>0</v>
      </c>
      <c r="CQ34" s="802">
        <v>0</v>
      </c>
      <c r="CR34" s="802">
        <v>0</v>
      </c>
    </row>
    <row r="35" spans="1:96">
      <c r="A35" s="743" t="s">
        <v>3</v>
      </c>
      <c r="B35" s="752" t="s">
        <v>1144</v>
      </c>
      <c r="C35" s="743">
        <v>2014</v>
      </c>
      <c r="D35" s="773" t="s">
        <v>15</v>
      </c>
      <c r="E35" s="706" t="s">
        <v>21</v>
      </c>
      <c r="F35" s="706" t="s">
        <v>17</v>
      </c>
      <c r="G35" s="706"/>
      <c r="H35" s="743" t="s">
        <v>1114</v>
      </c>
      <c r="I35" s="706" t="s">
        <v>5</v>
      </c>
      <c r="J35" s="706" t="s">
        <v>376</v>
      </c>
      <c r="K35" s="706">
        <v>1</v>
      </c>
      <c r="L35" s="743"/>
      <c r="M35" s="743" t="s">
        <v>1146</v>
      </c>
      <c r="N35" s="743">
        <v>5</v>
      </c>
      <c r="O35" s="706"/>
      <c r="P35" s="706"/>
      <c r="Q35" s="706"/>
      <c r="R35" s="706"/>
      <c r="S35" s="706"/>
      <c r="T35" s="706"/>
      <c r="U35" s="706"/>
      <c r="V35" s="706"/>
      <c r="W35" s="793">
        <v>0.12891159127639251</v>
      </c>
      <c r="X35" s="802">
        <v>877.16350560741421</v>
      </c>
      <c r="Y35" s="805">
        <v>4385.8175280370706</v>
      </c>
      <c r="Z35" s="805">
        <v>2041.0263790524905</v>
      </c>
      <c r="AA35" s="805">
        <v>408.20527581049816</v>
      </c>
      <c r="AB35" s="738">
        <v>5.9991542438499308E-2</v>
      </c>
      <c r="AC35" s="706"/>
      <c r="AD35" s="706"/>
      <c r="AE35" s="770">
        <v>0.57063034747686403</v>
      </c>
      <c r="AF35" s="770">
        <v>3.5999999999999997E-2</v>
      </c>
      <c r="AG35" s="706" t="s">
        <v>7</v>
      </c>
      <c r="AH35" s="770">
        <v>0.46536965252313595</v>
      </c>
      <c r="AI35" s="748">
        <v>0.57063034747686403</v>
      </c>
      <c r="AJ35" s="748">
        <v>3.5999999999999997E-2</v>
      </c>
      <c r="AK35" s="748"/>
      <c r="AL35" s="770">
        <v>0.46536965252313595</v>
      </c>
      <c r="AM35" s="706"/>
      <c r="AN35" s="706"/>
      <c r="AO35" s="706"/>
      <c r="AP35" s="804">
        <v>910.16350560741421</v>
      </c>
      <c r="AQ35" s="733">
        <v>910.16350560741421</v>
      </c>
      <c r="AR35" s="706"/>
      <c r="AS35" s="706"/>
      <c r="AT35" s="706"/>
      <c r="AU35" s="803"/>
      <c r="AV35" s="803">
        <v>5.9991542438499308E-2</v>
      </c>
      <c r="AW35" s="803">
        <v>5.9991542438499308E-2</v>
      </c>
      <c r="AX35" s="803">
        <v>5.9991542438499308E-2</v>
      </c>
      <c r="AY35" s="803">
        <v>5.9991542438499308E-2</v>
      </c>
      <c r="AZ35" s="803">
        <v>5.9991542438499308E-2</v>
      </c>
      <c r="BA35" s="803">
        <v>0</v>
      </c>
      <c r="BB35" s="803">
        <v>0</v>
      </c>
      <c r="BC35" s="803">
        <v>0</v>
      </c>
      <c r="BD35" s="803">
        <v>0</v>
      </c>
      <c r="BE35" s="803">
        <v>0</v>
      </c>
      <c r="BF35" s="803">
        <v>0</v>
      </c>
      <c r="BG35" s="803">
        <v>0</v>
      </c>
      <c r="BH35" s="803">
        <v>0</v>
      </c>
      <c r="BI35" s="803">
        <v>0</v>
      </c>
      <c r="BJ35" s="803">
        <v>0</v>
      </c>
      <c r="BK35" s="803">
        <v>0</v>
      </c>
      <c r="BL35" s="803">
        <v>0</v>
      </c>
      <c r="BM35" s="803">
        <v>0</v>
      </c>
      <c r="BN35" s="803">
        <v>0</v>
      </c>
      <c r="BO35" s="803">
        <v>0</v>
      </c>
      <c r="BP35" s="803">
        <v>0</v>
      </c>
      <c r="BQ35" s="803">
        <v>0</v>
      </c>
      <c r="BR35" s="803">
        <v>0</v>
      </c>
      <c r="BS35" s="706"/>
      <c r="BT35" s="706"/>
      <c r="BU35" s="802"/>
      <c r="BV35" s="802">
        <v>408.20527581049816</v>
      </c>
      <c r="BW35" s="802">
        <v>408.20527581049816</v>
      </c>
      <c r="BX35" s="802">
        <v>408.20527581049816</v>
      </c>
      <c r="BY35" s="802">
        <v>408.20527581049816</v>
      </c>
      <c r="BZ35" s="802">
        <v>408.20527581049816</v>
      </c>
      <c r="CA35" s="802">
        <v>0</v>
      </c>
      <c r="CB35" s="802">
        <v>0</v>
      </c>
      <c r="CC35" s="802">
        <v>0</v>
      </c>
      <c r="CD35" s="802">
        <v>0</v>
      </c>
      <c r="CE35" s="802">
        <v>0</v>
      </c>
      <c r="CF35" s="802">
        <v>0</v>
      </c>
      <c r="CG35" s="802">
        <v>0</v>
      </c>
      <c r="CH35" s="802">
        <v>0</v>
      </c>
      <c r="CI35" s="802">
        <v>0</v>
      </c>
      <c r="CJ35" s="802">
        <v>0</v>
      </c>
      <c r="CK35" s="802">
        <v>0</v>
      </c>
      <c r="CL35" s="802">
        <v>0</v>
      </c>
      <c r="CM35" s="802">
        <v>0</v>
      </c>
      <c r="CN35" s="802">
        <v>0</v>
      </c>
      <c r="CO35" s="802">
        <v>0</v>
      </c>
      <c r="CP35" s="802">
        <v>0</v>
      </c>
      <c r="CQ35" s="802">
        <v>0</v>
      </c>
      <c r="CR35" s="802">
        <v>0</v>
      </c>
    </row>
    <row r="36" spans="1:96">
      <c r="A36" s="743" t="s">
        <v>3</v>
      </c>
      <c r="B36" s="752" t="s">
        <v>1144</v>
      </c>
      <c r="C36" s="743">
        <v>2014</v>
      </c>
      <c r="D36" s="773" t="s">
        <v>15</v>
      </c>
      <c r="E36" s="706" t="s">
        <v>21</v>
      </c>
      <c r="F36" s="706" t="s">
        <v>17</v>
      </c>
      <c r="G36" s="706"/>
      <c r="H36" s="743" t="s">
        <v>1120</v>
      </c>
      <c r="I36" s="706" t="s">
        <v>5</v>
      </c>
      <c r="J36" s="706" t="s">
        <v>376</v>
      </c>
      <c r="K36" s="706">
        <v>1</v>
      </c>
      <c r="L36" s="743"/>
      <c r="M36" s="743" t="s">
        <v>1145</v>
      </c>
      <c r="N36" s="743">
        <v>4</v>
      </c>
      <c r="O36" s="706"/>
      <c r="P36" s="706"/>
      <c r="Q36" s="706"/>
      <c r="R36" s="706"/>
      <c r="S36" s="706"/>
      <c r="T36" s="706"/>
      <c r="U36" s="706"/>
      <c r="V36" s="706"/>
      <c r="W36" s="793">
        <v>0.14372165331137679</v>
      </c>
      <c r="X36" s="802">
        <v>1040.6264850287016</v>
      </c>
      <c r="Y36" s="805">
        <v>4162.5059401148064</v>
      </c>
      <c r="Z36" s="805">
        <v>2016.8565546309214</v>
      </c>
      <c r="AA36" s="805">
        <v>504.21413865773036</v>
      </c>
      <c r="AB36" s="738">
        <v>6.96373681368124E-2</v>
      </c>
      <c r="AC36" s="706"/>
      <c r="AD36" s="706"/>
      <c r="AE36" s="770">
        <v>0.55147058823529405</v>
      </c>
      <c r="AF36" s="770">
        <v>3.5999999999999997E-2</v>
      </c>
      <c r="AG36" s="706" t="s">
        <v>7</v>
      </c>
      <c r="AH36" s="770">
        <v>0.48452941176470593</v>
      </c>
      <c r="AI36" s="748">
        <v>0.55147058823529405</v>
      </c>
      <c r="AJ36" s="748">
        <v>3.5999999999999997E-2</v>
      </c>
      <c r="AK36" s="748"/>
      <c r="AL36" s="770">
        <v>0.48452941176470593</v>
      </c>
      <c r="AM36" s="706"/>
      <c r="AN36" s="706"/>
      <c r="AO36" s="706"/>
      <c r="AP36" s="804">
        <v>1070.6264850287016</v>
      </c>
      <c r="AQ36" s="733">
        <v>1070.6264850287016</v>
      </c>
      <c r="AR36" s="706"/>
      <c r="AS36" s="706"/>
      <c r="AT36" s="706"/>
      <c r="AU36" s="803"/>
      <c r="AV36" s="803">
        <v>6.96373681368124E-2</v>
      </c>
      <c r="AW36" s="803">
        <v>6.96373681368124E-2</v>
      </c>
      <c r="AX36" s="803">
        <v>6.96373681368124E-2</v>
      </c>
      <c r="AY36" s="803">
        <v>6.96373681368124E-2</v>
      </c>
      <c r="AZ36" s="803">
        <v>0</v>
      </c>
      <c r="BA36" s="803">
        <v>0</v>
      </c>
      <c r="BB36" s="803">
        <v>0</v>
      </c>
      <c r="BC36" s="803">
        <v>0</v>
      </c>
      <c r="BD36" s="803">
        <v>0</v>
      </c>
      <c r="BE36" s="803">
        <v>0</v>
      </c>
      <c r="BF36" s="803">
        <v>0</v>
      </c>
      <c r="BG36" s="803">
        <v>0</v>
      </c>
      <c r="BH36" s="803">
        <v>0</v>
      </c>
      <c r="BI36" s="803">
        <v>0</v>
      </c>
      <c r="BJ36" s="803">
        <v>0</v>
      </c>
      <c r="BK36" s="803">
        <v>0</v>
      </c>
      <c r="BL36" s="803">
        <v>0</v>
      </c>
      <c r="BM36" s="803">
        <v>0</v>
      </c>
      <c r="BN36" s="803">
        <v>0</v>
      </c>
      <c r="BO36" s="803">
        <v>0</v>
      </c>
      <c r="BP36" s="803">
        <v>0</v>
      </c>
      <c r="BQ36" s="803">
        <v>0</v>
      </c>
      <c r="BR36" s="803">
        <v>0</v>
      </c>
      <c r="BS36" s="706"/>
      <c r="BT36" s="706"/>
      <c r="BU36" s="802"/>
      <c r="BV36" s="802">
        <v>504.21413865773036</v>
      </c>
      <c r="BW36" s="802">
        <v>504.21413865773036</v>
      </c>
      <c r="BX36" s="802">
        <v>504.21413865773036</v>
      </c>
      <c r="BY36" s="802">
        <v>504.21413865773036</v>
      </c>
      <c r="BZ36" s="802">
        <v>0</v>
      </c>
      <c r="CA36" s="802">
        <v>0</v>
      </c>
      <c r="CB36" s="802">
        <v>0</v>
      </c>
      <c r="CC36" s="802">
        <v>0</v>
      </c>
      <c r="CD36" s="802">
        <v>0</v>
      </c>
      <c r="CE36" s="802">
        <v>0</v>
      </c>
      <c r="CF36" s="802">
        <v>0</v>
      </c>
      <c r="CG36" s="802">
        <v>0</v>
      </c>
      <c r="CH36" s="802">
        <v>0</v>
      </c>
      <c r="CI36" s="802">
        <v>0</v>
      </c>
      <c r="CJ36" s="802">
        <v>0</v>
      </c>
      <c r="CK36" s="802">
        <v>0</v>
      </c>
      <c r="CL36" s="802">
        <v>0</v>
      </c>
      <c r="CM36" s="802">
        <v>0</v>
      </c>
      <c r="CN36" s="802">
        <v>0</v>
      </c>
      <c r="CO36" s="802">
        <v>0</v>
      </c>
      <c r="CP36" s="802">
        <v>0</v>
      </c>
      <c r="CQ36" s="802">
        <v>0</v>
      </c>
      <c r="CR36" s="802">
        <v>0</v>
      </c>
    </row>
    <row r="37" spans="1:96">
      <c r="A37" s="743" t="s">
        <v>3</v>
      </c>
      <c r="B37" s="752" t="s">
        <v>1144</v>
      </c>
      <c r="C37" s="743">
        <v>2014</v>
      </c>
      <c r="D37" s="773" t="s">
        <v>15</v>
      </c>
      <c r="E37" s="706" t="s">
        <v>21</v>
      </c>
      <c r="F37" s="706" t="s">
        <v>17</v>
      </c>
      <c r="G37" s="706"/>
      <c r="H37" s="743" t="s">
        <v>1120</v>
      </c>
      <c r="I37" s="706" t="s">
        <v>5</v>
      </c>
      <c r="J37" s="706" t="s">
        <v>376</v>
      </c>
      <c r="K37" s="706">
        <v>1</v>
      </c>
      <c r="L37" s="743"/>
      <c r="M37" s="743" t="s">
        <v>960</v>
      </c>
      <c r="N37" s="743">
        <v>4</v>
      </c>
      <c r="O37" s="706"/>
      <c r="P37" s="706"/>
      <c r="Q37" s="706"/>
      <c r="R37" s="706"/>
      <c r="S37" s="706"/>
      <c r="T37" s="706"/>
      <c r="U37" s="706"/>
      <c r="V37" s="706"/>
      <c r="W37" s="793">
        <v>0.14372165331137679</v>
      </c>
      <c r="X37" s="802">
        <v>1040.6264850287016</v>
      </c>
      <c r="Y37" s="805">
        <v>4162.5059401148064</v>
      </c>
      <c r="Z37" s="805">
        <v>2016.8565546309214</v>
      </c>
      <c r="AA37" s="805">
        <v>504.21413865773036</v>
      </c>
      <c r="AB37" s="738">
        <v>6.96373681368124E-2</v>
      </c>
      <c r="AC37" s="706"/>
      <c r="AD37" s="706"/>
      <c r="AE37" s="770">
        <v>0.55147058823529405</v>
      </c>
      <c r="AF37" s="770">
        <v>3.5999999999999997E-2</v>
      </c>
      <c r="AG37" s="706" t="s">
        <v>7</v>
      </c>
      <c r="AH37" s="770">
        <v>0.48452941176470593</v>
      </c>
      <c r="AI37" s="748">
        <v>0.55147058823529405</v>
      </c>
      <c r="AJ37" s="748">
        <v>3.5999999999999997E-2</v>
      </c>
      <c r="AK37" s="748"/>
      <c r="AL37" s="770">
        <v>0.48452941176470593</v>
      </c>
      <c r="AM37" s="706"/>
      <c r="AN37" s="706"/>
      <c r="AO37" s="706"/>
      <c r="AP37" s="804">
        <v>1070.6264850287016</v>
      </c>
      <c r="AQ37" s="733">
        <v>1070.6264850287016</v>
      </c>
      <c r="AR37" s="706"/>
      <c r="AS37" s="706"/>
      <c r="AT37" s="706"/>
      <c r="AU37" s="803"/>
      <c r="AV37" s="803">
        <v>6.96373681368124E-2</v>
      </c>
      <c r="AW37" s="803">
        <v>6.96373681368124E-2</v>
      </c>
      <c r="AX37" s="803">
        <v>6.96373681368124E-2</v>
      </c>
      <c r="AY37" s="803">
        <v>6.96373681368124E-2</v>
      </c>
      <c r="AZ37" s="803">
        <v>0</v>
      </c>
      <c r="BA37" s="803">
        <v>0</v>
      </c>
      <c r="BB37" s="803">
        <v>0</v>
      </c>
      <c r="BC37" s="803">
        <v>0</v>
      </c>
      <c r="BD37" s="803">
        <v>0</v>
      </c>
      <c r="BE37" s="803">
        <v>0</v>
      </c>
      <c r="BF37" s="803">
        <v>0</v>
      </c>
      <c r="BG37" s="803">
        <v>0</v>
      </c>
      <c r="BH37" s="803">
        <v>0</v>
      </c>
      <c r="BI37" s="803">
        <v>0</v>
      </c>
      <c r="BJ37" s="803">
        <v>0</v>
      </c>
      <c r="BK37" s="803">
        <v>0</v>
      </c>
      <c r="BL37" s="803">
        <v>0</v>
      </c>
      <c r="BM37" s="803">
        <v>0</v>
      </c>
      <c r="BN37" s="803">
        <v>0</v>
      </c>
      <c r="BO37" s="803">
        <v>0</v>
      </c>
      <c r="BP37" s="803">
        <v>0</v>
      </c>
      <c r="BQ37" s="803">
        <v>0</v>
      </c>
      <c r="BR37" s="803">
        <v>0</v>
      </c>
      <c r="BS37" s="706"/>
      <c r="BT37" s="706"/>
      <c r="BU37" s="802"/>
      <c r="BV37" s="802">
        <v>504.21413865773036</v>
      </c>
      <c r="BW37" s="802">
        <v>504.21413865773036</v>
      </c>
      <c r="BX37" s="802">
        <v>504.21413865773036</v>
      </c>
      <c r="BY37" s="802">
        <v>504.21413865773036</v>
      </c>
      <c r="BZ37" s="802">
        <v>0</v>
      </c>
      <c r="CA37" s="802">
        <v>0</v>
      </c>
      <c r="CB37" s="802">
        <v>0</v>
      </c>
      <c r="CC37" s="802">
        <v>0</v>
      </c>
      <c r="CD37" s="802">
        <v>0</v>
      </c>
      <c r="CE37" s="802">
        <v>0</v>
      </c>
      <c r="CF37" s="802">
        <v>0</v>
      </c>
      <c r="CG37" s="802">
        <v>0</v>
      </c>
      <c r="CH37" s="802">
        <v>0</v>
      </c>
      <c r="CI37" s="802">
        <v>0</v>
      </c>
      <c r="CJ37" s="802">
        <v>0</v>
      </c>
      <c r="CK37" s="802">
        <v>0</v>
      </c>
      <c r="CL37" s="802">
        <v>0</v>
      </c>
      <c r="CM37" s="802">
        <v>0</v>
      </c>
      <c r="CN37" s="802">
        <v>0</v>
      </c>
      <c r="CO37" s="802">
        <v>0</v>
      </c>
      <c r="CP37" s="802">
        <v>0</v>
      </c>
      <c r="CQ37" s="802">
        <v>0</v>
      </c>
      <c r="CR37" s="802">
        <v>0</v>
      </c>
    </row>
    <row r="38" spans="1:96">
      <c r="A38" s="743" t="s">
        <v>3</v>
      </c>
      <c r="B38" s="752" t="s">
        <v>1143</v>
      </c>
      <c r="C38" s="743">
        <v>2014</v>
      </c>
      <c r="D38" s="773" t="s">
        <v>15</v>
      </c>
      <c r="E38" s="706" t="s">
        <v>21</v>
      </c>
      <c r="F38" s="706" t="s">
        <v>17</v>
      </c>
      <c r="G38" s="706"/>
      <c r="H38" s="743" t="s">
        <v>1114</v>
      </c>
      <c r="I38" s="706" t="s">
        <v>5</v>
      </c>
      <c r="J38" s="706" t="s">
        <v>376</v>
      </c>
      <c r="K38" s="706">
        <v>1</v>
      </c>
      <c r="L38" s="743"/>
      <c r="M38" s="743" t="s">
        <v>1142</v>
      </c>
      <c r="N38" s="743">
        <v>5</v>
      </c>
      <c r="O38" s="706"/>
      <c r="P38" s="706"/>
      <c r="Q38" s="706"/>
      <c r="R38" s="706"/>
      <c r="S38" s="706"/>
      <c r="T38" s="706"/>
      <c r="U38" s="706"/>
      <c r="V38" s="706"/>
      <c r="W38" s="793">
        <v>0.12891159127639251</v>
      </c>
      <c r="X38" s="802">
        <v>877.16350560741421</v>
      </c>
      <c r="Y38" s="805">
        <v>4385.8175280370706</v>
      </c>
      <c r="Z38" s="805">
        <v>2041.0263790524905</v>
      </c>
      <c r="AA38" s="805">
        <v>408.20527581049816</v>
      </c>
      <c r="AB38" s="738">
        <v>5.9991542438499308E-2</v>
      </c>
      <c r="AC38" s="706"/>
      <c r="AD38" s="706"/>
      <c r="AE38" s="770">
        <v>0.57063034747686403</v>
      </c>
      <c r="AF38" s="770">
        <v>3.5999999999999997E-2</v>
      </c>
      <c r="AG38" s="706" t="s">
        <v>7</v>
      </c>
      <c r="AH38" s="770">
        <v>0.46536965252313595</v>
      </c>
      <c r="AI38" s="748">
        <v>0.57063034747686403</v>
      </c>
      <c r="AJ38" s="748">
        <v>3.5999999999999997E-2</v>
      </c>
      <c r="AK38" s="748"/>
      <c r="AL38" s="770">
        <v>0.46536965252313595</v>
      </c>
      <c r="AM38" s="706"/>
      <c r="AN38" s="706"/>
      <c r="AO38" s="706"/>
      <c r="AP38" s="804">
        <v>910.16350560741421</v>
      </c>
      <c r="AQ38" s="733">
        <v>910.16350560741421</v>
      </c>
      <c r="AR38" s="706"/>
      <c r="AS38" s="706"/>
      <c r="AT38" s="706"/>
      <c r="AU38" s="803"/>
      <c r="AV38" s="803">
        <v>5.9991542438499308E-2</v>
      </c>
      <c r="AW38" s="803">
        <v>5.9991542438499308E-2</v>
      </c>
      <c r="AX38" s="803">
        <v>5.9991542438499308E-2</v>
      </c>
      <c r="AY38" s="803">
        <v>5.9991542438499308E-2</v>
      </c>
      <c r="AZ38" s="803">
        <v>5.9991542438499308E-2</v>
      </c>
      <c r="BA38" s="803">
        <v>0</v>
      </c>
      <c r="BB38" s="803">
        <v>0</v>
      </c>
      <c r="BC38" s="803">
        <v>0</v>
      </c>
      <c r="BD38" s="803">
        <v>0</v>
      </c>
      <c r="BE38" s="803">
        <v>0</v>
      </c>
      <c r="BF38" s="803">
        <v>0</v>
      </c>
      <c r="BG38" s="803">
        <v>0</v>
      </c>
      <c r="BH38" s="803">
        <v>0</v>
      </c>
      <c r="BI38" s="803">
        <v>0</v>
      </c>
      <c r="BJ38" s="803">
        <v>0</v>
      </c>
      <c r="BK38" s="803">
        <v>0</v>
      </c>
      <c r="BL38" s="803">
        <v>0</v>
      </c>
      <c r="BM38" s="803">
        <v>0</v>
      </c>
      <c r="BN38" s="803">
        <v>0</v>
      </c>
      <c r="BO38" s="803">
        <v>0</v>
      </c>
      <c r="BP38" s="803">
        <v>0</v>
      </c>
      <c r="BQ38" s="803">
        <v>0</v>
      </c>
      <c r="BR38" s="803">
        <v>0</v>
      </c>
      <c r="BS38" s="706"/>
      <c r="BT38" s="706"/>
      <c r="BU38" s="802"/>
      <c r="BV38" s="802">
        <v>408.20527581049816</v>
      </c>
      <c r="BW38" s="802">
        <v>408.20527581049816</v>
      </c>
      <c r="BX38" s="802">
        <v>408.20527581049816</v>
      </c>
      <c r="BY38" s="802">
        <v>408.20527581049816</v>
      </c>
      <c r="BZ38" s="802">
        <v>408.20527581049816</v>
      </c>
      <c r="CA38" s="802">
        <v>0</v>
      </c>
      <c r="CB38" s="802">
        <v>0</v>
      </c>
      <c r="CC38" s="802">
        <v>0</v>
      </c>
      <c r="CD38" s="802">
        <v>0</v>
      </c>
      <c r="CE38" s="802">
        <v>0</v>
      </c>
      <c r="CF38" s="802">
        <v>0</v>
      </c>
      <c r="CG38" s="802">
        <v>0</v>
      </c>
      <c r="CH38" s="802">
        <v>0</v>
      </c>
      <c r="CI38" s="802">
        <v>0</v>
      </c>
      <c r="CJ38" s="802">
        <v>0</v>
      </c>
      <c r="CK38" s="802">
        <v>0</v>
      </c>
      <c r="CL38" s="802">
        <v>0</v>
      </c>
      <c r="CM38" s="802">
        <v>0</v>
      </c>
      <c r="CN38" s="802">
        <v>0</v>
      </c>
      <c r="CO38" s="802">
        <v>0</v>
      </c>
      <c r="CP38" s="802">
        <v>0</v>
      </c>
      <c r="CQ38" s="802">
        <v>0</v>
      </c>
      <c r="CR38" s="802">
        <v>0</v>
      </c>
    </row>
    <row r="39" spans="1:96">
      <c r="A39" s="743" t="s">
        <v>3</v>
      </c>
      <c r="B39" s="752" t="s">
        <v>1139</v>
      </c>
      <c r="C39" s="743">
        <v>2014</v>
      </c>
      <c r="D39" s="773" t="s">
        <v>15</v>
      </c>
      <c r="E39" s="706" t="s">
        <v>21</v>
      </c>
      <c r="F39" s="706" t="s">
        <v>17</v>
      </c>
      <c r="G39" s="706"/>
      <c r="H39" s="743" t="s">
        <v>1120</v>
      </c>
      <c r="I39" s="706" t="s">
        <v>5</v>
      </c>
      <c r="J39" s="706" t="s">
        <v>376</v>
      </c>
      <c r="K39" s="706">
        <v>1</v>
      </c>
      <c r="L39" s="743"/>
      <c r="M39" s="743" t="s">
        <v>1141</v>
      </c>
      <c r="N39" s="743">
        <v>4</v>
      </c>
      <c r="O39" s="706"/>
      <c r="P39" s="706"/>
      <c r="Q39" s="706"/>
      <c r="R39" s="706"/>
      <c r="S39" s="706"/>
      <c r="T39" s="706"/>
      <c r="U39" s="706"/>
      <c r="V39" s="706"/>
      <c r="W39" s="793">
        <v>0.14372165331137679</v>
      </c>
      <c r="X39" s="802">
        <v>1040.6264850287016</v>
      </c>
      <c r="Y39" s="805">
        <v>4162.5059401148064</v>
      </c>
      <c r="Z39" s="805">
        <v>2016.8565546309214</v>
      </c>
      <c r="AA39" s="805">
        <v>504.21413865773036</v>
      </c>
      <c r="AB39" s="738">
        <v>6.96373681368124E-2</v>
      </c>
      <c r="AC39" s="706"/>
      <c r="AD39" s="706"/>
      <c r="AE39" s="770">
        <v>0.55147058823529405</v>
      </c>
      <c r="AF39" s="770">
        <v>3.5999999999999997E-2</v>
      </c>
      <c r="AG39" s="706" t="s">
        <v>7</v>
      </c>
      <c r="AH39" s="770">
        <v>0.48452941176470593</v>
      </c>
      <c r="AI39" s="748">
        <v>0.55147058823529405</v>
      </c>
      <c r="AJ39" s="748">
        <v>3.5999999999999997E-2</v>
      </c>
      <c r="AK39" s="748"/>
      <c r="AL39" s="770">
        <v>0.48452941176470593</v>
      </c>
      <c r="AM39" s="706"/>
      <c r="AN39" s="706"/>
      <c r="AO39" s="706"/>
      <c r="AP39" s="804">
        <v>1070.6264850287016</v>
      </c>
      <c r="AQ39" s="733">
        <v>1070.6264850287016</v>
      </c>
      <c r="AR39" s="706"/>
      <c r="AS39" s="706"/>
      <c r="AT39" s="706"/>
      <c r="AU39" s="803"/>
      <c r="AV39" s="803">
        <v>6.96373681368124E-2</v>
      </c>
      <c r="AW39" s="803">
        <v>6.96373681368124E-2</v>
      </c>
      <c r="AX39" s="803">
        <v>6.96373681368124E-2</v>
      </c>
      <c r="AY39" s="803">
        <v>6.96373681368124E-2</v>
      </c>
      <c r="AZ39" s="803">
        <v>0</v>
      </c>
      <c r="BA39" s="803">
        <v>0</v>
      </c>
      <c r="BB39" s="803">
        <v>0</v>
      </c>
      <c r="BC39" s="803">
        <v>0</v>
      </c>
      <c r="BD39" s="803">
        <v>0</v>
      </c>
      <c r="BE39" s="803">
        <v>0</v>
      </c>
      <c r="BF39" s="803">
        <v>0</v>
      </c>
      <c r="BG39" s="803">
        <v>0</v>
      </c>
      <c r="BH39" s="803">
        <v>0</v>
      </c>
      <c r="BI39" s="803">
        <v>0</v>
      </c>
      <c r="BJ39" s="803">
        <v>0</v>
      </c>
      <c r="BK39" s="803">
        <v>0</v>
      </c>
      <c r="BL39" s="803">
        <v>0</v>
      </c>
      <c r="BM39" s="803">
        <v>0</v>
      </c>
      <c r="BN39" s="803">
        <v>0</v>
      </c>
      <c r="BO39" s="803">
        <v>0</v>
      </c>
      <c r="BP39" s="803">
        <v>0</v>
      </c>
      <c r="BQ39" s="803">
        <v>0</v>
      </c>
      <c r="BR39" s="803">
        <v>0</v>
      </c>
      <c r="BS39" s="706"/>
      <c r="BT39" s="706"/>
      <c r="BU39" s="802"/>
      <c r="BV39" s="802">
        <v>504.21413865773036</v>
      </c>
      <c r="BW39" s="802">
        <v>504.21413865773036</v>
      </c>
      <c r="BX39" s="802">
        <v>504.21413865773036</v>
      </c>
      <c r="BY39" s="802">
        <v>504.21413865773036</v>
      </c>
      <c r="BZ39" s="802">
        <v>0</v>
      </c>
      <c r="CA39" s="802">
        <v>0</v>
      </c>
      <c r="CB39" s="802">
        <v>0</v>
      </c>
      <c r="CC39" s="802">
        <v>0</v>
      </c>
      <c r="CD39" s="802">
        <v>0</v>
      </c>
      <c r="CE39" s="802">
        <v>0</v>
      </c>
      <c r="CF39" s="802">
        <v>0</v>
      </c>
      <c r="CG39" s="802">
        <v>0</v>
      </c>
      <c r="CH39" s="802">
        <v>0</v>
      </c>
      <c r="CI39" s="802">
        <v>0</v>
      </c>
      <c r="CJ39" s="802">
        <v>0</v>
      </c>
      <c r="CK39" s="802">
        <v>0</v>
      </c>
      <c r="CL39" s="802">
        <v>0</v>
      </c>
      <c r="CM39" s="802">
        <v>0</v>
      </c>
      <c r="CN39" s="802">
        <v>0</v>
      </c>
      <c r="CO39" s="802">
        <v>0</v>
      </c>
      <c r="CP39" s="802">
        <v>0</v>
      </c>
      <c r="CQ39" s="802">
        <v>0</v>
      </c>
      <c r="CR39" s="802">
        <v>0</v>
      </c>
    </row>
    <row r="40" spans="1:96">
      <c r="A40" s="743" t="s">
        <v>3</v>
      </c>
      <c r="B40" s="752" t="s">
        <v>1139</v>
      </c>
      <c r="C40" s="743">
        <v>2014</v>
      </c>
      <c r="D40" s="773" t="s">
        <v>15</v>
      </c>
      <c r="E40" s="706" t="s">
        <v>21</v>
      </c>
      <c r="F40" s="706" t="s">
        <v>17</v>
      </c>
      <c r="G40" s="706"/>
      <c r="H40" s="743" t="s">
        <v>1114</v>
      </c>
      <c r="I40" s="706" t="s">
        <v>5</v>
      </c>
      <c r="J40" s="706" t="s">
        <v>376</v>
      </c>
      <c r="K40" s="706">
        <v>1</v>
      </c>
      <c r="L40" s="743"/>
      <c r="M40" s="743" t="s">
        <v>863</v>
      </c>
      <c r="N40" s="743">
        <v>5</v>
      </c>
      <c r="O40" s="706"/>
      <c r="P40" s="706"/>
      <c r="Q40" s="706"/>
      <c r="R40" s="706"/>
      <c r="S40" s="706"/>
      <c r="T40" s="706"/>
      <c r="U40" s="706"/>
      <c r="V40" s="706"/>
      <c r="W40" s="793">
        <v>0.12891159127639251</v>
      </c>
      <c r="X40" s="802">
        <v>877.16350560741421</v>
      </c>
      <c r="Y40" s="805">
        <v>4385.8175280370706</v>
      </c>
      <c r="Z40" s="805">
        <v>2041.0263790524905</v>
      </c>
      <c r="AA40" s="805">
        <v>408.20527581049816</v>
      </c>
      <c r="AB40" s="738">
        <v>5.9991542438499308E-2</v>
      </c>
      <c r="AC40" s="706"/>
      <c r="AD40" s="706"/>
      <c r="AE40" s="770">
        <v>0.57063034747686403</v>
      </c>
      <c r="AF40" s="770">
        <v>3.5999999999999997E-2</v>
      </c>
      <c r="AG40" s="706" t="s">
        <v>7</v>
      </c>
      <c r="AH40" s="770">
        <v>0.46536965252313595</v>
      </c>
      <c r="AI40" s="748">
        <v>0.57063034747686403</v>
      </c>
      <c r="AJ40" s="748">
        <v>3.5999999999999997E-2</v>
      </c>
      <c r="AK40" s="748"/>
      <c r="AL40" s="770">
        <v>0.46536965252313595</v>
      </c>
      <c r="AM40" s="706"/>
      <c r="AN40" s="706"/>
      <c r="AO40" s="706"/>
      <c r="AP40" s="804">
        <v>910.16350560741421</v>
      </c>
      <c r="AQ40" s="733">
        <v>910.16350560741421</v>
      </c>
      <c r="AR40" s="706"/>
      <c r="AS40" s="706"/>
      <c r="AT40" s="706"/>
      <c r="AU40" s="803"/>
      <c r="AV40" s="803">
        <v>5.9991542438499308E-2</v>
      </c>
      <c r="AW40" s="803">
        <v>5.9991542438499308E-2</v>
      </c>
      <c r="AX40" s="803">
        <v>5.9991542438499308E-2</v>
      </c>
      <c r="AY40" s="803">
        <v>5.9991542438499308E-2</v>
      </c>
      <c r="AZ40" s="803">
        <v>5.9991542438499308E-2</v>
      </c>
      <c r="BA40" s="803">
        <v>0</v>
      </c>
      <c r="BB40" s="803">
        <v>0</v>
      </c>
      <c r="BC40" s="803">
        <v>0</v>
      </c>
      <c r="BD40" s="803">
        <v>0</v>
      </c>
      <c r="BE40" s="803">
        <v>0</v>
      </c>
      <c r="BF40" s="803">
        <v>0</v>
      </c>
      <c r="BG40" s="803">
        <v>0</v>
      </c>
      <c r="BH40" s="803">
        <v>0</v>
      </c>
      <c r="BI40" s="803">
        <v>0</v>
      </c>
      <c r="BJ40" s="803">
        <v>0</v>
      </c>
      <c r="BK40" s="803">
        <v>0</v>
      </c>
      <c r="BL40" s="803">
        <v>0</v>
      </c>
      <c r="BM40" s="803">
        <v>0</v>
      </c>
      <c r="BN40" s="803">
        <v>0</v>
      </c>
      <c r="BO40" s="803">
        <v>0</v>
      </c>
      <c r="BP40" s="803">
        <v>0</v>
      </c>
      <c r="BQ40" s="803">
        <v>0</v>
      </c>
      <c r="BR40" s="803">
        <v>0</v>
      </c>
      <c r="BS40" s="706"/>
      <c r="BT40" s="706"/>
      <c r="BU40" s="802"/>
      <c r="BV40" s="802">
        <v>408.20527581049816</v>
      </c>
      <c r="BW40" s="802">
        <v>408.20527581049816</v>
      </c>
      <c r="BX40" s="802">
        <v>408.20527581049816</v>
      </c>
      <c r="BY40" s="802">
        <v>408.20527581049816</v>
      </c>
      <c r="BZ40" s="802">
        <v>408.20527581049816</v>
      </c>
      <c r="CA40" s="802">
        <v>0</v>
      </c>
      <c r="CB40" s="802">
        <v>0</v>
      </c>
      <c r="CC40" s="802">
        <v>0</v>
      </c>
      <c r="CD40" s="802">
        <v>0</v>
      </c>
      <c r="CE40" s="802">
        <v>0</v>
      </c>
      <c r="CF40" s="802">
        <v>0</v>
      </c>
      <c r="CG40" s="802">
        <v>0</v>
      </c>
      <c r="CH40" s="802">
        <v>0</v>
      </c>
      <c r="CI40" s="802">
        <v>0</v>
      </c>
      <c r="CJ40" s="802">
        <v>0</v>
      </c>
      <c r="CK40" s="802">
        <v>0</v>
      </c>
      <c r="CL40" s="802">
        <v>0</v>
      </c>
      <c r="CM40" s="802">
        <v>0</v>
      </c>
      <c r="CN40" s="802">
        <v>0</v>
      </c>
      <c r="CO40" s="802">
        <v>0</v>
      </c>
      <c r="CP40" s="802">
        <v>0</v>
      </c>
      <c r="CQ40" s="802">
        <v>0</v>
      </c>
      <c r="CR40" s="802">
        <v>0</v>
      </c>
    </row>
    <row r="41" spans="1:96">
      <c r="A41" s="743" t="s">
        <v>3</v>
      </c>
      <c r="B41" s="752" t="s">
        <v>1139</v>
      </c>
      <c r="C41" s="743">
        <v>2014</v>
      </c>
      <c r="D41" s="773" t="s">
        <v>15</v>
      </c>
      <c r="E41" s="706" t="s">
        <v>21</v>
      </c>
      <c r="F41" s="706" t="s">
        <v>17</v>
      </c>
      <c r="G41" s="706"/>
      <c r="H41" s="743" t="s">
        <v>1140</v>
      </c>
      <c r="I41" s="706" t="s">
        <v>5</v>
      </c>
      <c r="J41" s="706" t="s">
        <v>376</v>
      </c>
      <c r="K41" s="706">
        <v>1</v>
      </c>
      <c r="L41" s="743"/>
      <c r="M41" s="743" t="s">
        <v>1138</v>
      </c>
      <c r="N41" s="743">
        <v>3</v>
      </c>
      <c r="O41" s="706"/>
      <c r="P41" s="706"/>
      <c r="Q41" s="706"/>
      <c r="R41" s="706"/>
      <c r="S41" s="706"/>
      <c r="T41" s="706"/>
      <c r="U41" s="706"/>
      <c r="V41" s="706"/>
      <c r="W41" s="793">
        <v>0.30466473681290229</v>
      </c>
      <c r="X41" s="802">
        <v>272.44778761061946</v>
      </c>
      <c r="Y41" s="805">
        <v>817.34336283185837</v>
      </c>
      <c r="Z41" s="805">
        <v>313.22413982300878</v>
      </c>
      <c r="AA41" s="805">
        <v>104.4080466076696</v>
      </c>
      <c r="AB41" s="738">
        <v>0.11675429747418888</v>
      </c>
      <c r="AC41" s="706"/>
      <c r="AD41" s="706"/>
      <c r="AE41" s="770">
        <v>0.65277777777777779</v>
      </c>
      <c r="AF41" s="770">
        <v>3.5999999999999997E-2</v>
      </c>
      <c r="AG41" s="706" t="s">
        <v>7</v>
      </c>
      <c r="AH41" s="770">
        <v>0.38322222222222219</v>
      </c>
      <c r="AI41" s="748">
        <v>0.65277777777777779</v>
      </c>
      <c r="AJ41" s="748">
        <v>3.5999999999999997E-2</v>
      </c>
      <c r="AK41" s="748"/>
      <c r="AL41" s="770">
        <v>0.38322222222222219</v>
      </c>
      <c r="AM41" s="706"/>
      <c r="AN41" s="706"/>
      <c r="AO41" s="706"/>
      <c r="AP41" s="804">
        <v>312.44778761061946</v>
      </c>
      <c r="AQ41" s="733">
        <v>312.44778761061946</v>
      </c>
      <c r="AR41" s="706"/>
      <c r="AS41" s="706"/>
      <c r="AT41" s="706"/>
      <c r="AU41" s="803"/>
      <c r="AV41" s="803">
        <v>0.11675429747418888</v>
      </c>
      <c r="AW41" s="803">
        <v>0.11675429747418888</v>
      </c>
      <c r="AX41" s="803">
        <v>0.11675429747418888</v>
      </c>
      <c r="AY41" s="803">
        <v>0</v>
      </c>
      <c r="AZ41" s="803">
        <v>0</v>
      </c>
      <c r="BA41" s="803">
        <v>0</v>
      </c>
      <c r="BB41" s="803">
        <v>0</v>
      </c>
      <c r="BC41" s="803">
        <v>0</v>
      </c>
      <c r="BD41" s="803">
        <v>0</v>
      </c>
      <c r="BE41" s="803">
        <v>0</v>
      </c>
      <c r="BF41" s="803">
        <v>0</v>
      </c>
      <c r="BG41" s="803">
        <v>0</v>
      </c>
      <c r="BH41" s="803">
        <v>0</v>
      </c>
      <c r="BI41" s="803">
        <v>0</v>
      </c>
      <c r="BJ41" s="803">
        <v>0</v>
      </c>
      <c r="BK41" s="803">
        <v>0</v>
      </c>
      <c r="BL41" s="803">
        <v>0</v>
      </c>
      <c r="BM41" s="803">
        <v>0</v>
      </c>
      <c r="BN41" s="803">
        <v>0</v>
      </c>
      <c r="BO41" s="803">
        <v>0</v>
      </c>
      <c r="BP41" s="803">
        <v>0</v>
      </c>
      <c r="BQ41" s="803">
        <v>0</v>
      </c>
      <c r="BR41" s="803">
        <v>0</v>
      </c>
      <c r="BS41" s="706"/>
      <c r="BT41" s="706"/>
      <c r="BU41" s="802"/>
      <c r="BV41" s="802">
        <v>104.4080466076696</v>
      </c>
      <c r="BW41" s="802">
        <v>104.4080466076696</v>
      </c>
      <c r="BX41" s="802">
        <v>104.4080466076696</v>
      </c>
      <c r="BY41" s="802">
        <v>0</v>
      </c>
      <c r="BZ41" s="802">
        <v>0</v>
      </c>
      <c r="CA41" s="802">
        <v>0</v>
      </c>
      <c r="CB41" s="802">
        <v>0</v>
      </c>
      <c r="CC41" s="802">
        <v>0</v>
      </c>
      <c r="CD41" s="802">
        <v>0</v>
      </c>
      <c r="CE41" s="802">
        <v>0</v>
      </c>
      <c r="CF41" s="802">
        <v>0</v>
      </c>
      <c r="CG41" s="802">
        <v>0</v>
      </c>
      <c r="CH41" s="802">
        <v>0</v>
      </c>
      <c r="CI41" s="802">
        <v>0</v>
      </c>
      <c r="CJ41" s="802">
        <v>0</v>
      </c>
      <c r="CK41" s="802">
        <v>0</v>
      </c>
      <c r="CL41" s="802">
        <v>0</v>
      </c>
      <c r="CM41" s="802">
        <v>0</v>
      </c>
      <c r="CN41" s="802">
        <v>0</v>
      </c>
      <c r="CO41" s="802">
        <v>0</v>
      </c>
      <c r="CP41" s="802">
        <v>0</v>
      </c>
      <c r="CQ41" s="802">
        <v>0</v>
      </c>
      <c r="CR41" s="802">
        <v>0</v>
      </c>
    </row>
    <row r="42" spans="1:96">
      <c r="A42" s="743" t="s">
        <v>3</v>
      </c>
      <c r="B42" s="752" t="s">
        <v>1139</v>
      </c>
      <c r="C42" s="743">
        <v>2014</v>
      </c>
      <c r="D42" s="773" t="s">
        <v>15</v>
      </c>
      <c r="E42" s="706" t="s">
        <v>21</v>
      </c>
      <c r="F42" s="706" t="s">
        <v>17</v>
      </c>
      <c r="G42" s="706"/>
      <c r="H42" s="743" t="s">
        <v>1114</v>
      </c>
      <c r="I42" s="706" t="s">
        <v>5</v>
      </c>
      <c r="J42" s="706" t="s">
        <v>376</v>
      </c>
      <c r="K42" s="706">
        <v>1</v>
      </c>
      <c r="L42" s="743"/>
      <c r="M42" s="743" t="s">
        <v>1138</v>
      </c>
      <c r="N42" s="743">
        <v>5</v>
      </c>
      <c r="O42" s="706"/>
      <c r="P42" s="706"/>
      <c r="Q42" s="706"/>
      <c r="R42" s="706"/>
      <c r="S42" s="706"/>
      <c r="T42" s="706"/>
      <c r="U42" s="706"/>
      <c r="V42" s="706"/>
      <c r="W42" s="793">
        <v>0.12891159127639251</v>
      </c>
      <c r="X42" s="802">
        <v>877.16350560741421</v>
      </c>
      <c r="Y42" s="805">
        <v>4385.8175280370706</v>
      </c>
      <c r="Z42" s="805">
        <v>2041.0263790524905</v>
      </c>
      <c r="AA42" s="805">
        <v>408.20527581049816</v>
      </c>
      <c r="AB42" s="738">
        <v>5.9991542438499308E-2</v>
      </c>
      <c r="AC42" s="706"/>
      <c r="AD42" s="706"/>
      <c r="AE42" s="770">
        <v>0.57063034747686403</v>
      </c>
      <c r="AF42" s="770">
        <v>3.5999999999999997E-2</v>
      </c>
      <c r="AG42" s="706" t="s">
        <v>7</v>
      </c>
      <c r="AH42" s="770">
        <v>0.46536965252313595</v>
      </c>
      <c r="AI42" s="748">
        <v>0.57063034747686403</v>
      </c>
      <c r="AJ42" s="748">
        <v>3.5999999999999997E-2</v>
      </c>
      <c r="AK42" s="748"/>
      <c r="AL42" s="770">
        <v>0.46536965252313595</v>
      </c>
      <c r="AM42" s="706"/>
      <c r="AN42" s="706"/>
      <c r="AO42" s="706"/>
      <c r="AP42" s="804">
        <v>910.16350560741421</v>
      </c>
      <c r="AQ42" s="733">
        <v>910.16350560741421</v>
      </c>
      <c r="AR42" s="706"/>
      <c r="AS42" s="706"/>
      <c r="AT42" s="706"/>
      <c r="AU42" s="803"/>
      <c r="AV42" s="803">
        <v>5.9991542438499308E-2</v>
      </c>
      <c r="AW42" s="803">
        <v>5.9991542438499308E-2</v>
      </c>
      <c r="AX42" s="803">
        <v>5.9991542438499308E-2</v>
      </c>
      <c r="AY42" s="803">
        <v>5.9991542438499308E-2</v>
      </c>
      <c r="AZ42" s="803">
        <v>5.9991542438499308E-2</v>
      </c>
      <c r="BA42" s="803">
        <v>0</v>
      </c>
      <c r="BB42" s="803">
        <v>0</v>
      </c>
      <c r="BC42" s="803">
        <v>0</v>
      </c>
      <c r="BD42" s="803">
        <v>0</v>
      </c>
      <c r="BE42" s="803">
        <v>0</v>
      </c>
      <c r="BF42" s="803">
        <v>0</v>
      </c>
      <c r="BG42" s="803">
        <v>0</v>
      </c>
      <c r="BH42" s="803">
        <v>0</v>
      </c>
      <c r="BI42" s="803">
        <v>0</v>
      </c>
      <c r="BJ42" s="803">
        <v>0</v>
      </c>
      <c r="BK42" s="803">
        <v>0</v>
      </c>
      <c r="BL42" s="803">
        <v>0</v>
      </c>
      <c r="BM42" s="803">
        <v>0</v>
      </c>
      <c r="BN42" s="803">
        <v>0</v>
      </c>
      <c r="BO42" s="803">
        <v>0</v>
      </c>
      <c r="BP42" s="803">
        <v>0</v>
      </c>
      <c r="BQ42" s="803">
        <v>0</v>
      </c>
      <c r="BR42" s="803">
        <v>0</v>
      </c>
      <c r="BS42" s="706"/>
      <c r="BT42" s="706"/>
      <c r="BU42" s="802"/>
      <c r="BV42" s="802">
        <v>408.20527581049816</v>
      </c>
      <c r="BW42" s="802">
        <v>408.20527581049816</v>
      </c>
      <c r="BX42" s="802">
        <v>408.20527581049816</v>
      </c>
      <c r="BY42" s="802">
        <v>408.20527581049816</v>
      </c>
      <c r="BZ42" s="802">
        <v>408.20527581049816</v>
      </c>
      <c r="CA42" s="802">
        <v>0</v>
      </c>
      <c r="CB42" s="802">
        <v>0</v>
      </c>
      <c r="CC42" s="802">
        <v>0</v>
      </c>
      <c r="CD42" s="802">
        <v>0</v>
      </c>
      <c r="CE42" s="802">
        <v>0</v>
      </c>
      <c r="CF42" s="802">
        <v>0</v>
      </c>
      <c r="CG42" s="802">
        <v>0</v>
      </c>
      <c r="CH42" s="802">
        <v>0</v>
      </c>
      <c r="CI42" s="802">
        <v>0</v>
      </c>
      <c r="CJ42" s="802">
        <v>0</v>
      </c>
      <c r="CK42" s="802">
        <v>0</v>
      </c>
      <c r="CL42" s="802">
        <v>0</v>
      </c>
      <c r="CM42" s="802">
        <v>0</v>
      </c>
      <c r="CN42" s="802">
        <v>0</v>
      </c>
      <c r="CO42" s="802">
        <v>0</v>
      </c>
      <c r="CP42" s="802">
        <v>0</v>
      </c>
      <c r="CQ42" s="802">
        <v>0</v>
      </c>
      <c r="CR42" s="802">
        <v>0</v>
      </c>
    </row>
    <row r="43" spans="1:96">
      <c r="A43" s="743" t="s">
        <v>3</v>
      </c>
      <c r="B43" s="752" t="s">
        <v>1137</v>
      </c>
      <c r="C43" s="743">
        <v>2014</v>
      </c>
      <c r="D43" s="773" t="s">
        <v>15</v>
      </c>
      <c r="E43" s="706" t="s">
        <v>21</v>
      </c>
      <c r="F43" s="706" t="s">
        <v>17</v>
      </c>
      <c r="G43" s="706"/>
      <c r="H43" s="743" t="s">
        <v>1120</v>
      </c>
      <c r="I43" s="706" t="s">
        <v>5</v>
      </c>
      <c r="J43" s="706" t="s">
        <v>376</v>
      </c>
      <c r="K43" s="706">
        <v>1</v>
      </c>
      <c r="L43" s="743"/>
      <c r="M43" s="743" t="s">
        <v>1136</v>
      </c>
      <c r="N43" s="743">
        <v>4</v>
      </c>
      <c r="O43" s="706"/>
      <c r="P43" s="706"/>
      <c r="Q43" s="706"/>
      <c r="R43" s="706"/>
      <c r="S43" s="706"/>
      <c r="T43" s="706"/>
      <c r="U43" s="706"/>
      <c r="V43" s="706"/>
      <c r="W43" s="793">
        <v>0.14372165331137679</v>
      </c>
      <c r="X43" s="802">
        <v>1040.6264850287016</v>
      </c>
      <c r="Y43" s="805">
        <v>4162.5059401148064</v>
      </c>
      <c r="Z43" s="805">
        <v>2016.8565546309214</v>
      </c>
      <c r="AA43" s="805">
        <v>504.21413865773036</v>
      </c>
      <c r="AB43" s="738">
        <v>6.96373681368124E-2</v>
      </c>
      <c r="AC43" s="706"/>
      <c r="AD43" s="706"/>
      <c r="AE43" s="770">
        <v>0.55147058823529405</v>
      </c>
      <c r="AF43" s="770">
        <v>3.5999999999999997E-2</v>
      </c>
      <c r="AG43" s="706" t="s">
        <v>7</v>
      </c>
      <c r="AH43" s="770">
        <v>0.48452941176470593</v>
      </c>
      <c r="AI43" s="748">
        <v>0.55147058823529405</v>
      </c>
      <c r="AJ43" s="748">
        <v>3.5999999999999997E-2</v>
      </c>
      <c r="AK43" s="748"/>
      <c r="AL43" s="770">
        <v>0.48452941176470593</v>
      </c>
      <c r="AM43" s="706"/>
      <c r="AN43" s="706"/>
      <c r="AO43" s="706"/>
      <c r="AP43" s="804">
        <v>1070.6264850287016</v>
      </c>
      <c r="AQ43" s="733">
        <v>1070.6264850287016</v>
      </c>
      <c r="AR43" s="706"/>
      <c r="AS43" s="706"/>
      <c r="AT43" s="706"/>
      <c r="AU43" s="803"/>
      <c r="AV43" s="803">
        <v>6.96373681368124E-2</v>
      </c>
      <c r="AW43" s="803">
        <v>6.96373681368124E-2</v>
      </c>
      <c r="AX43" s="803">
        <v>6.96373681368124E-2</v>
      </c>
      <c r="AY43" s="803">
        <v>6.96373681368124E-2</v>
      </c>
      <c r="AZ43" s="803">
        <v>0</v>
      </c>
      <c r="BA43" s="803">
        <v>0</v>
      </c>
      <c r="BB43" s="803">
        <v>0</v>
      </c>
      <c r="BC43" s="803">
        <v>0</v>
      </c>
      <c r="BD43" s="803">
        <v>0</v>
      </c>
      <c r="BE43" s="803">
        <v>0</v>
      </c>
      <c r="BF43" s="803">
        <v>0</v>
      </c>
      <c r="BG43" s="803">
        <v>0</v>
      </c>
      <c r="BH43" s="803">
        <v>0</v>
      </c>
      <c r="BI43" s="803">
        <v>0</v>
      </c>
      <c r="BJ43" s="803">
        <v>0</v>
      </c>
      <c r="BK43" s="803">
        <v>0</v>
      </c>
      <c r="BL43" s="803">
        <v>0</v>
      </c>
      <c r="BM43" s="803">
        <v>0</v>
      </c>
      <c r="BN43" s="803">
        <v>0</v>
      </c>
      <c r="BO43" s="803">
        <v>0</v>
      </c>
      <c r="BP43" s="803">
        <v>0</v>
      </c>
      <c r="BQ43" s="803">
        <v>0</v>
      </c>
      <c r="BR43" s="803">
        <v>0</v>
      </c>
      <c r="BS43" s="706"/>
      <c r="BT43" s="706"/>
      <c r="BU43" s="802"/>
      <c r="BV43" s="802">
        <v>504.21413865773036</v>
      </c>
      <c r="BW43" s="802">
        <v>504.21413865773036</v>
      </c>
      <c r="BX43" s="802">
        <v>504.21413865773036</v>
      </c>
      <c r="BY43" s="802">
        <v>504.21413865773036</v>
      </c>
      <c r="BZ43" s="802">
        <v>0</v>
      </c>
      <c r="CA43" s="802">
        <v>0</v>
      </c>
      <c r="CB43" s="802">
        <v>0</v>
      </c>
      <c r="CC43" s="802">
        <v>0</v>
      </c>
      <c r="CD43" s="802">
        <v>0</v>
      </c>
      <c r="CE43" s="802">
        <v>0</v>
      </c>
      <c r="CF43" s="802">
        <v>0</v>
      </c>
      <c r="CG43" s="802">
        <v>0</v>
      </c>
      <c r="CH43" s="802">
        <v>0</v>
      </c>
      <c r="CI43" s="802">
        <v>0</v>
      </c>
      <c r="CJ43" s="802">
        <v>0</v>
      </c>
      <c r="CK43" s="802">
        <v>0</v>
      </c>
      <c r="CL43" s="802">
        <v>0</v>
      </c>
      <c r="CM43" s="802">
        <v>0</v>
      </c>
      <c r="CN43" s="802">
        <v>0</v>
      </c>
      <c r="CO43" s="802">
        <v>0</v>
      </c>
      <c r="CP43" s="802">
        <v>0</v>
      </c>
      <c r="CQ43" s="802">
        <v>0</v>
      </c>
      <c r="CR43" s="802">
        <v>0</v>
      </c>
    </row>
    <row r="44" spans="1:96">
      <c r="A44" s="743" t="s">
        <v>3</v>
      </c>
      <c r="B44" s="752" t="s">
        <v>1135</v>
      </c>
      <c r="C44" s="743">
        <v>2014</v>
      </c>
      <c r="D44" s="773" t="s">
        <v>15</v>
      </c>
      <c r="E44" s="706" t="s">
        <v>21</v>
      </c>
      <c r="F44" s="706" t="s">
        <v>17</v>
      </c>
      <c r="G44" s="706"/>
      <c r="H44" s="743" t="s">
        <v>1114</v>
      </c>
      <c r="I44" s="706" t="s">
        <v>5</v>
      </c>
      <c r="J44" s="706" t="s">
        <v>376</v>
      </c>
      <c r="K44" s="706">
        <v>1</v>
      </c>
      <c r="L44" s="743"/>
      <c r="M44" s="743" t="s">
        <v>1134</v>
      </c>
      <c r="N44" s="743">
        <v>5</v>
      </c>
      <c r="O44" s="706"/>
      <c r="P44" s="706"/>
      <c r="Q44" s="706"/>
      <c r="R44" s="706"/>
      <c r="S44" s="706"/>
      <c r="T44" s="706"/>
      <c r="U44" s="706"/>
      <c r="V44" s="706"/>
      <c r="W44" s="793">
        <v>0.12891159127639251</v>
      </c>
      <c r="X44" s="802">
        <v>877.16350560741421</v>
      </c>
      <c r="Y44" s="805">
        <v>4385.8175280370706</v>
      </c>
      <c r="Z44" s="805">
        <v>2041.0263790524905</v>
      </c>
      <c r="AA44" s="805">
        <v>408.20527581049816</v>
      </c>
      <c r="AB44" s="738">
        <v>5.9991542438499308E-2</v>
      </c>
      <c r="AC44" s="706"/>
      <c r="AD44" s="706"/>
      <c r="AE44" s="770">
        <v>0.57063034747686403</v>
      </c>
      <c r="AF44" s="770">
        <v>3.5999999999999997E-2</v>
      </c>
      <c r="AG44" s="706" t="s">
        <v>7</v>
      </c>
      <c r="AH44" s="770">
        <v>0.46536965252313595</v>
      </c>
      <c r="AI44" s="748">
        <v>0.57063034747686403</v>
      </c>
      <c r="AJ44" s="748">
        <v>3.5999999999999997E-2</v>
      </c>
      <c r="AK44" s="748"/>
      <c r="AL44" s="770">
        <v>0.46536965252313595</v>
      </c>
      <c r="AM44" s="706"/>
      <c r="AN44" s="706"/>
      <c r="AO44" s="706"/>
      <c r="AP44" s="804">
        <v>910.16350560741421</v>
      </c>
      <c r="AQ44" s="733">
        <v>910.16350560741421</v>
      </c>
      <c r="AR44" s="706"/>
      <c r="AS44" s="706"/>
      <c r="AT44" s="706"/>
      <c r="AU44" s="803"/>
      <c r="AV44" s="803">
        <v>5.9991542438499308E-2</v>
      </c>
      <c r="AW44" s="803">
        <v>5.9991542438499308E-2</v>
      </c>
      <c r="AX44" s="803">
        <v>5.9991542438499308E-2</v>
      </c>
      <c r="AY44" s="803">
        <v>5.9991542438499308E-2</v>
      </c>
      <c r="AZ44" s="803">
        <v>5.9991542438499308E-2</v>
      </c>
      <c r="BA44" s="803">
        <v>0</v>
      </c>
      <c r="BB44" s="803">
        <v>0</v>
      </c>
      <c r="BC44" s="803">
        <v>0</v>
      </c>
      <c r="BD44" s="803">
        <v>0</v>
      </c>
      <c r="BE44" s="803">
        <v>0</v>
      </c>
      <c r="BF44" s="803">
        <v>0</v>
      </c>
      <c r="BG44" s="803">
        <v>0</v>
      </c>
      <c r="BH44" s="803">
        <v>0</v>
      </c>
      <c r="BI44" s="803">
        <v>0</v>
      </c>
      <c r="BJ44" s="803">
        <v>0</v>
      </c>
      <c r="BK44" s="803">
        <v>0</v>
      </c>
      <c r="BL44" s="803">
        <v>0</v>
      </c>
      <c r="BM44" s="803">
        <v>0</v>
      </c>
      <c r="BN44" s="803">
        <v>0</v>
      </c>
      <c r="BO44" s="803">
        <v>0</v>
      </c>
      <c r="BP44" s="803">
        <v>0</v>
      </c>
      <c r="BQ44" s="803">
        <v>0</v>
      </c>
      <c r="BR44" s="803">
        <v>0</v>
      </c>
      <c r="BS44" s="706"/>
      <c r="BT44" s="706"/>
      <c r="BU44" s="802"/>
      <c r="BV44" s="802">
        <v>408.20527581049816</v>
      </c>
      <c r="BW44" s="802">
        <v>408.20527581049816</v>
      </c>
      <c r="BX44" s="802">
        <v>408.20527581049816</v>
      </c>
      <c r="BY44" s="802">
        <v>408.20527581049816</v>
      </c>
      <c r="BZ44" s="802">
        <v>408.20527581049816</v>
      </c>
      <c r="CA44" s="802">
        <v>0</v>
      </c>
      <c r="CB44" s="802">
        <v>0</v>
      </c>
      <c r="CC44" s="802">
        <v>0</v>
      </c>
      <c r="CD44" s="802">
        <v>0</v>
      </c>
      <c r="CE44" s="802">
        <v>0</v>
      </c>
      <c r="CF44" s="802">
        <v>0</v>
      </c>
      <c r="CG44" s="802">
        <v>0</v>
      </c>
      <c r="CH44" s="802">
        <v>0</v>
      </c>
      <c r="CI44" s="802">
        <v>0</v>
      </c>
      <c r="CJ44" s="802">
        <v>0</v>
      </c>
      <c r="CK44" s="802">
        <v>0</v>
      </c>
      <c r="CL44" s="802">
        <v>0</v>
      </c>
      <c r="CM44" s="802">
        <v>0</v>
      </c>
      <c r="CN44" s="802">
        <v>0</v>
      </c>
      <c r="CO44" s="802">
        <v>0</v>
      </c>
      <c r="CP44" s="802">
        <v>0</v>
      </c>
      <c r="CQ44" s="802">
        <v>0</v>
      </c>
      <c r="CR44" s="802">
        <v>0</v>
      </c>
    </row>
    <row r="45" spans="1:96">
      <c r="A45" s="743" t="s">
        <v>3</v>
      </c>
      <c r="B45" s="752" t="s">
        <v>1133</v>
      </c>
      <c r="C45" s="743">
        <v>2014</v>
      </c>
      <c r="D45" s="773" t="s">
        <v>15</v>
      </c>
      <c r="E45" s="706" t="s">
        <v>21</v>
      </c>
      <c r="F45" s="706" t="s">
        <v>17</v>
      </c>
      <c r="G45" s="706"/>
      <c r="H45" s="743" t="s">
        <v>1120</v>
      </c>
      <c r="I45" s="706" t="s">
        <v>5</v>
      </c>
      <c r="J45" s="706" t="s">
        <v>376</v>
      </c>
      <c r="K45" s="706">
        <v>1</v>
      </c>
      <c r="L45" s="743"/>
      <c r="M45" s="743" t="s">
        <v>1132</v>
      </c>
      <c r="N45" s="743">
        <v>4</v>
      </c>
      <c r="O45" s="706"/>
      <c r="P45" s="706"/>
      <c r="Q45" s="706"/>
      <c r="R45" s="706"/>
      <c r="S45" s="706"/>
      <c r="T45" s="706"/>
      <c r="U45" s="706"/>
      <c r="V45" s="706"/>
      <c r="W45" s="793">
        <v>0.14372165331137679</v>
      </c>
      <c r="X45" s="802">
        <v>1040.6264850287016</v>
      </c>
      <c r="Y45" s="805">
        <v>4162.5059401148064</v>
      </c>
      <c r="Z45" s="805">
        <v>2016.8565546309214</v>
      </c>
      <c r="AA45" s="805">
        <v>504.21413865773036</v>
      </c>
      <c r="AB45" s="738">
        <v>6.96373681368124E-2</v>
      </c>
      <c r="AC45" s="706"/>
      <c r="AD45" s="706"/>
      <c r="AE45" s="770">
        <v>0.55147058823529405</v>
      </c>
      <c r="AF45" s="770">
        <v>3.5999999999999997E-2</v>
      </c>
      <c r="AG45" s="706" t="s">
        <v>7</v>
      </c>
      <c r="AH45" s="770">
        <v>0.48452941176470593</v>
      </c>
      <c r="AI45" s="748">
        <v>0.55147058823529405</v>
      </c>
      <c r="AJ45" s="748">
        <v>3.5999999999999997E-2</v>
      </c>
      <c r="AK45" s="748"/>
      <c r="AL45" s="770">
        <v>0.48452941176470593</v>
      </c>
      <c r="AM45" s="706"/>
      <c r="AN45" s="706"/>
      <c r="AO45" s="706"/>
      <c r="AP45" s="804">
        <v>1070.6264850287016</v>
      </c>
      <c r="AQ45" s="733">
        <v>1070.6264850287016</v>
      </c>
      <c r="AR45" s="706"/>
      <c r="AS45" s="706"/>
      <c r="AT45" s="706"/>
      <c r="AU45" s="803"/>
      <c r="AV45" s="803">
        <v>6.96373681368124E-2</v>
      </c>
      <c r="AW45" s="803">
        <v>6.96373681368124E-2</v>
      </c>
      <c r="AX45" s="803">
        <v>6.96373681368124E-2</v>
      </c>
      <c r="AY45" s="803">
        <v>6.96373681368124E-2</v>
      </c>
      <c r="AZ45" s="803">
        <v>0</v>
      </c>
      <c r="BA45" s="803">
        <v>0</v>
      </c>
      <c r="BB45" s="803">
        <v>0</v>
      </c>
      <c r="BC45" s="803">
        <v>0</v>
      </c>
      <c r="BD45" s="803">
        <v>0</v>
      </c>
      <c r="BE45" s="803">
        <v>0</v>
      </c>
      <c r="BF45" s="803">
        <v>0</v>
      </c>
      <c r="BG45" s="803">
        <v>0</v>
      </c>
      <c r="BH45" s="803">
        <v>0</v>
      </c>
      <c r="BI45" s="803">
        <v>0</v>
      </c>
      <c r="BJ45" s="803">
        <v>0</v>
      </c>
      <c r="BK45" s="803">
        <v>0</v>
      </c>
      <c r="BL45" s="803">
        <v>0</v>
      </c>
      <c r="BM45" s="803">
        <v>0</v>
      </c>
      <c r="BN45" s="803">
        <v>0</v>
      </c>
      <c r="BO45" s="803">
        <v>0</v>
      </c>
      <c r="BP45" s="803">
        <v>0</v>
      </c>
      <c r="BQ45" s="803">
        <v>0</v>
      </c>
      <c r="BR45" s="803">
        <v>0</v>
      </c>
      <c r="BS45" s="706"/>
      <c r="BT45" s="706"/>
      <c r="BU45" s="802"/>
      <c r="BV45" s="802">
        <v>504.21413865773036</v>
      </c>
      <c r="BW45" s="802">
        <v>504.21413865773036</v>
      </c>
      <c r="BX45" s="802">
        <v>504.21413865773036</v>
      </c>
      <c r="BY45" s="802">
        <v>504.21413865773036</v>
      </c>
      <c r="BZ45" s="802">
        <v>0</v>
      </c>
      <c r="CA45" s="802">
        <v>0</v>
      </c>
      <c r="CB45" s="802">
        <v>0</v>
      </c>
      <c r="CC45" s="802">
        <v>0</v>
      </c>
      <c r="CD45" s="802">
        <v>0</v>
      </c>
      <c r="CE45" s="802">
        <v>0</v>
      </c>
      <c r="CF45" s="802">
        <v>0</v>
      </c>
      <c r="CG45" s="802">
        <v>0</v>
      </c>
      <c r="CH45" s="802">
        <v>0</v>
      </c>
      <c r="CI45" s="802">
        <v>0</v>
      </c>
      <c r="CJ45" s="802">
        <v>0</v>
      </c>
      <c r="CK45" s="802">
        <v>0</v>
      </c>
      <c r="CL45" s="802">
        <v>0</v>
      </c>
      <c r="CM45" s="802">
        <v>0</v>
      </c>
      <c r="CN45" s="802">
        <v>0</v>
      </c>
      <c r="CO45" s="802">
        <v>0</v>
      </c>
      <c r="CP45" s="802">
        <v>0</v>
      </c>
      <c r="CQ45" s="802">
        <v>0</v>
      </c>
      <c r="CR45" s="802">
        <v>0</v>
      </c>
    </row>
    <row r="46" spans="1:96">
      <c r="A46" s="743" t="s">
        <v>3</v>
      </c>
      <c r="B46" s="752" t="s">
        <v>1131</v>
      </c>
      <c r="C46" s="743">
        <v>2014</v>
      </c>
      <c r="D46" s="773" t="s">
        <v>15</v>
      </c>
      <c r="E46" s="706" t="s">
        <v>21</v>
      </c>
      <c r="F46" s="706" t="s">
        <v>17</v>
      </c>
      <c r="G46" s="706"/>
      <c r="H46" s="743" t="s">
        <v>1120</v>
      </c>
      <c r="I46" s="706" t="s">
        <v>5</v>
      </c>
      <c r="J46" s="706" t="s">
        <v>376</v>
      </c>
      <c r="K46" s="706">
        <v>1</v>
      </c>
      <c r="L46" s="743"/>
      <c r="M46" s="743" t="s">
        <v>1130</v>
      </c>
      <c r="N46" s="743">
        <v>4</v>
      </c>
      <c r="O46" s="706"/>
      <c r="P46" s="706"/>
      <c r="Q46" s="706"/>
      <c r="R46" s="706"/>
      <c r="S46" s="706"/>
      <c r="T46" s="706"/>
      <c r="U46" s="706"/>
      <c r="V46" s="706"/>
      <c r="W46" s="793">
        <v>0.14372165331137679</v>
      </c>
      <c r="X46" s="802">
        <v>1040.6264850287016</v>
      </c>
      <c r="Y46" s="805">
        <v>4162.5059401148064</v>
      </c>
      <c r="Z46" s="805">
        <v>2016.8565546309214</v>
      </c>
      <c r="AA46" s="805">
        <v>504.21413865773036</v>
      </c>
      <c r="AB46" s="738">
        <v>6.96373681368124E-2</v>
      </c>
      <c r="AC46" s="706"/>
      <c r="AD46" s="706"/>
      <c r="AE46" s="770">
        <v>0.55147058823529405</v>
      </c>
      <c r="AF46" s="770">
        <v>3.5999999999999997E-2</v>
      </c>
      <c r="AG46" s="706" t="s">
        <v>7</v>
      </c>
      <c r="AH46" s="770">
        <v>0.48452941176470593</v>
      </c>
      <c r="AI46" s="748">
        <v>0.55147058823529405</v>
      </c>
      <c r="AJ46" s="748">
        <v>3.5999999999999997E-2</v>
      </c>
      <c r="AK46" s="748"/>
      <c r="AL46" s="770">
        <v>0.48452941176470593</v>
      </c>
      <c r="AM46" s="706"/>
      <c r="AN46" s="706"/>
      <c r="AO46" s="706"/>
      <c r="AP46" s="804">
        <v>1070.6264850287016</v>
      </c>
      <c r="AQ46" s="733">
        <v>1070.6264850287016</v>
      </c>
      <c r="AR46" s="706"/>
      <c r="AS46" s="706"/>
      <c r="AT46" s="706"/>
      <c r="AU46" s="803"/>
      <c r="AV46" s="803">
        <v>6.96373681368124E-2</v>
      </c>
      <c r="AW46" s="803">
        <v>6.96373681368124E-2</v>
      </c>
      <c r="AX46" s="803">
        <v>6.96373681368124E-2</v>
      </c>
      <c r="AY46" s="803">
        <v>6.96373681368124E-2</v>
      </c>
      <c r="AZ46" s="803">
        <v>0</v>
      </c>
      <c r="BA46" s="803">
        <v>0</v>
      </c>
      <c r="BB46" s="803">
        <v>0</v>
      </c>
      <c r="BC46" s="803">
        <v>0</v>
      </c>
      <c r="BD46" s="803">
        <v>0</v>
      </c>
      <c r="BE46" s="803">
        <v>0</v>
      </c>
      <c r="BF46" s="803">
        <v>0</v>
      </c>
      <c r="BG46" s="803">
        <v>0</v>
      </c>
      <c r="BH46" s="803">
        <v>0</v>
      </c>
      <c r="BI46" s="803">
        <v>0</v>
      </c>
      <c r="BJ46" s="803">
        <v>0</v>
      </c>
      <c r="BK46" s="803">
        <v>0</v>
      </c>
      <c r="BL46" s="803">
        <v>0</v>
      </c>
      <c r="BM46" s="803">
        <v>0</v>
      </c>
      <c r="BN46" s="803">
        <v>0</v>
      </c>
      <c r="BO46" s="803">
        <v>0</v>
      </c>
      <c r="BP46" s="803">
        <v>0</v>
      </c>
      <c r="BQ46" s="803">
        <v>0</v>
      </c>
      <c r="BR46" s="803">
        <v>0</v>
      </c>
      <c r="BS46" s="706"/>
      <c r="BT46" s="706"/>
      <c r="BU46" s="802"/>
      <c r="BV46" s="802">
        <v>504.21413865773036</v>
      </c>
      <c r="BW46" s="802">
        <v>504.21413865773036</v>
      </c>
      <c r="BX46" s="802">
        <v>504.21413865773036</v>
      </c>
      <c r="BY46" s="802">
        <v>504.21413865773036</v>
      </c>
      <c r="BZ46" s="802">
        <v>0</v>
      </c>
      <c r="CA46" s="802">
        <v>0</v>
      </c>
      <c r="CB46" s="802">
        <v>0</v>
      </c>
      <c r="CC46" s="802">
        <v>0</v>
      </c>
      <c r="CD46" s="802">
        <v>0</v>
      </c>
      <c r="CE46" s="802">
        <v>0</v>
      </c>
      <c r="CF46" s="802">
        <v>0</v>
      </c>
      <c r="CG46" s="802">
        <v>0</v>
      </c>
      <c r="CH46" s="802">
        <v>0</v>
      </c>
      <c r="CI46" s="802">
        <v>0</v>
      </c>
      <c r="CJ46" s="802">
        <v>0</v>
      </c>
      <c r="CK46" s="802">
        <v>0</v>
      </c>
      <c r="CL46" s="802">
        <v>0</v>
      </c>
      <c r="CM46" s="802">
        <v>0</v>
      </c>
      <c r="CN46" s="802">
        <v>0</v>
      </c>
      <c r="CO46" s="802">
        <v>0</v>
      </c>
      <c r="CP46" s="802">
        <v>0</v>
      </c>
      <c r="CQ46" s="802">
        <v>0</v>
      </c>
      <c r="CR46" s="802">
        <v>0</v>
      </c>
    </row>
    <row r="47" spans="1:96">
      <c r="A47" s="743" t="s">
        <v>3</v>
      </c>
      <c r="B47" s="752" t="s">
        <v>1129</v>
      </c>
      <c r="C47" s="743">
        <v>2014</v>
      </c>
      <c r="D47" s="773" t="s">
        <v>15</v>
      </c>
      <c r="E47" s="706" t="s">
        <v>21</v>
      </c>
      <c r="F47" s="706" t="s">
        <v>17</v>
      </c>
      <c r="G47" s="706"/>
      <c r="H47" s="743" t="s">
        <v>1120</v>
      </c>
      <c r="I47" s="706" t="s">
        <v>5</v>
      </c>
      <c r="J47" s="706" t="s">
        <v>376</v>
      </c>
      <c r="K47" s="706">
        <v>1</v>
      </c>
      <c r="L47" s="743"/>
      <c r="M47" s="743" t="s">
        <v>1128</v>
      </c>
      <c r="N47" s="743">
        <v>4</v>
      </c>
      <c r="O47" s="706"/>
      <c r="P47" s="706"/>
      <c r="Q47" s="706"/>
      <c r="R47" s="706"/>
      <c r="S47" s="706"/>
      <c r="T47" s="706"/>
      <c r="U47" s="706"/>
      <c r="V47" s="706"/>
      <c r="W47" s="793">
        <v>0.14372165331137679</v>
      </c>
      <c r="X47" s="802">
        <v>1040.6264850287016</v>
      </c>
      <c r="Y47" s="805">
        <v>4162.5059401148064</v>
      </c>
      <c r="Z47" s="805">
        <v>2016.8565546309214</v>
      </c>
      <c r="AA47" s="805">
        <v>504.21413865773036</v>
      </c>
      <c r="AB47" s="738">
        <v>6.96373681368124E-2</v>
      </c>
      <c r="AC47" s="706"/>
      <c r="AD47" s="706"/>
      <c r="AE47" s="770">
        <v>0.55147058823529405</v>
      </c>
      <c r="AF47" s="770">
        <v>3.5999999999999997E-2</v>
      </c>
      <c r="AG47" s="706" t="s">
        <v>7</v>
      </c>
      <c r="AH47" s="770">
        <v>0.48452941176470593</v>
      </c>
      <c r="AI47" s="748">
        <v>0.55147058823529405</v>
      </c>
      <c r="AJ47" s="748">
        <v>3.5999999999999997E-2</v>
      </c>
      <c r="AK47" s="748"/>
      <c r="AL47" s="770">
        <v>0.48452941176470593</v>
      </c>
      <c r="AM47" s="706"/>
      <c r="AN47" s="706"/>
      <c r="AO47" s="706"/>
      <c r="AP47" s="804">
        <v>1070.6264850287016</v>
      </c>
      <c r="AQ47" s="733">
        <v>1070.6264850287016</v>
      </c>
      <c r="AR47" s="706"/>
      <c r="AS47" s="706"/>
      <c r="AT47" s="706"/>
      <c r="AU47" s="803"/>
      <c r="AV47" s="803">
        <v>6.96373681368124E-2</v>
      </c>
      <c r="AW47" s="803">
        <v>6.96373681368124E-2</v>
      </c>
      <c r="AX47" s="803">
        <v>6.96373681368124E-2</v>
      </c>
      <c r="AY47" s="803">
        <v>6.96373681368124E-2</v>
      </c>
      <c r="AZ47" s="803">
        <v>0</v>
      </c>
      <c r="BA47" s="803">
        <v>0</v>
      </c>
      <c r="BB47" s="803">
        <v>0</v>
      </c>
      <c r="BC47" s="803">
        <v>0</v>
      </c>
      <c r="BD47" s="803">
        <v>0</v>
      </c>
      <c r="BE47" s="803">
        <v>0</v>
      </c>
      <c r="BF47" s="803">
        <v>0</v>
      </c>
      <c r="BG47" s="803">
        <v>0</v>
      </c>
      <c r="BH47" s="803">
        <v>0</v>
      </c>
      <c r="BI47" s="803">
        <v>0</v>
      </c>
      <c r="BJ47" s="803">
        <v>0</v>
      </c>
      <c r="BK47" s="803">
        <v>0</v>
      </c>
      <c r="BL47" s="803">
        <v>0</v>
      </c>
      <c r="BM47" s="803">
        <v>0</v>
      </c>
      <c r="BN47" s="803">
        <v>0</v>
      </c>
      <c r="BO47" s="803">
        <v>0</v>
      </c>
      <c r="BP47" s="803">
        <v>0</v>
      </c>
      <c r="BQ47" s="803">
        <v>0</v>
      </c>
      <c r="BR47" s="803">
        <v>0</v>
      </c>
      <c r="BS47" s="706"/>
      <c r="BT47" s="706"/>
      <c r="BU47" s="802"/>
      <c r="BV47" s="802">
        <v>504.21413865773036</v>
      </c>
      <c r="BW47" s="802">
        <v>504.21413865773036</v>
      </c>
      <c r="BX47" s="802">
        <v>504.21413865773036</v>
      </c>
      <c r="BY47" s="802">
        <v>504.21413865773036</v>
      </c>
      <c r="BZ47" s="802">
        <v>0</v>
      </c>
      <c r="CA47" s="802">
        <v>0</v>
      </c>
      <c r="CB47" s="802">
        <v>0</v>
      </c>
      <c r="CC47" s="802">
        <v>0</v>
      </c>
      <c r="CD47" s="802">
        <v>0</v>
      </c>
      <c r="CE47" s="802">
        <v>0</v>
      </c>
      <c r="CF47" s="802">
        <v>0</v>
      </c>
      <c r="CG47" s="802">
        <v>0</v>
      </c>
      <c r="CH47" s="802">
        <v>0</v>
      </c>
      <c r="CI47" s="802">
        <v>0</v>
      </c>
      <c r="CJ47" s="802">
        <v>0</v>
      </c>
      <c r="CK47" s="802">
        <v>0</v>
      </c>
      <c r="CL47" s="802">
        <v>0</v>
      </c>
      <c r="CM47" s="802">
        <v>0</v>
      </c>
      <c r="CN47" s="802">
        <v>0</v>
      </c>
      <c r="CO47" s="802">
        <v>0</v>
      </c>
      <c r="CP47" s="802">
        <v>0</v>
      </c>
      <c r="CQ47" s="802">
        <v>0</v>
      </c>
      <c r="CR47" s="802">
        <v>0</v>
      </c>
    </row>
    <row r="48" spans="1:96">
      <c r="A48" s="743" t="s">
        <v>3</v>
      </c>
      <c r="B48" s="752" t="s">
        <v>1126</v>
      </c>
      <c r="C48" s="743">
        <v>2014</v>
      </c>
      <c r="D48" s="773" t="s">
        <v>15</v>
      </c>
      <c r="E48" s="706" t="s">
        <v>21</v>
      </c>
      <c r="F48" s="706" t="s">
        <v>17</v>
      </c>
      <c r="G48" s="706"/>
      <c r="H48" s="743" t="s">
        <v>1127</v>
      </c>
      <c r="I48" s="706" t="s">
        <v>5</v>
      </c>
      <c r="J48" s="706" t="s">
        <v>376</v>
      </c>
      <c r="K48" s="706">
        <v>1</v>
      </c>
      <c r="L48" s="743"/>
      <c r="M48" s="743" t="s">
        <v>1125</v>
      </c>
      <c r="N48" s="743">
        <v>4</v>
      </c>
      <c r="O48" s="706"/>
      <c r="P48" s="706"/>
      <c r="Q48" s="706"/>
      <c r="R48" s="706"/>
      <c r="S48" s="706"/>
      <c r="T48" s="706"/>
      <c r="U48" s="706"/>
      <c r="V48" s="706"/>
      <c r="W48" s="793">
        <v>0.46184647995319622</v>
      </c>
      <c r="X48" s="802">
        <v>823.50080422112387</v>
      </c>
      <c r="Y48" s="805">
        <v>3294.0032168844955</v>
      </c>
      <c r="Z48" s="805">
        <v>1262.3352327816249</v>
      </c>
      <c r="AA48" s="805">
        <v>315.58380819540622</v>
      </c>
      <c r="AB48" s="738">
        <v>0.17698983437317484</v>
      </c>
      <c r="AC48" s="706"/>
      <c r="AD48" s="706"/>
      <c r="AE48" s="770">
        <v>0.65277777777777779</v>
      </c>
      <c r="AF48" s="770">
        <v>3.5999999999999997E-2</v>
      </c>
      <c r="AG48" s="706" t="s">
        <v>7</v>
      </c>
      <c r="AH48" s="770">
        <v>0.38322222222222219</v>
      </c>
      <c r="AI48" s="748">
        <v>0.65277777777777779</v>
      </c>
      <c r="AJ48" s="748">
        <v>3.5999999999999997E-2</v>
      </c>
      <c r="AK48" s="748"/>
      <c r="AL48" s="770">
        <v>0.38322222222222219</v>
      </c>
      <c r="AM48" s="706"/>
      <c r="AN48" s="706"/>
      <c r="AO48" s="706"/>
      <c r="AP48" s="804">
        <v>863.50080422112387</v>
      </c>
      <c r="AQ48" s="733">
        <v>863.50080422112387</v>
      </c>
      <c r="AR48" s="706"/>
      <c r="AS48" s="706"/>
      <c r="AT48" s="706"/>
      <c r="AU48" s="803"/>
      <c r="AV48" s="803">
        <v>0.17698983437317484</v>
      </c>
      <c r="AW48" s="803">
        <v>0.17698983437317484</v>
      </c>
      <c r="AX48" s="803">
        <v>0.17698983437317484</v>
      </c>
      <c r="AY48" s="803">
        <v>0.17698983437317484</v>
      </c>
      <c r="AZ48" s="803">
        <v>0</v>
      </c>
      <c r="BA48" s="803">
        <v>0</v>
      </c>
      <c r="BB48" s="803">
        <v>0</v>
      </c>
      <c r="BC48" s="803">
        <v>0</v>
      </c>
      <c r="BD48" s="803">
        <v>0</v>
      </c>
      <c r="BE48" s="803">
        <v>0</v>
      </c>
      <c r="BF48" s="803">
        <v>0</v>
      </c>
      <c r="BG48" s="803">
        <v>0</v>
      </c>
      <c r="BH48" s="803">
        <v>0</v>
      </c>
      <c r="BI48" s="803">
        <v>0</v>
      </c>
      <c r="BJ48" s="803">
        <v>0</v>
      </c>
      <c r="BK48" s="803">
        <v>0</v>
      </c>
      <c r="BL48" s="803">
        <v>0</v>
      </c>
      <c r="BM48" s="803">
        <v>0</v>
      </c>
      <c r="BN48" s="803">
        <v>0</v>
      </c>
      <c r="BO48" s="803">
        <v>0</v>
      </c>
      <c r="BP48" s="803">
        <v>0</v>
      </c>
      <c r="BQ48" s="803">
        <v>0</v>
      </c>
      <c r="BR48" s="803">
        <v>0</v>
      </c>
      <c r="BS48" s="706"/>
      <c r="BT48" s="706"/>
      <c r="BU48" s="802"/>
      <c r="BV48" s="802">
        <v>315.58380819540622</v>
      </c>
      <c r="BW48" s="802">
        <v>315.58380819540622</v>
      </c>
      <c r="BX48" s="802">
        <v>315.58380819540622</v>
      </c>
      <c r="BY48" s="802">
        <v>315.58380819540622</v>
      </c>
      <c r="BZ48" s="802">
        <v>0</v>
      </c>
      <c r="CA48" s="802">
        <v>0</v>
      </c>
      <c r="CB48" s="802">
        <v>0</v>
      </c>
      <c r="CC48" s="802">
        <v>0</v>
      </c>
      <c r="CD48" s="802">
        <v>0</v>
      </c>
      <c r="CE48" s="802">
        <v>0</v>
      </c>
      <c r="CF48" s="802">
        <v>0</v>
      </c>
      <c r="CG48" s="802">
        <v>0</v>
      </c>
      <c r="CH48" s="802">
        <v>0</v>
      </c>
      <c r="CI48" s="802">
        <v>0</v>
      </c>
      <c r="CJ48" s="802">
        <v>0</v>
      </c>
      <c r="CK48" s="802">
        <v>0</v>
      </c>
      <c r="CL48" s="802">
        <v>0</v>
      </c>
      <c r="CM48" s="802">
        <v>0</v>
      </c>
      <c r="CN48" s="802">
        <v>0</v>
      </c>
      <c r="CO48" s="802">
        <v>0</v>
      </c>
      <c r="CP48" s="802">
        <v>0</v>
      </c>
      <c r="CQ48" s="802">
        <v>0</v>
      </c>
      <c r="CR48" s="802">
        <v>0</v>
      </c>
    </row>
    <row r="49" spans="1:96">
      <c r="A49" s="743" t="s">
        <v>3</v>
      </c>
      <c r="B49" s="752" t="s">
        <v>1126</v>
      </c>
      <c r="C49" s="743">
        <v>2014</v>
      </c>
      <c r="D49" s="773" t="s">
        <v>15</v>
      </c>
      <c r="E49" s="706" t="s">
        <v>21</v>
      </c>
      <c r="F49" s="706" t="s">
        <v>17</v>
      </c>
      <c r="G49" s="706"/>
      <c r="H49" s="743" t="s">
        <v>1120</v>
      </c>
      <c r="I49" s="706" t="s">
        <v>5</v>
      </c>
      <c r="J49" s="706" t="s">
        <v>376</v>
      </c>
      <c r="K49" s="706">
        <v>1</v>
      </c>
      <c r="L49" s="743"/>
      <c r="M49" s="743" t="s">
        <v>1125</v>
      </c>
      <c r="N49" s="743">
        <v>4</v>
      </c>
      <c r="O49" s="706"/>
      <c r="P49" s="706"/>
      <c r="Q49" s="706"/>
      <c r="R49" s="706"/>
      <c r="S49" s="706"/>
      <c r="T49" s="706"/>
      <c r="U49" s="706"/>
      <c r="V49" s="706"/>
      <c r="W49" s="793">
        <v>0.14372165331137679</v>
      </c>
      <c r="X49" s="802">
        <v>1040.6264850287016</v>
      </c>
      <c r="Y49" s="805">
        <v>4162.5059401148064</v>
      </c>
      <c r="Z49" s="805">
        <v>2016.8565546309214</v>
      </c>
      <c r="AA49" s="805">
        <v>504.21413865773036</v>
      </c>
      <c r="AB49" s="738">
        <v>6.96373681368124E-2</v>
      </c>
      <c r="AC49" s="706"/>
      <c r="AD49" s="706"/>
      <c r="AE49" s="770">
        <v>0.55147058823529405</v>
      </c>
      <c r="AF49" s="770">
        <v>3.5999999999999997E-2</v>
      </c>
      <c r="AG49" s="706" t="s">
        <v>7</v>
      </c>
      <c r="AH49" s="770">
        <v>0.48452941176470593</v>
      </c>
      <c r="AI49" s="748">
        <v>0.55147058823529405</v>
      </c>
      <c r="AJ49" s="748">
        <v>3.5999999999999997E-2</v>
      </c>
      <c r="AK49" s="748"/>
      <c r="AL49" s="770">
        <v>0.48452941176470593</v>
      </c>
      <c r="AM49" s="706"/>
      <c r="AN49" s="706"/>
      <c r="AO49" s="706"/>
      <c r="AP49" s="804">
        <v>1070.6264850287016</v>
      </c>
      <c r="AQ49" s="733">
        <v>1070.6264850287016</v>
      </c>
      <c r="AR49" s="706"/>
      <c r="AS49" s="706"/>
      <c r="AT49" s="706"/>
      <c r="AU49" s="803"/>
      <c r="AV49" s="803">
        <v>6.96373681368124E-2</v>
      </c>
      <c r="AW49" s="803">
        <v>6.96373681368124E-2</v>
      </c>
      <c r="AX49" s="803">
        <v>6.96373681368124E-2</v>
      </c>
      <c r="AY49" s="803">
        <v>6.96373681368124E-2</v>
      </c>
      <c r="AZ49" s="803">
        <v>0</v>
      </c>
      <c r="BA49" s="803">
        <v>0</v>
      </c>
      <c r="BB49" s="803">
        <v>0</v>
      </c>
      <c r="BC49" s="803">
        <v>0</v>
      </c>
      <c r="BD49" s="803">
        <v>0</v>
      </c>
      <c r="BE49" s="803">
        <v>0</v>
      </c>
      <c r="BF49" s="803">
        <v>0</v>
      </c>
      <c r="BG49" s="803">
        <v>0</v>
      </c>
      <c r="BH49" s="803">
        <v>0</v>
      </c>
      <c r="BI49" s="803">
        <v>0</v>
      </c>
      <c r="BJ49" s="803">
        <v>0</v>
      </c>
      <c r="BK49" s="803">
        <v>0</v>
      </c>
      <c r="BL49" s="803">
        <v>0</v>
      </c>
      <c r="BM49" s="803">
        <v>0</v>
      </c>
      <c r="BN49" s="803">
        <v>0</v>
      </c>
      <c r="BO49" s="803">
        <v>0</v>
      </c>
      <c r="BP49" s="803">
        <v>0</v>
      </c>
      <c r="BQ49" s="803">
        <v>0</v>
      </c>
      <c r="BR49" s="803">
        <v>0</v>
      </c>
      <c r="BS49" s="706"/>
      <c r="BT49" s="706"/>
      <c r="BU49" s="802"/>
      <c r="BV49" s="802">
        <v>504.21413865773036</v>
      </c>
      <c r="BW49" s="802">
        <v>504.21413865773036</v>
      </c>
      <c r="BX49" s="802">
        <v>504.21413865773036</v>
      </c>
      <c r="BY49" s="802">
        <v>504.21413865773036</v>
      </c>
      <c r="BZ49" s="802">
        <v>0</v>
      </c>
      <c r="CA49" s="802">
        <v>0</v>
      </c>
      <c r="CB49" s="802">
        <v>0</v>
      </c>
      <c r="CC49" s="802">
        <v>0</v>
      </c>
      <c r="CD49" s="802">
        <v>0</v>
      </c>
      <c r="CE49" s="802">
        <v>0</v>
      </c>
      <c r="CF49" s="802">
        <v>0</v>
      </c>
      <c r="CG49" s="802">
        <v>0</v>
      </c>
      <c r="CH49" s="802">
        <v>0</v>
      </c>
      <c r="CI49" s="802">
        <v>0</v>
      </c>
      <c r="CJ49" s="802">
        <v>0</v>
      </c>
      <c r="CK49" s="802">
        <v>0</v>
      </c>
      <c r="CL49" s="802">
        <v>0</v>
      </c>
      <c r="CM49" s="802">
        <v>0</v>
      </c>
      <c r="CN49" s="802">
        <v>0</v>
      </c>
      <c r="CO49" s="802">
        <v>0</v>
      </c>
      <c r="CP49" s="802">
        <v>0</v>
      </c>
      <c r="CQ49" s="802">
        <v>0</v>
      </c>
      <c r="CR49" s="802">
        <v>0</v>
      </c>
    </row>
    <row r="50" spans="1:96">
      <c r="A50" s="743" t="s">
        <v>3</v>
      </c>
      <c r="B50" s="752" t="s">
        <v>1121</v>
      </c>
      <c r="C50" s="743">
        <v>2014</v>
      </c>
      <c r="D50" s="773" t="s">
        <v>15</v>
      </c>
      <c r="E50" s="706" t="s">
        <v>21</v>
      </c>
      <c r="F50" s="706" t="s">
        <v>17</v>
      </c>
      <c r="G50" s="706"/>
      <c r="H50" s="743" t="s">
        <v>1120</v>
      </c>
      <c r="I50" s="706" t="s">
        <v>5</v>
      </c>
      <c r="J50" s="706" t="s">
        <v>376</v>
      </c>
      <c r="K50" s="706">
        <v>1</v>
      </c>
      <c r="L50" s="743"/>
      <c r="M50" s="743" t="s">
        <v>1124</v>
      </c>
      <c r="N50" s="743">
        <v>4</v>
      </c>
      <c r="O50" s="706"/>
      <c r="P50" s="706"/>
      <c r="Q50" s="706"/>
      <c r="R50" s="706"/>
      <c r="S50" s="706"/>
      <c r="T50" s="706"/>
      <c r="U50" s="706"/>
      <c r="V50" s="706"/>
      <c r="W50" s="793">
        <v>0.14372165331137679</v>
      </c>
      <c r="X50" s="802">
        <v>1040.6264850287016</v>
      </c>
      <c r="Y50" s="805">
        <v>4162.5059401148064</v>
      </c>
      <c r="Z50" s="805">
        <v>2016.8565546309214</v>
      </c>
      <c r="AA50" s="805">
        <v>504.21413865773036</v>
      </c>
      <c r="AB50" s="738">
        <v>6.96373681368124E-2</v>
      </c>
      <c r="AC50" s="706"/>
      <c r="AD50" s="706"/>
      <c r="AE50" s="770">
        <v>0.55147058823529405</v>
      </c>
      <c r="AF50" s="770">
        <v>3.5999999999999997E-2</v>
      </c>
      <c r="AG50" s="706" t="s">
        <v>7</v>
      </c>
      <c r="AH50" s="770">
        <v>0.48452941176470593</v>
      </c>
      <c r="AI50" s="748">
        <v>0.55147058823529405</v>
      </c>
      <c r="AJ50" s="748">
        <v>3.5999999999999997E-2</v>
      </c>
      <c r="AK50" s="748"/>
      <c r="AL50" s="770">
        <v>0.48452941176470593</v>
      </c>
      <c r="AM50" s="706"/>
      <c r="AN50" s="706"/>
      <c r="AO50" s="706"/>
      <c r="AP50" s="804">
        <v>1070.6264850287016</v>
      </c>
      <c r="AQ50" s="733">
        <v>1070.6264850287016</v>
      </c>
      <c r="AR50" s="706"/>
      <c r="AS50" s="706"/>
      <c r="AT50" s="706"/>
      <c r="AU50" s="803"/>
      <c r="AV50" s="803">
        <v>6.96373681368124E-2</v>
      </c>
      <c r="AW50" s="803">
        <v>6.96373681368124E-2</v>
      </c>
      <c r="AX50" s="803">
        <v>6.96373681368124E-2</v>
      </c>
      <c r="AY50" s="803">
        <v>6.96373681368124E-2</v>
      </c>
      <c r="AZ50" s="803">
        <v>0</v>
      </c>
      <c r="BA50" s="803">
        <v>0</v>
      </c>
      <c r="BB50" s="803">
        <v>0</v>
      </c>
      <c r="BC50" s="803">
        <v>0</v>
      </c>
      <c r="BD50" s="803">
        <v>0</v>
      </c>
      <c r="BE50" s="803">
        <v>0</v>
      </c>
      <c r="BF50" s="803">
        <v>0</v>
      </c>
      <c r="BG50" s="803">
        <v>0</v>
      </c>
      <c r="BH50" s="803">
        <v>0</v>
      </c>
      <c r="BI50" s="803">
        <v>0</v>
      </c>
      <c r="BJ50" s="803">
        <v>0</v>
      </c>
      <c r="BK50" s="803">
        <v>0</v>
      </c>
      <c r="BL50" s="803">
        <v>0</v>
      </c>
      <c r="BM50" s="803">
        <v>0</v>
      </c>
      <c r="BN50" s="803">
        <v>0</v>
      </c>
      <c r="BO50" s="803">
        <v>0</v>
      </c>
      <c r="BP50" s="803">
        <v>0</v>
      </c>
      <c r="BQ50" s="803">
        <v>0</v>
      </c>
      <c r="BR50" s="803">
        <v>0</v>
      </c>
      <c r="BS50" s="706"/>
      <c r="BT50" s="706"/>
      <c r="BU50" s="802"/>
      <c r="BV50" s="802">
        <v>504.21413865773036</v>
      </c>
      <c r="BW50" s="802">
        <v>504.21413865773036</v>
      </c>
      <c r="BX50" s="802">
        <v>504.21413865773036</v>
      </c>
      <c r="BY50" s="802">
        <v>504.21413865773036</v>
      </c>
      <c r="BZ50" s="802">
        <v>0</v>
      </c>
      <c r="CA50" s="802">
        <v>0</v>
      </c>
      <c r="CB50" s="802">
        <v>0</v>
      </c>
      <c r="CC50" s="802">
        <v>0</v>
      </c>
      <c r="CD50" s="802">
        <v>0</v>
      </c>
      <c r="CE50" s="802">
        <v>0</v>
      </c>
      <c r="CF50" s="802">
        <v>0</v>
      </c>
      <c r="CG50" s="802">
        <v>0</v>
      </c>
      <c r="CH50" s="802">
        <v>0</v>
      </c>
      <c r="CI50" s="802">
        <v>0</v>
      </c>
      <c r="CJ50" s="802">
        <v>0</v>
      </c>
      <c r="CK50" s="802">
        <v>0</v>
      </c>
      <c r="CL50" s="802">
        <v>0</v>
      </c>
      <c r="CM50" s="802">
        <v>0</v>
      </c>
      <c r="CN50" s="802">
        <v>0</v>
      </c>
      <c r="CO50" s="802">
        <v>0</v>
      </c>
      <c r="CP50" s="802">
        <v>0</v>
      </c>
      <c r="CQ50" s="802">
        <v>0</v>
      </c>
      <c r="CR50" s="802">
        <v>0</v>
      </c>
    </row>
    <row r="51" spans="1:96">
      <c r="A51" s="743" t="s">
        <v>3</v>
      </c>
      <c r="B51" s="752" t="s">
        <v>1123</v>
      </c>
      <c r="C51" s="743">
        <v>2014</v>
      </c>
      <c r="D51" s="773" t="s">
        <v>15</v>
      </c>
      <c r="E51" s="706" t="s">
        <v>21</v>
      </c>
      <c r="F51" s="706" t="s">
        <v>17</v>
      </c>
      <c r="G51" s="706"/>
      <c r="H51" s="743" t="s">
        <v>1114</v>
      </c>
      <c r="I51" s="706" t="s">
        <v>5</v>
      </c>
      <c r="J51" s="706" t="s">
        <v>376</v>
      </c>
      <c r="K51" s="706">
        <v>1</v>
      </c>
      <c r="L51" s="743"/>
      <c r="M51" s="743" t="s">
        <v>1122</v>
      </c>
      <c r="N51" s="743">
        <v>5</v>
      </c>
      <c r="O51" s="706"/>
      <c r="P51" s="706"/>
      <c r="Q51" s="706"/>
      <c r="R51" s="706"/>
      <c r="S51" s="706"/>
      <c r="T51" s="706"/>
      <c r="U51" s="706"/>
      <c r="V51" s="706"/>
      <c r="W51" s="793">
        <v>0.12891159127639251</v>
      </c>
      <c r="X51" s="802">
        <v>877.16350560741421</v>
      </c>
      <c r="Y51" s="805">
        <v>4385.8175280370706</v>
      </c>
      <c r="Z51" s="805">
        <v>2041.0263790524905</v>
      </c>
      <c r="AA51" s="805">
        <v>408.20527581049816</v>
      </c>
      <c r="AB51" s="738">
        <v>5.9991542438499308E-2</v>
      </c>
      <c r="AC51" s="706"/>
      <c r="AD51" s="706"/>
      <c r="AE51" s="770">
        <v>0.57063034747686403</v>
      </c>
      <c r="AF51" s="770">
        <v>3.5999999999999997E-2</v>
      </c>
      <c r="AG51" s="706" t="s">
        <v>7</v>
      </c>
      <c r="AH51" s="770">
        <v>0.46536965252313595</v>
      </c>
      <c r="AI51" s="748">
        <v>0.57063034747686403</v>
      </c>
      <c r="AJ51" s="748">
        <v>3.5999999999999997E-2</v>
      </c>
      <c r="AK51" s="748"/>
      <c r="AL51" s="770">
        <v>0.46536965252313595</v>
      </c>
      <c r="AM51" s="706"/>
      <c r="AN51" s="706"/>
      <c r="AO51" s="706"/>
      <c r="AP51" s="804">
        <v>910.16350560741421</v>
      </c>
      <c r="AQ51" s="733">
        <v>910.16350560741421</v>
      </c>
      <c r="AR51" s="706"/>
      <c r="AS51" s="706"/>
      <c r="AT51" s="706"/>
      <c r="AU51" s="803"/>
      <c r="AV51" s="803">
        <v>5.9991542438499308E-2</v>
      </c>
      <c r="AW51" s="803">
        <v>5.9991542438499308E-2</v>
      </c>
      <c r="AX51" s="803">
        <v>5.9991542438499308E-2</v>
      </c>
      <c r="AY51" s="803">
        <v>5.9991542438499308E-2</v>
      </c>
      <c r="AZ51" s="803">
        <v>5.9991542438499308E-2</v>
      </c>
      <c r="BA51" s="803">
        <v>0</v>
      </c>
      <c r="BB51" s="803">
        <v>0</v>
      </c>
      <c r="BC51" s="803">
        <v>0</v>
      </c>
      <c r="BD51" s="803">
        <v>0</v>
      </c>
      <c r="BE51" s="803">
        <v>0</v>
      </c>
      <c r="BF51" s="803">
        <v>0</v>
      </c>
      <c r="BG51" s="803">
        <v>0</v>
      </c>
      <c r="BH51" s="803">
        <v>0</v>
      </c>
      <c r="BI51" s="803">
        <v>0</v>
      </c>
      <c r="BJ51" s="803">
        <v>0</v>
      </c>
      <c r="BK51" s="803">
        <v>0</v>
      </c>
      <c r="BL51" s="803">
        <v>0</v>
      </c>
      <c r="BM51" s="803">
        <v>0</v>
      </c>
      <c r="BN51" s="803">
        <v>0</v>
      </c>
      <c r="BO51" s="803">
        <v>0</v>
      </c>
      <c r="BP51" s="803">
        <v>0</v>
      </c>
      <c r="BQ51" s="803">
        <v>0</v>
      </c>
      <c r="BR51" s="803">
        <v>0</v>
      </c>
      <c r="BS51" s="706"/>
      <c r="BT51" s="706"/>
      <c r="BU51" s="802"/>
      <c r="BV51" s="802">
        <v>408.20527581049816</v>
      </c>
      <c r="BW51" s="802">
        <v>408.20527581049816</v>
      </c>
      <c r="BX51" s="802">
        <v>408.20527581049816</v>
      </c>
      <c r="BY51" s="802">
        <v>408.20527581049816</v>
      </c>
      <c r="BZ51" s="802">
        <v>408.20527581049816</v>
      </c>
      <c r="CA51" s="802">
        <v>0</v>
      </c>
      <c r="CB51" s="802">
        <v>0</v>
      </c>
      <c r="CC51" s="802">
        <v>0</v>
      </c>
      <c r="CD51" s="802">
        <v>0</v>
      </c>
      <c r="CE51" s="802">
        <v>0</v>
      </c>
      <c r="CF51" s="802">
        <v>0</v>
      </c>
      <c r="CG51" s="802">
        <v>0</v>
      </c>
      <c r="CH51" s="802">
        <v>0</v>
      </c>
      <c r="CI51" s="802">
        <v>0</v>
      </c>
      <c r="CJ51" s="802">
        <v>0</v>
      </c>
      <c r="CK51" s="802">
        <v>0</v>
      </c>
      <c r="CL51" s="802">
        <v>0</v>
      </c>
      <c r="CM51" s="802">
        <v>0</v>
      </c>
      <c r="CN51" s="802">
        <v>0</v>
      </c>
      <c r="CO51" s="802">
        <v>0</v>
      </c>
      <c r="CP51" s="802">
        <v>0</v>
      </c>
      <c r="CQ51" s="802">
        <v>0</v>
      </c>
      <c r="CR51" s="802">
        <v>0</v>
      </c>
    </row>
    <row r="52" spans="1:96">
      <c r="A52" s="743" t="s">
        <v>3</v>
      </c>
      <c r="B52" s="752" t="s">
        <v>1121</v>
      </c>
      <c r="C52" s="743">
        <v>2014</v>
      </c>
      <c r="D52" s="773" t="s">
        <v>15</v>
      </c>
      <c r="E52" s="706" t="s">
        <v>21</v>
      </c>
      <c r="F52" s="706" t="s">
        <v>17</v>
      </c>
      <c r="G52" s="706"/>
      <c r="H52" s="743" t="s">
        <v>1120</v>
      </c>
      <c r="I52" s="706" t="s">
        <v>5</v>
      </c>
      <c r="J52" s="706" t="s">
        <v>376</v>
      </c>
      <c r="K52" s="706">
        <v>1</v>
      </c>
      <c r="L52" s="743"/>
      <c r="M52" s="743" t="s">
        <v>1119</v>
      </c>
      <c r="N52" s="743">
        <v>4</v>
      </c>
      <c r="O52" s="706"/>
      <c r="P52" s="706"/>
      <c r="Q52" s="706"/>
      <c r="R52" s="706"/>
      <c r="S52" s="706"/>
      <c r="T52" s="706"/>
      <c r="U52" s="706"/>
      <c r="V52" s="706"/>
      <c r="W52" s="793">
        <v>0.14372165331137679</v>
      </c>
      <c r="X52" s="802">
        <v>1040.6264850287016</v>
      </c>
      <c r="Y52" s="805">
        <v>4162.5059401148064</v>
      </c>
      <c r="Z52" s="805">
        <v>2016.8565546309214</v>
      </c>
      <c r="AA52" s="805">
        <v>504.21413865773036</v>
      </c>
      <c r="AB52" s="738">
        <v>6.96373681368124E-2</v>
      </c>
      <c r="AC52" s="706"/>
      <c r="AD52" s="706"/>
      <c r="AE52" s="770">
        <v>0.55147058823529405</v>
      </c>
      <c r="AF52" s="770">
        <v>3.5999999999999997E-2</v>
      </c>
      <c r="AG52" s="706" t="s">
        <v>7</v>
      </c>
      <c r="AH52" s="770">
        <v>0.48452941176470593</v>
      </c>
      <c r="AI52" s="748">
        <v>0.55147058823529405</v>
      </c>
      <c r="AJ52" s="748">
        <v>3.5999999999999997E-2</v>
      </c>
      <c r="AK52" s="748"/>
      <c r="AL52" s="770">
        <v>0.48452941176470593</v>
      </c>
      <c r="AM52" s="706"/>
      <c r="AN52" s="706"/>
      <c r="AO52" s="706"/>
      <c r="AP52" s="804">
        <v>1070.6264850287016</v>
      </c>
      <c r="AQ52" s="733">
        <v>1070.6264850287016</v>
      </c>
      <c r="AR52" s="706"/>
      <c r="AS52" s="706"/>
      <c r="AT52" s="706"/>
      <c r="AU52" s="803"/>
      <c r="AV52" s="803">
        <v>6.96373681368124E-2</v>
      </c>
      <c r="AW52" s="803">
        <v>6.96373681368124E-2</v>
      </c>
      <c r="AX52" s="803">
        <v>6.96373681368124E-2</v>
      </c>
      <c r="AY52" s="803">
        <v>6.96373681368124E-2</v>
      </c>
      <c r="AZ52" s="803">
        <v>0</v>
      </c>
      <c r="BA52" s="803">
        <v>0</v>
      </c>
      <c r="BB52" s="803">
        <v>0</v>
      </c>
      <c r="BC52" s="803">
        <v>0</v>
      </c>
      <c r="BD52" s="803">
        <v>0</v>
      </c>
      <c r="BE52" s="803">
        <v>0</v>
      </c>
      <c r="BF52" s="803">
        <v>0</v>
      </c>
      <c r="BG52" s="803">
        <v>0</v>
      </c>
      <c r="BH52" s="803">
        <v>0</v>
      </c>
      <c r="BI52" s="803">
        <v>0</v>
      </c>
      <c r="BJ52" s="803">
        <v>0</v>
      </c>
      <c r="BK52" s="803">
        <v>0</v>
      </c>
      <c r="BL52" s="803">
        <v>0</v>
      </c>
      <c r="BM52" s="803">
        <v>0</v>
      </c>
      <c r="BN52" s="803">
        <v>0</v>
      </c>
      <c r="BO52" s="803">
        <v>0</v>
      </c>
      <c r="BP52" s="803">
        <v>0</v>
      </c>
      <c r="BQ52" s="803">
        <v>0</v>
      </c>
      <c r="BR52" s="803">
        <v>0</v>
      </c>
      <c r="BS52" s="706"/>
      <c r="BT52" s="706"/>
      <c r="BU52" s="802"/>
      <c r="BV52" s="802">
        <v>504.21413865773036</v>
      </c>
      <c r="BW52" s="802">
        <v>504.21413865773036</v>
      </c>
      <c r="BX52" s="802">
        <v>504.21413865773036</v>
      </c>
      <c r="BY52" s="802">
        <v>504.21413865773036</v>
      </c>
      <c r="BZ52" s="802">
        <v>0</v>
      </c>
      <c r="CA52" s="802">
        <v>0</v>
      </c>
      <c r="CB52" s="802">
        <v>0</v>
      </c>
      <c r="CC52" s="802">
        <v>0</v>
      </c>
      <c r="CD52" s="802">
        <v>0</v>
      </c>
      <c r="CE52" s="802">
        <v>0</v>
      </c>
      <c r="CF52" s="802">
        <v>0</v>
      </c>
      <c r="CG52" s="802">
        <v>0</v>
      </c>
      <c r="CH52" s="802">
        <v>0</v>
      </c>
      <c r="CI52" s="802">
        <v>0</v>
      </c>
      <c r="CJ52" s="802">
        <v>0</v>
      </c>
      <c r="CK52" s="802">
        <v>0</v>
      </c>
      <c r="CL52" s="802">
        <v>0</v>
      </c>
      <c r="CM52" s="802">
        <v>0</v>
      </c>
      <c r="CN52" s="802">
        <v>0</v>
      </c>
      <c r="CO52" s="802">
        <v>0</v>
      </c>
      <c r="CP52" s="802">
        <v>0</v>
      </c>
      <c r="CQ52" s="802">
        <v>0</v>
      </c>
      <c r="CR52" s="802">
        <v>0</v>
      </c>
    </row>
    <row r="53" spans="1:96">
      <c r="A53" s="743" t="s">
        <v>3</v>
      </c>
      <c r="B53" s="752" t="s">
        <v>1117</v>
      </c>
      <c r="C53" s="743">
        <v>2014</v>
      </c>
      <c r="D53" s="773" t="s">
        <v>15</v>
      </c>
      <c r="E53" s="706" t="s">
        <v>21</v>
      </c>
      <c r="F53" s="706" t="s">
        <v>17</v>
      </c>
      <c r="G53" s="706"/>
      <c r="H53" s="743" t="s">
        <v>1114</v>
      </c>
      <c r="I53" s="706" t="s">
        <v>5</v>
      </c>
      <c r="J53" s="706" t="s">
        <v>376</v>
      </c>
      <c r="K53" s="706">
        <v>1</v>
      </c>
      <c r="L53" s="743"/>
      <c r="M53" s="743" t="s">
        <v>1118</v>
      </c>
      <c r="N53" s="743">
        <v>5</v>
      </c>
      <c r="O53" s="706"/>
      <c r="P53" s="706"/>
      <c r="Q53" s="706"/>
      <c r="R53" s="706"/>
      <c r="S53" s="706"/>
      <c r="T53" s="706"/>
      <c r="U53" s="706"/>
      <c r="V53" s="706"/>
      <c r="W53" s="793">
        <v>0.12891159127639251</v>
      </c>
      <c r="X53" s="802">
        <v>877.16350560741421</v>
      </c>
      <c r="Y53" s="805">
        <v>4385.8175280370706</v>
      </c>
      <c r="Z53" s="805">
        <v>2041.0263790524905</v>
      </c>
      <c r="AA53" s="805">
        <v>408.20527581049816</v>
      </c>
      <c r="AB53" s="738">
        <v>5.9991542438499308E-2</v>
      </c>
      <c r="AC53" s="706"/>
      <c r="AD53" s="706"/>
      <c r="AE53" s="770">
        <v>0.57063034747686403</v>
      </c>
      <c r="AF53" s="770">
        <v>3.5999999999999997E-2</v>
      </c>
      <c r="AG53" s="706" t="s">
        <v>7</v>
      </c>
      <c r="AH53" s="770">
        <v>0.46536965252313595</v>
      </c>
      <c r="AI53" s="748">
        <v>0.57063034747686403</v>
      </c>
      <c r="AJ53" s="748">
        <v>3.5999999999999997E-2</v>
      </c>
      <c r="AK53" s="748"/>
      <c r="AL53" s="770">
        <v>0.46536965252313595</v>
      </c>
      <c r="AM53" s="706"/>
      <c r="AN53" s="706"/>
      <c r="AO53" s="706"/>
      <c r="AP53" s="804">
        <v>910.16350560741421</v>
      </c>
      <c r="AQ53" s="733">
        <v>910.16350560741421</v>
      </c>
      <c r="AR53" s="706"/>
      <c r="AS53" s="706"/>
      <c r="AT53" s="706"/>
      <c r="AU53" s="803"/>
      <c r="AV53" s="803">
        <v>5.9991542438499308E-2</v>
      </c>
      <c r="AW53" s="803">
        <v>5.9991542438499308E-2</v>
      </c>
      <c r="AX53" s="803">
        <v>5.9991542438499308E-2</v>
      </c>
      <c r="AY53" s="803">
        <v>5.9991542438499308E-2</v>
      </c>
      <c r="AZ53" s="803">
        <v>5.9991542438499308E-2</v>
      </c>
      <c r="BA53" s="803">
        <v>0</v>
      </c>
      <c r="BB53" s="803">
        <v>0</v>
      </c>
      <c r="BC53" s="803">
        <v>0</v>
      </c>
      <c r="BD53" s="803">
        <v>0</v>
      </c>
      <c r="BE53" s="803">
        <v>0</v>
      </c>
      <c r="BF53" s="803">
        <v>0</v>
      </c>
      <c r="BG53" s="803">
        <v>0</v>
      </c>
      <c r="BH53" s="803">
        <v>0</v>
      </c>
      <c r="BI53" s="803">
        <v>0</v>
      </c>
      <c r="BJ53" s="803">
        <v>0</v>
      </c>
      <c r="BK53" s="803">
        <v>0</v>
      </c>
      <c r="BL53" s="803">
        <v>0</v>
      </c>
      <c r="BM53" s="803">
        <v>0</v>
      </c>
      <c r="BN53" s="803">
        <v>0</v>
      </c>
      <c r="BO53" s="803">
        <v>0</v>
      </c>
      <c r="BP53" s="803">
        <v>0</v>
      </c>
      <c r="BQ53" s="803">
        <v>0</v>
      </c>
      <c r="BR53" s="803">
        <v>0</v>
      </c>
      <c r="BS53" s="706"/>
      <c r="BT53" s="706"/>
      <c r="BU53" s="802"/>
      <c r="BV53" s="802">
        <v>408.20527581049816</v>
      </c>
      <c r="BW53" s="802">
        <v>408.20527581049816</v>
      </c>
      <c r="BX53" s="802">
        <v>408.20527581049816</v>
      </c>
      <c r="BY53" s="802">
        <v>408.20527581049816</v>
      </c>
      <c r="BZ53" s="802">
        <v>408.20527581049816</v>
      </c>
      <c r="CA53" s="802">
        <v>0</v>
      </c>
      <c r="CB53" s="802">
        <v>0</v>
      </c>
      <c r="CC53" s="802">
        <v>0</v>
      </c>
      <c r="CD53" s="802">
        <v>0</v>
      </c>
      <c r="CE53" s="802">
        <v>0</v>
      </c>
      <c r="CF53" s="802">
        <v>0</v>
      </c>
      <c r="CG53" s="802">
        <v>0</v>
      </c>
      <c r="CH53" s="802">
        <v>0</v>
      </c>
      <c r="CI53" s="802">
        <v>0</v>
      </c>
      <c r="CJ53" s="802">
        <v>0</v>
      </c>
      <c r="CK53" s="802">
        <v>0</v>
      </c>
      <c r="CL53" s="802">
        <v>0</v>
      </c>
      <c r="CM53" s="802">
        <v>0</v>
      </c>
      <c r="CN53" s="802">
        <v>0</v>
      </c>
      <c r="CO53" s="802">
        <v>0</v>
      </c>
      <c r="CP53" s="802">
        <v>0</v>
      </c>
      <c r="CQ53" s="802">
        <v>0</v>
      </c>
      <c r="CR53" s="802">
        <v>0</v>
      </c>
    </row>
    <row r="54" spans="1:96">
      <c r="A54" s="743" t="s">
        <v>3</v>
      </c>
      <c r="B54" s="752" t="s">
        <v>1117</v>
      </c>
      <c r="C54" s="743">
        <v>2014</v>
      </c>
      <c r="D54" s="773" t="s">
        <v>15</v>
      </c>
      <c r="E54" s="706" t="s">
        <v>21</v>
      </c>
      <c r="F54" s="706" t="s">
        <v>17</v>
      </c>
      <c r="G54" s="706"/>
      <c r="H54" s="743" t="s">
        <v>1114</v>
      </c>
      <c r="I54" s="706" t="s">
        <v>5</v>
      </c>
      <c r="J54" s="706" t="s">
        <v>376</v>
      </c>
      <c r="K54" s="706">
        <v>1</v>
      </c>
      <c r="L54" s="743"/>
      <c r="M54" s="743" t="s">
        <v>917</v>
      </c>
      <c r="N54" s="743">
        <v>5</v>
      </c>
      <c r="O54" s="706"/>
      <c r="P54" s="706"/>
      <c r="Q54" s="706"/>
      <c r="R54" s="706"/>
      <c r="S54" s="706"/>
      <c r="T54" s="706"/>
      <c r="U54" s="706"/>
      <c r="V54" s="706"/>
      <c r="W54" s="793">
        <v>0.12891159127639251</v>
      </c>
      <c r="X54" s="802">
        <v>877.16350560741421</v>
      </c>
      <c r="Y54" s="805">
        <v>4385.8175280370706</v>
      </c>
      <c r="Z54" s="805">
        <v>2041.0263790524905</v>
      </c>
      <c r="AA54" s="805">
        <v>408.20527581049816</v>
      </c>
      <c r="AB54" s="738">
        <v>5.9991542438499308E-2</v>
      </c>
      <c r="AC54" s="706"/>
      <c r="AD54" s="706"/>
      <c r="AE54" s="770">
        <v>0.57063034747686403</v>
      </c>
      <c r="AF54" s="770">
        <v>3.5999999999999997E-2</v>
      </c>
      <c r="AG54" s="706" t="s">
        <v>7</v>
      </c>
      <c r="AH54" s="770">
        <v>0.46536965252313595</v>
      </c>
      <c r="AI54" s="748">
        <v>0.57063034747686403</v>
      </c>
      <c r="AJ54" s="748">
        <v>3.5999999999999997E-2</v>
      </c>
      <c r="AK54" s="748"/>
      <c r="AL54" s="770">
        <v>0.46536965252313595</v>
      </c>
      <c r="AM54" s="706"/>
      <c r="AN54" s="706"/>
      <c r="AO54" s="706"/>
      <c r="AP54" s="804">
        <v>910.16350560741421</v>
      </c>
      <c r="AQ54" s="733">
        <v>910.16350560741421</v>
      </c>
      <c r="AR54" s="706"/>
      <c r="AS54" s="706"/>
      <c r="AT54" s="706"/>
      <c r="AU54" s="803"/>
      <c r="AV54" s="803">
        <v>5.9991542438499308E-2</v>
      </c>
      <c r="AW54" s="803">
        <v>5.9991542438499308E-2</v>
      </c>
      <c r="AX54" s="803">
        <v>5.9991542438499308E-2</v>
      </c>
      <c r="AY54" s="803">
        <v>5.9991542438499308E-2</v>
      </c>
      <c r="AZ54" s="803">
        <v>5.9991542438499308E-2</v>
      </c>
      <c r="BA54" s="803">
        <v>0</v>
      </c>
      <c r="BB54" s="803">
        <v>0</v>
      </c>
      <c r="BC54" s="803">
        <v>0</v>
      </c>
      <c r="BD54" s="803">
        <v>0</v>
      </c>
      <c r="BE54" s="803">
        <v>0</v>
      </c>
      <c r="BF54" s="803">
        <v>0</v>
      </c>
      <c r="BG54" s="803">
        <v>0</v>
      </c>
      <c r="BH54" s="803">
        <v>0</v>
      </c>
      <c r="BI54" s="803">
        <v>0</v>
      </c>
      <c r="BJ54" s="803">
        <v>0</v>
      </c>
      <c r="BK54" s="803">
        <v>0</v>
      </c>
      <c r="BL54" s="803">
        <v>0</v>
      </c>
      <c r="BM54" s="803">
        <v>0</v>
      </c>
      <c r="BN54" s="803">
        <v>0</v>
      </c>
      <c r="BO54" s="803">
        <v>0</v>
      </c>
      <c r="BP54" s="803">
        <v>0</v>
      </c>
      <c r="BQ54" s="803">
        <v>0</v>
      </c>
      <c r="BR54" s="803">
        <v>0</v>
      </c>
      <c r="BS54" s="706"/>
      <c r="BT54" s="706"/>
      <c r="BU54" s="802"/>
      <c r="BV54" s="802">
        <v>408.20527581049816</v>
      </c>
      <c r="BW54" s="802">
        <v>408.20527581049816</v>
      </c>
      <c r="BX54" s="802">
        <v>408.20527581049816</v>
      </c>
      <c r="BY54" s="802">
        <v>408.20527581049816</v>
      </c>
      <c r="BZ54" s="802">
        <v>408.20527581049816</v>
      </c>
      <c r="CA54" s="802">
        <v>0</v>
      </c>
      <c r="CB54" s="802">
        <v>0</v>
      </c>
      <c r="CC54" s="802">
        <v>0</v>
      </c>
      <c r="CD54" s="802">
        <v>0</v>
      </c>
      <c r="CE54" s="802">
        <v>0</v>
      </c>
      <c r="CF54" s="802">
        <v>0</v>
      </c>
      <c r="CG54" s="802">
        <v>0</v>
      </c>
      <c r="CH54" s="802">
        <v>0</v>
      </c>
      <c r="CI54" s="802">
        <v>0</v>
      </c>
      <c r="CJ54" s="802">
        <v>0</v>
      </c>
      <c r="CK54" s="802">
        <v>0</v>
      </c>
      <c r="CL54" s="802">
        <v>0</v>
      </c>
      <c r="CM54" s="802">
        <v>0</v>
      </c>
      <c r="CN54" s="802">
        <v>0</v>
      </c>
      <c r="CO54" s="802">
        <v>0</v>
      </c>
      <c r="CP54" s="802">
        <v>0</v>
      </c>
      <c r="CQ54" s="802">
        <v>0</v>
      </c>
      <c r="CR54" s="802">
        <v>0</v>
      </c>
    </row>
    <row r="55" spans="1:96">
      <c r="A55" s="743" t="s">
        <v>3</v>
      </c>
      <c r="B55" s="752" t="s">
        <v>1117</v>
      </c>
      <c r="C55" s="743">
        <v>2014</v>
      </c>
      <c r="D55" s="773" t="s">
        <v>15</v>
      </c>
      <c r="E55" s="706" t="s">
        <v>21</v>
      </c>
      <c r="F55" s="706" t="s">
        <v>17</v>
      </c>
      <c r="G55" s="706"/>
      <c r="H55" s="743" t="s">
        <v>1114</v>
      </c>
      <c r="I55" s="706" t="s">
        <v>5</v>
      </c>
      <c r="J55" s="706" t="s">
        <v>376</v>
      </c>
      <c r="K55" s="706">
        <v>1</v>
      </c>
      <c r="L55" s="743"/>
      <c r="M55" s="743" t="s">
        <v>1116</v>
      </c>
      <c r="N55" s="743">
        <v>5</v>
      </c>
      <c r="O55" s="706"/>
      <c r="P55" s="706"/>
      <c r="Q55" s="706"/>
      <c r="R55" s="706"/>
      <c r="S55" s="706"/>
      <c r="T55" s="706"/>
      <c r="U55" s="706"/>
      <c r="V55" s="706"/>
      <c r="W55" s="793">
        <v>0.12891159127639251</v>
      </c>
      <c r="X55" s="802">
        <v>877.16350560741421</v>
      </c>
      <c r="Y55" s="805">
        <v>4385.8175280370706</v>
      </c>
      <c r="Z55" s="805">
        <v>2041.0263790524905</v>
      </c>
      <c r="AA55" s="805">
        <v>408.20527581049816</v>
      </c>
      <c r="AB55" s="738">
        <v>5.9991542438499308E-2</v>
      </c>
      <c r="AC55" s="706"/>
      <c r="AD55" s="706"/>
      <c r="AE55" s="770">
        <v>0.57063034747686403</v>
      </c>
      <c r="AF55" s="770">
        <v>3.5999999999999997E-2</v>
      </c>
      <c r="AG55" s="706" t="s">
        <v>7</v>
      </c>
      <c r="AH55" s="770">
        <v>0.46536965252313595</v>
      </c>
      <c r="AI55" s="748">
        <v>0.57063034747686403</v>
      </c>
      <c r="AJ55" s="748">
        <v>3.5999999999999997E-2</v>
      </c>
      <c r="AK55" s="748"/>
      <c r="AL55" s="770">
        <v>0.46536965252313595</v>
      </c>
      <c r="AM55" s="706"/>
      <c r="AN55" s="706"/>
      <c r="AO55" s="706"/>
      <c r="AP55" s="804">
        <v>910.16350560741421</v>
      </c>
      <c r="AQ55" s="733">
        <v>910.16350560741421</v>
      </c>
      <c r="AR55" s="706"/>
      <c r="AS55" s="706"/>
      <c r="AT55" s="706"/>
      <c r="AU55" s="803"/>
      <c r="AV55" s="803">
        <v>5.9991542438499308E-2</v>
      </c>
      <c r="AW55" s="803">
        <v>5.9991542438499308E-2</v>
      </c>
      <c r="AX55" s="803">
        <v>5.9991542438499308E-2</v>
      </c>
      <c r="AY55" s="803">
        <v>5.9991542438499308E-2</v>
      </c>
      <c r="AZ55" s="803">
        <v>5.9991542438499308E-2</v>
      </c>
      <c r="BA55" s="803">
        <v>0</v>
      </c>
      <c r="BB55" s="803">
        <v>0</v>
      </c>
      <c r="BC55" s="803">
        <v>0</v>
      </c>
      <c r="BD55" s="803">
        <v>0</v>
      </c>
      <c r="BE55" s="803">
        <v>0</v>
      </c>
      <c r="BF55" s="803">
        <v>0</v>
      </c>
      <c r="BG55" s="803">
        <v>0</v>
      </c>
      <c r="BH55" s="803">
        <v>0</v>
      </c>
      <c r="BI55" s="803">
        <v>0</v>
      </c>
      <c r="BJ55" s="803">
        <v>0</v>
      </c>
      <c r="BK55" s="803">
        <v>0</v>
      </c>
      <c r="BL55" s="803">
        <v>0</v>
      </c>
      <c r="BM55" s="803">
        <v>0</v>
      </c>
      <c r="BN55" s="803">
        <v>0</v>
      </c>
      <c r="BO55" s="803">
        <v>0</v>
      </c>
      <c r="BP55" s="803">
        <v>0</v>
      </c>
      <c r="BQ55" s="803">
        <v>0</v>
      </c>
      <c r="BR55" s="803">
        <v>0</v>
      </c>
      <c r="BS55" s="706"/>
      <c r="BT55" s="706"/>
      <c r="BU55" s="802"/>
      <c r="BV55" s="802">
        <v>408.20527581049816</v>
      </c>
      <c r="BW55" s="802">
        <v>408.20527581049816</v>
      </c>
      <c r="BX55" s="802">
        <v>408.20527581049816</v>
      </c>
      <c r="BY55" s="802">
        <v>408.20527581049816</v>
      </c>
      <c r="BZ55" s="802">
        <v>408.20527581049816</v>
      </c>
      <c r="CA55" s="802">
        <v>0</v>
      </c>
      <c r="CB55" s="802">
        <v>0</v>
      </c>
      <c r="CC55" s="802">
        <v>0</v>
      </c>
      <c r="CD55" s="802">
        <v>0</v>
      </c>
      <c r="CE55" s="802">
        <v>0</v>
      </c>
      <c r="CF55" s="802">
        <v>0</v>
      </c>
      <c r="CG55" s="802">
        <v>0</v>
      </c>
      <c r="CH55" s="802">
        <v>0</v>
      </c>
      <c r="CI55" s="802">
        <v>0</v>
      </c>
      <c r="CJ55" s="802">
        <v>0</v>
      </c>
      <c r="CK55" s="802">
        <v>0</v>
      </c>
      <c r="CL55" s="802">
        <v>0</v>
      </c>
      <c r="CM55" s="802">
        <v>0</v>
      </c>
      <c r="CN55" s="802">
        <v>0</v>
      </c>
      <c r="CO55" s="802">
        <v>0</v>
      </c>
      <c r="CP55" s="802">
        <v>0</v>
      </c>
      <c r="CQ55" s="802">
        <v>0</v>
      </c>
      <c r="CR55" s="802">
        <v>0</v>
      </c>
    </row>
    <row r="56" spans="1:96">
      <c r="A56" s="743" t="s">
        <v>3</v>
      </c>
      <c r="B56" s="752" t="s">
        <v>1117</v>
      </c>
      <c r="C56" s="743">
        <v>2014</v>
      </c>
      <c r="D56" s="773" t="s">
        <v>15</v>
      </c>
      <c r="E56" s="706" t="s">
        <v>21</v>
      </c>
      <c r="F56" s="706" t="s">
        <v>17</v>
      </c>
      <c r="G56" s="706"/>
      <c r="H56" s="743" t="s">
        <v>1114</v>
      </c>
      <c r="I56" s="706" t="s">
        <v>5</v>
      </c>
      <c r="J56" s="706" t="s">
        <v>376</v>
      </c>
      <c r="K56" s="706">
        <v>1</v>
      </c>
      <c r="L56" s="743"/>
      <c r="M56" s="743" t="s">
        <v>1116</v>
      </c>
      <c r="N56" s="743">
        <v>5</v>
      </c>
      <c r="O56" s="706"/>
      <c r="P56" s="706"/>
      <c r="Q56" s="706"/>
      <c r="R56" s="706"/>
      <c r="S56" s="706"/>
      <c r="T56" s="706"/>
      <c r="U56" s="706"/>
      <c r="V56" s="706"/>
      <c r="W56" s="793">
        <v>0.12891159127639251</v>
      </c>
      <c r="X56" s="802">
        <v>877.16350560741421</v>
      </c>
      <c r="Y56" s="805">
        <v>4385.8175280370706</v>
      </c>
      <c r="Z56" s="805">
        <v>2041.0263790524905</v>
      </c>
      <c r="AA56" s="805">
        <v>408.20527581049816</v>
      </c>
      <c r="AB56" s="738">
        <v>5.9991542438499308E-2</v>
      </c>
      <c r="AC56" s="706"/>
      <c r="AD56" s="706"/>
      <c r="AE56" s="770">
        <v>0.57063034747686403</v>
      </c>
      <c r="AF56" s="770">
        <v>3.5999999999999997E-2</v>
      </c>
      <c r="AG56" s="706" t="s">
        <v>7</v>
      </c>
      <c r="AH56" s="770">
        <v>0.46536965252313595</v>
      </c>
      <c r="AI56" s="748">
        <v>0.57063034747686403</v>
      </c>
      <c r="AJ56" s="748">
        <v>3.5999999999999997E-2</v>
      </c>
      <c r="AK56" s="748"/>
      <c r="AL56" s="770">
        <v>0.46536965252313595</v>
      </c>
      <c r="AM56" s="706"/>
      <c r="AN56" s="706"/>
      <c r="AO56" s="706"/>
      <c r="AP56" s="804">
        <v>910.16350560741421</v>
      </c>
      <c r="AQ56" s="733">
        <v>910.16350560741421</v>
      </c>
      <c r="AR56" s="706"/>
      <c r="AS56" s="706"/>
      <c r="AT56" s="706"/>
      <c r="AU56" s="803"/>
      <c r="AV56" s="803">
        <v>5.9991542438499308E-2</v>
      </c>
      <c r="AW56" s="803">
        <v>5.9991542438499308E-2</v>
      </c>
      <c r="AX56" s="803">
        <v>5.9991542438499308E-2</v>
      </c>
      <c r="AY56" s="803">
        <v>5.9991542438499308E-2</v>
      </c>
      <c r="AZ56" s="803">
        <v>5.9991542438499308E-2</v>
      </c>
      <c r="BA56" s="803">
        <v>0</v>
      </c>
      <c r="BB56" s="803">
        <v>0</v>
      </c>
      <c r="BC56" s="803">
        <v>0</v>
      </c>
      <c r="BD56" s="803">
        <v>0</v>
      </c>
      <c r="BE56" s="803">
        <v>0</v>
      </c>
      <c r="BF56" s="803">
        <v>0</v>
      </c>
      <c r="BG56" s="803">
        <v>0</v>
      </c>
      <c r="BH56" s="803">
        <v>0</v>
      </c>
      <c r="BI56" s="803">
        <v>0</v>
      </c>
      <c r="BJ56" s="803">
        <v>0</v>
      </c>
      <c r="BK56" s="803">
        <v>0</v>
      </c>
      <c r="BL56" s="803">
        <v>0</v>
      </c>
      <c r="BM56" s="803">
        <v>0</v>
      </c>
      <c r="BN56" s="803">
        <v>0</v>
      </c>
      <c r="BO56" s="803">
        <v>0</v>
      </c>
      <c r="BP56" s="803">
        <v>0</v>
      </c>
      <c r="BQ56" s="803">
        <v>0</v>
      </c>
      <c r="BR56" s="803">
        <v>0</v>
      </c>
      <c r="BS56" s="706"/>
      <c r="BT56" s="706"/>
      <c r="BU56" s="802"/>
      <c r="BV56" s="802">
        <v>408.20527581049816</v>
      </c>
      <c r="BW56" s="802">
        <v>408.20527581049816</v>
      </c>
      <c r="BX56" s="802">
        <v>408.20527581049816</v>
      </c>
      <c r="BY56" s="802">
        <v>408.20527581049816</v>
      </c>
      <c r="BZ56" s="802">
        <v>408.20527581049816</v>
      </c>
      <c r="CA56" s="802">
        <v>0</v>
      </c>
      <c r="CB56" s="802">
        <v>0</v>
      </c>
      <c r="CC56" s="802">
        <v>0</v>
      </c>
      <c r="CD56" s="802">
        <v>0</v>
      </c>
      <c r="CE56" s="802">
        <v>0</v>
      </c>
      <c r="CF56" s="802">
        <v>0</v>
      </c>
      <c r="CG56" s="802">
        <v>0</v>
      </c>
      <c r="CH56" s="802">
        <v>0</v>
      </c>
      <c r="CI56" s="802">
        <v>0</v>
      </c>
      <c r="CJ56" s="802">
        <v>0</v>
      </c>
      <c r="CK56" s="802">
        <v>0</v>
      </c>
      <c r="CL56" s="802">
        <v>0</v>
      </c>
      <c r="CM56" s="802">
        <v>0</v>
      </c>
      <c r="CN56" s="802">
        <v>0</v>
      </c>
      <c r="CO56" s="802">
        <v>0</v>
      </c>
      <c r="CP56" s="802">
        <v>0</v>
      </c>
      <c r="CQ56" s="802">
        <v>0</v>
      </c>
      <c r="CR56" s="802">
        <v>0</v>
      </c>
    </row>
    <row r="57" spans="1:96">
      <c r="A57" s="743" t="s">
        <v>3</v>
      </c>
      <c r="B57" s="752" t="s">
        <v>1115</v>
      </c>
      <c r="C57" s="743">
        <v>2014</v>
      </c>
      <c r="D57" s="773" t="s">
        <v>15</v>
      </c>
      <c r="E57" s="706" t="s">
        <v>21</v>
      </c>
      <c r="F57" s="706" t="s">
        <v>17</v>
      </c>
      <c r="G57" s="706"/>
      <c r="H57" s="743" t="s">
        <v>1114</v>
      </c>
      <c r="I57" s="706" t="s">
        <v>5</v>
      </c>
      <c r="J57" s="706" t="s">
        <v>376</v>
      </c>
      <c r="K57" s="706">
        <v>1</v>
      </c>
      <c r="L57" s="743"/>
      <c r="M57" s="743" t="s">
        <v>1113</v>
      </c>
      <c r="N57" s="743">
        <v>5</v>
      </c>
      <c r="O57" s="706"/>
      <c r="P57" s="706"/>
      <c r="Q57" s="706"/>
      <c r="R57" s="706"/>
      <c r="S57" s="706"/>
      <c r="T57" s="706"/>
      <c r="U57" s="706"/>
      <c r="V57" s="706"/>
      <c r="W57" s="793">
        <v>0.12891159127639251</v>
      </c>
      <c r="X57" s="802">
        <v>877.16350560741421</v>
      </c>
      <c r="Y57" s="805">
        <v>4385.8175280370706</v>
      </c>
      <c r="Z57" s="805">
        <v>2041.0263790524905</v>
      </c>
      <c r="AA57" s="805">
        <v>408.20527581049816</v>
      </c>
      <c r="AB57" s="738">
        <v>5.9991542438499308E-2</v>
      </c>
      <c r="AC57" s="706"/>
      <c r="AD57" s="706"/>
      <c r="AE57" s="770">
        <v>0.57063034747686403</v>
      </c>
      <c r="AF57" s="770">
        <v>3.5999999999999997E-2</v>
      </c>
      <c r="AG57" s="706" t="s">
        <v>7</v>
      </c>
      <c r="AH57" s="770">
        <v>0.46536965252313595</v>
      </c>
      <c r="AI57" s="748">
        <v>0.57063034747686403</v>
      </c>
      <c r="AJ57" s="748">
        <v>3.5999999999999997E-2</v>
      </c>
      <c r="AK57" s="748"/>
      <c r="AL57" s="770">
        <v>0.46536965252313595</v>
      </c>
      <c r="AM57" s="706"/>
      <c r="AN57" s="706"/>
      <c r="AO57" s="706"/>
      <c r="AP57" s="804">
        <v>910.16350560741421</v>
      </c>
      <c r="AQ57" s="733">
        <v>910.16350560741421</v>
      </c>
      <c r="AR57" s="706"/>
      <c r="AS57" s="706"/>
      <c r="AT57" s="706"/>
      <c r="AU57" s="803"/>
      <c r="AV57" s="803">
        <v>5.9991542438499308E-2</v>
      </c>
      <c r="AW57" s="803">
        <v>5.9991542438499308E-2</v>
      </c>
      <c r="AX57" s="803">
        <v>5.9991542438499308E-2</v>
      </c>
      <c r="AY57" s="803">
        <v>5.9991542438499308E-2</v>
      </c>
      <c r="AZ57" s="803">
        <v>5.9991542438499308E-2</v>
      </c>
      <c r="BA57" s="803">
        <v>0</v>
      </c>
      <c r="BB57" s="803">
        <v>0</v>
      </c>
      <c r="BC57" s="803">
        <v>0</v>
      </c>
      <c r="BD57" s="803">
        <v>0</v>
      </c>
      <c r="BE57" s="803">
        <v>0</v>
      </c>
      <c r="BF57" s="803">
        <v>0</v>
      </c>
      <c r="BG57" s="803">
        <v>0</v>
      </c>
      <c r="BH57" s="803">
        <v>0</v>
      </c>
      <c r="BI57" s="803">
        <v>0</v>
      </c>
      <c r="BJ57" s="803">
        <v>0</v>
      </c>
      <c r="BK57" s="803">
        <v>0</v>
      </c>
      <c r="BL57" s="803">
        <v>0</v>
      </c>
      <c r="BM57" s="803">
        <v>0</v>
      </c>
      <c r="BN57" s="803">
        <v>0</v>
      </c>
      <c r="BO57" s="803">
        <v>0</v>
      </c>
      <c r="BP57" s="803">
        <v>0</v>
      </c>
      <c r="BQ57" s="803">
        <v>0</v>
      </c>
      <c r="BR57" s="803">
        <v>0</v>
      </c>
      <c r="BS57" s="706"/>
      <c r="BT57" s="706"/>
      <c r="BU57" s="802"/>
      <c r="BV57" s="802">
        <v>408.20527581049816</v>
      </c>
      <c r="BW57" s="802">
        <v>408.20527581049816</v>
      </c>
      <c r="BX57" s="802">
        <v>408.20527581049816</v>
      </c>
      <c r="BY57" s="802">
        <v>408.20527581049816</v>
      </c>
      <c r="BZ57" s="802">
        <v>408.20527581049816</v>
      </c>
      <c r="CA57" s="802">
        <v>0</v>
      </c>
      <c r="CB57" s="802">
        <v>0</v>
      </c>
      <c r="CC57" s="802">
        <v>0</v>
      </c>
      <c r="CD57" s="802">
        <v>0</v>
      </c>
      <c r="CE57" s="802">
        <v>0</v>
      </c>
      <c r="CF57" s="802">
        <v>0</v>
      </c>
      <c r="CG57" s="802">
        <v>0</v>
      </c>
      <c r="CH57" s="802">
        <v>0</v>
      </c>
      <c r="CI57" s="802">
        <v>0</v>
      </c>
      <c r="CJ57" s="802">
        <v>0</v>
      </c>
      <c r="CK57" s="802">
        <v>0</v>
      </c>
      <c r="CL57" s="802">
        <v>0</v>
      </c>
      <c r="CM57" s="802">
        <v>0</v>
      </c>
      <c r="CN57" s="802">
        <v>0</v>
      </c>
      <c r="CO57" s="802">
        <v>0</v>
      </c>
      <c r="CP57" s="802">
        <v>0</v>
      </c>
      <c r="CQ57" s="802">
        <v>0</v>
      </c>
      <c r="CR57" s="802">
        <v>0</v>
      </c>
    </row>
    <row r="58" spans="1:96">
      <c r="A58" s="694" t="s">
        <v>3</v>
      </c>
      <c r="B58" s="705"/>
      <c r="C58" s="694">
        <v>2014</v>
      </c>
      <c r="D58" s="694" t="s">
        <v>15</v>
      </c>
      <c r="E58" s="694" t="s">
        <v>19</v>
      </c>
      <c r="F58" s="694" t="s">
        <v>17</v>
      </c>
      <c r="G58" s="694"/>
      <c r="H58" s="694" t="s">
        <v>1092</v>
      </c>
      <c r="I58" s="694" t="s">
        <v>5</v>
      </c>
      <c r="J58" s="694" t="s">
        <v>376</v>
      </c>
      <c r="K58" s="751">
        <v>1</v>
      </c>
      <c r="L58" s="694"/>
      <c r="M58" s="694" t="s">
        <v>1112</v>
      </c>
      <c r="N58" s="694">
        <v>4</v>
      </c>
      <c r="O58" s="694"/>
      <c r="P58" s="694"/>
      <c r="Q58" s="694"/>
      <c r="R58" s="694"/>
      <c r="S58" s="694"/>
      <c r="T58" s="694"/>
      <c r="U58" s="694"/>
      <c r="V58" s="694"/>
      <c r="W58" s="797">
        <v>0.39365566631983673</v>
      </c>
      <c r="X58" s="796">
        <v>701.9123710403511</v>
      </c>
      <c r="Y58" s="796">
        <v>2807.6494841614044</v>
      </c>
      <c r="Z58" s="796">
        <v>1477.7595118302859</v>
      </c>
      <c r="AA58" s="796">
        <v>369.43987795757147</v>
      </c>
      <c r="AB58" s="797">
        <v>0.20719409903967406</v>
      </c>
      <c r="AC58" s="801">
        <v>1</v>
      </c>
      <c r="AD58" s="801">
        <v>1</v>
      </c>
      <c r="AE58" s="799">
        <v>0.50666666666666671</v>
      </c>
      <c r="AF58" s="800">
        <v>3.3000000000000002E-2</v>
      </c>
      <c r="AG58" s="694"/>
      <c r="AH58" s="799">
        <v>0.52633333333333332</v>
      </c>
      <c r="AI58" s="799">
        <v>0.50666666666666671</v>
      </c>
      <c r="AJ58" s="800">
        <v>3.3000000000000002E-2</v>
      </c>
      <c r="AK58" s="694"/>
      <c r="AL58" s="799">
        <v>0.52633333333333332</v>
      </c>
      <c r="AM58" s="694" t="s">
        <v>653</v>
      </c>
      <c r="AN58" s="694" t="s">
        <v>653</v>
      </c>
      <c r="AO58" s="694" t="s">
        <v>653</v>
      </c>
      <c r="AP58" s="702">
        <v>74.766565500281061</v>
      </c>
      <c r="AQ58" s="798">
        <v>74.766565500281061</v>
      </c>
      <c r="AR58" s="694" t="s">
        <v>1090</v>
      </c>
      <c r="AS58" s="694"/>
      <c r="AT58" s="694"/>
      <c r="AU58" s="797"/>
      <c r="AV58" s="797">
        <v>0.20719409903967406</v>
      </c>
      <c r="AW58" s="797">
        <v>0.20719409903967406</v>
      </c>
      <c r="AX58" s="797">
        <v>0.20719409903967406</v>
      </c>
      <c r="AY58" s="797">
        <v>0.20719409903967406</v>
      </c>
      <c r="AZ58" s="694">
        <v>0</v>
      </c>
      <c r="BA58" s="694">
        <v>0</v>
      </c>
      <c r="BB58" s="694">
        <v>0</v>
      </c>
      <c r="BC58" s="694">
        <v>0</v>
      </c>
      <c r="BD58" s="694">
        <v>0</v>
      </c>
      <c r="BE58" s="694">
        <v>0</v>
      </c>
      <c r="BF58" s="694">
        <v>0</v>
      </c>
      <c r="BG58" s="694">
        <v>0</v>
      </c>
      <c r="BH58" s="694">
        <v>0</v>
      </c>
      <c r="BI58" s="694">
        <v>0</v>
      </c>
      <c r="BJ58" s="694">
        <v>0</v>
      </c>
      <c r="BK58" s="694">
        <v>0</v>
      </c>
      <c r="BL58" s="694">
        <v>0</v>
      </c>
      <c r="BM58" s="694">
        <v>0</v>
      </c>
      <c r="BN58" s="694">
        <v>0</v>
      </c>
      <c r="BO58" s="694">
        <v>0</v>
      </c>
      <c r="BP58" s="694">
        <v>0</v>
      </c>
      <c r="BQ58" s="694">
        <v>0</v>
      </c>
      <c r="BR58" s="694">
        <v>0</v>
      </c>
      <c r="BS58" s="694"/>
      <c r="BT58" s="694"/>
      <c r="BU58" s="796"/>
      <c r="BV58" s="796">
        <v>369.43987795757147</v>
      </c>
      <c r="BW58" s="796">
        <v>369.43987795757147</v>
      </c>
      <c r="BX58" s="796">
        <v>369.43987795757147</v>
      </c>
      <c r="BY58" s="796">
        <v>369.43987795757147</v>
      </c>
      <c r="BZ58" s="694">
        <v>0</v>
      </c>
      <c r="CA58" s="694">
        <v>0</v>
      </c>
      <c r="CB58" s="694">
        <v>0</v>
      </c>
      <c r="CC58" s="694">
        <v>0</v>
      </c>
      <c r="CD58" s="694">
        <v>0</v>
      </c>
      <c r="CE58" s="694">
        <v>0</v>
      </c>
      <c r="CF58" s="694">
        <v>0</v>
      </c>
      <c r="CG58" s="694">
        <v>0</v>
      </c>
      <c r="CH58" s="694">
        <v>0</v>
      </c>
      <c r="CI58" s="694">
        <v>0</v>
      </c>
      <c r="CJ58" s="694">
        <v>0</v>
      </c>
      <c r="CK58" s="694">
        <v>0</v>
      </c>
      <c r="CL58" s="694">
        <v>0</v>
      </c>
      <c r="CM58" s="694">
        <v>0</v>
      </c>
      <c r="CN58" s="694">
        <v>0</v>
      </c>
      <c r="CO58" s="694">
        <v>0</v>
      </c>
      <c r="CP58" s="694">
        <v>0</v>
      </c>
      <c r="CQ58" s="694">
        <v>0</v>
      </c>
      <c r="CR58" s="694">
        <v>0</v>
      </c>
    </row>
    <row r="59" spans="1:96">
      <c r="A59" s="694" t="s">
        <v>3</v>
      </c>
      <c r="B59" s="705"/>
      <c r="C59" s="694">
        <v>2014</v>
      </c>
      <c r="D59" s="694" t="s">
        <v>15</v>
      </c>
      <c r="E59" s="694" t="s">
        <v>19</v>
      </c>
      <c r="F59" s="694" t="s">
        <v>17</v>
      </c>
      <c r="G59" s="694"/>
      <c r="H59" s="694" t="s">
        <v>1092</v>
      </c>
      <c r="I59" s="694" t="s">
        <v>5</v>
      </c>
      <c r="J59" s="694" t="s">
        <v>376</v>
      </c>
      <c r="K59" s="751">
        <v>1</v>
      </c>
      <c r="L59" s="694"/>
      <c r="M59" s="694" t="s">
        <v>1111</v>
      </c>
      <c r="N59" s="694">
        <v>4</v>
      </c>
      <c r="O59" s="694"/>
      <c r="P59" s="694"/>
      <c r="Q59" s="694"/>
      <c r="R59" s="694"/>
      <c r="S59" s="694"/>
      <c r="T59" s="694"/>
      <c r="U59" s="694"/>
      <c r="V59" s="694"/>
      <c r="W59" s="797">
        <v>0.39365566631983673</v>
      </c>
      <c r="X59" s="796">
        <v>701.9123710403511</v>
      </c>
      <c r="Y59" s="796">
        <v>2807.6494841614044</v>
      </c>
      <c r="Z59" s="796">
        <v>1477.7595118302859</v>
      </c>
      <c r="AA59" s="796">
        <v>369.43987795757147</v>
      </c>
      <c r="AB59" s="797">
        <v>0.20719409903967406</v>
      </c>
      <c r="AC59" s="801">
        <v>1</v>
      </c>
      <c r="AD59" s="801">
        <v>1</v>
      </c>
      <c r="AE59" s="799">
        <v>0.50666666666666671</v>
      </c>
      <c r="AF59" s="800">
        <v>3.3000000000000002E-2</v>
      </c>
      <c r="AG59" s="694"/>
      <c r="AH59" s="799">
        <v>0.52633333333333332</v>
      </c>
      <c r="AI59" s="799">
        <v>0.50666666666666671</v>
      </c>
      <c r="AJ59" s="800">
        <v>3.3000000000000002E-2</v>
      </c>
      <c r="AK59" s="694"/>
      <c r="AL59" s="799">
        <v>0.52633333333333332</v>
      </c>
      <c r="AM59" s="694" t="s">
        <v>653</v>
      </c>
      <c r="AN59" s="694" t="s">
        <v>653</v>
      </c>
      <c r="AO59" s="694" t="s">
        <v>653</v>
      </c>
      <c r="AP59" s="702">
        <v>74.766565500281061</v>
      </c>
      <c r="AQ59" s="798">
        <v>74.766565500281061</v>
      </c>
      <c r="AR59" s="694" t="s">
        <v>1090</v>
      </c>
      <c r="AS59" s="694"/>
      <c r="AT59" s="694"/>
      <c r="AU59" s="797"/>
      <c r="AV59" s="797">
        <v>0.20719409903967406</v>
      </c>
      <c r="AW59" s="797">
        <v>0.20719409903967406</v>
      </c>
      <c r="AX59" s="797">
        <v>0.20719409903967406</v>
      </c>
      <c r="AY59" s="797">
        <v>0.20719409903967406</v>
      </c>
      <c r="AZ59" s="694">
        <v>0</v>
      </c>
      <c r="BA59" s="694">
        <v>0</v>
      </c>
      <c r="BB59" s="694">
        <v>0</v>
      </c>
      <c r="BC59" s="694">
        <v>0</v>
      </c>
      <c r="BD59" s="694">
        <v>0</v>
      </c>
      <c r="BE59" s="694">
        <v>0</v>
      </c>
      <c r="BF59" s="694">
        <v>0</v>
      </c>
      <c r="BG59" s="694">
        <v>0</v>
      </c>
      <c r="BH59" s="694">
        <v>0</v>
      </c>
      <c r="BI59" s="694">
        <v>0</v>
      </c>
      <c r="BJ59" s="694">
        <v>0</v>
      </c>
      <c r="BK59" s="694">
        <v>0</v>
      </c>
      <c r="BL59" s="694">
        <v>0</v>
      </c>
      <c r="BM59" s="694">
        <v>0</v>
      </c>
      <c r="BN59" s="694">
        <v>0</v>
      </c>
      <c r="BO59" s="694">
        <v>0</v>
      </c>
      <c r="BP59" s="694">
        <v>0</v>
      </c>
      <c r="BQ59" s="694">
        <v>0</v>
      </c>
      <c r="BR59" s="694">
        <v>0</v>
      </c>
      <c r="BS59" s="694"/>
      <c r="BT59" s="694"/>
      <c r="BU59" s="796"/>
      <c r="BV59" s="796">
        <v>369.43987795757147</v>
      </c>
      <c r="BW59" s="796">
        <v>369.43987795757147</v>
      </c>
      <c r="BX59" s="796">
        <v>369.43987795757147</v>
      </c>
      <c r="BY59" s="796">
        <v>369.43987795757147</v>
      </c>
      <c r="BZ59" s="694">
        <v>0</v>
      </c>
      <c r="CA59" s="694">
        <v>0</v>
      </c>
      <c r="CB59" s="694">
        <v>0</v>
      </c>
      <c r="CC59" s="694">
        <v>0</v>
      </c>
      <c r="CD59" s="694">
        <v>0</v>
      </c>
      <c r="CE59" s="694">
        <v>0</v>
      </c>
      <c r="CF59" s="694">
        <v>0</v>
      </c>
      <c r="CG59" s="694">
        <v>0</v>
      </c>
      <c r="CH59" s="694">
        <v>0</v>
      </c>
      <c r="CI59" s="694">
        <v>0</v>
      </c>
      <c r="CJ59" s="694">
        <v>0</v>
      </c>
      <c r="CK59" s="694">
        <v>0</v>
      </c>
      <c r="CL59" s="694">
        <v>0</v>
      </c>
      <c r="CM59" s="694">
        <v>0</v>
      </c>
      <c r="CN59" s="694">
        <v>0</v>
      </c>
      <c r="CO59" s="694">
        <v>0</v>
      </c>
      <c r="CP59" s="694">
        <v>0</v>
      </c>
      <c r="CQ59" s="694">
        <v>0</v>
      </c>
      <c r="CR59" s="694">
        <v>0</v>
      </c>
    </row>
    <row r="60" spans="1:96">
      <c r="A60" s="694" t="s">
        <v>3</v>
      </c>
      <c r="B60" s="705"/>
      <c r="C60" s="694">
        <v>2014</v>
      </c>
      <c r="D60" s="694" t="s">
        <v>15</v>
      </c>
      <c r="E60" s="694" t="s">
        <v>19</v>
      </c>
      <c r="F60" s="694" t="s">
        <v>17</v>
      </c>
      <c r="G60" s="694"/>
      <c r="H60" s="694" t="s">
        <v>1092</v>
      </c>
      <c r="I60" s="694" t="s">
        <v>5</v>
      </c>
      <c r="J60" s="694" t="s">
        <v>376</v>
      </c>
      <c r="K60" s="751">
        <v>1</v>
      </c>
      <c r="L60" s="694"/>
      <c r="M60" s="694" t="s">
        <v>1110</v>
      </c>
      <c r="N60" s="694">
        <v>4</v>
      </c>
      <c r="O60" s="694"/>
      <c r="P60" s="694"/>
      <c r="Q60" s="694"/>
      <c r="R60" s="694"/>
      <c r="S60" s="694"/>
      <c r="T60" s="694"/>
      <c r="U60" s="694"/>
      <c r="V60" s="694"/>
      <c r="W60" s="797">
        <v>0.39365566631983673</v>
      </c>
      <c r="X60" s="796">
        <v>701.9123710403511</v>
      </c>
      <c r="Y60" s="796">
        <v>2807.6494841614044</v>
      </c>
      <c r="Z60" s="796">
        <v>1477.7595118302859</v>
      </c>
      <c r="AA60" s="796">
        <v>369.43987795757147</v>
      </c>
      <c r="AB60" s="797">
        <v>0.20719409903967406</v>
      </c>
      <c r="AC60" s="801">
        <v>1</v>
      </c>
      <c r="AD60" s="801">
        <v>1</v>
      </c>
      <c r="AE60" s="799">
        <v>0.50666666666666671</v>
      </c>
      <c r="AF60" s="800">
        <v>3.3000000000000002E-2</v>
      </c>
      <c r="AG60" s="694"/>
      <c r="AH60" s="799">
        <v>0.52633333333333332</v>
      </c>
      <c r="AI60" s="799">
        <v>0.50666666666666671</v>
      </c>
      <c r="AJ60" s="800">
        <v>3.3000000000000002E-2</v>
      </c>
      <c r="AK60" s="694"/>
      <c r="AL60" s="799">
        <v>0.52633333333333332</v>
      </c>
      <c r="AM60" s="694" t="s">
        <v>653</v>
      </c>
      <c r="AN60" s="694" t="s">
        <v>653</v>
      </c>
      <c r="AO60" s="694" t="s">
        <v>653</v>
      </c>
      <c r="AP60" s="702">
        <v>74.766565500281061</v>
      </c>
      <c r="AQ60" s="798">
        <v>74.766565500281061</v>
      </c>
      <c r="AR60" s="694" t="s">
        <v>1090</v>
      </c>
      <c r="AS60" s="694"/>
      <c r="AT60" s="694"/>
      <c r="AU60" s="797"/>
      <c r="AV60" s="797">
        <v>0.20719409903967406</v>
      </c>
      <c r="AW60" s="797">
        <v>0.20719409903967406</v>
      </c>
      <c r="AX60" s="797">
        <v>0.20719409903967406</v>
      </c>
      <c r="AY60" s="797">
        <v>0.20719409903967406</v>
      </c>
      <c r="AZ60" s="694">
        <v>0</v>
      </c>
      <c r="BA60" s="694">
        <v>0</v>
      </c>
      <c r="BB60" s="694">
        <v>0</v>
      </c>
      <c r="BC60" s="694">
        <v>0</v>
      </c>
      <c r="BD60" s="694">
        <v>0</v>
      </c>
      <c r="BE60" s="694">
        <v>0</v>
      </c>
      <c r="BF60" s="694">
        <v>0</v>
      </c>
      <c r="BG60" s="694">
        <v>0</v>
      </c>
      <c r="BH60" s="694">
        <v>0</v>
      </c>
      <c r="BI60" s="694">
        <v>0</v>
      </c>
      <c r="BJ60" s="694">
        <v>0</v>
      </c>
      <c r="BK60" s="694">
        <v>0</v>
      </c>
      <c r="BL60" s="694">
        <v>0</v>
      </c>
      <c r="BM60" s="694">
        <v>0</v>
      </c>
      <c r="BN60" s="694">
        <v>0</v>
      </c>
      <c r="BO60" s="694">
        <v>0</v>
      </c>
      <c r="BP60" s="694">
        <v>0</v>
      </c>
      <c r="BQ60" s="694">
        <v>0</v>
      </c>
      <c r="BR60" s="694">
        <v>0</v>
      </c>
      <c r="BS60" s="694"/>
      <c r="BT60" s="694"/>
      <c r="BU60" s="796"/>
      <c r="BV60" s="796">
        <v>369.43987795757147</v>
      </c>
      <c r="BW60" s="796">
        <v>369.43987795757147</v>
      </c>
      <c r="BX60" s="796">
        <v>369.43987795757147</v>
      </c>
      <c r="BY60" s="796">
        <v>369.43987795757147</v>
      </c>
      <c r="BZ60" s="694">
        <v>0</v>
      </c>
      <c r="CA60" s="694">
        <v>0</v>
      </c>
      <c r="CB60" s="694">
        <v>0</v>
      </c>
      <c r="CC60" s="694">
        <v>0</v>
      </c>
      <c r="CD60" s="694">
        <v>0</v>
      </c>
      <c r="CE60" s="694">
        <v>0</v>
      </c>
      <c r="CF60" s="694">
        <v>0</v>
      </c>
      <c r="CG60" s="694">
        <v>0</v>
      </c>
      <c r="CH60" s="694">
        <v>0</v>
      </c>
      <c r="CI60" s="694">
        <v>0</v>
      </c>
      <c r="CJ60" s="694">
        <v>0</v>
      </c>
      <c r="CK60" s="694">
        <v>0</v>
      </c>
      <c r="CL60" s="694">
        <v>0</v>
      </c>
      <c r="CM60" s="694">
        <v>0</v>
      </c>
      <c r="CN60" s="694">
        <v>0</v>
      </c>
      <c r="CO60" s="694">
        <v>0</v>
      </c>
      <c r="CP60" s="694">
        <v>0</v>
      </c>
      <c r="CQ60" s="694">
        <v>0</v>
      </c>
      <c r="CR60" s="694">
        <v>0</v>
      </c>
    </row>
    <row r="61" spans="1:96">
      <c r="A61" s="694" t="s">
        <v>3</v>
      </c>
      <c r="B61" s="705"/>
      <c r="C61" s="694">
        <v>2014</v>
      </c>
      <c r="D61" s="694" t="s">
        <v>15</v>
      </c>
      <c r="E61" s="694" t="s">
        <v>19</v>
      </c>
      <c r="F61" s="694" t="s">
        <v>17</v>
      </c>
      <c r="G61" s="694"/>
      <c r="H61" s="694" t="s">
        <v>1092</v>
      </c>
      <c r="I61" s="694" t="s">
        <v>5</v>
      </c>
      <c r="J61" s="694" t="s">
        <v>376</v>
      </c>
      <c r="K61" s="751">
        <v>1</v>
      </c>
      <c r="L61" s="694"/>
      <c r="M61" s="694" t="s">
        <v>1109</v>
      </c>
      <c r="N61" s="694">
        <v>4</v>
      </c>
      <c r="O61" s="694"/>
      <c r="P61" s="694"/>
      <c r="Q61" s="694"/>
      <c r="R61" s="694"/>
      <c r="S61" s="694"/>
      <c r="T61" s="694"/>
      <c r="U61" s="694"/>
      <c r="V61" s="694"/>
      <c r="W61" s="797">
        <v>0.39365566631983673</v>
      </c>
      <c r="X61" s="796">
        <v>701.9123710403511</v>
      </c>
      <c r="Y61" s="796">
        <v>2807.6494841614044</v>
      </c>
      <c r="Z61" s="796">
        <v>1477.7595118302859</v>
      </c>
      <c r="AA61" s="796">
        <v>369.43987795757147</v>
      </c>
      <c r="AB61" s="797">
        <v>0.20719409903967406</v>
      </c>
      <c r="AC61" s="801">
        <v>1</v>
      </c>
      <c r="AD61" s="801">
        <v>1</v>
      </c>
      <c r="AE61" s="799">
        <v>0.50666666666666671</v>
      </c>
      <c r="AF61" s="800">
        <v>3.3000000000000002E-2</v>
      </c>
      <c r="AG61" s="694"/>
      <c r="AH61" s="799">
        <v>0.52633333333333332</v>
      </c>
      <c r="AI61" s="799">
        <v>0.50666666666666671</v>
      </c>
      <c r="AJ61" s="800">
        <v>3.3000000000000002E-2</v>
      </c>
      <c r="AK61" s="694"/>
      <c r="AL61" s="799">
        <v>0.52633333333333332</v>
      </c>
      <c r="AM61" s="694" t="s">
        <v>653</v>
      </c>
      <c r="AN61" s="694" t="s">
        <v>653</v>
      </c>
      <c r="AO61" s="694" t="s">
        <v>653</v>
      </c>
      <c r="AP61" s="702">
        <v>74.766565500281061</v>
      </c>
      <c r="AQ61" s="798">
        <v>74.766565500281061</v>
      </c>
      <c r="AR61" s="694" t="s">
        <v>1090</v>
      </c>
      <c r="AS61" s="694"/>
      <c r="AT61" s="694"/>
      <c r="AU61" s="797"/>
      <c r="AV61" s="797">
        <v>0.20719409903967406</v>
      </c>
      <c r="AW61" s="797">
        <v>0.20719409903967406</v>
      </c>
      <c r="AX61" s="797">
        <v>0.20719409903967406</v>
      </c>
      <c r="AY61" s="797">
        <v>0.20719409903967406</v>
      </c>
      <c r="AZ61" s="694">
        <v>0</v>
      </c>
      <c r="BA61" s="694">
        <v>0</v>
      </c>
      <c r="BB61" s="694">
        <v>0</v>
      </c>
      <c r="BC61" s="694">
        <v>0</v>
      </c>
      <c r="BD61" s="694">
        <v>0</v>
      </c>
      <c r="BE61" s="694">
        <v>0</v>
      </c>
      <c r="BF61" s="694">
        <v>0</v>
      </c>
      <c r="BG61" s="694">
        <v>0</v>
      </c>
      <c r="BH61" s="694">
        <v>0</v>
      </c>
      <c r="BI61" s="694">
        <v>0</v>
      </c>
      <c r="BJ61" s="694">
        <v>0</v>
      </c>
      <c r="BK61" s="694">
        <v>0</v>
      </c>
      <c r="BL61" s="694">
        <v>0</v>
      </c>
      <c r="BM61" s="694">
        <v>0</v>
      </c>
      <c r="BN61" s="694">
        <v>0</v>
      </c>
      <c r="BO61" s="694">
        <v>0</v>
      </c>
      <c r="BP61" s="694">
        <v>0</v>
      </c>
      <c r="BQ61" s="694">
        <v>0</v>
      </c>
      <c r="BR61" s="694">
        <v>0</v>
      </c>
      <c r="BS61" s="694"/>
      <c r="BT61" s="694"/>
      <c r="BU61" s="796"/>
      <c r="BV61" s="796">
        <v>369.43987795757147</v>
      </c>
      <c r="BW61" s="796">
        <v>369.43987795757147</v>
      </c>
      <c r="BX61" s="796">
        <v>369.43987795757147</v>
      </c>
      <c r="BY61" s="796">
        <v>369.43987795757147</v>
      </c>
      <c r="BZ61" s="694">
        <v>0</v>
      </c>
      <c r="CA61" s="694">
        <v>0</v>
      </c>
      <c r="CB61" s="694">
        <v>0</v>
      </c>
      <c r="CC61" s="694">
        <v>0</v>
      </c>
      <c r="CD61" s="694">
        <v>0</v>
      </c>
      <c r="CE61" s="694">
        <v>0</v>
      </c>
      <c r="CF61" s="694">
        <v>0</v>
      </c>
      <c r="CG61" s="694">
        <v>0</v>
      </c>
      <c r="CH61" s="694">
        <v>0</v>
      </c>
      <c r="CI61" s="694">
        <v>0</v>
      </c>
      <c r="CJ61" s="694">
        <v>0</v>
      </c>
      <c r="CK61" s="694">
        <v>0</v>
      </c>
      <c r="CL61" s="694">
        <v>0</v>
      </c>
      <c r="CM61" s="694">
        <v>0</v>
      </c>
      <c r="CN61" s="694">
        <v>0</v>
      </c>
      <c r="CO61" s="694">
        <v>0</v>
      </c>
      <c r="CP61" s="694">
        <v>0</v>
      </c>
      <c r="CQ61" s="694">
        <v>0</v>
      </c>
      <c r="CR61" s="694">
        <v>0</v>
      </c>
    </row>
    <row r="62" spans="1:96">
      <c r="A62" s="694" t="s">
        <v>3</v>
      </c>
      <c r="B62" s="705"/>
      <c r="C62" s="694">
        <v>2014</v>
      </c>
      <c r="D62" s="694" t="s">
        <v>15</v>
      </c>
      <c r="E62" s="694" t="s">
        <v>19</v>
      </c>
      <c r="F62" s="694" t="s">
        <v>17</v>
      </c>
      <c r="G62" s="694"/>
      <c r="H62" s="694" t="s">
        <v>1092</v>
      </c>
      <c r="I62" s="694" t="s">
        <v>5</v>
      </c>
      <c r="J62" s="694" t="s">
        <v>376</v>
      </c>
      <c r="K62" s="751">
        <v>1</v>
      </c>
      <c r="L62" s="694"/>
      <c r="M62" s="694" t="s">
        <v>1109</v>
      </c>
      <c r="N62" s="694">
        <v>4</v>
      </c>
      <c r="O62" s="694"/>
      <c r="P62" s="694"/>
      <c r="Q62" s="694"/>
      <c r="R62" s="694"/>
      <c r="S62" s="694"/>
      <c r="T62" s="694"/>
      <c r="U62" s="694"/>
      <c r="V62" s="694"/>
      <c r="W62" s="797">
        <v>0.39365566631983673</v>
      </c>
      <c r="X62" s="796">
        <v>701.9123710403511</v>
      </c>
      <c r="Y62" s="796">
        <v>2807.6494841614044</v>
      </c>
      <c r="Z62" s="796">
        <v>1477.7595118302859</v>
      </c>
      <c r="AA62" s="796">
        <v>369.43987795757147</v>
      </c>
      <c r="AB62" s="797">
        <v>0.20719409903967406</v>
      </c>
      <c r="AC62" s="801">
        <v>1</v>
      </c>
      <c r="AD62" s="801">
        <v>1</v>
      </c>
      <c r="AE62" s="799">
        <v>0.50666666666666671</v>
      </c>
      <c r="AF62" s="800">
        <v>3.3000000000000002E-2</v>
      </c>
      <c r="AG62" s="694"/>
      <c r="AH62" s="799">
        <v>0.52633333333333332</v>
      </c>
      <c r="AI62" s="799">
        <v>0.50666666666666671</v>
      </c>
      <c r="AJ62" s="800">
        <v>3.3000000000000002E-2</v>
      </c>
      <c r="AK62" s="694"/>
      <c r="AL62" s="799">
        <v>0.52633333333333332</v>
      </c>
      <c r="AM62" s="694" t="s">
        <v>653</v>
      </c>
      <c r="AN62" s="694" t="s">
        <v>653</v>
      </c>
      <c r="AO62" s="694" t="s">
        <v>653</v>
      </c>
      <c r="AP62" s="702">
        <v>74.766565500281061</v>
      </c>
      <c r="AQ62" s="798">
        <v>74.766565500281061</v>
      </c>
      <c r="AR62" s="694" t="s">
        <v>1090</v>
      </c>
      <c r="AS62" s="694"/>
      <c r="AT62" s="694"/>
      <c r="AU62" s="797"/>
      <c r="AV62" s="797">
        <v>0.20719409903967406</v>
      </c>
      <c r="AW62" s="797">
        <v>0.20719409903967406</v>
      </c>
      <c r="AX62" s="797">
        <v>0.20719409903967406</v>
      </c>
      <c r="AY62" s="797">
        <v>0.20719409903967406</v>
      </c>
      <c r="AZ62" s="694">
        <v>0</v>
      </c>
      <c r="BA62" s="694">
        <v>0</v>
      </c>
      <c r="BB62" s="694">
        <v>0</v>
      </c>
      <c r="BC62" s="694">
        <v>0</v>
      </c>
      <c r="BD62" s="694">
        <v>0</v>
      </c>
      <c r="BE62" s="694">
        <v>0</v>
      </c>
      <c r="BF62" s="694">
        <v>0</v>
      </c>
      <c r="BG62" s="694">
        <v>0</v>
      </c>
      <c r="BH62" s="694">
        <v>0</v>
      </c>
      <c r="BI62" s="694">
        <v>0</v>
      </c>
      <c r="BJ62" s="694">
        <v>0</v>
      </c>
      <c r="BK62" s="694">
        <v>0</v>
      </c>
      <c r="BL62" s="694">
        <v>0</v>
      </c>
      <c r="BM62" s="694">
        <v>0</v>
      </c>
      <c r="BN62" s="694">
        <v>0</v>
      </c>
      <c r="BO62" s="694">
        <v>0</v>
      </c>
      <c r="BP62" s="694">
        <v>0</v>
      </c>
      <c r="BQ62" s="694">
        <v>0</v>
      </c>
      <c r="BR62" s="694">
        <v>0</v>
      </c>
      <c r="BS62" s="694"/>
      <c r="BT62" s="694"/>
      <c r="BU62" s="796"/>
      <c r="BV62" s="796">
        <v>369.43987795757147</v>
      </c>
      <c r="BW62" s="796">
        <v>369.43987795757147</v>
      </c>
      <c r="BX62" s="796">
        <v>369.43987795757147</v>
      </c>
      <c r="BY62" s="796">
        <v>369.43987795757147</v>
      </c>
      <c r="BZ62" s="694">
        <v>0</v>
      </c>
      <c r="CA62" s="694">
        <v>0</v>
      </c>
      <c r="CB62" s="694">
        <v>0</v>
      </c>
      <c r="CC62" s="694">
        <v>0</v>
      </c>
      <c r="CD62" s="694">
        <v>0</v>
      </c>
      <c r="CE62" s="694">
        <v>0</v>
      </c>
      <c r="CF62" s="694">
        <v>0</v>
      </c>
      <c r="CG62" s="694">
        <v>0</v>
      </c>
      <c r="CH62" s="694">
        <v>0</v>
      </c>
      <c r="CI62" s="694">
        <v>0</v>
      </c>
      <c r="CJ62" s="694">
        <v>0</v>
      </c>
      <c r="CK62" s="694">
        <v>0</v>
      </c>
      <c r="CL62" s="694">
        <v>0</v>
      </c>
      <c r="CM62" s="694">
        <v>0</v>
      </c>
      <c r="CN62" s="694">
        <v>0</v>
      </c>
      <c r="CO62" s="694">
        <v>0</v>
      </c>
      <c r="CP62" s="694">
        <v>0</v>
      </c>
      <c r="CQ62" s="694">
        <v>0</v>
      </c>
      <c r="CR62" s="694">
        <v>0</v>
      </c>
    </row>
    <row r="63" spans="1:96">
      <c r="A63" s="694" t="s">
        <v>3</v>
      </c>
      <c r="B63" s="705"/>
      <c r="C63" s="694">
        <v>2014</v>
      </c>
      <c r="D63" s="694" t="s">
        <v>15</v>
      </c>
      <c r="E63" s="694" t="s">
        <v>19</v>
      </c>
      <c r="F63" s="694" t="s">
        <v>17</v>
      </c>
      <c r="G63" s="694"/>
      <c r="H63" s="694" t="s">
        <v>1092</v>
      </c>
      <c r="I63" s="694" t="s">
        <v>5</v>
      </c>
      <c r="J63" s="694" t="s">
        <v>376</v>
      </c>
      <c r="K63" s="751">
        <v>1</v>
      </c>
      <c r="L63" s="694"/>
      <c r="M63" s="694" t="s">
        <v>1108</v>
      </c>
      <c r="N63" s="694">
        <v>4</v>
      </c>
      <c r="O63" s="694"/>
      <c r="P63" s="694"/>
      <c r="Q63" s="694"/>
      <c r="R63" s="694"/>
      <c r="S63" s="694"/>
      <c r="T63" s="694"/>
      <c r="U63" s="694"/>
      <c r="V63" s="694"/>
      <c r="W63" s="797">
        <v>0.39365566631983673</v>
      </c>
      <c r="X63" s="796">
        <v>701.9123710403511</v>
      </c>
      <c r="Y63" s="796">
        <v>2807.6494841614044</v>
      </c>
      <c r="Z63" s="796">
        <v>1477.7595118302859</v>
      </c>
      <c r="AA63" s="796">
        <v>369.43987795757147</v>
      </c>
      <c r="AB63" s="797">
        <v>0.20719409903967406</v>
      </c>
      <c r="AC63" s="801">
        <v>1</v>
      </c>
      <c r="AD63" s="801">
        <v>1</v>
      </c>
      <c r="AE63" s="799">
        <v>0.50666666666666671</v>
      </c>
      <c r="AF63" s="800">
        <v>3.3000000000000002E-2</v>
      </c>
      <c r="AG63" s="694"/>
      <c r="AH63" s="799">
        <v>0.52633333333333332</v>
      </c>
      <c r="AI63" s="799">
        <v>0.50666666666666671</v>
      </c>
      <c r="AJ63" s="800">
        <v>3.3000000000000002E-2</v>
      </c>
      <c r="AK63" s="694"/>
      <c r="AL63" s="799">
        <v>0.52633333333333332</v>
      </c>
      <c r="AM63" s="694" t="s">
        <v>653</v>
      </c>
      <c r="AN63" s="694" t="s">
        <v>653</v>
      </c>
      <c r="AO63" s="694" t="s">
        <v>653</v>
      </c>
      <c r="AP63" s="702">
        <v>74.766565500281061</v>
      </c>
      <c r="AQ63" s="798">
        <v>74.766565500281061</v>
      </c>
      <c r="AR63" s="694" t="s">
        <v>1090</v>
      </c>
      <c r="AS63" s="694"/>
      <c r="AT63" s="694"/>
      <c r="AU63" s="797"/>
      <c r="AV63" s="797">
        <v>0.20719409903967406</v>
      </c>
      <c r="AW63" s="797">
        <v>0.20719409903967406</v>
      </c>
      <c r="AX63" s="797">
        <v>0.20719409903967406</v>
      </c>
      <c r="AY63" s="797">
        <v>0.20719409903967406</v>
      </c>
      <c r="AZ63" s="694">
        <v>0</v>
      </c>
      <c r="BA63" s="694">
        <v>0</v>
      </c>
      <c r="BB63" s="694">
        <v>0</v>
      </c>
      <c r="BC63" s="694">
        <v>0</v>
      </c>
      <c r="BD63" s="694">
        <v>0</v>
      </c>
      <c r="BE63" s="694">
        <v>0</v>
      </c>
      <c r="BF63" s="694">
        <v>0</v>
      </c>
      <c r="BG63" s="694">
        <v>0</v>
      </c>
      <c r="BH63" s="694">
        <v>0</v>
      </c>
      <c r="BI63" s="694">
        <v>0</v>
      </c>
      <c r="BJ63" s="694">
        <v>0</v>
      </c>
      <c r="BK63" s="694">
        <v>0</v>
      </c>
      <c r="BL63" s="694">
        <v>0</v>
      </c>
      <c r="BM63" s="694">
        <v>0</v>
      </c>
      <c r="BN63" s="694">
        <v>0</v>
      </c>
      <c r="BO63" s="694">
        <v>0</v>
      </c>
      <c r="BP63" s="694">
        <v>0</v>
      </c>
      <c r="BQ63" s="694">
        <v>0</v>
      </c>
      <c r="BR63" s="694">
        <v>0</v>
      </c>
      <c r="BS63" s="694"/>
      <c r="BT63" s="694"/>
      <c r="BU63" s="796"/>
      <c r="BV63" s="796">
        <v>369.43987795757147</v>
      </c>
      <c r="BW63" s="796">
        <v>369.43987795757147</v>
      </c>
      <c r="BX63" s="796">
        <v>369.43987795757147</v>
      </c>
      <c r="BY63" s="796">
        <v>369.43987795757147</v>
      </c>
      <c r="BZ63" s="694">
        <v>0</v>
      </c>
      <c r="CA63" s="694">
        <v>0</v>
      </c>
      <c r="CB63" s="694">
        <v>0</v>
      </c>
      <c r="CC63" s="694">
        <v>0</v>
      </c>
      <c r="CD63" s="694">
        <v>0</v>
      </c>
      <c r="CE63" s="694">
        <v>0</v>
      </c>
      <c r="CF63" s="694">
        <v>0</v>
      </c>
      <c r="CG63" s="694">
        <v>0</v>
      </c>
      <c r="CH63" s="694">
        <v>0</v>
      </c>
      <c r="CI63" s="694">
        <v>0</v>
      </c>
      <c r="CJ63" s="694">
        <v>0</v>
      </c>
      <c r="CK63" s="694">
        <v>0</v>
      </c>
      <c r="CL63" s="694">
        <v>0</v>
      </c>
      <c r="CM63" s="694">
        <v>0</v>
      </c>
      <c r="CN63" s="694">
        <v>0</v>
      </c>
      <c r="CO63" s="694">
        <v>0</v>
      </c>
      <c r="CP63" s="694">
        <v>0</v>
      </c>
      <c r="CQ63" s="694">
        <v>0</v>
      </c>
      <c r="CR63" s="694">
        <v>0</v>
      </c>
    </row>
    <row r="64" spans="1:96">
      <c r="A64" s="694" t="s">
        <v>3</v>
      </c>
      <c r="B64" s="705"/>
      <c r="C64" s="694">
        <v>2014</v>
      </c>
      <c r="D64" s="694" t="s">
        <v>15</v>
      </c>
      <c r="E64" s="694" t="s">
        <v>19</v>
      </c>
      <c r="F64" s="694" t="s">
        <v>17</v>
      </c>
      <c r="G64" s="694"/>
      <c r="H64" s="694" t="s">
        <v>1092</v>
      </c>
      <c r="I64" s="694" t="s">
        <v>5</v>
      </c>
      <c r="J64" s="694" t="s">
        <v>376</v>
      </c>
      <c r="K64" s="751">
        <v>1</v>
      </c>
      <c r="L64" s="694"/>
      <c r="M64" s="694" t="s">
        <v>1107</v>
      </c>
      <c r="N64" s="694">
        <v>4</v>
      </c>
      <c r="O64" s="694"/>
      <c r="P64" s="694"/>
      <c r="Q64" s="694"/>
      <c r="R64" s="694"/>
      <c r="S64" s="694"/>
      <c r="T64" s="694"/>
      <c r="U64" s="694"/>
      <c r="V64" s="694"/>
      <c r="W64" s="797">
        <v>0.39365566631983673</v>
      </c>
      <c r="X64" s="796">
        <v>701.9123710403511</v>
      </c>
      <c r="Y64" s="796">
        <v>2807.6494841614044</v>
      </c>
      <c r="Z64" s="796">
        <v>1477.7595118302859</v>
      </c>
      <c r="AA64" s="796">
        <v>369.43987795757147</v>
      </c>
      <c r="AB64" s="797">
        <v>0.20719409903967406</v>
      </c>
      <c r="AC64" s="801">
        <v>1</v>
      </c>
      <c r="AD64" s="801">
        <v>1</v>
      </c>
      <c r="AE64" s="799">
        <v>0.50666666666666671</v>
      </c>
      <c r="AF64" s="800">
        <v>3.3000000000000002E-2</v>
      </c>
      <c r="AG64" s="694"/>
      <c r="AH64" s="799">
        <v>0.52633333333333332</v>
      </c>
      <c r="AI64" s="799">
        <v>0.50666666666666671</v>
      </c>
      <c r="AJ64" s="800">
        <v>3.3000000000000002E-2</v>
      </c>
      <c r="AK64" s="694"/>
      <c r="AL64" s="799">
        <v>0.52633333333333332</v>
      </c>
      <c r="AM64" s="694" t="s">
        <v>653</v>
      </c>
      <c r="AN64" s="694" t="s">
        <v>653</v>
      </c>
      <c r="AO64" s="694" t="s">
        <v>653</v>
      </c>
      <c r="AP64" s="702">
        <v>74.766565500281061</v>
      </c>
      <c r="AQ64" s="798">
        <v>74.766565500281061</v>
      </c>
      <c r="AR64" s="694" t="s">
        <v>1090</v>
      </c>
      <c r="AS64" s="694"/>
      <c r="AT64" s="694"/>
      <c r="AU64" s="797"/>
      <c r="AV64" s="797">
        <v>0.20719409903967406</v>
      </c>
      <c r="AW64" s="797">
        <v>0.20719409903967406</v>
      </c>
      <c r="AX64" s="797">
        <v>0.20719409903967406</v>
      </c>
      <c r="AY64" s="797">
        <v>0.20719409903967406</v>
      </c>
      <c r="AZ64" s="694">
        <v>0</v>
      </c>
      <c r="BA64" s="694">
        <v>0</v>
      </c>
      <c r="BB64" s="694">
        <v>0</v>
      </c>
      <c r="BC64" s="694">
        <v>0</v>
      </c>
      <c r="BD64" s="694">
        <v>0</v>
      </c>
      <c r="BE64" s="694">
        <v>0</v>
      </c>
      <c r="BF64" s="694">
        <v>0</v>
      </c>
      <c r="BG64" s="694">
        <v>0</v>
      </c>
      <c r="BH64" s="694">
        <v>0</v>
      </c>
      <c r="BI64" s="694">
        <v>0</v>
      </c>
      <c r="BJ64" s="694">
        <v>0</v>
      </c>
      <c r="BK64" s="694">
        <v>0</v>
      </c>
      <c r="BL64" s="694">
        <v>0</v>
      </c>
      <c r="BM64" s="694">
        <v>0</v>
      </c>
      <c r="BN64" s="694">
        <v>0</v>
      </c>
      <c r="BO64" s="694">
        <v>0</v>
      </c>
      <c r="BP64" s="694">
        <v>0</v>
      </c>
      <c r="BQ64" s="694">
        <v>0</v>
      </c>
      <c r="BR64" s="694">
        <v>0</v>
      </c>
      <c r="BS64" s="694"/>
      <c r="BT64" s="694"/>
      <c r="BU64" s="796"/>
      <c r="BV64" s="796">
        <v>369.43987795757147</v>
      </c>
      <c r="BW64" s="796">
        <v>369.43987795757147</v>
      </c>
      <c r="BX64" s="796">
        <v>369.43987795757147</v>
      </c>
      <c r="BY64" s="796">
        <v>369.43987795757147</v>
      </c>
      <c r="BZ64" s="694">
        <v>0</v>
      </c>
      <c r="CA64" s="694">
        <v>0</v>
      </c>
      <c r="CB64" s="694">
        <v>0</v>
      </c>
      <c r="CC64" s="694">
        <v>0</v>
      </c>
      <c r="CD64" s="694">
        <v>0</v>
      </c>
      <c r="CE64" s="694">
        <v>0</v>
      </c>
      <c r="CF64" s="694">
        <v>0</v>
      </c>
      <c r="CG64" s="694">
        <v>0</v>
      </c>
      <c r="CH64" s="694">
        <v>0</v>
      </c>
      <c r="CI64" s="694">
        <v>0</v>
      </c>
      <c r="CJ64" s="694">
        <v>0</v>
      </c>
      <c r="CK64" s="694">
        <v>0</v>
      </c>
      <c r="CL64" s="694">
        <v>0</v>
      </c>
      <c r="CM64" s="694">
        <v>0</v>
      </c>
      <c r="CN64" s="694">
        <v>0</v>
      </c>
      <c r="CO64" s="694">
        <v>0</v>
      </c>
      <c r="CP64" s="694">
        <v>0</v>
      </c>
      <c r="CQ64" s="694">
        <v>0</v>
      </c>
      <c r="CR64" s="694">
        <v>0</v>
      </c>
    </row>
    <row r="65" spans="1:96">
      <c r="A65" s="694" t="s">
        <v>3</v>
      </c>
      <c r="B65" s="705"/>
      <c r="C65" s="694">
        <v>2014</v>
      </c>
      <c r="D65" s="694" t="s">
        <v>15</v>
      </c>
      <c r="E65" s="694" t="s">
        <v>19</v>
      </c>
      <c r="F65" s="694" t="s">
        <v>17</v>
      </c>
      <c r="G65" s="694"/>
      <c r="H65" s="694" t="s">
        <v>1092</v>
      </c>
      <c r="I65" s="694" t="s">
        <v>5</v>
      </c>
      <c r="J65" s="694" t="s">
        <v>376</v>
      </c>
      <c r="K65" s="751">
        <v>1</v>
      </c>
      <c r="L65" s="694"/>
      <c r="M65" s="694" t="s">
        <v>1106</v>
      </c>
      <c r="N65" s="694">
        <v>4</v>
      </c>
      <c r="O65" s="694"/>
      <c r="P65" s="694"/>
      <c r="Q65" s="694"/>
      <c r="R65" s="694"/>
      <c r="S65" s="694"/>
      <c r="T65" s="694"/>
      <c r="U65" s="694"/>
      <c r="V65" s="694"/>
      <c r="W65" s="797">
        <v>0.39365566631983673</v>
      </c>
      <c r="X65" s="796">
        <v>701.9123710403511</v>
      </c>
      <c r="Y65" s="796">
        <v>2807.6494841614044</v>
      </c>
      <c r="Z65" s="796">
        <v>1477.7595118302859</v>
      </c>
      <c r="AA65" s="796">
        <v>369.43987795757147</v>
      </c>
      <c r="AB65" s="797">
        <v>0.20719409903967406</v>
      </c>
      <c r="AC65" s="801">
        <v>1</v>
      </c>
      <c r="AD65" s="801">
        <v>1</v>
      </c>
      <c r="AE65" s="799">
        <v>0.50666666666666671</v>
      </c>
      <c r="AF65" s="800">
        <v>3.3000000000000002E-2</v>
      </c>
      <c r="AG65" s="694"/>
      <c r="AH65" s="799">
        <v>0.52633333333333332</v>
      </c>
      <c r="AI65" s="799">
        <v>0.50666666666666671</v>
      </c>
      <c r="AJ65" s="800">
        <v>3.3000000000000002E-2</v>
      </c>
      <c r="AK65" s="694"/>
      <c r="AL65" s="799">
        <v>0.52633333333333332</v>
      </c>
      <c r="AM65" s="694" t="s">
        <v>653</v>
      </c>
      <c r="AN65" s="694" t="s">
        <v>653</v>
      </c>
      <c r="AO65" s="694" t="s">
        <v>653</v>
      </c>
      <c r="AP65" s="702">
        <v>74.766565500281061</v>
      </c>
      <c r="AQ65" s="798">
        <v>74.766565500281061</v>
      </c>
      <c r="AR65" s="694" t="s">
        <v>1090</v>
      </c>
      <c r="AS65" s="694"/>
      <c r="AT65" s="694"/>
      <c r="AU65" s="797"/>
      <c r="AV65" s="797">
        <v>0.20719409903967406</v>
      </c>
      <c r="AW65" s="797">
        <v>0.20719409903967406</v>
      </c>
      <c r="AX65" s="797">
        <v>0.20719409903967406</v>
      </c>
      <c r="AY65" s="797">
        <v>0.20719409903967406</v>
      </c>
      <c r="AZ65" s="694">
        <v>0</v>
      </c>
      <c r="BA65" s="694">
        <v>0</v>
      </c>
      <c r="BB65" s="694">
        <v>0</v>
      </c>
      <c r="BC65" s="694">
        <v>0</v>
      </c>
      <c r="BD65" s="694">
        <v>0</v>
      </c>
      <c r="BE65" s="694">
        <v>0</v>
      </c>
      <c r="BF65" s="694">
        <v>0</v>
      </c>
      <c r="BG65" s="694">
        <v>0</v>
      </c>
      <c r="BH65" s="694">
        <v>0</v>
      </c>
      <c r="BI65" s="694">
        <v>0</v>
      </c>
      <c r="BJ65" s="694">
        <v>0</v>
      </c>
      <c r="BK65" s="694">
        <v>0</v>
      </c>
      <c r="BL65" s="694">
        <v>0</v>
      </c>
      <c r="BM65" s="694">
        <v>0</v>
      </c>
      <c r="BN65" s="694">
        <v>0</v>
      </c>
      <c r="BO65" s="694">
        <v>0</v>
      </c>
      <c r="BP65" s="694">
        <v>0</v>
      </c>
      <c r="BQ65" s="694">
        <v>0</v>
      </c>
      <c r="BR65" s="694">
        <v>0</v>
      </c>
      <c r="BS65" s="694"/>
      <c r="BT65" s="694"/>
      <c r="BU65" s="796"/>
      <c r="BV65" s="796">
        <v>369.43987795757147</v>
      </c>
      <c r="BW65" s="796">
        <v>369.43987795757147</v>
      </c>
      <c r="BX65" s="796">
        <v>369.43987795757147</v>
      </c>
      <c r="BY65" s="796">
        <v>369.43987795757147</v>
      </c>
      <c r="BZ65" s="694">
        <v>0</v>
      </c>
      <c r="CA65" s="694">
        <v>0</v>
      </c>
      <c r="CB65" s="694">
        <v>0</v>
      </c>
      <c r="CC65" s="694">
        <v>0</v>
      </c>
      <c r="CD65" s="694">
        <v>0</v>
      </c>
      <c r="CE65" s="694">
        <v>0</v>
      </c>
      <c r="CF65" s="694">
        <v>0</v>
      </c>
      <c r="CG65" s="694">
        <v>0</v>
      </c>
      <c r="CH65" s="694">
        <v>0</v>
      </c>
      <c r="CI65" s="694">
        <v>0</v>
      </c>
      <c r="CJ65" s="694">
        <v>0</v>
      </c>
      <c r="CK65" s="694">
        <v>0</v>
      </c>
      <c r="CL65" s="694">
        <v>0</v>
      </c>
      <c r="CM65" s="694">
        <v>0</v>
      </c>
      <c r="CN65" s="694">
        <v>0</v>
      </c>
      <c r="CO65" s="694">
        <v>0</v>
      </c>
      <c r="CP65" s="694">
        <v>0</v>
      </c>
      <c r="CQ65" s="694">
        <v>0</v>
      </c>
      <c r="CR65" s="694">
        <v>0</v>
      </c>
    </row>
    <row r="66" spans="1:96">
      <c r="A66" s="694" t="s">
        <v>3</v>
      </c>
      <c r="B66" s="705"/>
      <c r="C66" s="694">
        <v>2014</v>
      </c>
      <c r="D66" s="694" t="s">
        <v>15</v>
      </c>
      <c r="E66" s="694" t="s">
        <v>19</v>
      </c>
      <c r="F66" s="694" t="s">
        <v>17</v>
      </c>
      <c r="G66" s="694"/>
      <c r="H66" s="694" t="s">
        <v>1092</v>
      </c>
      <c r="I66" s="694" t="s">
        <v>5</v>
      </c>
      <c r="J66" s="694" t="s">
        <v>376</v>
      </c>
      <c r="K66" s="751">
        <v>1</v>
      </c>
      <c r="L66" s="694"/>
      <c r="M66" s="694" t="s">
        <v>1105</v>
      </c>
      <c r="N66" s="694">
        <v>4</v>
      </c>
      <c r="O66" s="694"/>
      <c r="P66" s="694"/>
      <c r="Q66" s="694"/>
      <c r="R66" s="694"/>
      <c r="S66" s="694"/>
      <c r="T66" s="694"/>
      <c r="U66" s="694"/>
      <c r="V66" s="694"/>
      <c r="W66" s="797">
        <v>0.39365566631983673</v>
      </c>
      <c r="X66" s="796">
        <v>701.9123710403511</v>
      </c>
      <c r="Y66" s="796">
        <v>2807.6494841614044</v>
      </c>
      <c r="Z66" s="796">
        <v>1477.7595118302859</v>
      </c>
      <c r="AA66" s="796">
        <v>369.43987795757147</v>
      </c>
      <c r="AB66" s="797">
        <v>0.20719409903967406</v>
      </c>
      <c r="AC66" s="801">
        <v>1</v>
      </c>
      <c r="AD66" s="801">
        <v>1</v>
      </c>
      <c r="AE66" s="799">
        <v>0.50666666666666671</v>
      </c>
      <c r="AF66" s="800">
        <v>3.3000000000000002E-2</v>
      </c>
      <c r="AG66" s="694"/>
      <c r="AH66" s="799">
        <v>0.52633333333333332</v>
      </c>
      <c r="AI66" s="799">
        <v>0.50666666666666671</v>
      </c>
      <c r="AJ66" s="800">
        <v>3.3000000000000002E-2</v>
      </c>
      <c r="AK66" s="694"/>
      <c r="AL66" s="799">
        <v>0.52633333333333332</v>
      </c>
      <c r="AM66" s="694" t="s">
        <v>653</v>
      </c>
      <c r="AN66" s="694" t="s">
        <v>653</v>
      </c>
      <c r="AO66" s="694" t="s">
        <v>653</v>
      </c>
      <c r="AP66" s="702">
        <v>74.766565500281061</v>
      </c>
      <c r="AQ66" s="798">
        <v>74.766565500281061</v>
      </c>
      <c r="AR66" s="694" t="s">
        <v>1090</v>
      </c>
      <c r="AS66" s="694"/>
      <c r="AT66" s="694"/>
      <c r="AU66" s="797"/>
      <c r="AV66" s="797">
        <v>0.20719409903967406</v>
      </c>
      <c r="AW66" s="797">
        <v>0.20719409903967406</v>
      </c>
      <c r="AX66" s="797">
        <v>0.20719409903967406</v>
      </c>
      <c r="AY66" s="797">
        <v>0.20719409903967406</v>
      </c>
      <c r="AZ66" s="694">
        <v>0</v>
      </c>
      <c r="BA66" s="694">
        <v>0</v>
      </c>
      <c r="BB66" s="694">
        <v>0</v>
      </c>
      <c r="BC66" s="694">
        <v>0</v>
      </c>
      <c r="BD66" s="694">
        <v>0</v>
      </c>
      <c r="BE66" s="694">
        <v>0</v>
      </c>
      <c r="BF66" s="694">
        <v>0</v>
      </c>
      <c r="BG66" s="694">
        <v>0</v>
      </c>
      <c r="BH66" s="694">
        <v>0</v>
      </c>
      <c r="BI66" s="694">
        <v>0</v>
      </c>
      <c r="BJ66" s="694">
        <v>0</v>
      </c>
      <c r="BK66" s="694">
        <v>0</v>
      </c>
      <c r="BL66" s="694">
        <v>0</v>
      </c>
      <c r="BM66" s="694">
        <v>0</v>
      </c>
      <c r="BN66" s="694">
        <v>0</v>
      </c>
      <c r="BO66" s="694">
        <v>0</v>
      </c>
      <c r="BP66" s="694">
        <v>0</v>
      </c>
      <c r="BQ66" s="694">
        <v>0</v>
      </c>
      <c r="BR66" s="694">
        <v>0</v>
      </c>
      <c r="BS66" s="694"/>
      <c r="BT66" s="694"/>
      <c r="BU66" s="796"/>
      <c r="BV66" s="796">
        <v>369.43987795757147</v>
      </c>
      <c r="BW66" s="796">
        <v>369.43987795757147</v>
      </c>
      <c r="BX66" s="796">
        <v>369.43987795757147</v>
      </c>
      <c r="BY66" s="796">
        <v>369.43987795757147</v>
      </c>
      <c r="BZ66" s="694">
        <v>0</v>
      </c>
      <c r="CA66" s="694">
        <v>0</v>
      </c>
      <c r="CB66" s="694">
        <v>0</v>
      </c>
      <c r="CC66" s="694">
        <v>0</v>
      </c>
      <c r="CD66" s="694">
        <v>0</v>
      </c>
      <c r="CE66" s="694">
        <v>0</v>
      </c>
      <c r="CF66" s="694">
        <v>0</v>
      </c>
      <c r="CG66" s="694">
        <v>0</v>
      </c>
      <c r="CH66" s="694">
        <v>0</v>
      </c>
      <c r="CI66" s="694">
        <v>0</v>
      </c>
      <c r="CJ66" s="694">
        <v>0</v>
      </c>
      <c r="CK66" s="694">
        <v>0</v>
      </c>
      <c r="CL66" s="694">
        <v>0</v>
      </c>
      <c r="CM66" s="694">
        <v>0</v>
      </c>
      <c r="CN66" s="694">
        <v>0</v>
      </c>
      <c r="CO66" s="694">
        <v>0</v>
      </c>
      <c r="CP66" s="694">
        <v>0</v>
      </c>
      <c r="CQ66" s="694">
        <v>0</v>
      </c>
      <c r="CR66" s="694">
        <v>0</v>
      </c>
    </row>
    <row r="67" spans="1:96">
      <c r="A67" s="694" t="s">
        <v>3</v>
      </c>
      <c r="B67" s="705"/>
      <c r="C67" s="694">
        <v>2014</v>
      </c>
      <c r="D67" s="694" t="s">
        <v>15</v>
      </c>
      <c r="E67" s="694" t="s">
        <v>19</v>
      </c>
      <c r="F67" s="694" t="s">
        <v>17</v>
      </c>
      <c r="G67" s="694"/>
      <c r="H67" s="694" t="s">
        <v>1092</v>
      </c>
      <c r="I67" s="694" t="s">
        <v>5</v>
      </c>
      <c r="J67" s="694" t="s">
        <v>376</v>
      </c>
      <c r="K67" s="751">
        <v>1</v>
      </c>
      <c r="L67" s="694"/>
      <c r="M67" s="694" t="s">
        <v>1105</v>
      </c>
      <c r="N67" s="694">
        <v>4</v>
      </c>
      <c r="O67" s="694"/>
      <c r="P67" s="694"/>
      <c r="Q67" s="694"/>
      <c r="R67" s="694"/>
      <c r="S67" s="694"/>
      <c r="T67" s="694"/>
      <c r="U67" s="694"/>
      <c r="V67" s="694"/>
      <c r="W67" s="797">
        <v>0.39365566631983673</v>
      </c>
      <c r="X67" s="796">
        <v>701.9123710403511</v>
      </c>
      <c r="Y67" s="796">
        <v>2807.6494841614044</v>
      </c>
      <c r="Z67" s="796">
        <v>1477.7595118302859</v>
      </c>
      <c r="AA67" s="796">
        <v>369.43987795757147</v>
      </c>
      <c r="AB67" s="797">
        <v>0.20719409903967406</v>
      </c>
      <c r="AC67" s="801">
        <v>1</v>
      </c>
      <c r="AD67" s="801">
        <v>1</v>
      </c>
      <c r="AE67" s="799">
        <v>0.50666666666666671</v>
      </c>
      <c r="AF67" s="800">
        <v>3.3000000000000002E-2</v>
      </c>
      <c r="AG67" s="694"/>
      <c r="AH67" s="799">
        <v>0.52633333333333332</v>
      </c>
      <c r="AI67" s="799">
        <v>0.50666666666666671</v>
      </c>
      <c r="AJ67" s="800">
        <v>3.3000000000000002E-2</v>
      </c>
      <c r="AK67" s="694"/>
      <c r="AL67" s="799">
        <v>0.52633333333333332</v>
      </c>
      <c r="AM67" s="694" t="s">
        <v>653</v>
      </c>
      <c r="AN67" s="694" t="s">
        <v>653</v>
      </c>
      <c r="AO67" s="694" t="s">
        <v>653</v>
      </c>
      <c r="AP67" s="702">
        <v>74.766565500281061</v>
      </c>
      <c r="AQ67" s="798">
        <v>74.766565500281061</v>
      </c>
      <c r="AR67" s="694" t="s">
        <v>1090</v>
      </c>
      <c r="AS67" s="694"/>
      <c r="AT67" s="694"/>
      <c r="AU67" s="797"/>
      <c r="AV67" s="797">
        <v>0.20719409903967406</v>
      </c>
      <c r="AW67" s="797">
        <v>0.20719409903967406</v>
      </c>
      <c r="AX67" s="797">
        <v>0.20719409903967406</v>
      </c>
      <c r="AY67" s="797">
        <v>0.20719409903967406</v>
      </c>
      <c r="AZ67" s="694">
        <v>0</v>
      </c>
      <c r="BA67" s="694">
        <v>0</v>
      </c>
      <c r="BB67" s="694">
        <v>0</v>
      </c>
      <c r="BC67" s="694">
        <v>0</v>
      </c>
      <c r="BD67" s="694">
        <v>0</v>
      </c>
      <c r="BE67" s="694">
        <v>0</v>
      </c>
      <c r="BF67" s="694">
        <v>0</v>
      </c>
      <c r="BG67" s="694">
        <v>0</v>
      </c>
      <c r="BH67" s="694">
        <v>0</v>
      </c>
      <c r="BI67" s="694">
        <v>0</v>
      </c>
      <c r="BJ67" s="694">
        <v>0</v>
      </c>
      <c r="BK67" s="694">
        <v>0</v>
      </c>
      <c r="BL67" s="694">
        <v>0</v>
      </c>
      <c r="BM67" s="694">
        <v>0</v>
      </c>
      <c r="BN67" s="694">
        <v>0</v>
      </c>
      <c r="BO67" s="694">
        <v>0</v>
      </c>
      <c r="BP67" s="694">
        <v>0</v>
      </c>
      <c r="BQ67" s="694">
        <v>0</v>
      </c>
      <c r="BR67" s="694">
        <v>0</v>
      </c>
      <c r="BS67" s="694"/>
      <c r="BT67" s="694"/>
      <c r="BU67" s="796"/>
      <c r="BV67" s="796">
        <v>369.43987795757147</v>
      </c>
      <c r="BW67" s="796">
        <v>369.43987795757147</v>
      </c>
      <c r="BX67" s="796">
        <v>369.43987795757147</v>
      </c>
      <c r="BY67" s="796">
        <v>369.43987795757147</v>
      </c>
      <c r="BZ67" s="694">
        <v>0</v>
      </c>
      <c r="CA67" s="694">
        <v>0</v>
      </c>
      <c r="CB67" s="694">
        <v>0</v>
      </c>
      <c r="CC67" s="694">
        <v>0</v>
      </c>
      <c r="CD67" s="694">
        <v>0</v>
      </c>
      <c r="CE67" s="694">
        <v>0</v>
      </c>
      <c r="CF67" s="694">
        <v>0</v>
      </c>
      <c r="CG67" s="694">
        <v>0</v>
      </c>
      <c r="CH67" s="694">
        <v>0</v>
      </c>
      <c r="CI67" s="694">
        <v>0</v>
      </c>
      <c r="CJ67" s="694">
        <v>0</v>
      </c>
      <c r="CK67" s="694">
        <v>0</v>
      </c>
      <c r="CL67" s="694">
        <v>0</v>
      </c>
      <c r="CM67" s="694">
        <v>0</v>
      </c>
      <c r="CN67" s="694">
        <v>0</v>
      </c>
      <c r="CO67" s="694">
        <v>0</v>
      </c>
      <c r="CP67" s="694">
        <v>0</v>
      </c>
      <c r="CQ67" s="694">
        <v>0</v>
      </c>
      <c r="CR67" s="694">
        <v>0</v>
      </c>
    </row>
    <row r="68" spans="1:96">
      <c r="A68" s="694" t="s">
        <v>3</v>
      </c>
      <c r="B68" s="705"/>
      <c r="C68" s="694">
        <v>2014</v>
      </c>
      <c r="D68" s="694" t="s">
        <v>15</v>
      </c>
      <c r="E68" s="694" t="s">
        <v>19</v>
      </c>
      <c r="F68" s="694" t="s">
        <v>17</v>
      </c>
      <c r="G68" s="694"/>
      <c r="H68" s="694" t="s">
        <v>1092</v>
      </c>
      <c r="I68" s="694" t="s">
        <v>5</v>
      </c>
      <c r="J68" s="694" t="s">
        <v>376</v>
      </c>
      <c r="K68" s="751">
        <v>1</v>
      </c>
      <c r="L68" s="694"/>
      <c r="M68" s="694" t="s">
        <v>1105</v>
      </c>
      <c r="N68" s="694">
        <v>4</v>
      </c>
      <c r="O68" s="694"/>
      <c r="P68" s="694"/>
      <c r="Q68" s="694"/>
      <c r="R68" s="694"/>
      <c r="S68" s="694"/>
      <c r="T68" s="694"/>
      <c r="U68" s="694"/>
      <c r="V68" s="694"/>
      <c r="W68" s="797">
        <v>0.39365566631983673</v>
      </c>
      <c r="X68" s="796">
        <v>701.9123710403511</v>
      </c>
      <c r="Y68" s="796">
        <v>2807.6494841614044</v>
      </c>
      <c r="Z68" s="796">
        <v>1477.7595118302859</v>
      </c>
      <c r="AA68" s="796">
        <v>369.43987795757147</v>
      </c>
      <c r="AB68" s="797">
        <v>0.20719409903967406</v>
      </c>
      <c r="AC68" s="801">
        <v>1</v>
      </c>
      <c r="AD68" s="801">
        <v>1</v>
      </c>
      <c r="AE68" s="799">
        <v>0.50666666666666671</v>
      </c>
      <c r="AF68" s="800">
        <v>3.3000000000000002E-2</v>
      </c>
      <c r="AG68" s="694"/>
      <c r="AH68" s="799">
        <v>0.52633333333333332</v>
      </c>
      <c r="AI68" s="799">
        <v>0.50666666666666671</v>
      </c>
      <c r="AJ68" s="800">
        <v>3.3000000000000002E-2</v>
      </c>
      <c r="AK68" s="694"/>
      <c r="AL68" s="799">
        <v>0.52633333333333332</v>
      </c>
      <c r="AM68" s="694" t="s">
        <v>653</v>
      </c>
      <c r="AN68" s="694" t="s">
        <v>653</v>
      </c>
      <c r="AO68" s="694" t="s">
        <v>653</v>
      </c>
      <c r="AP68" s="702">
        <v>74.766565500281061</v>
      </c>
      <c r="AQ68" s="798">
        <v>74.766565500281061</v>
      </c>
      <c r="AR68" s="694" t="s">
        <v>1090</v>
      </c>
      <c r="AS68" s="694"/>
      <c r="AT68" s="694"/>
      <c r="AU68" s="797"/>
      <c r="AV68" s="797">
        <v>0.20719409903967406</v>
      </c>
      <c r="AW68" s="797">
        <v>0.20719409903967406</v>
      </c>
      <c r="AX68" s="797">
        <v>0.20719409903967406</v>
      </c>
      <c r="AY68" s="797">
        <v>0.20719409903967406</v>
      </c>
      <c r="AZ68" s="694">
        <v>0</v>
      </c>
      <c r="BA68" s="694">
        <v>0</v>
      </c>
      <c r="BB68" s="694">
        <v>0</v>
      </c>
      <c r="BC68" s="694">
        <v>0</v>
      </c>
      <c r="BD68" s="694">
        <v>0</v>
      </c>
      <c r="BE68" s="694">
        <v>0</v>
      </c>
      <c r="BF68" s="694">
        <v>0</v>
      </c>
      <c r="BG68" s="694">
        <v>0</v>
      </c>
      <c r="BH68" s="694">
        <v>0</v>
      </c>
      <c r="BI68" s="694">
        <v>0</v>
      </c>
      <c r="BJ68" s="694">
        <v>0</v>
      </c>
      <c r="BK68" s="694">
        <v>0</v>
      </c>
      <c r="BL68" s="694">
        <v>0</v>
      </c>
      <c r="BM68" s="694">
        <v>0</v>
      </c>
      <c r="BN68" s="694">
        <v>0</v>
      </c>
      <c r="BO68" s="694">
        <v>0</v>
      </c>
      <c r="BP68" s="694">
        <v>0</v>
      </c>
      <c r="BQ68" s="694">
        <v>0</v>
      </c>
      <c r="BR68" s="694">
        <v>0</v>
      </c>
      <c r="BS68" s="694"/>
      <c r="BT68" s="694"/>
      <c r="BU68" s="796"/>
      <c r="BV68" s="796">
        <v>369.43987795757147</v>
      </c>
      <c r="BW68" s="796">
        <v>369.43987795757147</v>
      </c>
      <c r="BX68" s="796">
        <v>369.43987795757147</v>
      </c>
      <c r="BY68" s="796">
        <v>369.43987795757147</v>
      </c>
      <c r="BZ68" s="694">
        <v>0</v>
      </c>
      <c r="CA68" s="694">
        <v>0</v>
      </c>
      <c r="CB68" s="694">
        <v>0</v>
      </c>
      <c r="CC68" s="694">
        <v>0</v>
      </c>
      <c r="CD68" s="694">
        <v>0</v>
      </c>
      <c r="CE68" s="694">
        <v>0</v>
      </c>
      <c r="CF68" s="694">
        <v>0</v>
      </c>
      <c r="CG68" s="694">
        <v>0</v>
      </c>
      <c r="CH68" s="694">
        <v>0</v>
      </c>
      <c r="CI68" s="694">
        <v>0</v>
      </c>
      <c r="CJ68" s="694">
        <v>0</v>
      </c>
      <c r="CK68" s="694">
        <v>0</v>
      </c>
      <c r="CL68" s="694">
        <v>0</v>
      </c>
      <c r="CM68" s="694">
        <v>0</v>
      </c>
      <c r="CN68" s="694">
        <v>0</v>
      </c>
      <c r="CO68" s="694">
        <v>0</v>
      </c>
      <c r="CP68" s="694">
        <v>0</v>
      </c>
      <c r="CQ68" s="694">
        <v>0</v>
      </c>
      <c r="CR68" s="694">
        <v>0</v>
      </c>
    </row>
    <row r="69" spans="1:96">
      <c r="A69" s="694" t="s">
        <v>3</v>
      </c>
      <c r="B69" s="705"/>
      <c r="C69" s="694">
        <v>2014</v>
      </c>
      <c r="D69" s="694" t="s">
        <v>15</v>
      </c>
      <c r="E69" s="694" t="s">
        <v>19</v>
      </c>
      <c r="F69" s="694" t="s">
        <v>17</v>
      </c>
      <c r="G69" s="694"/>
      <c r="H69" s="694" t="s">
        <v>1092</v>
      </c>
      <c r="I69" s="694" t="s">
        <v>5</v>
      </c>
      <c r="J69" s="694" t="s">
        <v>376</v>
      </c>
      <c r="K69" s="751">
        <v>1</v>
      </c>
      <c r="L69" s="694"/>
      <c r="M69" s="694" t="s">
        <v>1105</v>
      </c>
      <c r="N69" s="694">
        <v>4</v>
      </c>
      <c r="O69" s="694"/>
      <c r="P69" s="694"/>
      <c r="Q69" s="694"/>
      <c r="R69" s="694"/>
      <c r="S69" s="694"/>
      <c r="T69" s="694"/>
      <c r="U69" s="694"/>
      <c r="V69" s="694"/>
      <c r="W69" s="797">
        <v>0.39365566631983673</v>
      </c>
      <c r="X69" s="796">
        <v>701.9123710403511</v>
      </c>
      <c r="Y69" s="796">
        <v>2807.6494841614044</v>
      </c>
      <c r="Z69" s="796">
        <v>1477.7595118302859</v>
      </c>
      <c r="AA69" s="796">
        <v>369.43987795757147</v>
      </c>
      <c r="AB69" s="797">
        <v>0.20719409903967406</v>
      </c>
      <c r="AC69" s="801">
        <v>1</v>
      </c>
      <c r="AD69" s="801">
        <v>1</v>
      </c>
      <c r="AE69" s="799">
        <v>0.50666666666666671</v>
      </c>
      <c r="AF69" s="800">
        <v>3.3000000000000002E-2</v>
      </c>
      <c r="AG69" s="694"/>
      <c r="AH69" s="799">
        <v>0.52633333333333332</v>
      </c>
      <c r="AI69" s="799">
        <v>0.50666666666666671</v>
      </c>
      <c r="AJ69" s="800">
        <v>3.3000000000000002E-2</v>
      </c>
      <c r="AK69" s="694"/>
      <c r="AL69" s="799">
        <v>0.52633333333333332</v>
      </c>
      <c r="AM69" s="694" t="s">
        <v>653</v>
      </c>
      <c r="AN69" s="694" t="s">
        <v>653</v>
      </c>
      <c r="AO69" s="694" t="s">
        <v>653</v>
      </c>
      <c r="AP69" s="702">
        <v>74.766565500281061</v>
      </c>
      <c r="AQ69" s="798">
        <v>74.766565500281061</v>
      </c>
      <c r="AR69" s="694" t="s">
        <v>1090</v>
      </c>
      <c r="AS69" s="694"/>
      <c r="AT69" s="694"/>
      <c r="AU69" s="797"/>
      <c r="AV69" s="797">
        <v>0.20719409903967406</v>
      </c>
      <c r="AW69" s="797">
        <v>0.20719409903967406</v>
      </c>
      <c r="AX69" s="797">
        <v>0.20719409903967406</v>
      </c>
      <c r="AY69" s="797">
        <v>0.20719409903967406</v>
      </c>
      <c r="AZ69" s="694">
        <v>0</v>
      </c>
      <c r="BA69" s="694">
        <v>0</v>
      </c>
      <c r="BB69" s="694">
        <v>0</v>
      </c>
      <c r="BC69" s="694">
        <v>0</v>
      </c>
      <c r="BD69" s="694">
        <v>0</v>
      </c>
      <c r="BE69" s="694">
        <v>0</v>
      </c>
      <c r="BF69" s="694">
        <v>0</v>
      </c>
      <c r="BG69" s="694">
        <v>0</v>
      </c>
      <c r="BH69" s="694">
        <v>0</v>
      </c>
      <c r="BI69" s="694">
        <v>0</v>
      </c>
      <c r="BJ69" s="694">
        <v>0</v>
      </c>
      <c r="BK69" s="694">
        <v>0</v>
      </c>
      <c r="BL69" s="694">
        <v>0</v>
      </c>
      <c r="BM69" s="694">
        <v>0</v>
      </c>
      <c r="BN69" s="694">
        <v>0</v>
      </c>
      <c r="BO69" s="694">
        <v>0</v>
      </c>
      <c r="BP69" s="694">
        <v>0</v>
      </c>
      <c r="BQ69" s="694">
        <v>0</v>
      </c>
      <c r="BR69" s="694">
        <v>0</v>
      </c>
      <c r="BS69" s="694"/>
      <c r="BT69" s="694"/>
      <c r="BU69" s="796"/>
      <c r="BV69" s="796">
        <v>369.43987795757147</v>
      </c>
      <c r="BW69" s="796">
        <v>369.43987795757147</v>
      </c>
      <c r="BX69" s="796">
        <v>369.43987795757147</v>
      </c>
      <c r="BY69" s="796">
        <v>369.43987795757147</v>
      </c>
      <c r="BZ69" s="694">
        <v>0</v>
      </c>
      <c r="CA69" s="694">
        <v>0</v>
      </c>
      <c r="CB69" s="694">
        <v>0</v>
      </c>
      <c r="CC69" s="694">
        <v>0</v>
      </c>
      <c r="CD69" s="694">
        <v>0</v>
      </c>
      <c r="CE69" s="694">
        <v>0</v>
      </c>
      <c r="CF69" s="694">
        <v>0</v>
      </c>
      <c r="CG69" s="694">
        <v>0</v>
      </c>
      <c r="CH69" s="694">
        <v>0</v>
      </c>
      <c r="CI69" s="694">
        <v>0</v>
      </c>
      <c r="CJ69" s="694">
        <v>0</v>
      </c>
      <c r="CK69" s="694">
        <v>0</v>
      </c>
      <c r="CL69" s="694">
        <v>0</v>
      </c>
      <c r="CM69" s="694">
        <v>0</v>
      </c>
      <c r="CN69" s="694">
        <v>0</v>
      </c>
      <c r="CO69" s="694">
        <v>0</v>
      </c>
      <c r="CP69" s="694">
        <v>0</v>
      </c>
      <c r="CQ69" s="694">
        <v>0</v>
      </c>
      <c r="CR69" s="694">
        <v>0</v>
      </c>
    </row>
    <row r="70" spans="1:96">
      <c r="A70" s="694" t="s">
        <v>3</v>
      </c>
      <c r="B70" s="705"/>
      <c r="C70" s="694">
        <v>2014</v>
      </c>
      <c r="D70" s="694" t="s">
        <v>15</v>
      </c>
      <c r="E70" s="694" t="s">
        <v>19</v>
      </c>
      <c r="F70" s="694" t="s">
        <v>17</v>
      </c>
      <c r="G70" s="694"/>
      <c r="H70" s="694" t="s">
        <v>1092</v>
      </c>
      <c r="I70" s="694" t="s">
        <v>5</v>
      </c>
      <c r="J70" s="694" t="s">
        <v>376</v>
      </c>
      <c r="K70" s="751">
        <v>1</v>
      </c>
      <c r="L70" s="694"/>
      <c r="M70" s="694" t="s">
        <v>1104</v>
      </c>
      <c r="N70" s="694">
        <v>4</v>
      </c>
      <c r="O70" s="694"/>
      <c r="P70" s="694"/>
      <c r="Q70" s="694"/>
      <c r="R70" s="694"/>
      <c r="S70" s="694"/>
      <c r="T70" s="694"/>
      <c r="U70" s="694"/>
      <c r="V70" s="694"/>
      <c r="W70" s="797">
        <v>0.39365566631983673</v>
      </c>
      <c r="X70" s="796">
        <v>701.9123710403511</v>
      </c>
      <c r="Y70" s="796">
        <v>2807.6494841614044</v>
      </c>
      <c r="Z70" s="796">
        <v>1477.7595118302859</v>
      </c>
      <c r="AA70" s="796">
        <v>369.43987795757147</v>
      </c>
      <c r="AB70" s="797">
        <v>0.20719409903967406</v>
      </c>
      <c r="AC70" s="801">
        <v>1</v>
      </c>
      <c r="AD70" s="801">
        <v>1</v>
      </c>
      <c r="AE70" s="799">
        <v>0.50666666666666671</v>
      </c>
      <c r="AF70" s="800">
        <v>3.3000000000000002E-2</v>
      </c>
      <c r="AG70" s="694"/>
      <c r="AH70" s="799">
        <v>0.52633333333333332</v>
      </c>
      <c r="AI70" s="799">
        <v>0.50666666666666671</v>
      </c>
      <c r="AJ70" s="800">
        <v>3.3000000000000002E-2</v>
      </c>
      <c r="AK70" s="694"/>
      <c r="AL70" s="799">
        <v>0.52633333333333332</v>
      </c>
      <c r="AM70" s="694" t="s">
        <v>653</v>
      </c>
      <c r="AN70" s="694" t="s">
        <v>653</v>
      </c>
      <c r="AO70" s="694" t="s">
        <v>653</v>
      </c>
      <c r="AP70" s="702">
        <v>74.766565500281061</v>
      </c>
      <c r="AQ70" s="798">
        <v>74.766565500281061</v>
      </c>
      <c r="AR70" s="694" t="s">
        <v>1090</v>
      </c>
      <c r="AS70" s="694"/>
      <c r="AT70" s="694"/>
      <c r="AU70" s="797"/>
      <c r="AV70" s="797">
        <v>0.20719409903967406</v>
      </c>
      <c r="AW70" s="797">
        <v>0.20719409903967406</v>
      </c>
      <c r="AX70" s="797">
        <v>0.20719409903967406</v>
      </c>
      <c r="AY70" s="797">
        <v>0.20719409903967406</v>
      </c>
      <c r="AZ70" s="694">
        <v>0</v>
      </c>
      <c r="BA70" s="694">
        <v>0</v>
      </c>
      <c r="BB70" s="694">
        <v>0</v>
      </c>
      <c r="BC70" s="694">
        <v>0</v>
      </c>
      <c r="BD70" s="694">
        <v>0</v>
      </c>
      <c r="BE70" s="694">
        <v>0</v>
      </c>
      <c r="BF70" s="694">
        <v>0</v>
      </c>
      <c r="BG70" s="694">
        <v>0</v>
      </c>
      <c r="BH70" s="694">
        <v>0</v>
      </c>
      <c r="BI70" s="694">
        <v>0</v>
      </c>
      <c r="BJ70" s="694">
        <v>0</v>
      </c>
      <c r="BK70" s="694">
        <v>0</v>
      </c>
      <c r="BL70" s="694">
        <v>0</v>
      </c>
      <c r="BM70" s="694">
        <v>0</v>
      </c>
      <c r="BN70" s="694">
        <v>0</v>
      </c>
      <c r="BO70" s="694">
        <v>0</v>
      </c>
      <c r="BP70" s="694">
        <v>0</v>
      </c>
      <c r="BQ70" s="694">
        <v>0</v>
      </c>
      <c r="BR70" s="694">
        <v>0</v>
      </c>
      <c r="BS70" s="694"/>
      <c r="BT70" s="694"/>
      <c r="BU70" s="796"/>
      <c r="BV70" s="796">
        <v>369.43987795757147</v>
      </c>
      <c r="BW70" s="796">
        <v>369.43987795757147</v>
      </c>
      <c r="BX70" s="796">
        <v>369.43987795757147</v>
      </c>
      <c r="BY70" s="796">
        <v>369.43987795757147</v>
      </c>
      <c r="BZ70" s="694">
        <v>0</v>
      </c>
      <c r="CA70" s="694">
        <v>0</v>
      </c>
      <c r="CB70" s="694">
        <v>0</v>
      </c>
      <c r="CC70" s="694">
        <v>0</v>
      </c>
      <c r="CD70" s="694">
        <v>0</v>
      </c>
      <c r="CE70" s="694">
        <v>0</v>
      </c>
      <c r="CF70" s="694">
        <v>0</v>
      </c>
      <c r="CG70" s="694">
        <v>0</v>
      </c>
      <c r="CH70" s="694">
        <v>0</v>
      </c>
      <c r="CI70" s="694">
        <v>0</v>
      </c>
      <c r="CJ70" s="694">
        <v>0</v>
      </c>
      <c r="CK70" s="694">
        <v>0</v>
      </c>
      <c r="CL70" s="694">
        <v>0</v>
      </c>
      <c r="CM70" s="694">
        <v>0</v>
      </c>
      <c r="CN70" s="694">
        <v>0</v>
      </c>
      <c r="CO70" s="694">
        <v>0</v>
      </c>
      <c r="CP70" s="694">
        <v>0</v>
      </c>
      <c r="CQ70" s="694">
        <v>0</v>
      </c>
      <c r="CR70" s="694">
        <v>0</v>
      </c>
    </row>
    <row r="71" spans="1:96">
      <c r="A71" s="694" t="s">
        <v>3</v>
      </c>
      <c r="B71" s="705"/>
      <c r="C71" s="694">
        <v>2014</v>
      </c>
      <c r="D71" s="694" t="s">
        <v>15</v>
      </c>
      <c r="E71" s="694" t="s">
        <v>19</v>
      </c>
      <c r="F71" s="694" t="s">
        <v>17</v>
      </c>
      <c r="G71" s="694"/>
      <c r="H71" s="694" t="s">
        <v>1092</v>
      </c>
      <c r="I71" s="694" t="s">
        <v>5</v>
      </c>
      <c r="J71" s="694" t="s">
        <v>376</v>
      </c>
      <c r="K71" s="751">
        <v>1</v>
      </c>
      <c r="L71" s="694"/>
      <c r="M71" s="694" t="s">
        <v>1104</v>
      </c>
      <c r="N71" s="694">
        <v>4</v>
      </c>
      <c r="O71" s="694"/>
      <c r="P71" s="694"/>
      <c r="Q71" s="694"/>
      <c r="R71" s="694"/>
      <c r="S71" s="694"/>
      <c r="T71" s="694"/>
      <c r="U71" s="694"/>
      <c r="V71" s="694"/>
      <c r="W71" s="797">
        <v>0.39365566631983673</v>
      </c>
      <c r="X71" s="796">
        <v>701.9123710403511</v>
      </c>
      <c r="Y71" s="796">
        <v>2807.6494841614044</v>
      </c>
      <c r="Z71" s="796">
        <v>1477.7595118302859</v>
      </c>
      <c r="AA71" s="796">
        <v>369.43987795757147</v>
      </c>
      <c r="AB71" s="797">
        <v>0.20719409903967406</v>
      </c>
      <c r="AC71" s="801">
        <v>1</v>
      </c>
      <c r="AD71" s="801">
        <v>1</v>
      </c>
      <c r="AE71" s="799">
        <v>0.50666666666666671</v>
      </c>
      <c r="AF71" s="800">
        <v>3.3000000000000002E-2</v>
      </c>
      <c r="AG71" s="694"/>
      <c r="AH71" s="799">
        <v>0.52633333333333332</v>
      </c>
      <c r="AI71" s="799">
        <v>0.50666666666666671</v>
      </c>
      <c r="AJ71" s="800">
        <v>3.3000000000000002E-2</v>
      </c>
      <c r="AK71" s="694"/>
      <c r="AL71" s="799">
        <v>0.52633333333333332</v>
      </c>
      <c r="AM71" s="694" t="s">
        <v>653</v>
      </c>
      <c r="AN71" s="694" t="s">
        <v>653</v>
      </c>
      <c r="AO71" s="694" t="s">
        <v>653</v>
      </c>
      <c r="AP71" s="702">
        <v>74.766565500281061</v>
      </c>
      <c r="AQ71" s="798">
        <v>74.766565500281061</v>
      </c>
      <c r="AR71" s="694" t="s">
        <v>1090</v>
      </c>
      <c r="AS71" s="694"/>
      <c r="AT71" s="694"/>
      <c r="AU71" s="797"/>
      <c r="AV71" s="797">
        <v>0.20719409903967406</v>
      </c>
      <c r="AW71" s="797">
        <v>0.20719409903967406</v>
      </c>
      <c r="AX71" s="797">
        <v>0.20719409903967406</v>
      </c>
      <c r="AY71" s="797">
        <v>0.20719409903967406</v>
      </c>
      <c r="AZ71" s="694">
        <v>0</v>
      </c>
      <c r="BA71" s="694">
        <v>0</v>
      </c>
      <c r="BB71" s="694">
        <v>0</v>
      </c>
      <c r="BC71" s="694">
        <v>0</v>
      </c>
      <c r="BD71" s="694">
        <v>0</v>
      </c>
      <c r="BE71" s="694">
        <v>0</v>
      </c>
      <c r="BF71" s="694">
        <v>0</v>
      </c>
      <c r="BG71" s="694">
        <v>0</v>
      </c>
      <c r="BH71" s="694">
        <v>0</v>
      </c>
      <c r="BI71" s="694">
        <v>0</v>
      </c>
      <c r="BJ71" s="694">
        <v>0</v>
      </c>
      <c r="BK71" s="694">
        <v>0</v>
      </c>
      <c r="BL71" s="694">
        <v>0</v>
      </c>
      <c r="BM71" s="694">
        <v>0</v>
      </c>
      <c r="BN71" s="694">
        <v>0</v>
      </c>
      <c r="BO71" s="694">
        <v>0</v>
      </c>
      <c r="BP71" s="694">
        <v>0</v>
      </c>
      <c r="BQ71" s="694">
        <v>0</v>
      </c>
      <c r="BR71" s="694">
        <v>0</v>
      </c>
      <c r="BS71" s="694"/>
      <c r="BT71" s="694"/>
      <c r="BU71" s="796"/>
      <c r="BV71" s="796">
        <v>369.43987795757147</v>
      </c>
      <c r="BW71" s="796">
        <v>369.43987795757147</v>
      </c>
      <c r="BX71" s="796">
        <v>369.43987795757147</v>
      </c>
      <c r="BY71" s="796">
        <v>369.43987795757147</v>
      </c>
      <c r="BZ71" s="694">
        <v>0</v>
      </c>
      <c r="CA71" s="694">
        <v>0</v>
      </c>
      <c r="CB71" s="694">
        <v>0</v>
      </c>
      <c r="CC71" s="694">
        <v>0</v>
      </c>
      <c r="CD71" s="694">
        <v>0</v>
      </c>
      <c r="CE71" s="694">
        <v>0</v>
      </c>
      <c r="CF71" s="694">
        <v>0</v>
      </c>
      <c r="CG71" s="694">
        <v>0</v>
      </c>
      <c r="CH71" s="694">
        <v>0</v>
      </c>
      <c r="CI71" s="694">
        <v>0</v>
      </c>
      <c r="CJ71" s="694">
        <v>0</v>
      </c>
      <c r="CK71" s="694">
        <v>0</v>
      </c>
      <c r="CL71" s="694">
        <v>0</v>
      </c>
      <c r="CM71" s="694">
        <v>0</v>
      </c>
      <c r="CN71" s="694">
        <v>0</v>
      </c>
      <c r="CO71" s="694">
        <v>0</v>
      </c>
      <c r="CP71" s="694">
        <v>0</v>
      </c>
      <c r="CQ71" s="694">
        <v>0</v>
      </c>
      <c r="CR71" s="694">
        <v>0</v>
      </c>
    </row>
    <row r="72" spans="1:96">
      <c r="A72" s="694" t="s">
        <v>3</v>
      </c>
      <c r="B72" s="705"/>
      <c r="C72" s="694">
        <v>2014</v>
      </c>
      <c r="D72" s="694" t="s">
        <v>15</v>
      </c>
      <c r="E72" s="694" t="s">
        <v>19</v>
      </c>
      <c r="F72" s="694" t="s">
        <v>17</v>
      </c>
      <c r="G72" s="694"/>
      <c r="H72" s="694" t="s">
        <v>1092</v>
      </c>
      <c r="I72" s="694" t="s">
        <v>5</v>
      </c>
      <c r="J72" s="694" t="s">
        <v>376</v>
      </c>
      <c r="K72" s="751">
        <v>1</v>
      </c>
      <c r="L72" s="694"/>
      <c r="M72" s="694" t="s">
        <v>1103</v>
      </c>
      <c r="N72" s="694">
        <v>4</v>
      </c>
      <c r="O72" s="694"/>
      <c r="P72" s="694"/>
      <c r="Q72" s="694"/>
      <c r="R72" s="694"/>
      <c r="S72" s="694"/>
      <c r="T72" s="694"/>
      <c r="U72" s="694"/>
      <c r="V72" s="694"/>
      <c r="W72" s="797">
        <v>0.39365566631983673</v>
      </c>
      <c r="X72" s="796">
        <v>701.9123710403511</v>
      </c>
      <c r="Y72" s="796">
        <v>2807.6494841614044</v>
      </c>
      <c r="Z72" s="796">
        <v>1477.7595118302859</v>
      </c>
      <c r="AA72" s="796">
        <v>369.43987795757147</v>
      </c>
      <c r="AB72" s="797">
        <v>0.20719409903967406</v>
      </c>
      <c r="AC72" s="801">
        <v>1</v>
      </c>
      <c r="AD72" s="801">
        <v>1</v>
      </c>
      <c r="AE72" s="799">
        <v>0.50666666666666671</v>
      </c>
      <c r="AF72" s="800">
        <v>3.3000000000000002E-2</v>
      </c>
      <c r="AG72" s="694"/>
      <c r="AH72" s="799">
        <v>0.52633333333333332</v>
      </c>
      <c r="AI72" s="799">
        <v>0.50666666666666671</v>
      </c>
      <c r="AJ72" s="800">
        <v>3.3000000000000002E-2</v>
      </c>
      <c r="AK72" s="694"/>
      <c r="AL72" s="799">
        <v>0.52633333333333332</v>
      </c>
      <c r="AM72" s="694" t="s">
        <v>653</v>
      </c>
      <c r="AN72" s="694" t="s">
        <v>653</v>
      </c>
      <c r="AO72" s="694" t="s">
        <v>653</v>
      </c>
      <c r="AP72" s="702">
        <v>74.766565500281061</v>
      </c>
      <c r="AQ72" s="798">
        <v>74.766565500281061</v>
      </c>
      <c r="AR72" s="694" t="s">
        <v>1090</v>
      </c>
      <c r="AS72" s="694"/>
      <c r="AT72" s="694"/>
      <c r="AU72" s="797"/>
      <c r="AV72" s="797">
        <v>0.20719409903967406</v>
      </c>
      <c r="AW72" s="797">
        <v>0.20719409903967406</v>
      </c>
      <c r="AX72" s="797">
        <v>0.20719409903967406</v>
      </c>
      <c r="AY72" s="797">
        <v>0.20719409903967406</v>
      </c>
      <c r="AZ72" s="694">
        <v>0</v>
      </c>
      <c r="BA72" s="694">
        <v>0</v>
      </c>
      <c r="BB72" s="694">
        <v>0</v>
      </c>
      <c r="BC72" s="694">
        <v>0</v>
      </c>
      <c r="BD72" s="694">
        <v>0</v>
      </c>
      <c r="BE72" s="694">
        <v>0</v>
      </c>
      <c r="BF72" s="694">
        <v>0</v>
      </c>
      <c r="BG72" s="694">
        <v>0</v>
      </c>
      <c r="BH72" s="694">
        <v>0</v>
      </c>
      <c r="BI72" s="694">
        <v>0</v>
      </c>
      <c r="BJ72" s="694">
        <v>0</v>
      </c>
      <c r="BK72" s="694">
        <v>0</v>
      </c>
      <c r="BL72" s="694">
        <v>0</v>
      </c>
      <c r="BM72" s="694">
        <v>0</v>
      </c>
      <c r="BN72" s="694">
        <v>0</v>
      </c>
      <c r="BO72" s="694">
        <v>0</v>
      </c>
      <c r="BP72" s="694">
        <v>0</v>
      </c>
      <c r="BQ72" s="694">
        <v>0</v>
      </c>
      <c r="BR72" s="694">
        <v>0</v>
      </c>
      <c r="BS72" s="694"/>
      <c r="BT72" s="694"/>
      <c r="BU72" s="796"/>
      <c r="BV72" s="796">
        <v>369.43987795757147</v>
      </c>
      <c r="BW72" s="796">
        <v>369.43987795757147</v>
      </c>
      <c r="BX72" s="796">
        <v>369.43987795757147</v>
      </c>
      <c r="BY72" s="796">
        <v>369.43987795757147</v>
      </c>
      <c r="BZ72" s="694">
        <v>0</v>
      </c>
      <c r="CA72" s="694">
        <v>0</v>
      </c>
      <c r="CB72" s="694">
        <v>0</v>
      </c>
      <c r="CC72" s="694">
        <v>0</v>
      </c>
      <c r="CD72" s="694">
        <v>0</v>
      </c>
      <c r="CE72" s="694">
        <v>0</v>
      </c>
      <c r="CF72" s="694">
        <v>0</v>
      </c>
      <c r="CG72" s="694">
        <v>0</v>
      </c>
      <c r="CH72" s="694">
        <v>0</v>
      </c>
      <c r="CI72" s="694">
        <v>0</v>
      </c>
      <c r="CJ72" s="694">
        <v>0</v>
      </c>
      <c r="CK72" s="694">
        <v>0</v>
      </c>
      <c r="CL72" s="694">
        <v>0</v>
      </c>
      <c r="CM72" s="694">
        <v>0</v>
      </c>
      <c r="CN72" s="694">
        <v>0</v>
      </c>
      <c r="CO72" s="694">
        <v>0</v>
      </c>
      <c r="CP72" s="694">
        <v>0</v>
      </c>
      <c r="CQ72" s="694">
        <v>0</v>
      </c>
      <c r="CR72" s="694">
        <v>0</v>
      </c>
    </row>
    <row r="73" spans="1:96">
      <c r="A73" s="694" t="s">
        <v>3</v>
      </c>
      <c r="B73" s="705"/>
      <c r="C73" s="694">
        <v>2014</v>
      </c>
      <c r="D73" s="694" t="s">
        <v>15</v>
      </c>
      <c r="E73" s="694" t="s">
        <v>19</v>
      </c>
      <c r="F73" s="694" t="s">
        <v>17</v>
      </c>
      <c r="G73" s="694"/>
      <c r="H73" s="694" t="s">
        <v>1092</v>
      </c>
      <c r="I73" s="694" t="s">
        <v>5</v>
      </c>
      <c r="J73" s="694" t="s">
        <v>376</v>
      </c>
      <c r="K73" s="751">
        <v>1</v>
      </c>
      <c r="L73" s="694"/>
      <c r="M73" s="694" t="s">
        <v>1102</v>
      </c>
      <c r="N73" s="694">
        <v>4</v>
      </c>
      <c r="O73" s="694"/>
      <c r="P73" s="694"/>
      <c r="Q73" s="694"/>
      <c r="R73" s="694"/>
      <c r="S73" s="694"/>
      <c r="T73" s="694"/>
      <c r="U73" s="694"/>
      <c r="V73" s="694"/>
      <c r="W73" s="797">
        <v>0.39365566631983673</v>
      </c>
      <c r="X73" s="796">
        <v>701.9123710403511</v>
      </c>
      <c r="Y73" s="796">
        <v>2807.6494841614044</v>
      </c>
      <c r="Z73" s="796">
        <v>1477.7595118302859</v>
      </c>
      <c r="AA73" s="796">
        <v>369.43987795757147</v>
      </c>
      <c r="AB73" s="797">
        <v>0.20719409903967406</v>
      </c>
      <c r="AC73" s="801">
        <v>1</v>
      </c>
      <c r="AD73" s="801">
        <v>1</v>
      </c>
      <c r="AE73" s="799">
        <v>0.50666666666666671</v>
      </c>
      <c r="AF73" s="800">
        <v>3.3000000000000002E-2</v>
      </c>
      <c r="AG73" s="694"/>
      <c r="AH73" s="799">
        <v>0.52633333333333332</v>
      </c>
      <c r="AI73" s="799">
        <v>0.50666666666666671</v>
      </c>
      <c r="AJ73" s="800">
        <v>3.3000000000000002E-2</v>
      </c>
      <c r="AK73" s="694"/>
      <c r="AL73" s="799">
        <v>0.52633333333333332</v>
      </c>
      <c r="AM73" s="694" t="s">
        <v>653</v>
      </c>
      <c r="AN73" s="694" t="s">
        <v>653</v>
      </c>
      <c r="AO73" s="694" t="s">
        <v>653</v>
      </c>
      <c r="AP73" s="702">
        <v>74.766565500281061</v>
      </c>
      <c r="AQ73" s="798">
        <v>74.766565500281061</v>
      </c>
      <c r="AR73" s="694" t="s">
        <v>1090</v>
      </c>
      <c r="AS73" s="694"/>
      <c r="AT73" s="694"/>
      <c r="AU73" s="797"/>
      <c r="AV73" s="797">
        <v>0.20719409903967406</v>
      </c>
      <c r="AW73" s="797">
        <v>0.20719409903967406</v>
      </c>
      <c r="AX73" s="797">
        <v>0.20719409903967406</v>
      </c>
      <c r="AY73" s="797">
        <v>0.20719409903967406</v>
      </c>
      <c r="AZ73" s="694">
        <v>0</v>
      </c>
      <c r="BA73" s="694">
        <v>0</v>
      </c>
      <c r="BB73" s="694">
        <v>0</v>
      </c>
      <c r="BC73" s="694">
        <v>0</v>
      </c>
      <c r="BD73" s="694">
        <v>0</v>
      </c>
      <c r="BE73" s="694">
        <v>0</v>
      </c>
      <c r="BF73" s="694">
        <v>0</v>
      </c>
      <c r="BG73" s="694">
        <v>0</v>
      </c>
      <c r="BH73" s="694">
        <v>0</v>
      </c>
      <c r="BI73" s="694">
        <v>0</v>
      </c>
      <c r="BJ73" s="694">
        <v>0</v>
      </c>
      <c r="BK73" s="694">
        <v>0</v>
      </c>
      <c r="BL73" s="694">
        <v>0</v>
      </c>
      <c r="BM73" s="694">
        <v>0</v>
      </c>
      <c r="BN73" s="694">
        <v>0</v>
      </c>
      <c r="BO73" s="694">
        <v>0</v>
      </c>
      <c r="BP73" s="694">
        <v>0</v>
      </c>
      <c r="BQ73" s="694">
        <v>0</v>
      </c>
      <c r="BR73" s="694">
        <v>0</v>
      </c>
      <c r="BS73" s="694"/>
      <c r="BT73" s="694"/>
      <c r="BU73" s="796"/>
      <c r="BV73" s="796">
        <v>369.43987795757147</v>
      </c>
      <c r="BW73" s="796">
        <v>369.43987795757147</v>
      </c>
      <c r="BX73" s="796">
        <v>369.43987795757147</v>
      </c>
      <c r="BY73" s="796">
        <v>369.43987795757147</v>
      </c>
      <c r="BZ73" s="694">
        <v>0</v>
      </c>
      <c r="CA73" s="694">
        <v>0</v>
      </c>
      <c r="CB73" s="694">
        <v>0</v>
      </c>
      <c r="CC73" s="694">
        <v>0</v>
      </c>
      <c r="CD73" s="694">
        <v>0</v>
      </c>
      <c r="CE73" s="694">
        <v>0</v>
      </c>
      <c r="CF73" s="694">
        <v>0</v>
      </c>
      <c r="CG73" s="694">
        <v>0</v>
      </c>
      <c r="CH73" s="694">
        <v>0</v>
      </c>
      <c r="CI73" s="694">
        <v>0</v>
      </c>
      <c r="CJ73" s="694">
        <v>0</v>
      </c>
      <c r="CK73" s="694">
        <v>0</v>
      </c>
      <c r="CL73" s="694">
        <v>0</v>
      </c>
      <c r="CM73" s="694">
        <v>0</v>
      </c>
      <c r="CN73" s="694">
        <v>0</v>
      </c>
      <c r="CO73" s="694">
        <v>0</v>
      </c>
      <c r="CP73" s="694">
        <v>0</v>
      </c>
      <c r="CQ73" s="694">
        <v>0</v>
      </c>
      <c r="CR73" s="694">
        <v>0</v>
      </c>
    </row>
    <row r="74" spans="1:96">
      <c r="A74" s="694" t="s">
        <v>3</v>
      </c>
      <c r="B74" s="705"/>
      <c r="C74" s="694">
        <v>2014</v>
      </c>
      <c r="D74" s="694" t="s">
        <v>15</v>
      </c>
      <c r="E74" s="694" t="s">
        <v>19</v>
      </c>
      <c r="F74" s="694" t="s">
        <v>17</v>
      </c>
      <c r="G74" s="694"/>
      <c r="H74" s="694" t="s">
        <v>1092</v>
      </c>
      <c r="I74" s="694" t="s">
        <v>5</v>
      </c>
      <c r="J74" s="694" t="s">
        <v>376</v>
      </c>
      <c r="K74" s="751">
        <v>1</v>
      </c>
      <c r="L74" s="694"/>
      <c r="M74" s="694" t="s">
        <v>1102</v>
      </c>
      <c r="N74" s="694">
        <v>4</v>
      </c>
      <c r="O74" s="694"/>
      <c r="P74" s="694"/>
      <c r="Q74" s="694"/>
      <c r="R74" s="694"/>
      <c r="S74" s="694"/>
      <c r="T74" s="694"/>
      <c r="U74" s="694"/>
      <c r="V74" s="694"/>
      <c r="W74" s="797">
        <v>0.39365566631983673</v>
      </c>
      <c r="X74" s="796">
        <v>701.9123710403511</v>
      </c>
      <c r="Y74" s="796">
        <v>2807.6494841614044</v>
      </c>
      <c r="Z74" s="796">
        <v>1477.7595118302859</v>
      </c>
      <c r="AA74" s="796">
        <v>369.43987795757147</v>
      </c>
      <c r="AB74" s="797">
        <v>0.20719409903967406</v>
      </c>
      <c r="AC74" s="801">
        <v>1</v>
      </c>
      <c r="AD74" s="801">
        <v>1</v>
      </c>
      <c r="AE74" s="799">
        <v>0.50666666666666671</v>
      </c>
      <c r="AF74" s="800">
        <v>3.3000000000000002E-2</v>
      </c>
      <c r="AG74" s="694"/>
      <c r="AH74" s="799">
        <v>0.52633333333333332</v>
      </c>
      <c r="AI74" s="799">
        <v>0.50666666666666671</v>
      </c>
      <c r="AJ74" s="800">
        <v>3.3000000000000002E-2</v>
      </c>
      <c r="AK74" s="694"/>
      <c r="AL74" s="799">
        <v>0.52633333333333332</v>
      </c>
      <c r="AM74" s="694" t="s">
        <v>653</v>
      </c>
      <c r="AN74" s="694" t="s">
        <v>653</v>
      </c>
      <c r="AO74" s="694" t="s">
        <v>653</v>
      </c>
      <c r="AP74" s="702">
        <v>74.766565500281061</v>
      </c>
      <c r="AQ74" s="798">
        <v>74.766565500281061</v>
      </c>
      <c r="AR74" s="694" t="s">
        <v>1090</v>
      </c>
      <c r="AS74" s="694"/>
      <c r="AT74" s="694"/>
      <c r="AU74" s="797"/>
      <c r="AV74" s="797">
        <v>0.20719409903967406</v>
      </c>
      <c r="AW74" s="797">
        <v>0.20719409903967406</v>
      </c>
      <c r="AX74" s="797">
        <v>0.20719409903967406</v>
      </c>
      <c r="AY74" s="797">
        <v>0.20719409903967406</v>
      </c>
      <c r="AZ74" s="694">
        <v>0</v>
      </c>
      <c r="BA74" s="694">
        <v>0</v>
      </c>
      <c r="BB74" s="694">
        <v>0</v>
      </c>
      <c r="BC74" s="694">
        <v>0</v>
      </c>
      <c r="BD74" s="694">
        <v>0</v>
      </c>
      <c r="BE74" s="694">
        <v>0</v>
      </c>
      <c r="BF74" s="694">
        <v>0</v>
      </c>
      <c r="BG74" s="694">
        <v>0</v>
      </c>
      <c r="BH74" s="694">
        <v>0</v>
      </c>
      <c r="BI74" s="694">
        <v>0</v>
      </c>
      <c r="BJ74" s="694">
        <v>0</v>
      </c>
      <c r="BK74" s="694">
        <v>0</v>
      </c>
      <c r="BL74" s="694">
        <v>0</v>
      </c>
      <c r="BM74" s="694">
        <v>0</v>
      </c>
      <c r="BN74" s="694">
        <v>0</v>
      </c>
      <c r="BO74" s="694">
        <v>0</v>
      </c>
      <c r="BP74" s="694">
        <v>0</v>
      </c>
      <c r="BQ74" s="694">
        <v>0</v>
      </c>
      <c r="BR74" s="694">
        <v>0</v>
      </c>
      <c r="BS74" s="694"/>
      <c r="BT74" s="694"/>
      <c r="BU74" s="796"/>
      <c r="BV74" s="796">
        <v>369.43987795757147</v>
      </c>
      <c r="BW74" s="796">
        <v>369.43987795757147</v>
      </c>
      <c r="BX74" s="796">
        <v>369.43987795757147</v>
      </c>
      <c r="BY74" s="796">
        <v>369.43987795757147</v>
      </c>
      <c r="BZ74" s="694">
        <v>0</v>
      </c>
      <c r="CA74" s="694">
        <v>0</v>
      </c>
      <c r="CB74" s="694">
        <v>0</v>
      </c>
      <c r="CC74" s="694">
        <v>0</v>
      </c>
      <c r="CD74" s="694">
        <v>0</v>
      </c>
      <c r="CE74" s="694">
        <v>0</v>
      </c>
      <c r="CF74" s="694">
        <v>0</v>
      </c>
      <c r="CG74" s="694">
        <v>0</v>
      </c>
      <c r="CH74" s="694">
        <v>0</v>
      </c>
      <c r="CI74" s="694">
        <v>0</v>
      </c>
      <c r="CJ74" s="694">
        <v>0</v>
      </c>
      <c r="CK74" s="694">
        <v>0</v>
      </c>
      <c r="CL74" s="694">
        <v>0</v>
      </c>
      <c r="CM74" s="694">
        <v>0</v>
      </c>
      <c r="CN74" s="694">
        <v>0</v>
      </c>
      <c r="CO74" s="694">
        <v>0</v>
      </c>
      <c r="CP74" s="694">
        <v>0</v>
      </c>
      <c r="CQ74" s="694">
        <v>0</v>
      </c>
      <c r="CR74" s="694">
        <v>0</v>
      </c>
    </row>
    <row r="75" spans="1:96">
      <c r="A75" s="694" t="s">
        <v>3</v>
      </c>
      <c r="B75" s="705"/>
      <c r="C75" s="694">
        <v>2014</v>
      </c>
      <c r="D75" s="694" t="s">
        <v>15</v>
      </c>
      <c r="E75" s="694" t="s">
        <v>19</v>
      </c>
      <c r="F75" s="694" t="s">
        <v>17</v>
      </c>
      <c r="G75" s="694"/>
      <c r="H75" s="694" t="s">
        <v>1092</v>
      </c>
      <c r="I75" s="694" t="s">
        <v>5</v>
      </c>
      <c r="J75" s="694" t="s">
        <v>376</v>
      </c>
      <c r="K75" s="751">
        <v>1</v>
      </c>
      <c r="L75" s="694"/>
      <c r="M75" s="694" t="s">
        <v>747</v>
      </c>
      <c r="N75" s="694">
        <v>4</v>
      </c>
      <c r="O75" s="694"/>
      <c r="P75" s="694"/>
      <c r="Q75" s="694"/>
      <c r="R75" s="694"/>
      <c r="S75" s="694"/>
      <c r="T75" s="694"/>
      <c r="U75" s="694"/>
      <c r="V75" s="694"/>
      <c r="W75" s="797">
        <v>0.39365566631983673</v>
      </c>
      <c r="X75" s="796">
        <v>701.9123710403511</v>
      </c>
      <c r="Y75" s="796">
        <v>2807.6494841614044</v>
      </c>
      <c r="Z75" s="796">
        <v>1477.7595118302859</v>
      </c>
      <c r="AA75" s="796">
        <v>369.43987795757147</v>
      </c>
      <c r="AB75" s="797">
        <v>0.20719409903967406</v>
      </c>
      <c r="AC75" s="801">
        <v>1</v>
      </c>
      <c r="AD75" s="801">
        <v>1</v>
      </c>
      <c r="AE75" s="799">
        <v>0.50666666666666671</v>
      </c>
      <c r="AF75" s="800">
        <v>3.3000000000000002E-2</v>
      </c>
      <c r="AG75" s="694"/>
      <c r="AH75" s="799">
        <v>0.52633333333333332</v>
      </c>
      <c r="AI75" s="799">
        <v>0.50666666666666671</v>
      </c>
      <c r="AJ75" s="800">
        <v>3.3000000000000002E-2</v>
      </c>
      <c r="AK75" s="694"/>
      <c r="AL75" s="799">
        <v>0.52633333333333332</v>
      </c>
      <c r="AM75" s="694" t="s">
        <v>653</v>
      </c>
      <c r="AN75" s="694" t="s">
        <v>653</v>
      </c>
      <c r="AO75" s="694" t="s">
        <v>653</v>
      </c>
      <c r="AP75" s="702">
        <v>74.766565500281061</v>
      </c>
      <c r="AQ75" s="798">
        <v>74.766565500281061</v>
      </c>
      <c r="AR75" s="694" t="s">
        <v>1090</v>
      </c>
      <c r="AS75" s="694"/>
      <c r="AT75" s="694"/>
      <c r="AU75" s="797"/>
      <c r="AV75" s="797">
        <v>0.20719409903967406</v>
      </c>
      <c r="AW75" s="797">
        <v>0.20719409903967406</v>
      </c>
      <c r="AX75" s="797">
        <v>0.20719409903967406</v>
      </c>
      <c r="AY75" s="797">
        <v>0.20719409903967406</v>
      </c>
      <c r="AZ75" s="694">
        <v>0</v>
      </c>
      <c r="BA75" s="694">
        <v>0</v>
      </c>
      <c r="BB75" s="694">
        <v>0</v>
      </c>
      <c r="BC75" s="694">
        <v>0</v>
      </c>
      <c r="BD75" s="694">
        <v>0</v>
      </c>
      <c r="BE75" s="694">
        <v>0</v>
      </c>
      <c r="BF75" s="694">
        <v>0</v>
      </c>
      <c r="BG75" s="694">
        <v>0</v>
      </c>
      <c r="BH75" s="694">
        <v>0</v>
      </c>
      <c r="BI75" s="694">
        <v>0</v>
      </c>
      <c r="BJ75" s="694">
        <v>0</v>
      </c>
      <c r="BK75" s="694">
        <v>0</v>
      </c>
      <c r="BL75" s="694">
        <v>0</v>
      </c>
      <c r="BM75" s="694">
        <v>0</v>
      </c>
      <c r="BN75" s="694">
        <v>0</v>
      </c>
      <c r="BO75" s="694">
        <v>0</v>
      </c>
      <c r="BP75" s="694">
        <v>0</v>
      </c>
      <c r="BQ75" s="694">
        <v>0</v>
      </c>
      <c r="BR75" s="694">
        <v>0</v>
      </c>
      <c r="BS75" s="694"/>
      <c r="BT75" s="694"/>
      <c r="BU75" s="796"/>
      <c r="BV75" s="796">
        <v>369.43987795757147</v>
      </c>
      <c r="BW75" s="796">
        <v>369.43987795757147</v>
      </c>
      <c r="BX75" s="796">
        <v>369.43987795757147</v>
      </c>
      <c r="BY75" s="796">
        <v>369.43987795757147</v>
      </c>
      <c r="BZ75" s="694">
        <v>0</v>
      </c>
      <c r="CA75" s="694">
        <v>0</v>
      </c>
      <c r="CB75" s="694">
        <v>0</v>
      </c>
      <c r="CC75" s="694">
        <v>0</v>
      </c>
      <c r="CD75" s="694">
        <v>0</v>
      </c>
      <c r="CE75" s="694">
        <v>0</v>
      </c>
      <c r="CF75" s="694">
        <v>0</v>
      </c>
      <c r="CG75" s="694">
        <v>0</v>
      </c>
      <c r="CH75" s="694">
        <v>0</v>
      </c>
      <c r="CI75" s="694">
        <v>0</v>
      </c>
      <c r="CJ75" s="694">
        <v>0</v>
      </c>
      <c r="CK75" s="694">
        <v>0</v>
      </c>
      <c r="CL75" s="694">
        <v>0</v>
      </c>
      <c r="CM75" s="694">
        <v>0</v>
      </c>
      <c r="CN75" s="694">
        <v>0</v>
      </c>
      <c r="CO75" s="694">
        <v>0</v>
      </c>
      <c r="CP75" s="694">
        <v>0</v>
      </c>
      <c r="CQ75" s="694">
        <v>0</v>
      </c>
      <c r="CR75" s="694">
        <v>0</v>
      </c>
    </row>
    <row r="76" spans="1:96">
      <c r="A76" s="694" t="s">
        <v>3</v>
      </c>
      <c r="B76" s="705"/>
      <c r="C76" s="694">
        <v>2014</v>
      </c>
      <c r="D76" s="694" t="s">
        <v>15</v>
      </c>
      <c r="E76" s="694" t="s">
        <v>19</v>
      </c>
      <c r="F76" s="694" t="s">
        <v>17</v>
      </c>
      <c r="G76" s="694"/>
      <c r="H76" s="694" t="s">
        <v>1092</v>
      </c>
      <c r="I76" s="694" t="s">
        <v>5</v>
      </c>
      <c r="J76" s="694" t="s">
        <v>376</v>
      </c>
      <c r="K76" s="751">
        <v>1</v>
      </c>
      <c r="L76" s="694"/>
      <c r="M76" s="694" t="s">
        <v>747</v>
      </c>
      <c r="N76" s="694">
        <v>4</v>
      </c>
      <c r="O76" s="694"/>
      <c r="P76" s="694"/>
      <c r="Q76" s="694"/>
      <c r="R76" s="694"/>
      <c r="S76" s="694"/>
      <c r="T76" s="694"/>
      <c r="U76" s="694"/>
      <c r="V76" s="694"/>
      <c r="W76" s="797">
        <v>0.39365566631983673</v>
      </c>
      <c r="X76" s="796">
        <v>701.9123710403511</v>
      </c>
      <c r="Y76" s="796">
        <v>2807.6494841614044</v>
      </c>
      <c r="Z76" s="796">
        <v>1477.7595118302859</v>
      </c>
      <c r="AA76" s="796">
        <v>369.43987795757147</v>
      </c>
      <c r="AB76" s="797">
        <v>0.20719409903967406</v>
      </c>
      <c r="AC76" s="801">
        <v>1</v>
      </c>
      <c r="AD76" s="801">
        <v>1</v>
      </c>
      <c r="AE76" s="799">
        <v>0.50666666666666671</v>
      </c>
      <c r="AF76" s="800">
        <v>3.3000000000000002E-2</v>
      </c>
      <c r="AG76" s="694"/>
      <c r="AH76" s="799">
        <v>0.52633333333333332</v>
      </c>
      <c r="AI76" s="799">
        <v>0.50666666666666671</v>
      </c>
      <c r="AJ76" s="800">
        <v>3.3000000000000002E-2</v>
      </c>
      <c r="AK76" s="694"/>
      <c r="AL76" s="799">
        <v>0.52633333333333332</v>
      </c>
      <c r="AM76" s="694" t="s">
        <v>653</v>
      </c>
      <c r="AN76" s="694" t="s">
        <v>653</v>
      </c>
      <c r="AO76" s="694" t="s">
        <v>653</v>
      </c>
      <c r="AP76" s="702">
        <v>74.766565500281061</v>
      </c>
      <c r="AQ76" s="798">
        <v>74.766565500281061</v>
      </c>
      <c r="AR76" s="694" t="s">
        <v>1090</v>
      </c>
      <c r="AS76" s="694"/>
      <c r="AT76" s="694"/>
      <c r="AU76" s="797"/>
      <c r="AV76" s="797">
        <v>0.20719409903967406</v>
      </c>
      <c r="AW76" s="797">
        <v>0.20719409903967406</v>
      </c>
      <c r="AX76" s="797">
        <v>0.20719409903967406</v>
      </c>
      <c r="AY76" s="797">
        <v>0.20719409903967406</v>
      </c>
      <c r="AZ76" s="694">
        <v>0</v>
      </c>
      <c r="BA76" s="694">
        <v>0</v>
      </c>
      <c r="BB76" s="694">
        <v>0</v>
      </c>
      <c r="BC76" s="694">
        <v>0</v>
      </c>
      <c r="BD76" s="694">
        <v>0</v>
      </c>
      <c r="BE76" s="694">
        <v>0</v>
      </c>
      <c r="BF76" s="694">
        <v>0</v>
      </c>
      <c r="BG76" s="694">
        <v>0</v>
      </c>
      <c r="BH76" s="694">
        <v>0</v>
      </c>
      <c r="BI76" s="694">
        <v>0</v>
      </c>
      <c r="BJ76" s="694">
        <v>0</v>
      </c>
      <c r="BK76" s="694">
        <v>0</v>
      </c>
      <c r="BL76" s="694">
        <v>0</v>
      </c>
      <c r="BM76" s="694">
        <v>0</v>
      </c>
      <c r="BN76" s="694">
        <v>0</v>
      </c>
      <c r="BO76" s="694">
        <v>0</v>
      </c>
      <c r="BP76" s="694">
        <v>0</v>
      </c>
      <c r="BQ76" s="694">
        <v>0</v>
      </c>
      <c r="BR76" s="694">
        <v>0</v>
      </c>
      <c r="BS76" s="694"/>
      <c r="BT76" s="694"/>
      <c r="BU76" s="796"/>
      <c r="BV76" s="796">
        <v>369.43987795757147</v>
      </c>
      <c r="BW76" s="796">
        <v>369.43987795757147</v>
      </c>
      <c r="BX76" s="796">
        <v>369.43987795757147</v>
      </c>
      <c r="BY76" s="796">
        <v>369.43987795757147</v>
      </c>
      <c r="BZ76" s="694">
        <v>0</v>
      </c>
      <c r="CA76" s="694">
        <v>0</v>
      </c>
      <c r="CB76" s="694">
        <v>0</v>
      </c>
      <c r="CC76" s="694">
        <v>0</v>
      </c>
      <c r="CD76" s="694">
        <v>0</v>
      </c>
      <c r="CE76" s="694">
        <v>0</v>
      </c>
      <c r="CF76" s="694">
        <v>0</v>
      </c>
      <c r="CG76" s="694">
        <v>0</v>
      </c>
      <c r="CH76" s="694">
        <v>0</v>
      </c>
      <c r="CI76" s="694">
        <v>0</v>
      </c>
      <c r="CJ76" s="694">
        <v>0</v>
      </c>
      <c r="CK76" s="694">
        <v>0</v>
      </c>
      <c r="CL76" s="694">
        <v>0</v>
      </c>
      <c r="CM76" s="694">
        <v>0</v>
      </c>
      <c r="CN76" s="694">
        <v>0</v>
      </c>
      <c r="CO76" s="694">
        <v>0</v>
      </c>
      <c r="CP76" s="694">
        <v>0</v>
      </c>
      <c r="CQ76" s="694">
        <v>0</v>
      </c>
      <c r="CR76" s="694">
        <v>0</v>
      </c>
    </row>
    <row r="77" spans="1:96">
      <c r="A77" s="694" t="s">
        <v>3</v>
      </c>
      <c r="B77" s="705"/>
      <c r="C77" s="694">
        <v>2014</v>
      </c>
      <c r="D77" s="694" t="s">
        <v>15</v>
      </c>
      <c r="E77" s="694" t="s">
        <v>19</v>
      </c>
      <c r="F77" s="694" t="s">
        <v>17</v>
      </c>
      <c r="G77" s="694"/>
      <c r="H77" s="694" t="s">
        <v>1092</v>
      </c>
      <c r="I77" s="694" t="s">
        <v>5</v>
      </c>
      <c r="J77" s="694" t="s">
        <v>376</v>
      </c>
      <c r="K77" s="751">
        <v>1</v>
      </c>
      <c r="L77" s="694"/>
      <c r="M77" s="694" t="s">
        <v>747</v>
      </c>
      <c r="N77" s="694">
        <v>4</v>
      </c>
      <c r="O77" s="694"/>
      <c r="P77" s="694"/>
      <c r="Q77" s="694"/>
      <c r="R77" s="694"/>
      <c r="S77" s="694"/>
      <c r="T77" s="694"/>
      <c r="U77" s="694"/>
      <c r="V77" s="694"/>
      <c r="W77" s="797">
        <v>0.39365566631983673</v>
      </c>
      <c r="X77" s="796">
        <v>701.9123710403511</v>
      </c>
      <c r="Y77" s="796">
        <v>2807.6494841614044</v>
      </c>
      <c r="Z77" s="796">
        <v>1477.7595118302859</v>
      </c>
      <c r="AA77" s="796">
        <v>369.43987795757147</v>
      </c>
      <c r="AB77" s="797">
        <v>0.20719409903967406</v>
      </c>
      <c r="AC77" s="801">
        <v>1</v>
      </c>
      <c r="AD77" s="801">
        <v>1</v>
      </c>
      <c r="AE77" s="799">
        <v>0.50666666666666671</v>
      </c>
      <c r="AF77" s="800">
        <v>3.3000000000000002E-2</v>
      </c>
      <c r="AG77" s="694"/>
      <c r="AH77" s="799">
        <v>0.52633333333333332</v>
      </c>
      <c r="AI77" s="799">
        <v>0.50666666666666671</v>
      </c>
      <c r="AJ77" s="800">
        <v>3.3000000000000002E-2</v>
      </c>
      <c r="AK77" s="694"/>
      <c r="AL77" s="799">
        <v>0.52633333333333332</v>
      </c>
      <c r="AM77" s="694" t="s">
        <v>653</v>
      </c>
      <c r="AN77" s="694" t="s">
        <v>653</v>
      </c>
      <c r="AO77" s="694" t="s">
        <v>653</v>
      </c>
      <c r="AP77" s="702">
        <v>74.766565500281061</v>
      </c>
      <c r="AQ77" s="798">
        <v>74.766565500281061</v>
      </c>
      <c r="AR77" s="694" t="s">
        <v>1090</v>
      </c>
      <c r="AS77" s="694"/>
      <c r="AT77" s="694"/>
      <c r="AU77" s="797"/>
      <c r="AV77" s="797">
        <v>0.20719409903967406</v>
      </c>
      <c r="AW77" s="797">
        <v>0.20719409903967406</v>
      </c>
      <c r="AX77" s="797">
        <v>0.20719409903967406</v>
      </c>
      <c r="AY77" s="797">
        <v>0.20719409903967406</v>
      </c>
      <c r="AZ77" s="694">
        <v>0</v>
      </c>
      <c r="BA77" s="694">
        <v>0</v>
      </c>
      <c r="BB77" s="694">
        <v>0</v>
      </c>
      <c r="BC77" s="694">
        <v>0</v>
      </c>
      <c r="BD77" s="694">
        <v>0</v>
      </c>
      <c r="BE77" s="694">
        <v>0</v>
      </c>
      <c r="BF77" s="694">
        <v>0</v>
      </c>
      <c r="BG77" s="694">
        <v>0</v>
      </c>
      <c r="BH77" s="694">
        <v>0</v>
      </c>
      <c r="BI77" s="694">
        <v>0</v>
      </c>
      <c r="BJ77" s="694">
        <v>0</v>
      </c>
      <c r="BK77" s="694">
        <v>0</v>
      </c>
      <c r="BL77" s="694">
        <v>0</v>
      </c>
      <c r="BM77" s="694">
        <v>0</v>
      </c>
      <c r="BN77" s="694">
        <v>0</v>
      </c>
      <c r="BO77" s="694">
        <v>0</v>
      </c>
      <c r="BP77" s="694">
        <v>0</v>
      </c>
      <c r="BQ77" s="694">
        <v>0</v>
      </c>
      <c r="BR77" s="694">
        <v>0</v>
      </c>
      <c r="BS77" s="694"/>
      <c r="BT77" s="694"/>
      <c r="BU77" s="796"/>
      <c r="BV77" s="796">
        <v>369.43987795757147</v>
      </c>
      <c r="BW77" s="796">
        <v>369.43987795757147</v>
      </c>
      <c r="BX77" s="796">
        <v>369.43987795757147</v>
      </c>
      <c r="BY77" s="796">
        <v>369.43987795757147</v>
      </c>
      <c r="BZ77" s="694">
        <v>0</v>
      </c>
      <c r="CA77" s="694">
        <v>0</v>
      </c>
      <c r="CB77" s="694">
        <v>0</v>
      </c>
      <c r="CC77" s="694">
        <v>0</v>
      </c>
      <c r="CD77" s="694">
        <v>0</v>
      </c>
      <c r="CE77" s="694">
        <v>0</v>
      </c>
      <c r="CF77" s="694">
        <v>0</v>
      </c>
      <c r="CG77" s="694">
        <v>0</v>
      </c>
      <c r="CH77" s="694">
        <v>0</v>
      </c>
      <c r="CI77" s="694">
        <v>0</v>
      </c>
      <c r="CJ77" s="694">
        <v>0</v>
      </c>
      <c r="CK77" s="694">
        <v>0</v>
      </c>
      <c r="CL77" s="694">
        <v>0</v>
      </c>
      <c r="CM77" s="694">
        <v>0</v>
      </c>
      <c r="CN77" s="694">
        <v>0</v>
      </c>
      <c r="CO77" s="694">
        <v>0</v>
      </c>
      <c r="CP77" s="694">
        <v>0</v>
      </c>
      <c r="CQ77" s="694">
        <v>0</v>
      </c>
      <c r="CR77" s="694">
        <v>0</v>
      </c>
    </row>
    <row r="78" spans="1:96">
      <c r="A78" s="694" t="s">
        <v>3</v>
      </c>
      <c r="B78" s="705"/>
      <c r="C78" s="694">
        <v>2014</v>
      </c>
      <c r="D78" s="694" t="s">
        <v>15</v>
      </c>
      <c r="E78" s="694" t="s">
        <v>19</v>
      </c>
      <c r="F78" s="694" t="s">
        <v>17</v>
      </c>
      <c r="G78" s="694"/>
      <c r="H78" s="694" t="s">
        <v>1092</v>
      </c>
      <c r="I78" s="694" t="s">
        <v>5</v>
      </c>
      <c r="J78" s="694" t="s">
        <v>376</v>
      </c>
      <c r="K78" s="751">
        <v>1</v>
      </c>
      <c r="L78" s="694"/>
      <c r="M78" s="694" t="s">
        <v>747</v>
      </c>
      <c r="N78" s="694">
        <v>4</v>
      </c>
      <c r="O78" s="694"/>
      <c r="P78" s="694"/>
      <c r="Q78" s="694"/>
      <c r="R78" s="694"/>
      <c r="S78" s="694"/>
      <c r="T78" s="694"/>
      <c r="U78" s="694"/>
      <c r="V78" s="694"/>
      <c r="W78" s="797">
        <v>0.39365566631983673</v>
      </c>
      <c r="X78" s="796">
        <v>701.9123710403511</v>
      </c>
      <c r="Y78" s="796">
        <v>2807.6494841614044</v>
      </c>
      <c r="Z78" s="796">
        <v>1477.7595118302859</v>
      </c>
      <c r="AA78" s="796">
        <v>369.43987795757147</v>
      </c>
      <c r="AB78" s="797">
        <v>0.20719409903967406</v>
      </c>
      <c r="AC78" s="801">
        <v>1</v>
      </c>
      <c r="AD78" s="801">
        <v>1</v>
      </c>
      <c r="AE78" s="799">
        <v>0.50666666666666671</v>
      </c>
      <c r="AF78" s="800">
        <v>3.3000000000000002E-2</v>
      </c>
      <c r="AG78" s="694"/>
      <c r="AH78" s="799">
        <v>0.52633333333333332</v>
      </c>
      <c r="AI78" s="799">
        <v>0.50666666666666671</v>
      </c>
      <c r="AJ78" s="800">
        <v>3.3000000000000002E-2</v>
      </c>
      <c r="AK78" s="694"/>
      <c r="AL78" s="799">
        <v>0.52633333333333332</v>
      </c>
      <c r="AM78" s="694" t="s">
        <v>653</v>
      </c>
      <c r="AN78" s="694" t="s">
        <v>653</v>
      </c>
      <c r="AO78" s="694" t="s">
        <v>653</v>
      </c>
      <c r="AP78" s="702">
        <v>74.766565500281061</v>
      </c>
      <c r="AQ78" s="798">
        <v>74.766565500281061</v>
      </c>
      <c r="AR78" s="694" t="s">
        <v>1090</v>
      </c>
      <c r="AS78" s="694"/>
      <c r="AT78" s="694"/>
      <c r="AU78" s="797"/>
      <c r="AV78" s="797">
        <v>0.20719409903967406</v>
      </c>
      <c r="AW78" s="797">
        <v>0.20719409903967406</v>
      </c>
      <c r="AX78" s="797">
        <v>0.20719409903967406</v>
      </c>
      <c r="AY78" s="797">
        <v>0.20719409903967406</v>
      </c>
      <c r="AZ78" s="694">
        <v>0</v>
      </c>
      <c r="BA78" s="694">
        <v>0</v>
      </c>
      <c r="BB78" s="694">
        <v>0</v>
      </c>
      <c r="BC78" s="694">
        <v>0</v>
      </c>
      <c r="BD78" s="694">
        <v>0</v>
      </c>
      <c r="BE78" s="694">
        <v>0</v>
      </c>
      <c r="BF78" s="694">
        <v>0</v>
      </c>
      <c r="BG78" s="694">
        <v>0</v>
      </c>
      <c r="BH78" s="694">
        <v>0</v>
      </c>
      <c r="BI78" s="694">
        <v>0</v>
      </c>
      <c r="BJ78" s="694">
        <v>0</v>
      </c>
      <c r="BK78" s="694">
        <v>0</v>
      </c>
      <c r="BL78" s="694">
        <v>0</v>
      </c>
      <c r="BM78" s="694">
        <v>0</v>
      </c>
      <c r="BN78" s="694">
        <v>0</v>
      </c>
      <c r="BO78" s="694">
        <v>0</v>
      </c>
      <c r="BP78" s="694">
        <v>0</v>
      </c>
      <c r="BQ78" s="694">
        <v>0</v>
      </c>
      <c r="BR78" s="694">
        <v>0</v>
      </c>
      <c r="BS78" s="694"/>
      <c r="BT78" s="694"/>
      <c r="BU78" s="796"/>
      <c r="BV78" s="796">
        <v>369.43987795757147</v>
      </c>
      <c r="BW78" s="796">
        <v>369.43987795757147</v>
      </c>
      <c r="BX78" s="796">
        <v>369.43987795757147</v>
      </c>
      <c r="BY78" s="796">
        <v>369.43987795757147</v>
      </c>
      <c r="BZ78" s="694">
        <v>0</v>
      </c>
      <c r="CA78" s="694">
        <v>0</v>
      </c>
      <c r="CB78" s="694">
        <v>0</v>
      </c>
      <c r="CC78" s="694">
        <v>0</v>
      </c>
      <c r="CD78" s="694">
        <v>0</v>
      </c>
      <c r="CE78" s="694">
        <v>0</v>
      </c>
      <c r="CF78" s="694">
        <v>0</v>
      </c>
      <c r="CG78" s="694">
        <v>0</v>
      </c>
      <c r="CH78" s="694">
        <v>0</v>
      </c>
      <c r="CI78" s="694">
        <v>0</v>
      </c>
      <c r="CJ78" s="694">
        <v>0</v>
      </c>
      <c r="CK78" s="694">
        <v>0</v>
      </c>
      <c r="CL78" s="694">
        <v>0</v>
      </c>
      <c r="CM78" s="694">
        <v>0</v>
      </c>
      <c r="CN78" s="694">
        <v>0</v>
      </c>
      <c r="CO78" s="694">
        <v>0</v>
      </c>
      <c r="CP78" s="694">
        <v>0</v>
      </c>
      <c r="CQ78" s="694">
        <v>0</v>
      </c>
      <c r="CR78" s="694">
        <v>0</v>
      </c>
    </row>
    <row r="79" spans="1:96">
      <c r="A79" s="694" t="s">
        <v>3</v>
      </c>
      <c r="B79" s="705"/>
      <c r="C79" s="694">
        <v>2014</v>
      </c>
      <c r="D79" s="694" t="s">
        <v>15</v>
      </c>
      <c r="E79" s="694" t="s">
        <v>19</v>
      </c>
      <c r="F79" s="694" t="s">
        <v>17</v>
      </c>
      <c r="G79" s="694"/>
      <c r="H79" s="694" t="s">
        <v>1092</v>
      </c>
      <c r="I79" s="694" t="s">
        <v>5</v>
      </c>
      <c r="J79" s="694" t="s">
        <v>376</v>
      </c>
      <c r="K79" s="751">
        <v>1</v>
      </c>
      <c r="L79" s="694"/>
      <c r="M79" s="694" t="s">
        <v>747</v>
      </c>
      <c r="N79" s="694">
        <v>4</v>
      </c>
      <c r="O79" s="694"/>
      <c r="P79" s="694"/>
      <c r="Q79" s="694"/>
      <c r="R79" s="694"/>
      <c r="S79" s="694"/>
      <c r="T79" s="694"/>
      <c r="U79" s="694"/>
      <c r="V79" s="694"/>
      <c r="W79" s="797">
        <v>0.39365566631983673</v>
      </c>
      <c r="X79" s="796">
        <v>701.9123710403511</v>
      </c>
      <c r="Y79" s="796">
        <v>2807.6494841614044</v>
      </c>
      <c r="Z79" s="796">
        <v>1477.7595118302859</v>
      </c>
      <c r="AA79" s="796">
        <v>369.43987795757147</v>
      </c>
      <c r="AB79" s="797">
        <v>0.20719409903967406</v>
      </c>
      <c r="AC79" s="801">
        <v>1</v>
      </c>
      <c r="AD79" s="801">
        <v>1</v>
      </c>
      <c r="AE79" s="799">
        <v>0.50666666666666671</v>
      </c>
      <c r="AF79" s="800">
        <v>3.3000000000000002E-2</v>
      </c>
      <c r="AG79" s="694"/>
      <c r="AH79" s="799">
        <v>0.52633333333333332</v>
      </c>
      <c r="AI79" s="799">
        <v>0.50666666666666671</v>
      </c>
      <c r="AJ79" s="800">
        <v>3.3000000000000002E-2</v>
      </c>
      <c r="AK79" s="694"/>
      <c r="AL79" s="799">
        <v>0.52633333333333332</v>
      </c>
      <c r="AM79" s="694" t="s">
        <v>653</v>
      </c>
      <c r="AN79" s="694" t="s">
        <v>653</v>
      </c>
      <c r="AO79" s="694" t="s">
        <v>653</v>
      </c>
      <c r="AP79" s="702">
        <v>74.766565500281061</v>
      </c>
      <c r="AQ79" s="798">
        <v>74.766565500281061</v>
      </c>
      <c r="AR79" s="694" t="s">
        <v>1090</v>
      </c>
      <c r="AS79" s="694"/>
      <c r="AT79" s="694"/>
      <c r="AU79" s="797"/>
      <c r="AV79" s="797">
        <v>0.20719409903967406</v>
      </c>
      <c r="AW79" s="797">
        <v>0.20719409903967406</v>
      </c>
      <c r="AX79" s="797">
        <v>0.20719409903967406</v>
      </c>
      <c r="AY79" s="797">
        <v>0.20719409903967406</v>
      </c>
      <c r="AZ79" s="694">
        <v>0</v>
      </c>
      <c r="BA79" s="694">
        <v>0</v>
      </c>
      <c r="BB79" s="694">
        <v>0</v>
      </c>
      <c r="BC79" s="694">
        <v>0</v>
      </c>
      <c r="BD79" s="694">
        <v>0</v>
      </c>
      <c r="BE79" s="694">
        <v>0</v>
      </c>
      <c r="BF79" s="694">
        <v>0</v>
      </c>
      <c r="BG79" s="694">
        <v>0</v>
      </c>
      <c r="BH79" s="694">
        <v>0</v>
      </c>
      <c r="BI79" s="694">
        <v>0</v>
      </c>
      <c r="BJ79" s="694">
        <v>0</v>
      </c>
      <c r="BK79" s="694">
        <v>0</v>
      </c>
      <c r="BL79" s="694">
        <v>0</v>
      </c>
      <c r="BM79" s="694">
        <v>0</v>
      </c>
      <c r="BN79" s="694">
        <v>0</v>
      </c>
      <c r="BO79" s="694">
        <v>0</v>
      </c>
      <c r="BP79" s="694">
        <v>0</v>
      </c>
      <c r="BQ79" s="694">
        <v>0</v>
      </c>
      <c r="BR79" s="694">
        <v>0</v>
      </c>
      <c r="BS79" s="694"/>
      <c r="BT79" s="694"/>
      <c r="BU79" s="796"/>
      <c r="BV79" s="796">
        <v>369.43987795757147</v>
      </c>
      <c r="BW79" s="796">
        <v>369.43987795757147</v>
      </c>
      <c r="BX79" s="796">
        <v>369.43987795757147</v>
      </c>
      <c r="BY79" s="796">
        <v>369.43987795757147</v>
      </c>
      <c r="BZ79" s="694">
        <v>0</v>
      </c>
      <c r="CA79" s="694">
        <v>0</v>
      </c>
      <c r="CB79" s="694">
        <v>0</v>
      </c>
      <c r="CC79" s="694">
        <v>0</v>
      </c>
      <c r="CD79" s="694">
        <v>0</v>
      </c>
      <c r="CE79" s="694">
        <v>0</v>
      </c>
      <c r="CF79" s="694">
        <v>0</v>
      </c>
      <c r="CG79" s="694">
        <v>0</v>
      </c>
      <c r="CH79" s="694">
        <v>0</v>
      </c>
      <c r="CI79" s="694">
        <v>0</v>
      </c>
      <c r="CJ79" s="694">
        <v>0</v>
      </c>
      <c r="CK79" s="694">
        <v>0</v>
      </c>
      <c r="CL79" s="694">
        <v>0</v>
      </c>
      <c r="CM79" s="694">
        <v>0</v>
      </c>
      <c r="CN79" s="694">
        <v>0</v>
      </c>
      <c r="CO79" s="694">
        <v>0</v>
      </c>
      <c r="CP79" s="694">
        <v>0</v>
      </c>
      <c r="CQ79" s="694">
        <v>0</v>
      </c>
      <c r="CR79" s="694">
        <v>0</v>
      </c>
    </row>
    <row r="80" spans="1:96">
      <c r="A80" s="694" t="s">
        <v>3</v>
      </c>
      <c r="B80" s="705"/>
      <c r="C80" s="694">
        <v>2014</v>
      </c>
      <c r="D80" s="694" t="s">
        <v>15</v>
      </c>
      <c r="E80" s="694" t="s">
        <v>19</v>
      </c>
      <c r="F80" s="694" t="s">
        <v>17</v>
      </c>
      <c r="G80" s="694"/>
      <c r="H80" s="694" t="s">
        <v>1092</v>
      </c>
      <c r="I80" s="694" t="s">
        <v>5</v>
      </c>
      <c r="J80" s="694" t="s">
        <v>376</v>
      </c>
      <c r="K80" s="751">
        <v>1</v>
      </c>
      <c r="L80" s="694"/>
      <c r="M80" s="694" t="s">
        <v>747</v>
      </c>
      <c r="N80" s="694">
        <v>4</v>
      </c>
      <c r="O80" s="694"/>
      <c r="P80" s="694"/>
      <c r="Q80" s="694"/>
      <c r="R80" s="694"/>
      <c r="S80" s="694"/>
      <c r="T80" s="694"/>
      <c r="U80" s="694"/>
      <c r="V80" s="694"/>
      <c r="W80" s="797">
        <v>0.39365566631983673</v>
      </c>
      <c r="X80" s="796">
        <v>701.9123710403511</v>
      </c>
      <c r="Y80" s="796">
        <v>2807.6494841614044</v>
      </c>
      <c r="Z80" s="796">
        <v>1477.7595118302859</v>
      </c>
      <c r="AA80" s="796">
        <v>369.43987795757147</v>
      </c>
      <c r="AB80" s="797">
        <v>0.20719409903967406</v>
      </c>
      <c r="AC80" s="801">
        <v>1</v>
      </c>
      <c r="AD80" s="801">
        <v>1</v>
      </c>
      <c r="AE80" s="799">
        <v>0.50666666666666671</v>
      </c>
      <c r="AF80" s="800">
        <v>3.3000000000000002E-2</v>
      </c>
      <c r="AG80" s="694"/>
      <c r="AH80" s="799">
        <v>0.52633333333333332</v>
      </c>
      <c r="AI80" s="799">
        <v>0.50666666666666671</v>
      </c>
      <c r="AJ80" s="800">
        <v>3.3000000000000002E-2</v>
      </c>
      <c r="AK80" s="694"/>
      <c r="AL80" s="799">
        <v>0.52633333333333332</v>
      </c>
      <c r="AM80" s="694" t="s">
        <v>653</v>
      </c>
      <c r="AN80" s="694" t="s">
        <v>653</v>
      </c>
      <c r="AO80" s="694" t="s">
        <v>653</v>
      </c>
      <c r="AP80" s="702">
        <v>74.766565500281061</v>
      </c>
      <c r="AQ80" s="798">
        <v>74.766565500281061</v>
      </c>
      <c r="AR80" s="694" t="s">
        <v>1090</v>
      </c>
      <c r="AS80" s="694"/>
      <c r="AT80" s="694"/>
      <c r="AU80" s="797"/>
      <c r="AV80" s="797">
        <v>0.20719409903967406</v>
      </c>
      <c r="AW80" s="797">
        <v>0.20719409903967406</v>
      </c>
      <c r="AX80" s="797">
        <v>0.20719409903967406</v>
      </c>
      <c r="AY80" s="797">
        <v>0.20719409903967406</v>
      </c>
      <c r="AZ80" s="694">
        <v>0</v>
      </c>
      <c r="BA80" s="694">
        <v>0</v>
      </c>
      <c r="BB80" s="694">
        <v>0</v>
      </c>
      <c r="BC80" s="694">
        <v>0</v>
      </c>
      <c r="BD80" s="694">
        <v>0</v>
      </c>
      <c r="BE80" s="694">
        <v>0</v>
      </c>
      <c r="BF80" s="694">
        <v>0</v>
      </c>
      <c r="BG80" s="694">
        <v>0</v>
      </c>
      <c r="BH80" s="694">
        <v>0</v>
      </c>
      <c r="BI80" s="694">
        <v>0</v>
      </c>
      <c r="BJ80" s="694">
        <v>0</v>
      </c>
      <c r="BK80" s="694">
        <v>0</v>
      </c>
      <c r="BL80" s="694">
        <v>0</v>
      </c>
      <c r="BM80" s="694">
        <v>0</v>
      </c>
      <c r="BN80" s="694">
        <v>0</v>
      </c>
      <c r="BO80" s="694">
        <v>0</v>
      </c>
      <c r="BP80" s="694">
        <v>0</v>
      </c>
      <c r="BQ80" s="694">
        <v>0</v>
      </c>
      <c r="BR80" s="694">
        <v>0</v>
      </c>
      <c r="BS80" s="694"/>
      <c r="BT80" s="694"/>
      <c r="BU80" s="796"/>
      <c r="BV80" s="796">
        <v>369.43987795757147</v>
      </c>
      <c r="BW80" s="796">
        <v>369.43987795757147</v>
      </c>
      <c r="BX80" s="796">
        <v>369.43987795757147</v>
      </c>
      <c r="BY80" s="796">
        <v>369.43987795757147</v>
      </c>
      <c r="BZ80" s="694">
        <v>0</v>
      </c>
      <c r="CA80" s="694">
        <v>0</v>
      </c>
      <c r="CB80" s="694">
        <v>0</v>
      </c>
      <c r="CC80" s="694">
        <v>0</v>
      </c>
      <c r="CD80" s="694">
        <v>0</v>
      </c>
      <c r="CE80" s="694">
        <v>0</v>
      </c>
      <c r="CF80" s="694">
        <v>0</v>
      </c>
      <c r="CG80" s="694">
        <v>0</v>
      </c>
      <c r="CH80" s="694">
        <v>0</v>
      </c>
      <c r="CI80" s="694">
        <v>0</v>
      </c>
      <c r="CJ80" s="694">
        <v>0</v>
      </c>
      <c r="CK80" s="694">
        <v>0</v>
      </c>
      <c r="CL80" s="694">
        <v>0</v>
      </c>
      <c r="CM80" s="694">
        <v>0</v>
      </c>
      <c r="CN80" s="694">
        <v>0</v>
      </c>
      <c r="CO80" s="694">
        <v>0</v>
      </c>
      <c r="CP80" s="694">
        <v>0</v>
      </c>
      <c r="CQ80" s="694">
        <v>0</v>
      </c>
      <c r="CR80" s="694">
        <v>0</v>
      </c>
    </row>
    <row r="81" spans="1:96">
      <c r="A81" s="694" t="s">
        <v>3</v>
      </c>
      <c r="B81" s="705"/>
      <c r="C81" s="694">
        <v>2014</v>
      </c>
      <c r="D81" s="694" t="s">
        <v>15</v>
      </c>
      <c r="E81" s="694" t="s">
        <v>19</v>
      </c>
      <c r="F81" s="694" t="s">
        <v>17</v>
      </c>
      <c r="G81" s="694"/>
      <c r="H81" s="694" t="s">
        <v>1092</v>
      </c>
      <c r="I81" s="694" t="s">
        <v>5</v>
      </c>
      <c r="J81" s="694" t="s">
        <v>376</v>
      </c>
      <c r="K81" s="751">
        <v>1</v>
      </c>
      <c r="L81" s="694"/>
      <c r="M81" s="694" t="s">
        <v>747</v>
      </c>
      <c r="N81" s="694">
        <v>4</v>
      </c>
      <c r="O81" s="694"/>
      <c r="P81" s="694"/>
      <c r="Q81" s="694"/>
      <c r="R81" s="694"/>
      <c r="S81" s="694"/>
      <c r="T81" s="694"/>
      <c r="U81" s="694"/>
      <c r="V81" s="694"/>
      <c r="W81" s="797">
        <v>0.39365566631983673</v>
      </c>
      <c r="X81" s="796">
        <v>701.9123710403511</v>
      </c>
      <c r="Y81" s="796">
        <v>2807.6494841614044</v>
      </c>
      <c r="Z81" s="796">
        <v>1477.7595118302859</v>
      </c>
      <c r="AA81" s="796">
        <v>369.43987795757147</v>
      </c>
      <c r="AB81" s="797">
        <v>0.20719409903967406</v>
      </c>
      <c r="AC81" s="801">
        <v>1</v>
      </c>
      <c r="AD81" s="801">
        <v>1</v>
      </c>
      <c r="AE81" s="799">
        <v>0.50666666666666671</v>
      </c>
      <c r="AF81" s="800">
        <v>3.3000000000000002E-2</v>
      </c>
      <c r="AG81" s="694"/>
      <c r="AH81" s="799">
        <v>0.52633333333333332</v>
      </c>
      <c r="AI81" s="799">
        <v>0.50666666666666671</v>
      </c>
      <c r="AJ81" s="800">
        <v>3.3000000000000002E-2</v>
      </c>
      <c r="AK81" s="694"/>
      <c r="AL81" s="799">
        <v>0.52633333333333332</v>
      </c>
      <c r="AM81" s="694" t="s">
        <v>653</v>
      </c>
      <c r="AN81" s="694" t="s">
        <v>653</v>
      </c>
      <c r="AO81" s="694" t="s">
        <v>653</v>
      </c>
      <c r="AP81" s="702">
        <v>74.766565500281061</v>
      </c>
      <c r="AQ81" s="798">
        <v>74.766565500281061</v>
      </c>
      <c r="AR81" s="694" t="s">
        <v>1090</v>
      </c>
      <c r="AS81" s="694"/>
      <c r="AT81" s="694"/>
      <c r="AU81" s="797"/>
      <c r="AV81" s="797">
        <v>0.20719409903967406</v>
      </c>
      <c r="AW81" s="797">
        <v>0.20719409903967406</v>
      </c>
      <c r="AX81" s="797">
        <v>0.20719409903967406</v>
      </c>
      <c r="AY81" s="797">
        <v>0.20719409903967406</v>
      </c>
      <c r="AZ81" s="694">
        <v>0</v>
      </c>
      <c r="BA81" s="694">
        <v>0</v>
      </c>
      <c r="BB81" s="694">
        <v>0</v>
      </c>
      <c r="BC81" s="694">
        <v>0</v>
      </c>
      <c r="BD81" s="694">
        <v>0</v>
      </c>
      <c r="BE81" s="694">
        <v>0</v>
      </c>
      <c r="BF81" s="694">
        <v>0</v>
      </c>
      <c r="BG81" s="694">
        <v>0</v>
      </c>
      <c r="BH81" s="694">
        <v>0</v>
      </c>
      <c r="BI81" s="694">
        <v>0</v>
      </c>
      <c r="BJ81" s="694">
        <v>0</v>
      </c>
      <c r="BK81" s="694">
        <v>0</v>
      </c>
      <c r="BL81" s="694">
        <v>0</v>
      </c>
      <c r="BM81" s="694">
        <v>0</v>
      </c>
      <c r="BN81" s="694">
        <v>0</v>
      </c>
      <c r="BO81" s="694">
        <v>0</v>
      </c>
      <c r="BP81" s="694">
        <v>0</v>
      </c>
      <c r="BQ81" s="694">
        <v>0</v>
      </c>
      <c r="BR81" s="694">
        <v>0</v>
      </c>
      <c r="BS81" s="694"/>
      <c r="BT81" s="694"/>
      <c r="BU81" s="796"/>
      <c r="BV81" s="796">
        <v>369.43987795757147</v>
      </c>
      <c r="BW81" s="796">
        <v>369.43987795757147</v>
      </c>
      <c r="BX81" s="796">
        <v>369.43987795757147</v>
      </c>
      <c r="BY81" s="796">
        <v>369.43987795757147</v>
      </c>
      <c r="BZ81" s="694">
        <v>0</v>
      </c>
      <c r="CA81" s="694">
        <v>0</v>
      </c>
      <c r="CB81" s="694">
        <v>0</v>
      </c>
      <c r="CC81" s="694">
        <v>0</v>
      </c>
      <c r="CD81" s="694">
        <v>0</v>
      </c>
      <c r="CE81" s="694">
        <v>0</v>
      </c>
      <c r="CF81" s="694">
        <v>0</v>
      </c>
      <c r="CG81" s="694">
        <v>0</v>
      </c>
      <c r="CH81" s="694">
        <v>0</v>
      </c>
      <c r="CI81" s="694">
        <v>0</v>
      </c>
      <c r="CJ81" s="694">
        <v>0</v>
      </c>
      <c r="CK81" s="694">
        <v>0</v>
      </c>
      <c r="CL81" s="694">
        <v>0</v>
      </c>
      <c r="CM81" s="694">
        <v>0</v>
      </c>
      <c r="CN81" s="694">
        <v>0</v>
      </c>
      <c r="CO81" s="694">
        <v>0</v>
      </c>
      <c r="CP81" s="694">
        <v>0</v>
      </c>
      <c r="CQ81" s="694">
        <v>0</v>
      </c>
      <c r="CR81" s="694">
        <v>0</v>
      </c>
    </row>
    <row r="82" spans="1:96">
      <c r="A82" s="694" t="s">
        <v>3</v>
      </c>
      <c r="B82" s="705"/>
      <c r="C82" s="694">
        <v>2014</v>
      </c>
      <c r="D82" s="694" t="s">
        <v>15</v>
      </c>
      <c r="E82" s="694" t="s">
        <v>19</v>
      </c>
      <c r="F82" s="694" t="s">
        <v>17</v>
      </c>
      <c r="G82" s="694"/>
      <c r="H82" s="694" t="s">
        <v>1092</v>
      </c>
      <c r="I82" s="694" t="s">
        <v>5</v>
      </c>
      <c r="J82" s="694" t="s">
        <v>376</v>
      </c>
      <c r="K82" s="751">
        <v>1</v>
      </c>
      <c r="L82" s="694"/>
      <c r="M82" s="694" t="s">
        <v>747</v>
      </c>
      <c r="N82" s="694">
        <v>4</v>
      </c>
      <c r="O82" s="694"/>
      <c r="P82" s="694"/>
      <c r="Q82" s="694"/>
      <c r="R82" s="694"/>
      <c r="S82" s="694"/>
      <c r="T82" s="694"/>
      <c r="U82" s="694"/>
      <c r="V82" s="694"/>
      <c r="W82" s="797">
        <v>0.39365566631983673</v>
      </c>
      <c r="X82" s="796">
        <v>701.9123710403511</v>
      </c>
      <c r="Y82" s="796">
        <v>2807.6494841614044</v>
      </c>
      <c r="Z82" s="796">
        <v>1477.7595118302859</v>
      </c>
      <c r="AA82" s="796">
        <v>369.43987795757147</v>
      </c>
      <c r="AB82" s="797">
        <v>0.20719409903967406</v>
      </c>
      <c r="AC82" s="801">
        <v>1</v>
      </c>
      <c r="AD82" s="801">
        <v>1</v>
      </c>
      <c r="AE82" s="799">
        <v>0.50666666666666671</v>
      </c>
      <c r="AF82" s="800">
        <v>3.3000000000000002E-2</v>
      </c>
      <c r="AG82" s="694"/>
      <c r="AH82" s="799">
        <v>0.52633333333333332</v>
      </c>
      <c r="AI82" s="799">
        <v>0.50666666666666671</v>
      </c>
      <c r="AJ82" s="800">
        <v>3.3000000000000002E-2</v>
      </c>
      <c r="AK82" s="694"/>
      <c r="AL82" s="799">
        <v>0.52633333333333332</v>
      </c>
      <c r="AM82" s="694" t="s">
        <v>653</v>
      </c>
      <c r="AN82" s="694" t="s">
        <v>653</v>
      </c>
      <c r="AO82" s="694" t="s">
        <v>653</v>
      </c>
      <c r="AP82" s="702">
        <v>74.766565500281061</v>
      </c>
      <c r="AQ82" s="798">
        <v>74.766565500281061</v>
      </c>
      <c r="AR82" s="694" t="s">
        <v>1090</v>
      </c>
      <c r="AS82" s="694"/>
      <c r="AT82" s="694"/>
      <c r="AU82" s="797"/>
      <c r="AV82" s="797">
        <v>0.20719409903967406</v>
      </c>
      <c r="AW82" s="797">
        <v>0.20719409903967406</v>
      </c>
      <c r="AX82" s="797">
        <v>0.20719409903967406</v>
      </c>
      <c r="AY82" s="797">
        <v>0.20719409903967406</v>
      </c>
      <c r="AZ82" s="694">
        <v>0</v>
      </c>
      <c r="BA82" s="694">
        <v>0</v>
      </c>
      <c r="BB82" s="694">
        <v>0</v>
      </c>
      <c r="BC82" s="694">
        <v>0</v>
      </c>
      <c r="BD82" s="694">
        <v>0</v>
      </c>
      <c r="BE82" s="694">
        <v>0</v>
      </c>
      <c r="BF82" s="694">
        <v>0</v>
      </c>
      <c r="BG82" s="694">
        <v>0</v>
      </c>
      <c r="BH82" s="694">
        <v>0</v>
      </c>
      <c r="BI82" s="694">
        <v>0</v>
      </c>
      <c r="BJ82" s="694">
        <v>0</v>
      </c>
      <c r="BK82" s="694">
        <v>0</v>
      </c>
      <c r="BL82" s="694">
        <v>0</v>
      </c>
      <c r="BM82" s="694">
        <v>0</v>
      </c>
      <c r="BN82" s="694">
        <v>0</v>
      </c>
      <c r="BO82" s="694">
        <v>0</v>
      </c>
      <c r="BP82" s="694">
        <v>0</v>
      </c>
      <c r="BQ82" s="694">
        <v>0</v>
      </c>
      <c r="BR82" s="694">
        <v>0</v>
      </c>
      <c r="BS82" s="694"/>
      <c r="BT82" s="694"/>
      <c r="BU82" s="796"/>
      <c r="BV82" s="796">
        <v>369.43987795757147</v>
      </c>
      <c r="BW82" s="796">
        <v>369.43987795757147</v>
      </c>
      <c r="BX82" s="796">
        <v>369.43987795757147</v>
      </c>
      <c r="BY82" s="796">
        <v>369.43987795757147</v>
      </c>
      <c r="BZ82" s="694">
        <v>0</v>
      </c>
      <c r="CA82" s="694">
        <v>0</v>
      </c>
      <c r="CB82" s="694">
        <v>0</v>
      </c>
      <c r="CC82" s="694">
        <v>0</v>
      </c>
      <c r="CD82" s="694">
        <v>0</v>
      </c>
      <c r="CE82" s="694">
        <v>0</v>
      </c>
      <c r="CF82" s="694">
        <v>0</v>
      </c>
      <c r="CG82" s="694">
        <v>0</v>
      </c>
      <c r="CH82" s="694">
        <v>0</v>
      </c>
      <c r="CI82" s="694">
        <v>0</v>
      </c>
      <c r="CJ82" s="694">
        <v>0</v>
      </c>
      <c r="CK82" s="694">
        <v>0</v>
      </c>
      <c r="CL82" s="694">
        <v>0</v>
      </c>
      <c r="CM82" s="694">
        <v>0</v>
      </c>
      <c r="CN82" s="694">
        <v>0</v>
      </c>
      <c r="CO82" s="694">
        <v>0</v>
      </c>
      <c r="CP82" s="694">
        <v>0</v>
      </c>
      <c r="CQ82" s="694">
        <v>0</v>
      </c>
      <c r="CR82" s="694">
        <v>0</v>
      </c>
    </row>
    <row r="83" spans="1:96">
      <c r="A83" s="694" t="s">
        <v>3</v>
      </c>
      <c r="B83" s="705"/>
      <c r="C83" s="694">
        <v>2014</v>
      </c>
      <c r="D83" s="694" t="s">
        <v>15</v>
      </c>
      <c r="E83" s="694" t="s">
        <v>19</v>
      </c>
      <c r="F83" s="694" t="s">
        <v>17</v>
      </c>
      <c r="G83" s="694"/>
      <c r="H83" s="694" t="s">
        <v>1092</v>
      </c>
      <c r="I83" s="694" t="s">
        <v>5</v>
      </c>
      <c r="J83" s="694" t="s">
        <v>376</v>
      </c>
      <c r="K83" s="751">
        <v>1</v>
      </c>
      <c r="L83" s="694"/>
      <c r="M83" s="694" t="s">
        <v>747</v>
      </c>
      <c r="N83" s="694">
        <v>4</v>
      </c>
      <c r="O83" s="694"/>
      <c r="P83" s="694"/>
      <c r="Q83" s="694"/>
      <c r="R83" s="694"/>
      <c r="S83" s="694"/>
      <c r="T83" s="694"/>
      <c r="U83" s="694"/>
      <c r="V83" s="694"/>
      <c r="W83" s="797">
        <v>0.39365566631983673</v>
      </c>
      <c r="X83" s="796">
        <v>701.9123710403511</v>
      </c>
      <c r="Y83" s="796">
        <v>2807.6494841614044</v>
      </c>
      <c r="Z83" s="796">
        <v>1477.7595118302859</v>
      </c>
      <c r="AA83" s="796">
        <v>369.43987795757147</v>
      </c>
      <c r="AB83" s="797">
        <v>0.20719409903967406</v>
      </c>
      <c r="AC83" s="801">
        <v>1</v>
      </c>
      <c r="AD83" s="801">
        <v>1</v>
      </c>
      <c r="AE83" s="799">
        <v>0.50666666666666671</v>
      </c>
      <c r="AF83" s="800">
        <v>3.3000000000000002E-2</v>
      </c>
      <c r="AG83" s="694"/>
      <c r="AH83" s="799">
        <v>0.52633333333333332</v>
      </c>
      <c r="AI83" s="799">
        <v>0.50666666666666671</v>
      </c>
      <c r="AJ83" s="800">
        <v>3.3000000000000002E-2</v>
      </c>
      <c r="AK83" s="694"/>
      <c r="AL83" s="799">
        <v>0.52633333333333332</v>
      </c>
      <c r="AM83" s="694" t="s">
        <v>653</v>
      </c>
      <c r="AN83" s="694" t="s">
        <v>653</v>
      </c>
      <c r="AO83" s="694" t="s">
        <v>653</v>
      </c>
      <c r="AP83" s="702">
        <v>74.766565500281061</v>
      </c>
      <c r="AQ83" s="798">
        <v>74.766565500281061</v>
      </c>
      <c r="AR83" s="694" t="s">
        <v>1090</v>
      </c>
      <c r="AS83" s="694"/>
      <c r="AT83" s="694"/>
      <c r="AU83" s="797"/>
      <c r="AV83" s="797">
        <v>0.20719409903967406</v>
      </c>
      <c r="AW83" s="797">
        <v>0.20719409903967406</v>
      </c>
      <c r="AX83" s="797">
        <v>0.20719409903967406</v>
      </c>
      <c r="AY83" s="797">
        <v>0.20719409903967406</v>
      </c>
      <c r="AZ83" s="694">
        <v>0</v>
      </c>
      <c r="BA83" s="694">
        <v>0</v>
      </c>
      <c r="BB83" s="694">
        <v>0</v>
      </c>
      <c r="BC83" s="694">
        <v>0</v>
      </c>
      <c r="BD83" s="694">
        <v>0</v>
      </c>
      <c r="BE83" s="694">
        <v>0</v>
      </c>
      <c r="BF83" s="694">
        <v>0</v>
      </c>
      <c r="BG83" s="694">
        <v>0</v>
      </c>
      <c r="BH83" s="694">
        <v>0</v>
      </c>
      <c r="BI83" s="694">
        <v>0</v>
      </c>
      <c r="BJ83" s="694">
        <v>0</v>
      </c>
      <c r="BK83" s="694">
        <v>0</v>
      </c>
      <c r="BL83" s="694">
        <v>0</v>
      </c>
      <c r="BM83" s="694">
        <v>0</v>
      </c>
      <c r="BN83" s="694">
        <v>0</v>
      </c>
      <c r="BO83" s="694">
        <v>0</v>
      </c>
      <c r="BP83" s="694">
        <v>0</v>
      </c>
      <c r="BQ83" s="694">
        <v>0</v>
      </c>
      <c r="BR83" s="694">
        <v>0</v>
      </c>
      <c r="BS83" s="694"/>
      <c r="BT83" s="694"/>
      <c r="BU83" s="796"/>
      <c r="BV83" s="796">
        <v>369.43987795757147</v>
      </c>
      <c r="BW83" s="796">
        <v>369.43987795757147</v>
      </c>
      <c r="BX83" s="796">
        <v>369.43987795757147</v>
      </c>
      <c r="BY83" s="796">
        <v>369.43987795757147</v>
      </c>
      <c r="BZ83" s="694">
        <v>0</v>
      </c>
      <c r="CA83" s="694">
        <v>0</v>
      </c>
      <c r="CB83" s="694">
        <v>0</v>
      </c>
      <c r="CC83" s="694">
        <v>0</v>
      </c>
      <c r="CD83" s="694">
        <v>0</v>
      </c>
      <c r="CE83" s="694">
        <v>0</v>
      </c>
      <c r="CF83" s="694">
        <v>0</v>
      </c>
      <c r="CG83" s="694">
        <v>0</v>
      </c>
      <c r="CH83" s="694">
        <v>0</v>
      </c>
      <c r="CI83" s="694">
        <v>0</v>
      </c>
      <c r="CJ83" s="694">
        <v>0</v>
      </c>
      <c r="CK83" s="694">
        <v>0</v>
      </c>
      <c r="CL83" s="694">
        <v>0</v>
      </c>
      <c r="CM83" s="694">
        <v>0</v>
      </c>
      <c r="CN83" s="694">
        <v>0</v>
      </c>
      <c r="CO83" s="694">
        <v>0</v>
      </c>
      <c r="CP83" s="694">
        <v>0</v>
      </c>
      <c r="CQ83" s="694">
        <v>0</v>
      </c>
      <c r="CR83" s="694">
        <v>0</v>
      </c>
    </row>
    <row r="84" spans="1:96">
      <c r="A84" s="694" t="s">
        <v>3</v>
      </c>
      <c r="B84" s="705"/>
      <c r="C84" s="694">
        <v>2014</v>
      </c>
      <c r="D84" s="694" t="s">
        <v>15</v>
      </c>
      <c r="E84" s="694" t="s">
        <v>19</v>
      </c>
      <c r="F84" s="694" t="s">
        <v>17</v>
      </c>
      <c r="G84" s="694"/>
      <c r="H84" s="694" t="s">
        <v>1092</v>
      </c>
      <c r="I84" s="694" t="s">
        <v>5</v>
      </c>
      <c r="J84" s="694" t="s">
        <v>376</v>
      </c>
      <c r="K84" s="751">
        <v>1</v>
      </c>
      <c r="L84" s="694"/>
      <c r="M84" s="694" t="s">
        <v>747</v>
      </c>
      <c r="N84" s="694">
        <v>4</v>
      </c>
      <c r="O84" s="694"/>
      <c r="P84" s="694"/>
      <c r="Q84" s="694"/>
      <c r="R84" s="694"/>
      <c r="S84" s="694"/>
      <c r="T84" s="694"/>
      <c r="U84" s="694"/>
      <c r="V84" s="694"/>
      <c r="W84" s="797">
        <v>0.39365566631983673</v>
      </c>
      <c r="X84" s="796">
        <v>701.9123710403511</v>
      </c>
      <c r="Y84" s="796">
        <v>2807.6494841614044</v>
      </c>
      <c r="Z84" s="796">
        <v>1477.7595118302859</v>
      </c>
      <c r="AA84" s="796">
        <v>369.43987795757147</v>
      </c>
      <c r="AB84" s="797">
        <v>0.20719409903967406</v>
      </c>
      <c r="AC84" s="801">
        <v>1</v>
      </c>
      <c r="AD84" s="801">
        <v>1</v>
      </c>
      <c r="AE84" s="799">
        <v>0.50666666666666671</v>
      </c>
      <c r="AF84" s="800">
        <v>3.3000000000000002E-2</v>
      </c>
      <c r="AG84" s="694"/>
      <c r="AH84" s="799">
        <v>0.52633333333333332</v>
      </c>
      <c r="AI84" s="799">
        <v>0.50666666666666671</v>
      </c>
      <c r="AJ84" s="800">
        <v>3.3000000000000002E-2</v>
      </c>
      <c r="AK84" s="694"/>
      <c r="AL84" s="799">
        <v>0.52633333333333332</v>
      </c>
      <c r="AM84" s="694" t="s">
        <v>653</v>
      </c>
      <c r="AN84" s="694" t="s">
        <v>653</v>
      </c>
      <c r="AO84" s="694" t="s">
        <v>653</v>
      </c>
      <c r="AP84" s="702">
        <v>74.766565500281061</v>
      </c>
      <c r="AQ84" s="798">
        <v>74.766565500281061</v>
      </c>
      <c r="AR84" s="694" t="s">
        <v>1090</v>
      </c>
      <c r="AS84" s="694"/>
      <c r="AT84" s="694"/>
      <c r="AU84" s="797"/>
      <c r="AV84" s="797">
        <v>0.20719409903967406</v>
      </c>
      <c r="AW84" s="797">
        <v>0.20719409903967406</v>
      </c>
      <c r="AX84" s="797">
        <v>0.20719409903967406</v>
      </c>
      <c r="AY84" s="797">
        <v>0.20719409903967406</v>
      </c>
      <c r="AZ84" s="694">
        <v>0</v>
      </c>
      <c r="BA84" s="694">
        <v>0</v>
      </c>
      <c r="BB84" s="694">
        <v>0</v>
      </c>
      <c r="BC84" s="694">
        <v>0</v>
      </c>
      <c r="BD84" s="694">
        <v>0</v>
      </c>
      <c r="BE84" s="694">
        <v>0</v>
      </c>
      <c r="BF84" s="694">
        <v>0</v>
      </c>
      <c r="BG84" s="694">
        <v>0</v>
      </c>
      <c r="BH84" s="694">
        <v>0</v>
      </c>
      <c r="BI84" s="694">
        <v>0</v>
      </c>
      <c r="BJ84" s="694">
        <v>0</v>
      </c>
      <c r="BK84" s="694">
        <v>0</v>
      </c>
      <c r="BL84" s="694">
        <v>0</v>
      </c>
      <c r="BM84" s="694">
        <v>0</v>
      </c>
      <c r="BN84" s="694">
        <v>0</v>
      </c>
      <c r="BO84" s="694">
        <v>0</v>
      </c>
      <c r="BP84" s="694">
        <v>0</v>
      </c>
      <c r="BQ84" s="694">
        <v>0</v>
      </c>
      <c r="BR84" s="694">
        <v>0</v>
      </c>
      <c r="BS84" s="694"/>
      <c r="BT84" s="694"/>
      <c r="BU84" s="796"/>
      <c r="BV84" s="796">
        <v>369.43987795757147</v>
      </c>
      <c r="BW84" s="796">
        <v>369.43987795757147</v>
      </c>
      <c r="BX84" s="796">
        <v>369.43987795757147</v>
      </c>
      <c r="BY84" s="796">
        <v>369.43987795757147</v>
      </c>
      <c r="BZ84" s="694">
        <v>0</v>
      </c>
      <c r="CA84" s="694">
        <v>0</v>
      </c>
      <c r="CB84" s="694">
        <v>0</v>
      </c>
      <c r="CC84" s="694">
        <v>0</v>
      </c>
      <c r="CD84" s="694">
        <v>0</v>
      </c>
      <c r="CE84" s="694">
        <v>0</v>
      </c>
      <c r="CF84" s="694">
        <v>0</v>
      </c>
      <c r="CG84" s="694">
        <v>0</v>
      </c>
      <c r="CH84" s="694">
        <v>0</v>
      </c>
      <c r="CI84" s="694">
        <v>0</v>
      </c>
      <c r="CJ84" s="694">
        <v>0</v>
      </c>
      <c r="CK84" s="694">
        <v>0</v>
      </c>
      <c r="CL84" s="694">
        <v>0</v>
      </c>
      <c r="CM84" s="694">
        <v>0</v>
      </c>
      <c r="CN84" s="694">
        <v>0</v>
      </c>
      <c r="CO84" s="694">
        <v>0</v>
      </c>
      <c r="CP84" s="694">
        <v>0</v>
      </c>
      <c r="CQ84" s="694">
        <v>0</v>
      </c>
      <c r="CR84" s="694">
        <v>0</v>
      </c>
    </row>
    <row r="85" spans="1:96">
      <c r="A85" s="694" t="s">
        <v>3</v>
      </c>
      <c r="B85" s="705"/>
      <c r="C85" s="694">
        <v>2014</v>
      </c>
      <c r="D85" s="694" t="s">
        <v>15</v>
      </c>
      <c r="E85" s="694" t="s">
        <v>19</v>
      </c>
      <c r="F85" s="694" t="s">
        <v>17</v>
      </c>
      <c r="G85" s="694"/>
      <c r="H85" s="694" t="s">
        <v>1092</v>
      </c>
      <c r="I85" s="694" t="s">
        <v>5</v>
      </c>
      <c r="J85" s="694" t="s">
        <v>376</v>
      </c>
      <c r="K85" s="751">
        <v>1</v>
      </c>
      <c r="L85" s="694"/>
      <c r="M85" s="694" t="s">
        <v>1101</v>
      </c>
      <c r="N85" s="694">
        <v>4</v>
      </c>
      <c r="O85" s="694"/>
      <c r="P85" s="694"/>
      <c r="Q85" s="694"/>
      <c r="R85" s="694"/>
      <c r="S85" s="694"/>
      <c r="T85" s="694"/>
      <c r="U85" s="694"/>
      <c r="V85" s="694"/>
      <c r="W85" s="797">
        <v>0.39365566631983673</v>
      </c>
      <c r="X85" s="796">
        <v>701.9123710403511</v>
      </c>
      <c r="Y85" s="796">
        <v>2807.6494841614044</v>
      </c>
      <c r="Z85" s="796">
        <v>1477.7595118302859</v>
      </c>
      <c r="AA85" s="796">
        <v>369.43987795757147</v>
      </c>
      <c r="AB85" s="797">
        <v>0.20719409903967406</v>
      </c>
      <c r="AC85" s="801">
        <v>1</v>
      </c>
      <c r="AD85" s="801">
        <v>1</v>
      </c>
      <c r="AE85" s="799">
        <v>0.50666666666666671</v>
      </c>
      <c r="AF85" s="800">
        <v>3.3000000000000002E-2</v>
      </c>
      <c r="AG85" s="694"/>
      <c r="AH85" s="799">
        <v>0.52633333333333332</v>
      </c>
      <c r="AI85" s="799">
        <v>0.50666666666666671</v>
      </c>
      <c r="AJ85" s="800">
        <v>3.3000000000000002E-2</v>
      </c>
      <c r="AK85" s="694"/>
      <c r="AL85" s="799">
        <v>0.52633333333333332</v>
      </c>
      <c r="AM85" s="694" t="s">
        <v>653</v>
      </c>
      <c r="AN85" s="694" t="s">
        <v>653</v>
      </c>
      <c r="AO85" s="694" t="s">
        <v>653</v>
      </c>
      <c r="AP85" s="702">
        <v>74.766565500281061</v>
      </c>
      <c r="AQ85" s="798">
        <v>74.766565500281061</v>
      </c>
      <c r="AR85" s="694"/>
      <c r="AS85" s="694"/>
      <c r="AT85" s="694"/>
      <c r="AU85" s="797"/>
      <c r="AV85" s="797">
        <v>0.20719409903967406</v>
      </c>
      <c r="AW85" s="797">
        <v>0.20719409903967406</v>
      </c>
      <c r="AX85" s="797">
        <v>0.20719409903967406</v>
      </c>
      <c r="AY85" s="797">
        <v>0.20719409903967406</v>
      </c>
      <c r="AZ85" s="694">
        <v>0</v>
      </c>
      <c r="BA85" s="694">
        <v>0</v>
      </c>
      <c r="BB85" s="694">
        <v>0</v>
      </c>
      <c r="BC85" s="694">
        <v>0</v>
      </c>
      <c r="BD85" s="694">
        <v>0</v>
      </c>
      <c r="BE85" s="694">
        <v>0</v>
      </c>
      <c r="BF85" s="694">
        <v>0</v>
      </c>
      <c r="BG85" s="694">
        <v>0</v>
      </c>
      <c r="BH85" s="694">
        <v>0</v>
      </c>
      <c r="BI85" s="694">
        <v>0</v>
      </c>
      <c r="BJ85" s="694">
        <v>0</v>
      </c>
      <c r="BK85" s="694">
        <v>0</v>
      </c>
      <c r="BL85" s="694">
        <v>0</v>
      </c>
      <c r="BM85" s="694">
        <v>0</v>
      </c>
      <c r="BN85" s="694">
        <v>0</v>
      </c>
      <c r="BO85" s="694">
        <v>0</v>
      </c>
      <c r="BP85" s="694">
        <v>0</v>
      </c>
      <c r="BQ85" s="694">
        <v>0</v>
      </c>
      <c r="BR85" s="694">
        <v>0</v>
      </c>
      <c r="BS85" s="694"/>
      <c r="BT85" s="694"/>
      <c r="BU85" s="796"/>
      <c r="BV85" s="796">
        <v>369.43987795757147</v>
      </c>
      <c r="BW85" s="796">
        <v>369.43987795757147</v>
      </c>
      <c r="BX85" s="796">
        <v>369.43987795757147</v>
      </c>
      <c r="BY85" s="796">
        <v>369.43987795757147</v>
      </c>
      <c r="BZ85" s="694">
        <v>0</v>
      </c>
      <c r="CA85" s="694">
        <v>0</v>
      </c>
      <c r="CB85" s="694">
        <v>0</v>
      </c>
      <c r="CC85" s="694">
        <v>0</v>
      </c>
      <c r="CD85" s="694">
        <v>0</v>
      </c>
      <c r="CE85" s="694">
        <v>0</v>
      </c>
      <c r="CF85" s="694">
        <v>0</v>
      </c>
      <c r="CG85" s="694">
        <v>0</v>
      </c>
      <c r="CH85" s="694">
        <v>0</v>
      </c>
      <c r="CI85" s="694">
        <v>0</v>
      </c>
      <c r="CJ85" s="694">
        <v>0</v>
      </c>
      <c r="CK85" s="694">
        <v>0</v>
      </c>
      <c r="CL85" s="694">
        <v>0</v>
      </c>
      <c r="CM85" s="694">
        <v>0</v>
      </c>
      <c r="CN85" s="694">
        <v>0</v>
      </c>
      <c r="CO85" s="694">
        <v>0</v>
      </c>
      <c r="CP85" s="694">
        <v>0</v>
      </c>
      <c r="CQ85" s="694">
        <v>0</v>
      </c>
      <c r="CR85" s="694">
        <v>0</v>
      </c>
    </row>
    <row r="86" spans="1:96">
      <c r="A86" s="694" t="s">
        <v>3</v>
      </c>
      <c r="B86" s="705"/>
      <c r="C86" s="694">
        <v>2014</v>
      </c>
      <c r="D86" s="694" t="s">
        <v>15</v>
      </c>
      <c r="E86" s="694" t="s">
        <v>19</v>
      </c>
      <c r="F86" s="694" t="s">
        <v>17</v>
      </c>
      <c r="G86" s="694"/>
      <c r="H86" s="694" t="s">
        <v>1092</v>
      </c>
      <c r="I86" s="694" t="s">
        <v>5</v>
      </c>
      <c r="J86" s="694" t="s">
        <v>376</v>
      </c>
      <c r="K86" s="751">
        <v>1</v>
      </c>
      <c r="L86" s="694"/>
      <c r="M86" s="694" t="s">
        <v>1100</v>
      </c>
      <c r="N86" s="694">
        <v>4</v>
      </c>
      <c r="O86" s="694"/>
      <c r="P86" s="694"/>
      <c r="Q86" s="694"/>
      <c r="R86" s="694"/>
      <c r="S86" s="694"/>
      <c r="T86" s="694"/>
      <c r="U86" s="694"/>
      <c r="V86" s="694"/>
      <c r="W86" s="797">
        <v>0.39365566631983673</v>
      </c>
      <c r="X86" s="796">
        <v>701.9123710403511</v>
      </c>
      <c r="Y86" s="796">
        <v>2807.6494841614044</v>
      </c>
      <c r="Z86" s="796">
        <v>1477.7595118302859</v>
      </c>
      <c r="AA86" s="796">
        <v>369.43987795757147</v>
      </c>
      <c r="AB86" s="797">
        <v>0.20719409903967406</v>
      </c>
      <c r="AC86" s="801">
        <v>1</v>
      </c>
      <c r="AD86" s="801">
        <v>1</v>
      </c>
      <c r="AE86" s="799">
        <v>0.50666666666666671</v>
      </c>
      <c r="AF86" s="800">
        <v>3.3000000000000002E-2</v>
      </c>
      <c r="AG86" s="694"/>
      <c r="AH86" s="799">
        <v>0.52633333333333332</v>
      </c>
      <c r="AI86" s="799">
        <v>0.50666666666666671</v>
      </c>
      <c r="AJ86" s="800">
        <v>3.3000000000000002E-2</v>
      </c>
      <c r="AK86" s="694"/>
      <c r="AL86" s="799">
        <v>0.52633333333333332</v>
      </c>
      <c r="AM86" s="694" t="s">
        <v>653</v>
      </c>
      <c r="AN86" s="694" t="s">
        <v>653</v>
      </c>
      <c r="AO86" s="694" t="s">
        <v>653</v>
      </c>
      <c r="AP86" s="702">
        <v>74.766565500281061</v>
      </c>
      <c r="AQ86" s="798">
        <v>74.766565500281061</v>
      </c>
      <c r="AR86" s="694"/>
      <c r="AS86" s="694"/>
      <c r="AT86" s="694"/>
      <c r="AU86" s="797"/>
      <c r="AV86" s="797">
        <v>0.20719409903967406</v>
      </c>
      <c r="AW86" s="797">
        <v>0.20719409903967406</v>
      </c>
      <c r="AX86" s="797">
        <v>0.20719409903967406</v>
      </c>
      <c r="AY86" s="797">
        <v>0.20719409903967406</v>
      </c>
      <c r="AZ86" s="694">
        <v>0</v>
      </c>
      <c r="BA86" s="694">
        <v>0</v>
      </c>
      <c r="BB86" s="694">
        <v>0</v>
      </c>
      <c r="BC86" s="694">
        <v>0</v>
      </c>
      <c r="BD86" s="694">
        <v>0</v>
      </c>
      <c r="BE86" s="694">
        <v>0</v>
      </c>
      <c r="BF86" s="694">
        <v>0</v>
      </c>
      <c r="BG86" s="694">
        <v>0</v>
      </c>
      <c r="BH86" s="694">
        <v>0</v>
      </c>
      <c r="BI86" s="694">
        <v>0</v>
      </c>
      <c r="BJ86" s="694">
        <v>0</v>
      </c>
      <c r="BK86" s="694">
        <v>0</v>
      </c>
      <c r="BL86" s="694">
        <v>0</v>
      </c>
      <c r="BM86" s="694">
        <v>0</v>
      </c>
      <c r="BN86" s="694">
        <v>0</v>
      </c>
      <c r="BO86" s="694">
        <v>0</v>
      </c>
      <c r="BP86" s="694">
        <v>0</v>
      </c>
      <c r="BQ86" s="694">
        <v>0</v>
      </c>
      <c r="BR86" s="694">
        <v>0</v>
      </c>
      <c r="BS86" s="694"/>
      <c r="BT86" s="694"/>
      <c r="BU86" s="796"/>
      <c r="BV86" s="796">
        <v>369.43987795757147</v>
      </c>
      <c r="BW86" s="796">
        <v>369.43987795757147</v>
      </c>
      <c r="BX86" s="796">
        <v>369.43987795757147</v>
      </c>
      <c r="BY86" s="796">
        <v>369.43987795757147</v>
      </c>
      <c r="BZ86" s="694">
        <v>0</v>
      </c>
      <c r="CA86" s="694">
        <v>0</v>
      </c>
      <c r="CB86" s="694">
        <v>0</v>
      </c>
      <c r="CC86" s="694">
        <v>0</v>
      </c>
      <c r="CD86" s="694">
        <v>0</v>
      </c>
      <c r="CE86" s="694">
        <v>0</v>
      </c>
      <c r="CF86" s="694">
        <v>0</v>
      </c>
      <c r="CG86" s="694">
        <v>0</v>
      </c>
      <c r="CH86" s="694">
        <v>0</v>
      </c>
      <c r="CI86" s="694">
        <v>0</v>
      </c>
      <c r="CJ86" s="694">
        <v>0</v>
      </c>
      <c r="CK86" s="694">
        <v>0</v>
      </c>
      <c r="CL86" s="694">
        <v>0</v>
      </c>
      <c r="CM86" s="694">
        <v>0</v>
      </c>
      <c r="CN86" s="694">
        <v>0</v>
      </c>
      <c r="CO86" s="694">
        <v>0</v>
      </c>
      <c r="CP86" s="694">
        <v>0</v>
      </c>
      <c r="CQ86" s="694">
        <v>0</v>
      </c>
      <c r="CR86" s="694">
        <v>0</v>
      </c>
    </row>
    <row r="87" spans="1:96">
      <c r="A87" s="694" t="s">
        <v>3</v>
      </c>
      <c r="B87" s="705"/>
      <c r="C87" s="694">
        <v>2014</v>
      </c>
      <c r="D87" s="694" t="s">
        <v>15</v>
      </c>
      <c r="E87" s="694" t="s">
        <v>19</v>
      </c>
      <c r="F87" s="694" t="s">
        <v>17</v>
      </c>
      <c r="G87" s="694"/>
      <c r="H87" s="694" t="s">
        <v>1092</v>
      </c>
      <c r="I87" s="694" t="s">
        <v>5</v>
      </c>
      <c r="J87" s="694" t="s">
        <v>376</v>
      </c>
      <c r="K87" s="751">
        <v>1</v>
      </c>
      <c r="L87" s="694"/>
      <c r="M87" s="694" t="s">
        <v>1099</v>
      </c>
      <c r="N87" s="694">
        <v>4</v>
      </c>
      <c r="O87" s="694"/>
      <c r="P87" s="694"/>
      <c r="Q87" s="694"/>
      <c r="R87" s="694"/>
      <c r="S87" s="694"/>
      <c r="T87" s="694"/>
      <c r="U87" s="694"/>
      <c r="V87" s="694"/>
      <c r="W87" s="797">
        <v>0.39365566631983673</v>
      </c>
      <c r="X87" s="796">
        <v>701.9123710403511</v>
      </c>
      <c r="Y87" s="796">
        <v>2807.6494841614044</v>
      </c>
      <c r="Z87" s="796">
        <v>1477.7595118302859</v>
      </c>
      <c r="AA87" s="796">
        <v>369.43987795757147</v>
      </c>
      <c r="AB87" s="797">
        <v>0.20719409903967406</v>
      </c>
      <c r="AC87" s="801">
        <v>1</v>
      </c>
      <c r="AD87" s="801">
        <v>1</v>
      </c>
      <c r="AE87" s="799">
        <v>0.50666666666666671</v>
      </c>
      <c r="AF87" s="800">
        <v>3.3000000000000002E-2</v>
      </c>
      <c r="AG87" s="694"/>
      <c r="AH87" s="799">
        <v>0.52633333333333332</v>
      </c>
      <c r="AI87" s="799">
        <v>0.50666666666666671</v>
      </c>
      <c r="AJ87" s="800">
        <v>3.3000000000000002E-2</v>
      </c>
      <c r="AK87" s="694"/>
      <c r="AL87" s="799">
        <v>0.52633333333333332</v>
      </c>
      <c r="AM87" s="694" t="s">
        <v>653</v>
      </c>
      <c r="AN87" s="694" t="s">
        <v>653</v>
      </c>
      <c r="AO87" s="694" t="s">
        <v>653</v>
      </c>
      <c r="AP87" s="702">
        <v>74.766565500281061</v>
      </c>
      <c r="AQ87" s="798">
        <v>74.766565500281061</v>
      </c>
      <c r="AR87" s="694"/>
      <c r="AS87" s="694"/>
      <c r="AT87" s="694"/>
      <c r="AU87" s="797"/>
      <c r="AV87" s="797">
        <v>0.20719409903967406</v>
      </c>
      <c r="AW87" s="797">
        <v>0.20719409903967406</v>
      </c>
      <c r="AX87" s="797">
        <v>0.20719409903967406</v>
      </c>
      <c r="AY87" s="797">
        <v>0.20719409903967406</v>
      </c>
      <c r="AZ87" s="694">
        <v>0</v>
      </c>
      <c r="BA87" s="694">
        <v>0</v>
      </c>
      <c r="BB87" s="694">
        <v>0</v>
      </c>
      <c r="BC87" s="694">
        <v>0</v>
      </c>
      <c r="BD87" s="694">
        <v>0</v>
      </c>
      <c r="BE87" s="694">
        <v>0</v>
      </c>
      <c r="BF87" s="694">
        <v>0</v>
      </c>
      <c r="BG87" s="694">
        <v>0</v>
      </c>
      <c r="BH87" s="694">
        <v>0</v>
      </c>
      <c r="BI87" s="694">
        <v>0</v>
      </c>
      <c r="BJ87" s="694">
        <v>0</v>
      </c>
      <c r="BK87" s="694">
        <v>0</v>
      </c>
      <c r="BL87" s="694">
        <v>0</v>
      </c>
      <c r="BM87" s="694">
        <v>0</v>
      </c>
      <c r="BN87" s="694">
        <v>0</v>
      </c>
      <c r="BO87" s="694">
        <v>0</v>
      </c>
      <c r="BP87" s="694">
        <v>0</v>
      </c>
      <c r="BQ87" s="694">
        <v>0</v>
      </c>
      <c r="BR87" s="694">
        <v>0</v>
      </c>
      <c r="BS87" s="694"/>
      <c r="BT87" s="694"/>
      <c r="BU87" s="796"/>
      <c r="BV87" s="796">
        <v>369.43987795757147</v>
      </c>
      <c r="BW87" s="796">
        <v>369.43987795757147</v>
      </c>
      <c r="BX87" s="796">
        <v>369.43987795757147</v>
      </c>
      <c r="BY87" s="796">
        <v>369.43987795757147</v>
      </c>
      <c r="BZ87" s="694">
        <v>0</v>
      </c>
      <c r="CA87" s="694">
        <v>0</v>
      </c>
      <c r="CB87" s="694">
        <v>0</v>
      </c>
      <c r="CC87" s="694">
        <v>0</v>
      </c>
      <c r="CD87" s="694">
        <v>0</v>
      </c>
      <c r="CE87" s="694">
        <v>0</v>
      </c>
      <c r="CF87" s="694">
        <v>0</v>
      </c>
      <c r="CG87" s="694">
        <v>0</v>
      </c>
      <c r="CH87" s="694">
        <v>0</v>
      </c>
      <c r="CI87" s="694">
        <v>0</v>
      </c>
      <c r="CJ87" s="694">
        <v>0</v>
      </c>
      <c r="CK87" s="694">
        <v>0</v>
      </c>
      <c r="CL87" s="694">
        <v>0</v>
      </c>
      <c r="CM87" s="694">
        <v>0</v>
      </c>
      <c r="CN87" s="694">
        <v>0</v>
      </c>
      <c r="CO87" s="694">
        <v>0</v>
      </c>
      <c r="CP87" s="694">
        <v>0</v>
      </c>
      <c r="CQ87" s="694">
        <v>0</v>
      </c>
      <c r="CR87" s="694">
        <v>0</v>
      </c>
    </row>
    <row r="88" spans="1:96">
      <c r="A88" s="694" t="s">
        <v>3</v>
      </c>
      <c r="B88" s="705"/>
      <c r="C88" s="694">
        <v>2014</v>
      </c>
      <c r="D88" s="694" t="s">
        <v>15</v>
      </c>
      <c r="E88" s="694" t="s">
        <v>19</v>
      </c>
      <c r="F88" s="694" t="s">
        <v>17</v>
      </c>
      <c r="G88" s="694"/>
      <c r="H88" s="694" t="s">
        <v>1092</v>
      </c>
      <c r="I88" s="694" t="s">
        <v>5</v>
      </c>
      <c r="J88" s="694" t="s">
        <v>376</v>
      </c>
      <c r="K88" s="751">
        <v>1</v>
      </c>
      <c r="L88" s="694"/>
      <c r="M88" s="694" t="s">
        <v>1097</v>
      </c>
      <c r="N88" s="694">
        <v>4</v>
      </c>
      <c r="O88" s="694"/>
      <c r="P88" s="694"/>
      <c r="Q88" s="694"/>
      <c r="R88" s="694"/>
      <c r="S88" s="694"/>
      <c r="T88" s="694"/>
      <c r="U88" s="694"/>
      <c r="V88" s="694"/>
      <c r="W88" s="797">
        <v>0.39365566631983673</v>
      </c>
      <c r="X88" s="796">
        <v>701.9123710403511</v>
      </c>
      <c r="Y88" s="796">
        <v>2807.6494841614044</v>
      </c>
      <c r="Z88" s="796">
        <v>1477.7595118302859</v>
      </c>
      <c r="AA88" s="796">
        <v>369.43987795757147</v>
      </c>
      <c r="AB88" s="797">
        <v>0.20719409903967406</v>
      </c>
      <c r="AC88" s="801">
        <v>1</v>
      </c>
      <c r="AD88" s="801">
        <v>1</v>
      </c>
      <c r="AE88" s="799">
        <v>0.50666666666666671</v>
      </c>
      <c r="AF88" s="800">
        <v>3.3000000000000002E-2</v>
      </c>
      <c r="AG88" s="694"/>
      <c r="AH88" s="799">
        <v>0.52633333333333332</v>
      </c>
      <c r="AI88" s="799">
        <v>0.50666666666666671</v>
      </c>
      <c r="AJ88" s="800">
        <v>3.3000000000000002E-2</v>
      </c>
      <c r="AK88" s="694"/>
      <c r="AL88" s="799">
        <v>0.52633333333333332</v>
      </c>
      <c r="AM88" s="694" t="s">
        <v>653</v>
      </c>
      <c r="AN88" s="694" t="s">
        <v>653</v>
      </c>
      <c r="AO88" s="694" t="s">
        <v>653</v>
      </c>
      <c r="AP88" s="702">
        <v>74.766565500281061</v>
      </c>
      <c r="AQ88" s="798">
        <v>74.766565500281061</v>
      </c>
      <c r="AR88" s="694"/>
      <c r="AS88" s="694"/>
      <c r="AT88" s="694"/>
      <c r="AU88" s="797"/>
      <c r="AV88" s="797">
        <v>0.20719409903967406</v>
      </c>
      <c r="AW88" s="797">
        <v>0.20719409903967406</v>
      </c>
      <c r="AX88" s="797">
        <v>0.20719409903967406</v>
      </c>
      <c r="AY88" s="797">
        <v>0.20719409903967406</v>
      </c>
      <c r="AZ88" s="694">
        <v>0</v>
      </c>
      <c r="BA88" s="694">
        <v>0</v>
      </c>
      <c r="BB88" s="694">
        <v>0</v>
      </c>
      <c r="BC88" s="694">
        <v>0</v>
      </c>
      <c r="BD88" s="694">
        <v>0</v>
      </c>
      <c r="BE88" s="694">
        <v>0</v>
      </c>
      <c r="BF88" s="694">
        <v>0</v>
      </c>
      <c r="BG88" s="694">
        <v>0</v>
      </c>
      <c r="BH88" s="694">
        <v>0</v>
      </c>
      <c r="BI88" s="694">
        <v>0</v>
      </c>
      <c r="BJ88" s="694">
        <v>0</v>
      </c>
      <c r="BK88" s="694">
        <v>0</v>
      </c>
      <c r="BL88" s="694">
        <v>0</v>
      </c>
      <c r="BM88" s="694">
        <v>0</v>
      </c>
      <c r="BN88" s="694">
        <v>0</v>
      </c>
      <c r="BO88" s="694">
        <v>0</v>
      </c>
      <c r="BP88" s="694">
        <v>0</v>
      </c>
      <c r="BQ88" s="694">
        <v>0</v>
      </c>
      <c r="BR88" s="694">
        <v>0</v>
      </c>
      <c r="BS88" s="694"/>
      <c r="BT88" s="694"/>
      <c r="BU88" s="796"/>
      <c r="BV88" s="796">
        <v>369.43987795757147</v>
      </c>
      <c r="BW88" s="796">
        <v>369.43987795757147</v>
      </c>
      <c r="BX88" s="796">
        <v>369.43987795757147</v>
      </c>
      <c r="BY88" s="796">
        <v>369.43987795757147</v>
      </c>
      <c r="BZ88" s="694">
        <v>0</v>
      </c>
      <c r="CA88" s="694">
        <v>0</v>
      </c>
      <c r="CB88" s="694">
        <v>0</v>
      </c>
      <c r="CC88" s="694">
        <v>0</v>
      </c>
      <c r="CD88" s="694">
        <v>0</v>
      </c>
      <c r="CE88" s="694">
        <v>0</v>
      </c>
      <c r="CF88" s="694">
        <v>0</v>
      </c>
      <c r="CG88" s="694">
        <v>0</v>
      </c>
      <c r="CH88" s="694">
        <v>0</v>
      </c>
      <c r="CI88" s="694">
        <v>0</v>
      </c>
      <c r="CJ88" s="694">
        <v>0</v>
      </c>
      <c r="CK88" s="694">
        <v>0</v>
      </c>
      <c r="CL88" s="694">
        <v>0</v>
      </c>
      <c r="CM88" s="694">
        <v>0</v>
      </c>
      <c r="CN88" s="694">
        <v>0</v>
      </c>
      <c r="CO88" s="694">
        <v>0</v>
      </c>
      <c r="CP88" s="694">
        <v>0</v>
      </c>
      <c r="CQ88" s="694">
        <v>0</v>
      </c>
      <c r="CR88" s="694">
        <v>0</v>
      </c>
    </row>
    <row r="89" spans="1:96">
      <c r="A89" s="694" t="s">
        <v>3</v>
      </c>
      <c r="B89" s="705"/>
      <c r="C89" s="694">
        <v>2014</v>
      </c>
      <c r="D89" s="694" t="s">
        <v>15</v>
      </c>
      <c r="E89" s="694" t="s">
        <v>19</v>
      </c>
      <c r="F89" s="694" t="s">
        <v>17</v>
      </c>
      <c r="G89" s="694"/>
      <c r="H89" s="694" t="s">
        <v>1092</v>
      </c>
      <c r="I89" s="694" t="s">
        <v>5</v>
      </c>
      <c r="J89" s="694" t="s">
        <v>376</v>
      </c>
      <c r="K89" s="751">
        <v>1</v>
      </c>
      <c r="L89" s="694"/>
      <c r="M89" s="694" t="s">
        <v>1098</v>
      </c>
      <c r="N89" s="694">
        <v>4</v>
      </c>
      <c r="O89" s="694"/>
      <c r="P89" s="694"/>
      <c r="Q89" s="694"/>
      <c r="R89" s="694"/>
      <c r="S89" s="694"/>
      <c r="T89" s="694"/>
      <c r="U89" s="694"/>
      <c r="V89" s="694"/>
      <c r="W89" s="797">
        <v>0.39365566631983673</v>
      </c>
      <c r="X89" s="796">
        <v>701.9123710403511</v>
      </c>
      <c r="Y89" s="796">
        <v>2807.6494841614044</v>
      </c>
      <c r="Z89" s="796">
        <v>1477.7595118302859</v>
      </c>
      <c r="AA89" s="796">
        <v>369.43987795757147</v>
      </c>
      <c r="AB89" s="797">
        <v>0.20719409903967406</v>
      </c>
      <c r="AC89" s="801">
        <v>1</v>
      </c>
      <c r="AD89" s="801">
        <v>1</v>
      </c>
      <c r="AE89" s="799">
        <v>0.50666666666666671</v>
      </c>
      <c r="AF89" s="800">
        <v>3.3000000000000002E-2</v>
      </c>
      <c r="AG89" s="694"/>
      <c r="AH89" s="799">
        <v>0.52633333333333332</v>
      </c>
      <c r="AI89" s="799">
        <v>0.50666666666666671</v>
      </c>
      <c r="AJ89" s="800">
        <v>3.3000000000000002E-2</v>
      </c>
      <c r="AK89" s="694"/>
      <c r="AL89" s="799">
        <v>0.52633333333333332</v>
      </c>
      <c r="AM89" s="694" t="s">
        <v>653</v>
      </c>
      <c r="AN89" s="694" t="s">
        <v>653</v>
      </c>
      <c r="AO89" s="694" t="s">
        <v>653</v>
      </c>
      <c r="AP89" s="702">
        <v>74.766565500281061</v>
      </c>
      <c r="AQ89" s="798">
        <v>74.766565500281061</v>
      </c>
      <c r="AR89" s="694"/>
      <c r="AS89" s="694"/>
      <c r="AT89" s="694"/>
      <c r="AU89" s="797"/>
      <c r="AV89" s="797">
        <v>0.20719409903967406</v>
      </c>
      <c r="AW89" s="797">
        <v>0.20719409903967406</v>
      </c>
      <c r="AX89" s="797">
        <v>0.20719409903967406</v>
      </c>
      <c r="AY89" s="797">
        <v>0.20719409903967406</v>
      </c>
      <c r="AZ89" s="694">
        <v>0</v>
      </c>
      <c r="BA89" s="694">
        <v>0</v>
      </c>
      <c r="BB89" s="694">
        <v>0</v>
      </c>
      <c r="BC89" s="694">
        <v>0</v>
      </c>
      <c r="BD89" s="694">
        <v>0</v>
      </c>
      <c r="BE89" s="694">
        <v>0</v>
      </c>
      <c r="BF89" s="694">
        <v>0</v>
      </c>
      <c r="BG89" s="694">
        <v>0</v>
      </c>
      <c r="BH89" s="694">
        <v>0</v>
      </c>
      <c r="BI89" s="694">
        <v>0</v>
      </c>
      <c r="BJ89" s="694">
        <v>0</v>
      </c>
      <c r="BK89" s="694">
        <v>0</v>
      </c>
      <c r="BL89" s="694">
        <v>0</v>
      </c>
      <c r="BM89" s="694">
        <v>0</v>
      </c>
      <c r="BN89" s="694">
        <v>0</v>
      </c>
      <c r="BO89" s="694">
        <v>0</v>
      </c>
      <c r="BP89" s="694">
        <v>0</v>
      </c>
      <c r="BQ89" s="694">
        <v>0</v>
      </c>
      <c r="BR89" s="694">
        <v>0</v>
      </c>
      <c r="BS89" s="694"/>
      <c r="BT89" s="694"/>
      <c r="BU89" s="796"/>
      <c r="BV89" s="796">
        <v>369.43987795757147</v>
      </c>
      <c r="BW89" s="796">
        <v>369.43987795757147</v>
      </c>
      <c r="BX89" s="796">
        <v>369.43987795757147</v>
      </c>
      <c r="BY89" s="796">
        <v>369.43987795757147</v>
      </c>
      <c r="BZ89" s="694">
        <v>0</v>
      </c>
      <c r="CA89" s="694">
        <v>0</v>
      </c>
      <c r="CB89" s="694">
        <v>0</v>
      </c>
      <c r="CC89" s="694">
        <v>0</v>
      </c>
      <c r="CD89" s="694">
        <v>0</v>
      </c>
      <c r="CE89" s="694">
        <v>0</v>
      </c>
      <c r="CF89" s="694">
        <v>0</v>
      </c>
      <c r="CG89" s="694">
        <v>0</v>
      </c>
      <c r="CH89" s="694">
        <v>0</v>
      </c>
      <c r="CI89" s="694">
        <v>0</v>
      </c>
      <c r="CJ89" s="694">
        <v>0</v>
      </c>
      <c r="CK89" s="694">
        <v>0</v>
      </c>
      <c r="CL89" s="694">
        <v>0</v>
      </c>
      <c r="CM89" s="694">
        <v>0</v>
      </c>
      <c r="CN89" s="694">
        <v>0</v>
      </c>
      <c r="CO89" s="694">
        <v>0</v>
      </c>
      <c r="CP89" s="694">
        <v>0</v>
      </c>
      <c r="CQ89" s="694">
        <v>0</v>
      </c>
      <c r="CR89" s="694">
        <v>0</v>
      </c>
    </row>
    <row r="90" spans="1:96">
      <c r="A90" s="694" t="s">
        <v>3</v>
      </c>
      <c r="B90" s="705"/>
      <c r="C90" s="694">
        <v>2014</v>
      </c>
      <c r="D90" s="694" t="s">
        <v>15</v>
      </c>
      <c r="E90" s="694" t="s">
        <v>19</v>
      </c>
      <c r="F90" s="694" t="s">
        <v>17</v>
      </c>
      <c r="G90" s="694"/>
      <c r="H90" s="694" t="s">
        <v>1092</v>
      </c>
      <c r="I90" s="694" t="s">
        <v>5</v>
      </c>
      <c r="J90" s="694" t="s">
        <v>376</v>
      </c>
      <c r="K90" s="751">
        <v>1</v>
      </c>
      <c r="L90" s="694"/>
      <c r="M90" s="694" t="s">
        <v>1097</v>
      </c>
      <c r="N90" s="694">
        <v>4</v>
      </c>
      <c r="O90" s="694"/>
      <c r="P90" s="694"/>
      <c r="Q90" s="694"/>
      <c r="R90" s="694"/>
      <c r="S90" s="694"/>
      <c r="T90" s="694"/>
      <c r="U90" s="694"/>
      <c r="V90" s="694"/>
      <c r="W90" s="797">
        <v>0.39365566631983673</v>
      </c>
      <c r="X90" s="796">
        <v>701.9123710403511</v>
      </c>
      <c r="Y90" s="796">
        <v>2807.6494841614044</v>
      </c>
      <c r="Z90" s="796">
        <v>1477.7595118302859</v>
      </c>
      <c r="AA90" s="796">
        <v>369.43987795757147</v>
      </c>
      <c r="AB90" s="797">
        <v>0.20719409903967406</v>
      </c>
      <c r="AC90" s="801">
        <v>1</v>
      </c>
      <c r="AD90" s="801">
        <v>1</v>
      </c>
      <c r="AE90" s="799">
        <v>0.50666666666666671</v>
      </c>
      <c r="AF90" s="800">
        <v>3.3000000000000002E-2</v>
      </c>
      <c r="AG90" s="694"/>
      <c r="AH90" s="799">
        <v>0.52633333333333332</v>
      </c>
      <c r="AI90" s="799">
        <v>0.50666666666666671</v>
      </c>
      <c r="AJ90" s="800">
        <v>3.3000000000000002E-2</v>
      </c>
      <c r="AK90" s="694"/>
      <c r="AL90" s="799">
        <v>0.52633333333333332</v>
      </c>
      <c r="AM90" s="694" t="s">
        <v>653</v>
      </c>
      <c r="AN90" s="694" t="s">
        <v>653</v>
      </c>
      <c r="AO90" s="694" t="s">
        <v>653</v>
      </c>
      <c r="AP90" s="702">
        <v>74.766565500281061</v>
      </c>
      <c r="AQ90" s="798">
        <v>74.766565500281061</v>
      </c>
      <c r="AR90" s="694"/>
      <c r="AS90" s="694"/>
      <c r="AT90" s="694"/>
      <c r="AU90" s="797"/>
      <c r="AV90" s="797">
        <v>0.20719409903967406</v>
      </c>
      <c r="AW90" s="797">
        <v>0.20719409903967406</v>
      </c>
      <c r="AX90" s="797">
        <v>0.20719409903967406</v>
      </c>
      <c r="AY90" s="797">
        <v>0.20719409903967406</v>
      </c>
      <c r="AZ90" s="694">
        <v>0</v>
      </c>
      <c r="BA90" s="694">
        <v>0</v>
      </c>
      <c r="BB90" s="694">
        <v>0</v>
      </c>
      <c r="BC90" s="694">
        <v>0</v>
      </c>
      <c r="BD90" s="694">
        <v>0</v>
      </c>
      <c r="BE90" s="694">
        <v>0</v>
      </c>
      <c r="BF90" s="694">
        <v>0</v>
      </c>
      <c r="BG90" s="694">
        <v>0</v>
      </c>
      <c r="BH90" s="694">
        <v>0</v>
      </c>
      <c r="BI90" s="694">
        <v>0</v>
      </c>
      <c r="BJ90" s="694">
        <v>0</v>
      </c>
      <c r="BK90" s="694">
        <v>0</v>
      </c>
      <c r="BL90" s="694">
        <v>0</v>
      </c>
      <c r="BM90" s="694">
        <v>0</v>
      </c>
      <c r="BN90" s="694">
        <v>0</v>
      </c>
      <c r="BO90" s="694">
        <v>0</v>
      </c>
      <c r="BP90" s="694">
        <v>0</v>
      </c>
      <c r="BQ90" s="694">
        <v>0</v>
      </c>
      <c r="BR90" s="694">
        <v>0</v>
      </c>
      <c r="BS90" s="694"/>
      <c r="BT90" s="694"/>
      <c r="BU90" s="796"/>
      <c r="BV90" s="796">
        <v>369.43987795757147</v>
      </c>
      <c r="BW90" s="796">
        <v>369.43987795757147</v>
      </c>
      <c r="BX90" s="796">
        <v>369.43987795757147</v>
      </c>
      <c r="BY90" s="796">
        <v>369.43987795757147</v>
      </c>
      <c r="BZ90" s="694">
        <v>0</v>
      </c>
      <c r="CA90" s="694">
        <v>0</v>
      </c>
      <c r="CB90" s="694">
        <v>0</v>
      </c>
      <c r="CC90" s="694">
        <v>0</v>
      </c>
      <c r="CD90" s="694">
        <v>0</v>
      </c>
      <c r="CE90" s="694">
        <v>0</v>
      </c>
      <c r="CF90" s="694">
        <v>0</v>
      </c>
      <c r="CG90" s="694">
        <v>0</v>
      </c>
      <c r="CH90" s="694">
        <v>0</v>
      </c>
      <c r="CI90" s="694">
        <v>0</v>
      </c>
      <c r="CJ90" s="694">
        <v>0</v>
      </c>
      <c r="CK90" s="694">
        <v>0</v>
      </c>
      <c r="CL90" s="694">
        <v>0</v>
      </c>
      <c r="CM90" s="694">
        <v>0</v>
      </c>
      <c r="CN90" s="694">
        <v>0</v>
      </c>
      <c r="CO90" s="694">
        <v>0</v>
      </c>
      <c r="CP90" s="694">
        <v>0</v>
      </c>
      <c r="CQ90" s="694">
        <v>0</v>
      </c>
      <c r="CR90" s="694">
        <v>0</v>
      </c>
    </row>
    <row r="91" spans="1:96">
      <c r="A91" s="694" t="s">
        <v>3</v>
      </c>
      <c r="B91" s="705"/>
      <c r="C91" s="694">
        <v>2014</v>
      </c>
      <c r="D91" s="694" t="s">
        <v>15</v>
      </c>
      <c r="E91" s="694" t="s">
        <v>19</v>
      </c>
      <c r="F91" s="694" t="s">
        <v>17</v>
      </c>
      <c r="G91" s="694"/>
      <c r="H91" s="694" t="s">
        <v>1092</v>
      </c>
      <c r="I91" s="694" t="s">
        <v>5</v>
      </c>
      <c r="J91" s="694" t="s">
        <v>376</v>
      </c>
      <c r="K91" s="751">
        <v>1</v>
      </c>
      <c r="L91" s="694"/>
      <c r="M91" s="694" t="s">
        <v>1096</v>
      </c>
      <c r="N91" s="694">
        <v>4</v>
      </c>
      <c r="O91" s="694"/>
      <c r="P91" s="694"/>
      <c r="Q91" s="694"/>
      <c r="R91" s="694"/>
      <c r="S91" s="694"/>
      <c r="T91" s="694"/>
      <c r="U91" s="694"/>
      <c r="V91" s="694"/>
      <c r="W91" s="797">
        <v>0.39365566631983673</v>
      </c>
      <c r="X91" s="796">
        <v>701.9123710403511</v>
      </c>
      <c r="Y91" s="796">
        <v>2807.6494841614044</v>
      </c>
      <c r="Z91" s="796">
        <v>1477.7595118302859</v>
      </c>
      <c r="AA91" s="796">
        <v>369.43987795757147</v>
      </c>
      <c r="AB91" s="797">
        <v>0.20719409903967406</v>
      </c>
      <c r="AC91" s="801">
        <v>1</v>
      </c>
      <c r="AD91" s="801">
        <v>1</v>
      </c>
      <c r="AE91" s="799">
        <v>0.50666666666666671</v>
      </c>
      <c r="AF91" s="800">
        <v>3.3000000000000002E-2</v>
      </c>
      <c r="AG91" s="694"/>
      <c r="AH91" s="799">
        <v>0.52633333333333332</v>
      </c>
      <c r="AI91" s="799">
        <v>0.50666666666666671</v>
      </c>
      <c r="AJ91" s="800">
        <v>3.3000000000000002E-2</v>
      </c>
      <c r="AK91" s="694"/>
      <c r="AL91" s="799">
        <v>0.52633333333333332</v>
      </c>
      <c r="AM91" s="694" t="s">
        <v>653</v>
      </c>
      <c r="AN91" s="694" t="s">
        <v>653</v>
      </c>
      <c r="AO91" s="694" t="s">
        <v>653</v>
      </c>
      <c r="AP91" s="702">
        <v>74.766565500281061</v>
      </c>
      <c r="AQ91" s="798">
        <v>74.766565500281061</v>
      </c>
      <c r="AR91" s="694"/>
      <c r="AS91" s="694"/>
      <c r="AT91" s="694"/>
      <c r="AU91" s="797"/>
      <c r="AV91" s="797">
        <v>0.20719409903967406</v>
      </c>
      <c r="AW91" s="797">
        <v>0.20719409903967406</v>
      </c>
      <c r="AX91" s="797">
        <v>0.20719409903967406</v>
      </c>
      <c r="AY91" s="797">
        <v>0.20719409903967406</v>
      </c>
      <c r="AZ91" s="694">
        <v>0</v>
      </c>
      <c r="BA91" s="694">
        <v>0</v>
      </c>
      <c r="BB91" s="694">
        <v>0</v>
      </c>
      <c r="BC91" s="694">
        <v>0</v>
      </c>
      <c r="BD91" s="694">
        <v>0</v>
      </c>
      <c r="BE91" s="694">
        <v>0</v>
      </c>
      <c r="BF91" s="694">
        <v>0</v>
      </c>
      <c r="BG91" s="694">
        <v>0</v>
      </c>
      <c r="BH91" s="694">
        <v>0</v>
      </c>
      <c r="BI91" s="694">
        <v>0</v>
      </c>
      <c r="BJ91" s="694">
        <v>0</v>
      </c>
      <c r="BK91" s="694">
        <v>0</v>
      </c>
      <c r="BL91" s="694">
        <v>0</v>
      </c>
      <c r="BM91" s="694">
        <v>0</v>
      </c>
      <c r="BN91" s="694">
        <v>0</v>
      </c>
      <c r="BO91" s="694">
        <v>0</v>
      </c>
      <c r="BP91" s="694">
        <v>0</v>
      </c>
      <c r="BQ91" s="694">
        <v>0</v>
      </c>
      <c r="BR91" s="694">
        <v>0</v>
      </c>
      <c r="BS91" s="694"/>
      <c r="BT91" s="694"/>
      <c r="BU91" s="796"/>
      <c r="BV91" s="796">
        <v>369.43987795757147</v>
      </c>
      <c r="BW91" s="796">
        <v>369.43987795757147</v>
      </c>
      <c r="BX91" s="796">
        <v>369.43987795757147</v>
      </c>
      <c r="BY91" s="796">
        <v>369.43987795757147</v>
      </c>
      <c r="BZ91" s="694">
        <v>0</v>
      </c>
      <c r="CA91" s="694">
        <v>0</v>
      </c>
      <c r="CB91" s="694">
        <v>0</v>
      </c>
      <c r="CC91" s="694">
        <v>0</v>
      </c>
      <c r="CD91" s="694">
        <v>0</v>
      </c>
      <c r="CE91" s="694">
        <v>0</v>
      </c>
      <c r="CF91" s="694">
        <v>0</v>
      </c>
      <c r="CG91" s="694">
        <v>0</v>
      </c>
      <c r="CH91" s="694">
        <v>0</v>
      </c>
      <c r="CI91" s="694">
        <v>0</v>
      </c>
      <c r="CJ91" s="694">
        <v>0</v>
      </c>
      <c r="CK91" s="694">
        <v>0</v>
      </c>
      <c r="CL91" s="694">
        <v>0</v>
      </c>
      <c r="CM91" s="694">
        <v>0</v>
      </c>
      <c r="CN91" s="694">
        <v>0</v>
      </c>
      <c r="CO91" s="694">
        <v>0</v>
      </c>
      <c r="CP91" s="694">
        <v>0</v>
      </c>
      <c r="CQ91" s="694">
        <v>0</v>
      </c>
      <c r="CR91" s="694">
        <v>0</v>
      </c>
    </row>
    <row r="92" spans="1:96">
      <c r="A92" s="694" t="s">
        <v>3</v>
      </c>
      <c r="B92" s="705"/>
      <c r="C92" s="694">
        <v>2014</v>
      </c>
      <c r="D92" s="694" t="s">
        <v>15</v>
      </c>
      <c r="E92" s="694" t="s">
        <v>19</v>
      </c>
      <c r="F92" s="694" t="s">
        <v>17</v>
      </c>
      <c r="G92" s="694"/>
      <c r="H92" s="694" t="s">
        <v>1092</v>
      </c>
      <c r="I92" s="694" t="s">
        <v>5</v>
      </c>
      <c r="J92" s="694" t="s">
        <v>376</v>
      </c>
      <c r="K92" s="751">
        <v>1</v>
      </c>
      <c r="L92" s="694"/>
      <c r="M92" s="694" t="s">
        <v>1095</v>
      </c>
      <c r="N92" s="694">
        <v>4</v>
      </c>
      <c r="O92" s="694"/>
      <c r="P92" s="694"/>
      <c r="Q92" s="694"/>
      <c r="R92" s="694"/>
      <c r="S92" s="694"/>
      <c r="T92" s="694"/>
      <c r="U92" s="694"/>
      <c r="V92" s="694"/>
      <c r="W92" s="797">
        <v>0.39365566631983673</v>
      </c>
      <c r="X92" s="796">
        <v>701.9123710403511</v>
      </c>
      <c r="Y92" s="796">
        <v>2807.6494841614044</v>
      </c>
      <c r="Z92" s="796">
        <v>1477.7595118302859</v>
      </c>
      <c r="AA92" s="796">
        <v>369.43987795757147</v>
      </c>
      <c r="AB92" s="797">
        <v>0.20719409903967406</v>
      </c>
      <c r="AC92" s="801">
        <v>1</v>
      </c>
      <c r="AD92" s="801">
        <v>1</v>
      </c>
      <c r="AE92" s="799">
        <v>0.50666666666666671</v>
      </c>
      <c r="AF92" s="800">
        <v>3.3000000000000002E-2</v>
      </c>
      <c r="AG92" s="694"/>
      <c r="AH92" s="799">
        <v>0.52633333333333332</v>
      </c>
      <c r="AI92" s="799">
        <v>0.50666666666666671</v>
      </c>
      <c r="AJ92" s="800">
        <v>3.3000000000000002E-2</v>
      </c>
      <c r="AK92" s="694"/>
      <c r="AL92" s="799">
        <v>0.52633333333333332</v>
      </c>
      <c r="AM92" s="694" t="s">
        <v>653</v>
      </c>
      <c r="AN92" s="694" t="s">
        <v>653</v>
      </c>
      <c r="AO92" s="694" t="s">
        <v>653</v>
      </c>
      <c r="AP92" s="702">
        <v>74.766565500281061</v>
      </c>
      <c r="AQ92" s="798">
        <v>74.766565500281061</v>
      </c>
      <c r="AR92" s="694"/>
      <c r="AS92" s="694"/>
      <c r="AT92" s="694"/>
      <c r="AU92" s="797"/>
      <c r="AV92" s="797">
        <v>0.20719409903967406</v>
      </c>
      <c r="AW92" s="797">
        <v>0.20719409903967406</v>
      </c>
      <c r="AX92" s="797">
        <v>0.20719409903967406</v>
      </c>
      <c r="AY92" s="797">
        <v>0.20719409903967406</v>
      </c>
      <c r="AZ92" s="694">
        <v>0</v>
      </c>
      <c r="BA92" s="694">
        <v>0</v>
      </c>
      <c r="BB92" s="694">
        <v>0</v>
      </c>
      <c r="BC92" s="694">
        <v>0</v>
      </c>
      <c r="BD92" s="694">
        <v>0</v>
      </c>
      <c r="BE92" s="694">
        <v>0</v>
      </c>
      <c r="BF92" s="694">
        <v>0</v>
      </c>
      <c r="BG92" s="694">
        <v>0</v>
      </c>
      <c r="BH92" s="694">
        <v>0</v>
      </c>
      <c r="BI92" s="694">
        <v>0</v>
      </c>
      <c r="BJ92" s="694">
        <v>0</v>
      </c>
      <c r="BK92" s="694">
        <v>0</v>
      </c>
      <c r="BL92" s="694">
        <v>0</v>
      </c>
      <c r="BM92" s="694">
        <v>0</v>
      </c>
      <c r="BN92" s="694">
        <v>0</v>
      </c>
      <c r="BO92" s="694">
        <v>0</v>
      </c>
      <c r="BP92" s="694">
        <v>0</v>
      </c>
      <c r="BQ92" s="694">
        <v>0</v>
      </c>
      <c r="BR92" s="694">
        <v>0</v>
      </c>
      <c r="BS92" s="694"/>
      <c r="BT92" s="694"/>
      <c r="BU92" s="796"/>
      <c r="BV92" s="796">
        <v>369.43987795757147</v>
      </c>
      <c r="BW92" s="796">
        <v>369.43987795757147</v>
      </c>
      <c r="BX92" s="796">
        <v>369.43987795757147</v>
      </c>
      <c r="BY92" s="796">
        <v>369.43987795757147</v>
      </c>
      <c r="BZ92" s="694">
        <v>0</v>
      </c>
      <c r="CA92" s="694">
        <v>0</v>
      </c>
      <c r="CB92" s="694">
        <v>0</v>
      </c>
      <c r="CC92" s="694">
        <v>0</v>
      </c>
      <c r="CD92" s="694">
        <v>0</v>
      </c>
      <c r="CE92" s="694">
        <v>0</v>
      </c>
      <c r="CF92" s="694">
        <v>0</v>
      </c>
      <c r="CG92" s="694">
        <v>0</v>
      </c>
      <c r="CH92" s="694">
        <v>0</v>
      </c>
      <c r="CI92" s="694">
        <v>0</v>
      </c>
      <c r="CJ92" s="694">
        <v>0</v>
      </c>
      <c r="CK92" s="694">
        <v>0</v>
      </c>
      <c r="CL92" s="694">
        <v>0</v>
      </c>
      <c r="CM92" s="694">
        <v>0</v>
      </c>
      <c r="CN92" s="694">
        <v>0</v>
      </c>
      <c r="CO92" s="694">
        <v>0</v>
      </c>
      <c r="CP92" s="694">
        <v>0</v>
      </c>
      <c r="CQ92" s="694">
        <v>0</v>
      </c>
      <c r="CR92" s="694">
        <v>0</v>
      </c>
    </row>
    <row r="93" spans="1:96">
      <c r="A93" s="694" t="s">
        <v>3</v>
      </c>
      <c r="B93" s="705"/>
      <c r="C93" s="694">
        <v>2014</v>
      </c>
      <c r="D93" s="694" t="s">
        <v>15</v>
      </c>
      <c r="E93" s="694" t="s">
        <v>19</v>
      </c>
      <c r="F93" s="694" t="s">
        <v>17</v>
      </c>
      <c r="G93" s="694"/>
      <c r="H93" s="694" t="s">
        <v>1092</v>
      </c>
      <c r="I93" s="694" t="s">
        <v>5</v>
      </c>
      <c r="J93" s="694" t="s">
        <v>376</v>
      </c>
      <c r="K93" s="751">
        <v>1</v>
      </c>
      <c r="L93" s="694"/>
      <c r="M93" s="694" t="s">
        <v>1093</v>
      </c>
      <c r="N93" s="694">
        <v>4</v>
      </c>
      <c r="O93" s="694"/>
      <c r="P93" s="694"/>
      <c r="Q93" s="694"/>
      <c r="R93" s="694"/>
      <c r="S93" s="694"/>
      <c r="T93" s="694"/>
      <c r="U93" s="694"/>
      <c r="V93" s="694"/>
      <c r="W93" s="797">
        <v>0.39365566631983673</v>
      </c>
      <c r="X93" s="796">
        <v>701.9123710403511</v>
      </c>
      <c r="Y93" s="796">
        <v>2807.6494841614044</v>
      </c>
      <c r="Z93" s="796">
        <v>1477.7595118302859</v>
      </c>
      <c r="AA93" s="796">
        <v>369.43987795757147</v>
      </c>
      <c r="AB93" s="797">
        <v>0.20719409903967406</v>
      </c>
      <c r="AC93" s="801">
        <v>1</v>
      </c>
      <c r="AD93" s="801">
        <v>1</v>
      </c>
      <c r="AE93" s="799">
        <v>0.50666666666666671</v>
      </c>
      <c r="AF93" s="800">
        <v>3.3000000000000002E-2</v>
      </c>
      <c r="AG93" s="694"/>
      <c r="AH93" s="799">
        <v>0.52633333333333332</v>
      </c>
      <c r="AI93" s="799">
        <v>0.50666666666666671</v>
      </c>
      <c r="AJ93" s="800">
        <v>3.3000000000000002E-2</v>
      </c>
      <c r="AK93" s="694"/>
      <c r="AL93" s="799">
        <v>0.52633333333333332</v>
      </c>
      <c r="AM93" s="694" t="s">
        <v>653</v>
      </c>
      <c r="AN93" s="694" t="s">
        <v>653</v>
      </c>
      <c r="AO93" s="694" t="s">
        <v>653</v>
      </c>
      <c r="AP93" s="702">
        <v>74.766565500281061</v>
      </c>
      <c r="AQ93" s="798">
        <v>74.766565500281061</v>
      </c>
      <c r="AR93" s="694" t="s">
        <v>1090</v>
      </c>
      <c r="AS93" s="694"/>
      <c r="AT93" s="694"/>
      <c r="AU93" s="797"/>
      <c r="AV93" s="797">
        <v>0.20719409903967406</v>
      </c>
      <c r="AW93" s="797">
        <v>0.20719409903967406</v>
      </c>
      <c r="AX93" s="797">
        <v>0.20719409903967406</v>
      </c>
      <c r="AY93" s="797">
        <v>0.20719409903967406</v>
      </c>
      <c r="AZ93" s="694">
        <v>0</v>
      </c>
      <c r="BA93" s="694">
        <v>0</v>
      </c>
      <c r="BB93" s="694">
        <v>0</v>
      </c>
      <c r="BC93" s="694">
        <v>0</v>
      </c>
      <c r="BD93" s="694">
        <v>0</v>
      </c>
      <c r="BE93" s="694">
        <v>0</v>
      </c>
      <c r="BF93" s="694">
        <v>0</v>
      </c>
      <c r="BG93" s="694">
        <v>0</v>
      </c>
      <c r="BH93" s="694">
        <v>0</v>
      </c>
      <c r="BI93" s="694">
        <v>0</v>
      </c>
      <c r="BJ93" s="694">
        <v>0</v>
      </c>
      <c r="BK93" s="694">
        <v>0</v>
      </c>
      <c r="BL93" s="694">
        <v>0</v>
      </c>
      <c r="BM93" s="694">
        <v>0</v>
      </c>
      <c r="BN93" s="694">
        <v>0</v>
      </c>
      <c r="BO93" s="694">
        <v>0</v>
      </c>
      <c r="BP93" s="694">
        <v>0</v>
      </c>
      <c r="BQ93" s="694">
        <v>0</v>
      </c>
      <c r="BR93" s="694">
        <v>0</v>
      </c>
      <c r="BS93" s="694"/>
      <c r="BT93" s="694"/>
      <c r="BU93" s="796"/>
      <c r="BV93" s="796">
        <v>369.43987795757147</v>
      </c>
      <c r="BW93" s="796">
        <v>369.43987795757147</v>
      </c>
      <c r="BX93" s="796">
        <v>369.43987795757147</v>
      </c>
      <c r="BY93" s="796">
        <v>369.43987795757147</v>
      </c>
      <c r="BZ93" s="694">
        <v>0</v>
      </c>
      <c r="CA93" s="694">
        <v>0</v>
      </c>
      <c r="CB93" s="694">
        <v>0</v>
      </c>
      <c r="CC93" s="694">
        <v>0</v>
      </c>
      <c r="CD93" s="694">
        <v>0</v>
      </c>
      <c r="CE93" s="694">
        <v>0</v>
      </c>
      <c r="CF93" s="694">
        <v>0</v>
      </c>
      <c r="CG93" s="694">
        <v>0</v>
      </c>
      <c r="CH93" s="694">
        <v>0</v>
      </c>
      <c r="CI93" s="694">
        <v>0</v>
      </c>
      <c r="CJ93" s="694">
        <v>0</v>
      </c>
      <c r="CK93" s="694">
        <v>0</v>
      </c>
      <c r="CL93" s="694">
        <v>0</v>
      </c>
      <c r="CM93" s="694">
        <v>0</v>
      </c>
      <c r="CN93" s="694">
        <v>0</v>
      </c>
      <c r="CO93" s="694">
        <v>0</v>
      </c>
      <c r="CP93" s="694">
        <v>0</v>
      </c>
      <c r="CQ93" s="694">
        <v>0</v>
      </c>
      <c r="CR93" s="694">
        <v>0</v>
      </c>
    </row>
    <row r="94" spans="1:96">
      <c r="A94" s="694" t="s">
        <v>3</v>
      </c>
      <c r="B94" s="705"/>
      <c r="C94" s="694">
        <v>2014</v>
      </c>
      <c r="D94" s="694" t="s">
        <v>15</v>
      </c>
      <c r="E94" s="694" t="s">
        <v>19</v>
      </c>
      <c r="F94" s="694" t="s">
        <v>17</v>
      </c>
      <c r="G94" s="694"/>
      <c r="H94" s="694" t="s">
        <v>1092</v>
      </c>
      <c r="I94" s="694" t="s">
        <v>5</v>
      </c>
      <c r="J94" s="694" t="s">
        <v>376</v>
      </c>
      <c r="K94" s="751">
        <v>1</v>
      </c>
      <c r="L94" s="694"/>
      <c r="M94" s="694" t="s">
        <v>1094</v>
      </c>
      <c r="N94" s="694">
        <v>4</v>
      </c>
      <c r="O94" s="694"/>
      <c r="P94" s="694"/>
      <c r="Q94" s="694"/>
      <c r="R94" s="694"/>
      <c r="S94" s="694"/>
      <c r="T94" s="694"/>
      <c r="U94" s="694"/>
      <c r="V94" s="694"/>
      <c r="W94" s="797">
        <v>0.39365566631983673</v>
      </c>
      <c r="X94" s="796">
        <v>701.9123710403511</v>
      </c>
      <c r="Y94" s="796">
        <v>2807.6494841614044</v>
      </c>
      <c r="Z94" s="796">
        <v>1477.7595118302859</v>
      </c>
      <c r="AA94" s="796">
        <v>369.43987795757147</v>
      </c>
      <c r="AB94" s="797">
        <v>0.20719409903967406</v>
      </c>
      <c r="AC94" s="801">
        <v>1</v>
      </c>
      <c r="AD94" s="801">
        <v>1</v>
      </c>
      <c r="AE94" s="799">
        <v>0.50666666666666671</v>
      </c>
      <c r="AF94" s="800">
        <v>3.3000000000000002E-2</v>
      </c>
      <c r="AG94" s="694"/>
      <c r="AH94" s="799">
        <v>0.52633333333333332</v>
      </c>
      <c r="AI94" s="799">
        <v>0.50666666666666671</v>
      </c>
      <c r="AJ94" s="800">
        <v>3.3000000000000002E-2</v>
      </c>
      <c r="AK94" s="694"/>
      <c r="AL94" s="799">
        <v>0.52633333333333332</v>
      </c>
      <c r="AM94" s="694" t="s">
        <v>653</v>
      </c>
      <c r="AN94" s="694" t="s">
        <v>653</v>
      </c>
      <c r="AO94" s="694" t="s">
        <v>653</v>
      </c>
      <c r="AP94" s="702">
        <v>74.766565500281061</v>
      </c>
      <c r="AQ94" s="798">
        <v>74.766565500281061</v>
      </c>
      <c r="AR94" s="694" t="s">
        <v>1090</v>
      </c>
      <c r="AS94" s="694"/>
      <c r="AT94" s="694"/>
      <c r="AU94" s="797"/>
      <c r="AV94" s="797">
        <v>0.20719409903967406</v>
      </c>
      <c r="AW94" s="797">
        <v>0.20719409903967406</v>
      </c>
      <c r="AX94" s="797">
        <v>0.20719409903967406</v>
      </c>
      <c r="AY94" s="797">
        <v>0.20719409903967406</v>
      </c>
      <c r="AZ94" s="694">
        <v>0</v>
      </c>
      <c r="BA94" s="694">
        <v>0</v>
      </c>
      <c r="BB94" s="694">
        <v>0</v>
      </c>
      <c r="BC94" s="694">
        <v>0</v>
      </c>
      <c r="BD94" s="694">
        <v>0</v>
      </c>
      <c r="BE94" s="694">
        <v>0</v>
      </c>
      <c r="BF94" s="694">
        <v>0</v>
      </c>
      <c r="BG94" s="694">
        <v>0</v>
      </c>
      <c r="BH94" s="694">
        <v>0</v>
      </c>
      <c r="BI94" s="694">
        <v>0</v>
      </c>
      <c r="BJ94" s="694">
        <v>0</v>
      </c>
      <c r="BK94" s="694">
        <v>0</v>
      </c>
      <c r="BL94" s="694">
        <v>0</v>
      </c>
      <c r="BM94" s="694">
        <v>0</v>
      </c>
      <c r="BN94" s="694">
        <v>0</v>
      </c>
      <c r="BO94" s="694">
        <v>0</v>
      </c>
      <c r="BP94" s="694">
        <v>0</v>
      </c>
      <c r="BQ94" s="694">
        <v>0</v>
      </c>
      <c r="BR94" s="694">
        <v>0</v>
      </c>
      <c r="BS94" s="694"/>
      <c r="BT94" s="694"/>
      <c r="BU94" s="796"/>
      <c r="BV94" s="796">
        <v>369.43987795757147</v>
      </c>
      <c r="BW94" s="796">
        <v>369.43987795757147</v>
      </c>
      <c r="BX94" s="796">
        <v>369.43987795757147</v>
      </c>
      <c r="BY94" s="796">
        <v>369.43987795757147</v>
      </c>
      <c r="BZ94" s="694">
        <v>0</v>
      </c>
      <c r="CA94" s="694">
        <v>0</v>
      </c>
      <c r="CB94" s="694">
        <v>0</v>
      </c>
      <c r="CC94" s="694">
        <v>0</v>
      </c>
      <c r="CD94" s="694">
        <v>0</v>
      </c>
      <c r="CE94" s="694">
        <v>0</v>
      </c>
      <c r="CF94" s="694">
        <v>0</v>
      </c>
      <c r="CG94" s="694">
        <v>0</v>
      </c>
      <c r="CH94" s="694">
        <v>0</v>
      </c>
      <c r="CI94" s="694">
        <v>0</v>
      </c>
      <c r="CJ94" s="694">
        <v>0</v>
      </c>
      <c r="CK94" s="694">
        <v>0</v>
      </c>
      <c r="CL94" s="694">
        <v>0</v>
      </c>
      <c r="CM94" s="694">
        <v>0</v>
      </c>
      <c r="CN94" s="694">
        <v>0</v>
      </c>
      <c r="CO94" s="694">
        <v>0</v>
      </c>
      <c r="CP94" s="694">
        <v>0</v>
      </c>
      <c r="CQ94" s="694">
        <v>0</v>
      </c>
      <c r="CR94" s="694">
        <v>0</v>
      </c>
    </row>
    <row r="95" spans="1:96">
      <c r="A95" s="694" t="s">
        <v>3</v>
      </c>
      <c r="B95" s="705"/>
      <c r="C95" s="694">
        <v>2014</v>
      </c>
      <c r="D95" s="694" t="s">
        <v>15</v>
      </c>
      <c r="E95" s="694" t="s">
        <v>19</v>
      </c>
      <c r="F95" s="694" t="s">
        <v>17</v>
      </c>
      <c r="G95" s="694"/>
      <c r="H95" s="694" t="s">
        <v>1092</v>
      </c>
      <c r="I95" s="694" t="s">
        <v>5</v>
      </c>
      <c r="J95" s="694" t="s">
        <v>376</v>
      </c>
      <c r="K95" s="751">
        <v>1</v>
      </c>
      <c r="L95" s="694"/>
      <c r="M95" s="694" t="s">
        <v>1043</v>
      </c>
      <c r="N95" s="694">
        <v>4</v>
      </c>
      <c r="O95" s="694"/>
      <c r="P95" s="694"/>
      <c r="Q95" s="694"/>
      <c r="R95" s="694"/>
      <c r="S95" s="694"/>
      <c r="T95" s="694"/>
      <c r="U95" s="694"/>
      <c r="V95" s="694"/>
      <c r="W95" s="797">
        <v>0.39365566631983673</v>
      </c>
      <c r="X95" s="796">
        <v>701.9123710403511</v>
      </c>
      <c r="Y95" s="796">
        <v>2807.6494841614044</v>
      </c>
      <c r="Z95" s="796">
        <v>1477.7595118302859</v>
      </c>
      <c r="AA95" s="796">
        <v>369.43987795757147</v>
      </c>
      <c r="AB95" s="797">
        <v>0.20719409903967406</v>
      </c>
      <c r="AC95" s="801">
        <v>1</v>
      </c>
      <c r="AD95" s="801">
        <v>1</v>
      </c>
      <c r="AE95" s="799">
        <v>0.50666666666666671</v>
      </c>
      <c r="AF95" s="800">
        <v>3.3000000000000002E-2</v>
      </c>
      <c r="AG95" s="694"/>
      <c r="AH95" s="799">
        <v>0.52633333333333332</v>
      </c>
      <c r="AI95" s="799">
        <v>0.50666666666666671</v>
      </c>
      <c r="AJ95" s="800">
        <v>3.3000000000000002E-2</v>
      </c>
      <c r="AK95" s="694"/>
      <c r="AL95" s="799">
        <v>0.52633333333333332</v>
      </c>
      <c r="AM95" s="694" t="s">
        <v>653</v>
      </c>
      <c r="AN95" s="694" t="s">
        <v>653</v>
      </c>
      <c r="AO95" s="694" t="s">
        <v>653</v>
      </c>
      <c r="AP95" s="702">
        <v>74.766565500281061</v>
      </c>
      <c r="AQ95" s="798">
        <v>74.766565500281061</v>
      </c>
      <c r="AR95" s="694" t="s">
        <v>1090</v>
      </c>
      <c r="AS95" s="694"/>
      <c r="AT95" s="694"/>
      <c r="AU95" s="797"/>
      <c r="AV95" s="797">
        <v>0.20719409903967406</v>
      </c>
      <c r="AW95" s="797">
        <v>0.20719409903967406</v>
      </c>
      <c r="AX95" s="797">
        <v>0.20719409903967406</v>
      </c>
      <c r="AY95" s="797">
        <v>0.20719409903967406</v>
      </c>
      <c r="AZ95" s="694">
        <v>0</v>
      </c>
      <c r="BA95" s="694">
        <v>0</v>
      </c>
      <c r="BB95" s="694">
        <v>0</v>
      </c>
      <c r="BC95" s="694">
        <v>0</v>
      </c>
      <c r="BD95" s="694">
        <v>0</v>
      </c>
      <c r="BE95" s="694">
        <v>0</v>
      </c>
      <c r="BF95" s="694">
        <v>0</v>
      </c>
      <c r="BG95" s="694">
        <v>0</v>
      </c>
      <c r="BH95" s="694">
        <v>0</v>
      </c>
      <c r="BI95" s="694">
        <v>0</v>
      </c>
      <c r="BJ95" s="694">
        <v>0</v>
      </c>
      <c r="BK95" s="694">
        <v>0</v>
      </c>
      <c r="BL95" s="694">
        <v>0</v>
      </c>
      <c r="BM95" s="694">
        <v>0</v>
      </c>
      <c r="BN95" s="694">
        <v>0</v>
      </c>
      <c r="BO95" s="694">
        <v>0</v>
      </c>
      <c r="BP95" s="694">
        <v>0</v>
      </c>
      <c r="BQ95" s="694">
        <v>0</v>
      </c>
      <c r="BR95" s="694">
        <v>0</v>
      </c>
      <c r="BS95" s="694"/>
      <c r="BT95" s="694"/>
      <c r="BU95" s="796"/>
      <c r="BV95" s="796">
        <v>369.43987795757147</v>
      </c>
      <c r="BW95" s="796">
        <v>369.43987795757147</v>
      </c>
      <c r="BX95" s="796">
        <v>369.43987795757147</v>
      </c>
      <c r="BY95" s="796">
        <v>369.43987795757147</v>
      </c>
      <c r="BZ95" s="694">
        <v>0</v>
      </c>
      <c r="CA95" s="694">
        <v>0</v>
      </c>
      <c r="CB95" s="694">
        <v>0</v>
      </c>
      <c r="CC95" s="694">
        <v>0</v>
      </c>
      <c r="CD95" s="694">
        <v>0</v>
      </c>
      <c r="CE95" s="694">
        <v>0</v>
      </c>
      <c r="CF95" s="694">
        <v>0</v>
      </c>
      <c r="CG95" s="694">
        <v>0</v>
      </c>
      <c r="CH95" s="694">
        <v>0</v>
      </c>
      <c r="CI95" s="694">
        <v>0</v>
      </c>
      <c r="CJ95" s="694">
        <v>0</v>
      </c>
      <c r="CK95" s="694">
        <v>0</v>
      </c>
      <c r="CL95" s="694">
        <v>0</v>
      </c>
      <c r="CM95" s="694">
        <v>0</v>
      </c>
      <c r="CN95" s="694">
        <v>0</v>
      </c>
      <c r="CO95" s="694">
        <v>0</v>
      </c>
      <c r="CP95" s="694">
        <v>0</v>
      </c>
      <c r="CQ95" s="694">
        <v>0</v>
      </c>
      <c r="CR95" s="694">
        <v>0</v>
      </c>
    </row>
    <row r="96" spans="1:96">
      <c r="A96" s="694" t="s">
        <v>3</v>
      </c>
      <c r="B96" s="705"/>
      <c r="C96" s="694">
        <v>2014</v>
      </c>
      <c r="D96" s="694" t="s">
        <v>15</v>
      </c>
      <c r="E96" s="694" t="s">
        <v>19</v>
      </c>
      <c r="F96" s="694" t="s">
        <v>17</v>
      </c>
      <c r="G96" s="694"/>
      <c r="H96" s="694" t="s">
        <v>1092</v>
      </c>
      <c r="I96" s="694" t="s">
        <v>5</v>
      </c>
      <c r="J96" s="694" t="s">
        <v>376</v>
      </c>
      <c r="K96" s="751">
        <v>1</v>
      </c>
      <c r="L96" s="694"/>
      <c r="M96" s="694" t="s">
        <v>1093</v>
      </c>
      <c r="N96" s="694">
        <v>4</v>
      </c>
      <c r="O96" s="694"/>
      <c r="P96" s="694"/>
      <c r="Q96" s="694"/>
      <c r="R96" s="694"/>
      <c r="S96" s="694"/>
      <c r="T96" s="694"/>
      <c r="U96" s="694"/>
      <c r="V96" s="694"/>
      <c r="W96" s="797">
        <v>0.39365566631983673</v>
      </c>
      <c r="X96" s="796">
        <v>701.9123710403511</v>
      </c>
      <c r="Y96" s="796">
        <v>2807.6494841614044</v>
      </c>
      <c r="Z96" s="796">
        <v>1477.7595118302859</v>
      </c>
      <c r="AA96" s="796">
        <v>369.43987795757147</v>
      </c>
      <c r="AB96" s="797">
        <v>0.20719409903967406</v>
      </c>
      <c r="AC96" s="801">
        <v>1</v>
      </c>
      <c r="AD96" s="801">
        <v>1</v>
      </c>
      <c r="AE96" s="799">
        <v>0.50666666666666671</v>
      </c>
      <c r="AF96" s="800">
        <v>3.3000000000000002E-2</v>
      </c>
      <c r="AG96" s="694"/>
      <c r="AH96" s="799">
        <v>0.52633333333333332</v>
      </c>
      <c r="AI96" s="799">
        <v>0.50666666666666671</v>
      </c>
      <c r="AJ96" s="800">
        <v>3.3000000000000002E-2</v>
      </c>
      <c r="AK96" s="694"/>
      <c r="AL96" s="799">
        <v>0.52633333333333332</v>
      </c>
      <c r="AM96" s="694" t="s">
        <v>653</v>
      </c>
      <c r="AN96" s="694" t="s">
        <v>653</v>
      </c>
      <c r="AO96" s="694" t="s">
        <v>653</v>
      </c>
      <c r="AP96" s="702">
        <v>74.766565500281061</v>
      </c>
      <c r="AQ96" s="798">
        <v>74.766565500281061</v>
      </c>
      <c r="AR96" s="694" t="s">
        <v>1090</v>
      </c>
      <c r="AS96" s="694"/>
      <c r="AT96" s="694"/>
      <c r="AU96" s="797"/>
      <c r="AV96" s="797">
        <v>0.20719409903967406</v>
      </c>
      <c r="AW96" s="797">
        <v>0.20719409903967406</v>
      </c>
      <c r="AX96" s="797">
        <v>0.20719409903967406</v>
      </c>
      <c r="AY96" s="797">
        <v>0.20719409903967406</v>
      </c>
      <c r="AZ96" s="694">
        <v>0</v>
      </c>
      <c r="BA96" s="694">
        <v>0</v>
      </c>
      <c r="BB96" s="694">
        <v>0</v>
      </c>
      <c r="BC96" s="694">
        <v>0</v>
      </c>
      <c r="BD96" s="694">
        <v>0</v>
      </c>
      <c r="BE96" s="694">
        <v>0</v>
      </c>
      <c r="BF96" s="694">
        <v>0</v>
      </c>
      <c r="BG96" s="694">
        <v>0</v>
      </c>
      <c r="BH96" s="694">
        <v>0</v>
      </c>
      <c r="BI96" s="694">
        <v>0</v>
      </c>
      <c r="BJ96" s="694">
        <v>0</v>
      </c>
      <c r="BK96" s="694">
        <v>0</v>
      </c>
      <c r="BL96" s="694">
        <v>0</v>
      </c>
      <c r="BM96" s="694">
        <v>0</v>
      </c>
      <c r="BN96" s="694">
        <v>0</v>
      </c>
      <c r="BO96" s="694">
        <v>0</v>
      </c>
      <c r="BP96" s="694">
        <v>0</v>
      </c>
      <c r="BQ96" s="694">
        <v>0</v>
      </c>
      <c r="BR96" s="694">
        <v>0</v>
      </c>
      <c r="BS96" s="694"/>
      <c r="BT96" s="694"/>
      <c r="BU96" s="796"/>
      <c r="BV96" s="796">
        <v>369.43987795757147</v>
      </c>
      <c r="BW96" s="796">
        <v>369.43987795757147</v>
      </c>
      <c r="BX96" s="796">
        <v>369.43987795757147</v>
      </c>
      <c r="BY96" s="796">
        <v>369.43987795757147</v>
      </c>
      <c r="BZ96" s="694">
        <v>0</v>
      </c>
      <c r="CA96" s="694">
        <v>0</v>
      </c>
      <c r="CB96" s="694">
        <v>0</v>
      </c>
      <c r="CC96" s="694">
        <v>0</v>
      </c>
      <c r="CD96" s="694">
        <v>0</v>
      </c>
      <c r="CE96" s="694">
        <v>0</v>
      </c>
      <c r="CF96" s="694">
        <v>0</v>
      </c>
      <c r="CG96" s="694">
        <v>0</v>
      </c>
      <c r="CH96" s="694">
        <v>0</v>
      </c>
      <c r="CI96" s="694">
        <v>0</v>
      </c>
      <c r="CJ96" s="694">
        <v>0</v>
      </c>
      <c r="CK96" s="694">
        <v>0</v>
      </c>
      <c r="CL96" s="694">
        <v>0</v>
      </c>
      <c r="CM96" s="694">
        <v>0</v>
      </c>
      <c r="CN96" s="694">
        <v>0</v>
      </c>
      <c r="CO96" s="694">
        <v>0</v>
      </c>
      <c r="CP96" s="694">
        <v>0</v>
      </c>
      <c r="CQ96" s="694">
        <v>0</v>
      </c>
      <c r="CR96" s="694">
        <v>0</v>
      </c>
    </row>
    <row r="97" spans="1:96">
      <c r="A97" s="694" t="s">
        <v>3</v>
      </c>
      <c r="B97" s="705"/>
      <c r="C97" s="694">
        <v>2014</v>
      </c>
      <c r="D97" s="694" t="s">
        <v>15</v>
      </c>
      <c r="E97" s="694" t="s">
        <v>19</v>
      </c>
      <c r="F97" s="694" t="s">
        <v>17</v>
      </c>
      <c r="G97" s="694"/>
      <c r="H97" s="694" t="s">
        <v>1092</v>
      </c>
      <c r="I97" s="694" t="s">
        <v>5</v>
      </c>
      <c r="J97" s="694" t="s">
        <v>376</v>
      </c>
      <c r="K97" s="751">
        <v>1</v>
      </c>
      <c r="L97" s="694"/>
      <c r="M97" s="694" t="s">
        <v>1091</v>
      </c>
      <c r="N97" s="694">
        <v>4</v>
      </c>
      <c r="O97" s="694"/>
      <c r="P97" s="694"/>
      <c r="Q97" s="694"/>
      <c r="R97" s="694"/>
      <c r="S97" s="694"/>
      <c r="T97" s="694"/>
      <c r="U97" s="694"/>
      <c r="V97" s="694"/>
      <c r="W97" s="797">
        <v>0.39365566631983673</v>
      </c>
      <c r="X97" s="796">
        <v>701.9123710403511</v>
      </c>
      <c r="Y97" s="796">
        <v>2807.6494841614044</v>
      </c>
      <c r="Z97" s="796">
        <v>1477.7595118302859</v>
      </c>
      <c r="AA97" s="796">
        <v>369.43987795757147</v>
      </c>
      <c r="AB97" s="797">
        <v>0.20719409903967406</v>
      </c>
      <c r="AC97" s="801">
        <v>1</v>
      </c>
      <c r="AD97" s="801">
        <v>1</v>
      </c>
      <c r="AE97" s="799">
        <v>0.50666666666666671</v>
      </c>
      <c r="AF97" s="800">
        <v>3.3000000000000002E-2</v>
      </c>
      <c r="AG97" s="694"/>
      <c r="AH97" s="799">
        <v>0.52633333333333332</v>
      </c>
      <c r="AI97" s="799">
        <v>0.50666666666666671</v>
      </c>
      <c r="AJ97" s="800">
        <v>3.3000000000000002E-2</v>
      </c>
      <c r="AK97" s="694"/>
      <c r="AL97" s="799">
        <v>0.52633333333333332</v>
      </c>
      <c r="AM97" s="694" t="s">
        <v>653</v>
      </c>
      <c r="AN97" s="694" t="s">
        <v>653</v>
      </c>
      <c r="AO97" s="694" t="s">
        <v>653</v>
      </c>
      <c r="AP97" s="702">
        <v>74.766565500281061</v>
      </c>
      <c r="AQ97" s="798">
        <v>74.766565500281061</v>
      </c>
      <c r="AR97" s="694" t="s">
        <v>1090</v>
      </c>
      <c r="AS97" s="694"/>
      <c r="AT97" s="694"/>
      <c r="AU97" s="797"/>
      <c r="AV97" s="797">
        <v>0.20719409903967406</v>
      </c>
      <c r="AW97" s="797">
        <v>0.20719409903967406</v>
      </c>
      <c r="AX97" s="797">
        <v>0.20719409903967406</v>
      </c>
      <c r="AY97" s="797">
        <v>0.20719409903967406</v>
      </c>
      <c r="AZ97" s="694">
        <v>0</v>
      </c>
      <c r="BA97" s="694">
        <v>0</v>
      </c>
      <c r="BB97" s="694">
        <v>0</v>
      </c>
      <c r="BC97" s="694">
        <v>0</v>
      </c>
      <c r="BD97" s="694">
        <v>0</v>
      </c>
      <c r="BE97" s="694">
        <v>0</v>
      </c>
      <c r="BF97" s="694">
        <v>0</v>
      </c>
      <c r="BG97" s="694">
        <v>0</v>
      </c>
      <c r="BH97" s="694">
        <v>0</v>
      </c>
      <c r="BI97" s="694">
        <v>0</v>
      </c>
      <c r="BJ97" s="694">
        <v>0</v>
      </c>
      <c r="BK97" s="694">
        <v>0</v>
      </c>
      <c r="BL97" s="694">
        <v>0</v>
      </c>
      <c r="BM97" s="694">
        <v>0</v>
      </c>
      <c r="BN97" s="694">
        <v>0</v>
      </c>
      <c r="BO97" s="694">
        <v>0</v>
      </c>
      <c r="BP97" s="694">
        <v>0</v>
      </c>
      <c r="BQ97" s="694">
        <v>0</v>
      </c>
      <c r="BR97" s="694">
        <v>0</v>
      </c>
      <c r="BS97" s="694"/>
      <c r="BT97" s="694"/>
      <c r="BU97" s="796"/>
      <c r="BV97" s="796">
        <v>369.43987795757147</v>
      </c>
      <c r="BW97" s="796">
        <v>369.43987795757147</v>
      </c>
      <c r="BX97" s="796">
        <v>369.43987795757147</v>
      </c>
      <c r="BY97" s="796">
        <v>369.43987795757147</v>
      </c>
      <c r="BZ97" s="694">
        <v>0</v>
      </c>
      <c r="CA97" s="694">
        <v>0</v>
      </c>
      <c r="CB97" s="694">
        <v>0</v>
      </c>
      <c r="CC97" s="694">
        <v>0</v>
      </c>
      <c r="CD97" s="694">
        <v>0</v>
      </c>
      <c r="CE97" s="694">
        <v>0</v>
      </c>
      <c r="CF97" s="694">
        <v>0</v>
      </c>
      <c r="CG97" s="694">
        <v>0</v>
      </c>
      <c r="CH97" s="694">
        <v>0</v>
      </c>
      <c r="CI97" s="694">
        <v>0</v>
      </c>
      <c r="CJ97" s="694">
        <v>0</v>
      </c>
      <c r="CK97" s="694">
        <v>0</v>
      </c>
      <c r="CL97" s="694">
        <v>0</v>
      </c>
      <c r="CM97" s="694">
        <v>0</v>
      </c>
      <c r="CN97" s="694">
        <v>0</v>
      </c>
      <c r="CO97" s="694">
        <v>0</v>
      </c>
      <c r="CP97" s="694">
        <v>0</v>
      </c>
      <c r="CQ97" s="694">
        <v>0</v>
      </c>
      <c r="CR97" s="694">
        <v>0</v>
      </c>
    </row>
    <row r="98" spans="1:96">
      <c r="A98" s="694" t="s">
        <v>3</v>
      </c>
      <c r="B98" s="705"/>
      <c r="C98" s="694">
        <v>2014</v>
      </c>
      <c r="D98" s="694" t="s">
        <v>15</v>
      </c>
      <c r="E98" s="694" t="s">
        <v>19</v>
      </c>
      <c r="F98" s="694" t="s">
        <v>17</v>
      </c>
      <c r="G98" s="694"/>
      <c r="H98" s="694" t="s">
        <v>1092</v>
      </c>
      <c r="I98" s="694" t="s">
        <v>5</v>
      </c>
      <c r="J98" s="694" t="s">
        <v>376</v>
      </c>
      <c r="K98" s="751">
        <v>1</v>
      </c>
      <c r="L98" s="694"/>
      <c r="M98" s="694" t="s">
        <v>1091</v>
      </c>
      <c r="N98" s="694">
        <v>4</v>
      </c>
      <c r="O98" s="694"/>
      <c r="P98" s="694"/>
      <c r="Q98" s="694"/>
      <c r="R98" s="694"/>
      <c r="S98" s="694"/>
      <c r="T98" s="694"/>
      <c r="U98" s="694"/>
      <c r="V98" s="694"/>
      <c r="W98" s="797">
        <v>0.39365566631983673</v>
      </c>
      <c r="X98" s="796">
        <v>701.9123710403511</v>
      </c>
      <c r="Y98" s="796">
        <v>2807.6494841614044</v>
      </c>
      <c r="Z98" s="796">
        <v>1477.7595118302859</v>
      </c>
      <c r="AA98" s="796">
        <v>369.43987795757147</v>
      </c>
      <c r="AB98" s="797">
        <v>0.20719409903967406</v>
      </c>
      <c r="AC98" s="801">
        <v>1</v>
      </c>
      <c r="AD98" s="801">
        <v>1</v>
      </c>
      <c r="AE98" s="799">
        <v>0.50666666666666671</v>
      </c>
      <c r="AF98" s="800">
        <v>3.3000000000000002E-2</v>
      </c>
      <c r="AG98" s="694"/>
      <c r="AH98" s="799">
        <v>0.52633333333333332</v>
      </c>
      <c r="AI98" s="799">
        <v>0.50666666666666671</v>
      </c>
      <c r="AJ98" s="800">
        <v>3.3000000000000002E-2</v>
      </c>
      <c r="AK98" s="694"/>
      <c r="AL98" s="799">
        <v>0.52633333333333332</v>
      </c>
      <c r="AM98" s="694" t="s">
        <v>653</v>
      </c>
      <c r="AN98" s="694" t="s">
        <v>653</v>
      </c>
      <c r="AO98" s="694" t="s">
        <v>653</v>
      </c>
      <c r="AP98" s="702">
        <v>74.766565500281061</v>
      </c>
      <c r="AQ98" s="798">
        <v>74.766565500281061</v>
      </c>
      <c r="AR98" s="694" t="s">
        <v>1090</v>
      </c>
      <c r="AS98" s="694"/>
      <c r="AT98" s="694"/>
      <c r="AU98" s="797"/>
      <c r="AV98" s="797">
        <v>0.20719409903967406</v>
      </c>
      <c r="AW98" s="797">
        <v>0.20719409903967406</v>
      </c>
      <c r="AX98" s="797">
        <v>0.20719409903967406</v>
      </c>
      <c r="AY98" s="797">
        <v>0.20719409903967406</v>
      </c>
      <c r="AZ98" s="694">
        <v>0</v>
      </c>
      <c r="BA98" s="694">
        <v>0</v>
      </c>
      <c r="BB98" s="694">
        <v>0</v>
      </c>
      <c r="BC98" s="694">
        <v>0</v>
      </c>
      <c r="BD98" s="694">
        <v>0</v>
      </c>
      <c r="BE98" s="694">
        <v>0</v>
      </c>
      <c r="BF98" s="694">
        <v>0</v>
      </c>
      <c r="BG98" s="694">
        <v>0</v>
      </c>
      <c r="BH98" s="694">
        <v>0</v>
      </c>
      <c r="BI98" s="694">
        <v>0</v>
      </c>
      <c r="BJ98" s="694">
        <v>0</v>
      </c>
      <c r="BK98" s="694">
        <v>0</v>
      </c>
      <c r="BL98" s="694">
        <v>0</v>
      </c>
      <c r="BM98" s="694">
        <v>0</v>
      </c>
      <c r="BN98" s="694">
        <v>0</v>
      </c>
      <c r="BO98" s="694">
        <v>0</v>
      </c>
      <c r="BP98" s="694">
        <v>0</v>
      </c>
      <c r="BQ98" s="694">
        <v>0</v>
      </c>
      <c r="BR98" s="694">
        <v>0</v>
      </c>
      <c r="BS98" s="694"/>
      <c r="BT98" s="694"/>
      <c r="BU98" s="796"/>
      <c r="BV98" s="796">
        <v>369.43987795757147</v>
      </c>
      <c r="BW98" s="796">
        <v>369.43987795757147</v>
      </c>
      <c r="BX98" s="796">
        <v>369.43987795757147</v>
      </c>
      <c r="BY98" s="796">
        <v>369.43987795757147</v>
      </c>
      <c r="BZ98" s="694">
        <v>0</v>
      </c>
      <c r="CA98" s="694">
        <v>0</v>
      </c>
      <c r="CB98" s="694">
        <v>0</v>
      </c>
      <c r="CC98" s="694">
        <v>0</v>
      </c>
      <c r="CD98" s="694">
        <v>0</v>
      </c>
      <c r="CE98" s="694">
        <v>0</v>
      </c>
      <c r="CF98" s="694">
        <v>0</v>
      </c>
      <c r="CG98" s="694">
        <v>0</v>
      </c>
      <c r="CH98" s="694">
        <v>0</v>
      </c>
      <c r="CI98" s="694">
        <v>0</v>
      </c>
      <c r="CJ98" s="694">
        <v>0</v>
      </c>
      <c r="CK98" s="694">
        <v>0</v>
      </c>
      <c r="CL98" s="694">
        <v>0</v>
      </c>
      <c r="CM98" s="694">
        <v>0</v>
      </c>
      <c r="CN98" s="694">
        <v>0</v>
      </c>
      <c r="CO98" s="694">
        <v>0</v>
      </c>
      <c r="CP98" s="694">
        <v>0</v>
      </c>
      <c r="CQ98" s="694">
        <v>0</v>
      </c>
      <c r="CR98" s="694">
        <v>0</v>
      </c>
    </row>
    <row r="99" spans="1:96">
      <c r="A99" s="743" t="s">
        <v>3</v>
      </c>
      <c r="B99" s="752">
        <v>41530</v>
      </c>
      <c r="C99" s="745">
        <v>2013</v>
      </c>
      <c r="D99" s="746" t="s">
        <v>15</v>
      </c>
      <c r="E99" s="746" t="s">
        <v>25</v>
      </c>
      <c r="F99" s="746" t="s">
        <v>17</v>
      </c>
      <c r="G99" s="746"/>
      <c r="H99" s="743" t="s">
        <v>959</v>
      </c>
      <c r="I99" s="746" t="s">
        <v>5</v>
      </c>
      <c r="J99" s="746" t="s">
        <v>376</v>
      </c>
      <c r="K99" s="706">
        <v>1</v>
      </c>
      <c r="L99" s="743"/>
      <c r="M99" s="743" t="s">
        <v>980</v>
      </c>
      <c r="N99" s="743">
        <v>19</v>
      </c>
      <c r="O99" s="706"/>
      <c r="P99" s="706"/>
      <c r="Q99" s="706"/>
      <c r="R99" s="706"/>
      <c r="S99" s="706"/>
      <c r="T99" s="706"/>
      <c r="U99" s="738">
        <v>0.56111033676686872</v>
      </c>
      <c r="V99" s="795">
        <v>1089.5241408502645</v>
      </c>
      <c r="W99" s="793">
        <v>0.56111033676686872</v>
      </c>
      <c r="X99" s="708">
        <v>1089.5241408502645</v>
      </c>
      <c r="Y99" s="719">
        <v>20700.958676155027</v>
      </c>
      <c r="Z99" s="719">
        <v>9700.4941147715253</v>
      </c>
      <c r="AA99" s="719">
        <v>1021.1046436601604</v>
      </c>
      <c r="AB99" s="738">
        <v>0.26293697817068751</v>
      </c>
      <c r="AC99" s="706"/>
      <c r="AD99" s="706"/>
      <c r="AE99" s="714">
        <v>0.55640399126363804</v>
      </c>
      <c r="AF99" s="714">
        <v>2.500519309808772E-2</v>
      </c>
      <c r="AG99" s="706"/>
      <c r="AH99" s="714">
        <v>0.4686012018344497</v>
      </c>
      <c r="AI99" s="748">
        <v>0.55640399126363804</v>
      </c>
      <c r="AJ99" s="748">
        <v>2.500519309808772E-2</v>
      </c>
      <c r="AK99" s="748"/>
      <c r="AL99" s="714">
        <v>0.4686012018344497</v>
      </c>
      <c r="AM99" s="706"/>
      <c r="AN99" s="706"/>
      <c r="AO99" s="706"/>
      <c r="AP99" s="747"/>
      <c r="AQ99" s="733"/>
      <c r="AR99" s="706"/>
      <c r="AS99" s="706"/>
      <c r="AT99" s="706"/>
      <c r="AU99" s="706">
        <v>0.26293697817068751</v>
      </c>
      <c r="AV99" s="706">
        <v>0.26293697817068751</v>
      </c>
      <c r="AW99" s="706">
        <v>0.26293697817068751</v>
      </c>
      <c r="AX99" s="706">
        <v>0.26293697817068751</v>
      </c>
      <c r="AY99" s="706">
        <v>0.26293697817068751</v>
      </c>
      <c r="AZ99" s="706">
        <v>0.26293697817068751</v>
      </c>
      <c r="BA99" s="706">
        <v>0.26293697817068751</v>
      </c>
      <c r="BB99" s="706">
        <v>0.26293697817068751</v>
      </c>
      <c r="BC99" s="706">
        <v>0.26293697817068751</v>
      </c>
      <c r="BD99" s="706">
        <v>0.26293697817068751</v>
      </c>
      <c r="BE99" s="706">
        <v>0.26293697817068751</v>
      </c>
      <c r="BF99" s="706">
        <v>0.26293697817068751</v>
      </c>
      <c r="BG99" s="706">
        <v>0.26293697817068751</v>
      </c>
      <c r="BH99" s="706">
        <v>0.26293697817068751</v>
      </c>
      <c r="BI99" s="706">
        <v>0.26293697817068751</v>
      </c>
      <c r="BJ99" s="706">
        <v>0.26293697817068751</v>
      </c>
      <c r="BK99" s="706">
        <v>0.26293697817068751</v>
      </c>
      <c r="BL99" s="706">
        <v>0.26293697817068751</v>
      </c>
      <c r="BM99" s="706">
        <v>0.26293697817068751</v>
      </c>
      <c r="BN99" s="710"/>
      <c r="BO99" s="710"/>
      <c r="BP99" s="710"/>
      <c r="BQ99" s="710"/>
      <c r="BR99" s="710"/>
      <c r="BS99" s="706"/>
      <c r="BT99" s="706"/>
      <c r="BU99" s="791">
        <v>510.55232183008019</v>
      </c>
      <c r="BV99" s="791">
        <v>510.55232183008019</v>
      </c>
      <c r="BW99" s="791">
        <v>510.55232183008019</v>
      </c>
      <c r="BX99" s="791">
        <v>510.55232183008019</v>
      </c>
      <c r="BY99" s="791">
        <v>510.55232183008019</v>
      </c>
      <c r="BZ99" s="791">
        <v>510.55232183008019</v>
      </c>
      <c r="CA99" s="791">
        <v>510.55232183008019</v>
      </c>
      <c r="CB99" s="791">
        <v>510.55232183008019</v>
      </c>
      <c r="CC99" s="791">
        <v>510.55232183008019</v>
      </c>
      <c r="CD99" s="791">
        <v>510.55232183008019</v>
      </c>
      <c r="CE99" s="791">
        <v>510.55232183008019</v>
      </c>
      <c r="CF99" s="791">
        <v>510.55232183008019</v>
      </c>
      <c r="CG99" s="791">
        <v>510.55232183008019</v>
      </c>
      <c r="CH99" s="791">
        <v>510.55232183008019</v>
      </c>
      <c r="CI99" s="791">
        <v>510.55232183008019</v>
      </c>
      <c r="CJ99" s="791">
        <v>510.55232183008019</v>
      </c>
      <c r="CK99" s="791">
        <v>510.55232183008019</v>
      </c>
      <c r="CL99" s="791">
        <v>510.55232183008019</v>
      </c>
      <c r="CM99" s="791">
        <v>510.55232183008019</v>
      </c>
      <c r="CN99" s="694"/>
      <c r="CO99" s="694"/>
      <c r="CP99" s="694"/>
      <c r="CQ99" s="694"/>
      <c r="CR99" s="694"/>
    </row>
    <row r="100" spans="1:96">
      <c r="A100" s="743" t="s">
        <v>3</v>
      </c>
      <c r="B100" s="752">
        <v>41568</v>
      </c>
      <c r="C100" s="745">
        <v>2013</v>
      </c>
      <c r="D100" s="746" t="s">
        <v>15</v>
      </c>
      <c r="E100" s="746" t="s">
        <v>25</v>
      </c>
      <c r="F100" s="746" t="s">
        <v>17</v>
      </c>
      <c r="G100" s="746"/>
      <c r="H100" s="743" t="s">
        <v>959</v>
      </c>
      <c r="I100" s="746" t="s">
        <v>5</v>
      </c>
      <c r="J100" s="746" t="s">
        <v>376</v>
      </c>
      <c r="K100" s="706">
        <v>1</v>
      </c>
      <c r="L100" s="743"/>
      <c r="M100" s="743" t="s">
        <v>1027</v>
      </c>
      <c r="N100" s="743">
        <v>19</v>
      </c>
      <c r="O100" s="706"/>
      <c r="P100" s="706"/>
      <c r="Q100" s="706"/>
      <c r="R100" s="706"/>
      <c r="S100" s="706"/>
      <c r="T100" s="706"/>
      <c r="U100" s="738">
        <v>0.56111033676686872</v>
      </c>
      <c r="V100" s="795">
        <v>1089.5241408502645</v>
      </c>
      <c r="W100" s="793">
        <v>0.56111033676686872</v>
      </c>
      <c r="X100" s="708">
        <v>1089.5241408502645</v>
      </c>
      <c r="Y100" s="719">
        <v>20700.958676155027</v>
      </c>
      <c r="Z100" s="719">
        <v>9700.4941147715253</v>
      </c>
      <c r="AA100" s="719">
        <v>1021.1046436601604</v>
      </c>
      <c r="AB100" s="738">
        <v>0.26293697817068751</v>
      </c>
      <c r="AC100" s="706"/>
      <c r="AD100" s="706"/>
      <c r="AE100" s="714">
        <v>0.55640399126363804</v>
      </c>
      <c r="AF100" s="714">
        <v>2.500519309808772E-2</v>
      </c>
      <c r="AG100" s="706"/>
      <c r="AH100" s="714">
        <v>0.4686012018344497</v>
      </c>
      <c r="AI100" s="748">
        <v>0.55640399126363804</v>
      </c>
      <c r="AJ100" s="748">
        <v>2.500519309808772E-2</v>
      </c>
      <c r="AK100" s="748"/>
      <c r="AL100" s="714">
        <v>0.4686012018344497</v>
      </c>
      <c r="AM100" s="706"/>
      <c r="AN100" s="706"/>
      <c r="AO100" s="706"/>
      <c r="AP100" s="747"/>
      <c r="AQ100" s="733"/>
      <c r="AR100" s="706"/>
      <c r="AS100" s="706"/>
      <c r="AT100" s="706"/>
      <c r="AU100" s="706">
        <v>0.26293697817068751</v>
      </c>
      <c r="AV100" s="706">
        <v>0.26293697817068751</v>
      </c>
      <c r="AW100" s="706">
        <v>0.26293697817068751</v>
      </c>
      <c r="AX100" s="706">
        <v>0.26293697817068751</v>
      </c>
      <c r="AY100" s="706">
        <v>0.26293697817068751</v>
      </c>
      <c r="AZ100" s="706">
        <v>0.26293697817068751</v>
      </c>
      <c r="BA100" s="706">
        <v>0.26293697817068751</v>
      </c>
      <c r="BB100" s="706">
        <v>0.26293697817068751</v>
      </c>
      <c r="BC100" s="706">
        <v>0.26293697817068751</v>
      </c>
      <c r="BD100" s="706">
        <v>0.26293697817068751</v>
      </c>
      <c r="BE100" s="706">
        <v>0.26293697817068751</v>
      </c>
      <c r="BF100" s="706">
        <v>0.26293697817068751</v>
      </c>
      <c r="BG100" s="706">
        <v>0.26293697817068751</v>
      </c>
      <c r="BH100" s="706">
        <v>0.26293697817068751</v>
      </c>
      <c r="BI100" s="706">
        <v>0.26293697817068751</v>
      </c>
      <c r="BJ100" s="706">
        <v>0.26293697817068751</v>
      </c>
      <c r="BK100" s="706">
        <v>0.26293697817068751</v>
      </c>
      <c r="BL100" s="706">
        <v>0.26293697817068751</v>
      </c>
      <c r="BM100" s="706">
        <v>0.26293697817068751</v>
      </c>
      <c r="BN100" s="710"/>
      <c r="BO100" s="710"/>
      <c r="BP100" s="710"/>
      <c r="BQ100" s="710"/>
      <c r="BR100" s="710"/>
      <c r="BS100" s="706"/>
      <c r="BT100" s="706"/>
      <c r="BU100" s="791">
        <v>510.55232183008019</v>
      </c>
      <c r="BV100" s="791">
        <v>510.55232183008019</v>
      </c>
      <c r="BW100" s="791">
        <v>510.55232183008019</v>
      </c>
      <c r="BX100" s="791">
        <v>510.55232183008019</v>
      </c>
      <c r="BY100" s="791">
        <v>510.55232183008019</v>
      </c>
      <c r="BZ100" s="791">
        <v>510.55232183008019</v>
      </c>
      <c r="CA100" s="791">
        <v>510.55232183008019</v>
      </c>
      <c r="CB100" s="791">
        <v>510.55232183008019</v>
      </c>
      <c r="CC100" s="791">
        <v>510.55232183008019</v>
      </c>
      <c r="CD100" s="791">
        <v>510.55232183008019</v>
      </c>
      <c r="CE100" s="791">
        <v>510.55232183008019</v>
      </c>
      <c r="CF100" s="791">
        <v>510.55232183008019</v>
      </c>
      <c r="CG100" s="791">
        <v>510.55232183008019</v>
      </c>
      <c r="CH100" s="791">
        <v>510.55232183008019</v>
      </c>
      <c r="CI100" s="791">
        <v>510.55232183008019</v>
      </c>
      <c r="CJ100" s="791">
        <v>510.55232183008019</v>
      </c>
      <c r="CK100" s="791">
        <v>510.55232183008019</v>
      </c>
      <c r="CL100" s="791">
        <v>510.55232183008019</v>
      </c>
      <c r="CM100" s="791">
        <v>510.55232183008019</v>
      </c>
      <c r="CN100" s="694"/>
      <c r="CO100" s="694"/>
      <c r="CP100" s="694"/>
      <c r="CQ100" s="694"/>
      <c r="CR100" s="694"/>
    </row>
    <row r="101" spans="1:96">
      <c r="A101" s="743" t="s">
        <v>3</v>
      </c>
      <c r="B101" s="752">
        <v>41575</v>
      </c>
      <c r="C101" s="745">
        <v>2013</v>
      </c>
      <c r="D101" s="746" t="s">
        <v>15</v>
      </c>
      <c r="E101" s="746" t="s">
        <v>25</v>
      </c>
      <c r="F101" s="746" t="s">
        <v>17</v>
      </c>
      <c r="G101" s="746"/>
      <c r="H101" s="743" t="s">
        <v>959</v>
      </c>
      <c r="I101" s="746" t="s">
        <v>5</v>
      </c>
      <c r="J101" s="746" t="s">
        <v>376</v>
      </c>
      <c r="K101" s="706">
        <v>1</v>
      </c>
      <c r="L101" s="743"/>
      <c r="M101" s="743" t="s">
        <v>1086</v>
      </c>
      <c r="N101" s="743">
        <v>19</v>
      </c>
      <c r="O101" s="706"/>
      <c r="P101" s="706"/>
      <c r="Q101" s="706"/>
      <c r="R101" s="706"/>
      <c r="S101" s="706"/>
      <c r="T101" s="706"/>
      <c r="U101" s="738">
        <v>0.56111033676686872</v>
      </c>
      <c r="V101" s="795">
        <v>1089.5241408502645</v>
      </c>
      <c r="W101" s="793">
        <v>0.56111033676686872</v>
      </c>
      <c r="X101" s="708">
        <v>1089.5241408502645</v>
      </c>
      <c r="Y101" s="719">
        <v>20700.958676155027</v>
      </c>
      <c r="Z101" s="719">
        <v>9700.4941147715253</v>
      </c>
      <c r="AA101" s="719">
        <v>1021.1046436601604</v>
      </c>
      <c r="AB101" s="738">
        <v>0.26293697817068751</v>
      </c>
      <c r="AC101" s="706"/>
      <c r="AD101" s="706"/>
      <c r="AE101" s="714">
        <v>0.55640399126363804</v>
      </c>
      <c r="AF101" s="714">
        <v>2.500519309808772E-2</v>
      </c>
      <c r="AG101" s="706"/>
      <c r="AH101" s="714">
        <v>0.4686012018344497</v>
      </c>
      <c r="AI101" s="748">
        <v>0.55640399126363804</v>
      </c>
      <c r="AJ101" s="748">
        <v>2.500519309808772E-2</v>
      </c>
      <c r="AK101" s="748"/>
      <c r="AL101" s="714">
        <v>0.4686012018344497</v>
      </c>
      <c r="AM101" s="706"/>
      <c r="AN101" s="706"/>
      <c r="AO101" s="706"/>
      <c r="AP101" s="747"/>
      <c r="AQ101" s="733"/>
      <c r="AR101" s="706"/>
      <c r="AS101" s="706"/>
      <c r="AT101" s="706"/>
      <c r="AU101" s="706">
        <v>0.26293697817068751</v>
      </c>
      <c r="AV101" s="706">
        <v>0.26293697817068751</v>
      </c>
      <c r="AW101" s="706">
        <v>0.26293697817068751</v>
      </c>
      <c r="AX101" s="706">
        <v>0.26293697817068751</v>
      </c>
      <c r="AY101" s="706">
        <v>0.26293697817068751</v>
      </c>
      <c r="AZ101" s="706">
        <v>0.26293697817068751</v>
      </c>
      <c r="BA101" s="706">
        <v>0.26293697817068751</v>
      </c>
      <c r="BB101" s="706">
        <v>0.26293697817068751</v>
      </c>
      <c r="BC101" s="706">
        <v>0.26293697817068751</v>
      </c>
      <c r="BD101" s="706">
        <v>0.26293697817068751</v>
      </c>
      <c r="BE101" s="706">
        <v>0.26293697817068751</v>
      </c>
      <c r="BF101" s="706">
        <v>0.26293697817068751</v>
      </c>
      <c r="BG101" s="706">
        <v>0.26293697817068751</v>
      </c>
      <c r="BH101" s="706">
        <v>0.26293697817068751</v>
      </c>
      <c r="BI101" s="706">
        <v>0.26293697817068751</v>
      </c>
      <c r="BJ101" s="706">
        <v>0.26293697817068751</v>
      </c>
      <c r="BK101" s="706">
        <v>0.26293697817068751</v>
      </c>
      <c r="BL101" s="706">
        <v>0.26293697817068751</v>
      </c>
      <c r="BM101" s="706">
        <v>0.26293697817068751</v>
      </c>
      <c r="BN101" s="710"/>
      <c r="BO101" s="710"/>
      <c r="BP101" s="710"/>
      <c r="BQ101" s="710"/>
      <c r="BR101" s="710"/>
      <c r="BS101" s="706"/>
      <c r="BT101" s="706"/>
      <c r="BU101" s="791">
        <v>510.55232183008019</v>
      </c>
      <c r="BV101" s="791">
        <v>510.55232183008019</v>
      </c>
      <c r="BW101" s="791">
        <v>510.55232183008019</v>
      </c>
      <c r="BX101" s="791">
        <v>510.55232183008019</v>
      </c>
      <c r="BY101" s="791">
        <v>510.55232183008019</v>
      </c>
      <c r="BZ101" s="791">
        <v>510.55232183008019</v>
      </c>
      <c r="CA101" s="791">
        <v>510.55232183008019</v>
      </c>
      <c r="CB101" s="791">
        <v>510.55232183008019</v>
      </c>
      <c r="CC101" s="791">
        <v>510.55232183008019</v>
      </c>
      <c r="CD101" s="791">
        <v>510.55232183008019</v>
      </c>
      <c r="CE101" s="791">
        <v>510.55232183008019</v>
      </c>
      <c r="CF101" s="791">
        <v>510.55232183008019</v>
      </c>
      <c r="CG101" s="791">
        <v>510.55232183008019</v>
      </c>
      <c r="CH101" s="791">
        <v>510.55232183008019</v>
      </c>
      <c r="CI101" s="791">
        <v>510.55232183008019</v>
      </c>
      <c r="CJ101" s="791">
        <v>510.55232183008019</v>
      </c>
      <c r="CK101" s="791">
        <v>510.55232183008019</v>
      </c>
      <c r="CL101" s="791">
        <v>510.55232183008019</v>
      </c>
      <c r="CM101" s="791">
        <v>510.55232183008019</v>
      </c>
      <c r="CN101" s="694"/>
      <c r="CO101" s="694"/>
      <c r="CP101" s="694"/>
      <c r="CQ101" s="694"/>
      <c r="CR101" s="694"/>
    </row>
    <row r="102" spans="1:96">
      <c r="A102" s="743" t="s">
        <v>3</v>
      </c>
      <c r="B102" s="752">
        <v>41599</v>
      </c>
      <c r="C102" s="745">
        <v>2013</v>
      </c>
      <c r="D102" s="746" t="s">
        <v>15</v>
      </c>
      <c r="E102" s="746" t="s">
        <v>25</v>
      </c>
      <c r="F102" s="746" t="s">
        <v>17</v>
      </c>
      <c r="G102" s="746"/>
      <c r="H102" s="743" t="s">
        <v>959</v>
      </c>
      <c r="I102" s="746" t="s">
        <v>5</v>
      </c>
      <c r="J102" s="746" t="s">
        <v>376</v>
      </c>
      <c r="K102" s="706">
        <v>1</v>
      </c>
      <c r="L102" s="743"/>
      <c r="M102" s="743" t="s">
        <v>1078</v>
      </c>
      <c r="N102" s="743">
        <v>19</v>
      </c>
      <c r="O102" s="706"/>
      <c r="P102" s="706"/>
      <c r="Q102" s="706"/>
      <c r="R102" s="706"/>
      <c r="S102" s="706"/>
      <c r="T102" s="706"/>
      <c r="U102" s="738">
        <v>0.56111033676686872</v>
      </c>
      <c r="V102" s="795">
        <v>1089.5241408502645</v>
      </c>
      <c r="W102" s="793">
        <v>0.56111033676686872</v>
      </c>
      <c r="X102" s="708">
        <v>1089.5241408502645</v>
      </c>
      <c r="Y102" s="719">
        <v>20700.958676155027</v>
      </c>
      <c r="Z102" s="719">
        <v>9700.4941147715253</v>
      </c>
      <c r="AA102" s="719">
        <v>1021.1046436601604</v>
      </c>
      <c r="AB102" s="738">
        <v>0.26293697817068751</v>
      </c>
      <c r="AC102" s="706"/>
      <c r="AD102" s="706"/>
      <c r="AE102" s="714">
        <v>0.55640399126363804</v>
      </c>
      <c r="AF102" s="714">
        <v>2.500519309808772E-2</v>
      </c>
      <c r="AG102" s="706"/>
      <c r="AH102" s="714">
        <v>0.4686012018344497</v>
      </c>
      <c r="AI102" s="748">
        <v>0.55640399126363804</v>
      </c>
      <c r="AJ102" s="748">
        <v>2.500519309808772E-2</v>
      </c>
      <c r="AK102" s="748"/>
      <c r="AL102" s="714">
        <v>0.4686012018344497</v>
      </c>
      <c r="AM102" s="706"/>
      <c r="AN102" s="706"/>
      <c r="AO102" s="706"/>
      <c r="AP102" s="747"/>
      <c r="AQ102" s="733"/>
      <c r="AR102" s="706"/>
      <c r="AS102" s="706"/>
      <c r="AT102" s="706"/>
      <c r="AU102" s="706">
        <v>0.26293697817068751</v>
      </c>
      <c r="AV102" s="706">
        <v>0.26293697817068751</v>
      </c>
      <c r="AW102" s="706">
        <v>0.26293697817068751</v>
      </c>
      <c r="AX102" s="706">
        <v>0.26293697817068751</v>
      </c>
      <c r="AY102" s="706">
        <v>0.26293697817068751</v>
      </c>
      <c r="AZ102" s="706">
        <v>0.26293697817068751</v>
      </c>
      <c r="BA102" s="706">
        <v>0.26293697817068751</v>
      </c>
      <c r="BB102" s="706">
        <v>0.26293697817068751</v>
      </c>
      <c r="BC102" s="706">
        <v>0.26293697817068751</v>
      </c>
      <c r="BD102" s="706">
        <v>0.26293697817068751</v>
      </c>
      <c r="BE102" s="706">
        <v>0.26293697817068751</v>
      </c>
      <c r="BF102" s="706">
        <v>0.26293697817068751</v>
      </c>
      <c r="BG102" s="706">
        <v>0.26293697817068751</v>
      </c>
      <c r="BH102" s="706">
        <v>0.26293697817068751</v>
      </c>
      <c r="BI102" s="706">
        <v>0.26293697817068751</v>
      </c>
      <c r="BJ102" s="706">
        <v>0.26293697817068751</v>
      </c>
      <c r="BK102" s="706">
        <v>0.26293697817068751</v>
      </c>
      <c r="BL102" s="706">
        <v>0.26293697817068751</v>
      </c>
      <c r="BM102" s="706">
        <v>0.26293697817068751</v>
      </c>
      <c r="BN102" s="710"/>
      <c r="BO102" s="710"/>
      <c r="BP102" s="710"/>
      <c r="BQ102" s="710"/>
      <c r="BR102" s="710"/>
      <c r="BS102" s="706"/>
      <c r="BT102" s="706"/>
      <c r="BU102" s="791">
        <v>510.55232183008019</v>
      </c>
      <c r="BV102" s="791">
        <v>510.55232183008019</v>
      </c>
      <c r="BW102" s="791">
        <v>510.55232183008019</v>
      </c>
      <c r="BX102" s="791">
        <v>510.55232183008019</v>
      </c>
      <c r="BY102" s="791">
        <v>510.55232183008019</v>
      </c>
      <c r="BZ102" s="791">
        <v>510.55232183008019</v>
      </c>
      <c r="CA102" s="791">
        <v>510.55232183008019</v>
      </c>
      <c r="CB102" s="791">
        <v>510.55232183008019</v>
      </c>
      <c r="CC102" s="791">
        <v>510.55232183008019</v>
      </c>
      <c r="CD102" s="791">
        <v>510.55232183008019</v>
      </c>
      <c r="CE102" s="791">
        <v>510.55232183008019</v>
      </c>
      <c r="CF102" s="791">
        <v>510.55232183008019</v>
      </c>
      <c r="CG102" s="791">
        <v>510.55232183008019</v>
      </c>
      <c r="CH102" s="791">
        <v>510.55232183008019</v>
      </c>
      <c r="CI102" s="791">
        <v>510.55232183008019</v>
      </c>
      <c r="CJ102" s="791">
        <v>510.55232183008019</v>
      </c>
      <c r="CK102" s="791">
        <v>510.55232183008019</v>
      </c>
      <c r="CL102" s="791">
        <v>510.55232183008019</v>
      </c>
      <c r="CM102" s="791">
        <v>510.55232183008019</v>
      </c>
      <c r="CN102" s="694"/>
      <c r="CO102" s="694"/>
      <c r="CP102" s="694"/>
      <c r="CQ102" s="694"/>
      <c r="CR102" s="694"/>
    </row>
    <row r="103" spans="1:96">
      <c r="A103" s="743" t="s">
        <v>3</v>
      </c>
      <c r="B103" s="752">
        <v>41621</v>
      </c>
      <c r="C103" s="745">
        <v>2013</v>
      </c>
      <c r="D103" s="746" t="s">
        <v>15</v>
      </c>
      <c r="E103" s="746" t="s">
        <v>25</v>
      </c>
      <c r="F103" s="746" t="s">
        <v>17</v>
      </c>
      <c r="G103" s="746"/>
      <c r="H103" s="743" t="s">
        <v>959</v>
      </c>
      <c r="I103" s="746" t="s">
        <v>5</v>
      </c>
      <c r="J103" s="746" t="s">
        <v>376</v>
      </c>
      <c r="K103" s="706">
        <v>1</v>
      </c>
      <c r="L103" s="743"/>
      <c r="M103" s="743" t="s">
        <v>1085</v>
      </c>
      <c r="N103" s="743">
        <v>19</v>
      </c>
      <c r="O103" s="706"/>
      <c r="P103" s="706"/>
      <c r="Q103" s="706"/>
      <c r="R103" s="706"/>
      <c r="S103" s="706"/>
      <c r="T103" s="706"/>
      <c r="U103" s="738">
        <v>0.56111033676686872</v>
      </c>
      <c r="V103" s="795">
        <v>1089.5241408502645</v>
      </c>
      <c r="W103" s="793">
        <v>0.56111033676686872</v>
      </c>
      <c r="X103" s="708">
        <v>1089.5241408502645</v>
      </c>
      <c r="Y103" s="719">
        <v>20700.958676155027</v>
      </c>
      <c r="Z103" s="719">
        <v>9700.4941147715253</v>
      </c>
      <c r="AA103" s="719">
        <v>1021.1046436601604</v>
      </c>
      <c r="AB103" s="738">
        <v>0.26293697817068751</v>
      </c>
      <c r="AC103" s="706"/>
      <c r="AD103" s="706"/>
      <c r="AE103" s="714">
        <v>0.55640399126363804</v>
      </c>
      <c r="AF103" s="714">
        <v>2.500519309808772E-2</v>
      </c>
      <c r="AG103" s="706"/>
      <c r="AH103" s="714">
        <v>0.4686012018344497</v>
      </c>
      <c r="AI103" s="748">
        <v>0.55640399126363804</v>
      </c>
      <c r="AJ103" s="748">
        <v>2.500519309808772E-2</v>
      </c>
      <c r="AK103" s="748"/>
      <c r="AL103" s="714">
        <v>0.4686012018344497</v>
      </c>
      <c r="AM103" s="706"/>
      <c r="AN103" s="706"/>
      <c r="AO103" s="706"/>
      <c r="AP103" s="747"/>
      <c r="AQ103" s="733"/>
      <c r="AR103" s="706"/>
      <c r="AS103" s="706"/>
      <c r="AT103" s="706"/>
      <c r="AU103" s="706">
        <v>0.26293697817068751</v>
      </c>
      <c r="AV103" s="706">
        <v>0.26293697817068751</v>
      </c>
      <c r="AW103" s="706">
        <v>0.26293697817068751</v>
      </c>
      <c r="AX103" s="706">
        <v>0.26293697817068751</v>
      </c>
      <c r="AY103" s="706">
        <v>0.26293697817068751</v>
      </c>
      <c r="AZ103" s="706">
        <v>0.26293697817068751</v>
      </c>
      <c r="BA103" s="706">
        <v>0.26293697817068751</v>
      </c>
      <c r="BB103" s="706">
        <v>0.26293697817068751</v>
      </c>
      <c r="BC103" s="706">
        <v>0.26293697817068751</v>
      </c>
      <c r="BD103" s="706">
        <v>0.26293697817068751</v>
      </c>
      <c r="BE103" s="706">
        <v>0.26293697817068751</v>
      </c>
      <c r="BF103" s="706">
        <v>0.26293697817068751</v>
      </c>
      <c r="BG103" s="706">
        <v>0.26293697817068751</v>
      </c>
      <c r="BH103" s="706">
        <v>0.26293697817068751</v>
      </c>
      <c r="BI103" s="706">
        <v>0.26293697817068751</v>
      </c>
      <c r="BJ103" s="706">
        <v>0.26293697817068751</v>
      </c>
      <c r="BK103" s="706">
        <v>0.26293697817068751</v>
      </c>
      <c r="BL103" s="706">
        <v>0.26293697817068751</v>
      </c>
      <c r="BM103" s="706">
        <v>0.26293697817068751</v>
      </c>
      <c r="BN103" s="710"/>
      <c r="BO103" s="710"/>
      <c r="BP103" s="710"/>
      <c r="BQ103" s="710"/>
      <c r="BR103" s="710"/>
      <c r="BS103" s="706"/>
      <c r="BT103" s="706"/>
      <c r="BU103" s="791">
        <v>510.55232183008019</v>
      </c>
      <c r="BV103" s="791">
        <v>510.55232183008019</v>
      </c>
      <c r="BW103" s="791">
        <v>510.55232183008019</v>
      </c>
      <c r="BX103" s="791">
        <v>510.55232183008019</v>
      </c>
      <c r="BY103" s="791">
        <v>510.55232183008019</v>
      </c>
      <c r="BZ103" s="791">
        <v>510.55232183008019</v>
      </c>
      <c r="CA103" s="791">
        <v>510.55232183008019</v>
      </c>
      <c r="CB103" s="791">
        <v>510.55232183008019</v>
      </c>
      <c r="CC103" s="791">
        <v>510.55232183008019</v>
      </c>
      <c r="CD103" s="791">
        <v>510.55232183008019</v>
      </c>
      <c r="CE103" s="791">
        <v>510.55232183008019</v>
      </c>
      <c r="CF103" s="791">
        <v>510.55232183008019</v>
      </c>
      <c r="CG103" s="791">
        <v>510.55232183008019</v>
      </c>
      <c r="CH103" s="791">
        <v>510.55232183008019</v>
      </c>
      <c r="CI103" s="791">
        <v>510.55232183008019</v>
      </c>
      <c r="CJ103" s="791">
        <v>510.55232183008019</v>
      </c>
      <c r="CK103" s="791">
        <v>510.55232183008019</v>
      </c>
      <c r="CL103" s="791">
        <v>510.55232183008019</v>
      </c>
      <c r="CM103" s="791">
        <v>510.55232183008019</v>
      </c>
      <c r="CN103" s="694"/>
      <c r="CO103" s="694"/>
      <c r="CP103" s="694"/>
      <c r="CQ103" s="694"/>
      <c r="CR103" s="694"/>
    </row>
    <row r="104" spans="1:96">
      <c r="A104" s="743" t="s">
        <v>3</v>
      </c>
      <c r="B104" s="752">
        <v>41402</v>
      </c>
      <c r="C104" s="745">
        <v>2013</v>
      </c>
      <c r="D104" s="746" t="s">
        <v>15</v>
      </c>
      <c r="E104" s="746" t="s">
        <v>25</v>
      </c>
      <c r="F104" s="746" t="s">
        <v>17</v>
      </c>
      <c r="G104" s="746"/>
      <c r="H104" s="743" t="s">
        <v>959</v>
      </c>
      <c r="I104" s="746" t="s">
        <v>5</v>
      </c>
      <c r="J104" s="746" t="s">
        <v>376</v>
      </c>
      <c r="K104" s="706">
        <v>1</v>
      </c>
      <c r="L104" s="743"/>
      <c r="M104" s="743" t="s">
        <v>1002</v>
      </c>
      <c r="N104" s="743">
        <v>19</v>
      </c>
      <c r="O104" s="706"/>
      <c r="P104" s="706"/>
      <c r="Q104" s="706"/>
      <c r="R104" s="706"/>
      <c r="S104" s="706"/>
      <c r="T104" s="706"/>
      <c r="U104" s="738">
        <v>0.56111033676686872</v>
      </c>
      <c r="V104" s="795">
        <v>1089.5241408502645</v>
      </c>
      <c r="W104" s="793">
        <v>0.56111033676686872</v>
      </c>
      <c r="X104" s="708">
        <v>1089.5241408502645</v>
      </c>
      <c r="Y104" s="719">
        <v>20700.958676155027</v>
      </c>
      <c r="Z104" s="719">
        <v>9700.4941147715253</v>
      </c>
      <c r="AA104" s="719">
        <v>1021.1046436601604</v>
      </c>
      <c r="AB104" s="738">
        <v>0.26293697817068751</v>
      </c>
      <c r="AC104" s="706"/>
      <c r="AD104" s="706"/>
      <c r="AE104" s="714">
        <v>0.55640399126363804</v>
      </c>
      <c r="AF104" s="714">
        <v>2.500519309808772E-2</v>
      </c>
      <c r="AG104" s="706"/>
      <c r="AH104" s="714">
        <v>0.4686012018344497</v>
      </c>
      <c r="AI104" s="748">
        <v>0.55640399126363804</v>
      </c>
      <c r="AJ104" s="748">
        <v>2.500519309808772E-2</v>
      </c>
      <c r="AK104" s="748"/>
      <c r="AL104" s="714">
        <v>0.4686012018344497</v>
      </c>
      <c r="AM104" s="706"/>
      <c r="AN104" s="706"/>
      <c r="AO104" s="706"/>
      <c r="AP104" s="747"/>
      <c r="AQ104" s="733"/>
      <c r="AR104" s="706"/>
      <c r="AS104" s="706"/>
      <c r="AT104" s="706"/>
      <c r="AU104" s="706">
        <v>0.26293697817068751</v>
      </c>
      <c r="AV104" s="706">
        <v>0.26293697817068751</v>
      </c>
      <c r="AW104" s="706">
        <v>0.26293697817068751</v>
      </c>
      <c r="AX104" s="706">
        <v>0.26293697817068751</v>
      </c>
      <c r="AY104" s="706">
        <v>0.26293697817068751</v>
      </c>
      <c r="AZ104" s="706">
        <v>0.26293697817068751</v>
      </c>
      <c r="BA104" s="706">
        <v>0.26293697817068751</v>
      </c>
      <c r="BB104" s="706">
        <v>0.26293697817068751</v>
      </c>
      <c r="BC104" s="706">
        <v>0.26293697817068751</v>
      </c>
      <c r="BD104" s="706">
        <v>0.26293697817068751</v>
      </c>
      <c r="BE104" s="706">
        <v>0.26293697817068751</v>
      </c>
      <c r="BF104" s="706">
        <v>0.26293697817068751</v>
      </c>
      <c r="BG104" s="706">
        <v>0.26293697817068751</v>
      </c>
      <c r="BH104" s="706">
        <v>0.26293697817068751</v>
      </c>
      <c r="BI104" s="706">
        <v>0.26293697817068751</v>
      </c>
      <c r="BJ104" s="706">
        <v>0.26293697817068751</v>
      </c>
      <c r="BK104" s="706">
        <v>0.26293697817068751</v>
      </c>
      <c r="BL104" s="706">
        <v>0.26293697817068751</v>
      </c>
      <c r="BM104" s="706">
        <v>0.26293697817068751</v>
      </c>
      <c r="BN104" s="710"/>
      <c r="BO104" s="710"/>
      <c r="BP104" s="710"/>
      <c r="BQ104" s="710"/>
      <c r="BR104" s="710"/>
      <c r="BS104" s="706"/>
      <c r="BT104" s="706"/>
      <c r="BU104" s="791">
        <v>510.55232183008019</v>
      </c>
      <c r="BV104" s="791">
        <v>510.55232183008019</v>
      </c>
      <c r="BW104" s="791">
        <v>510.55232183008019</v>
      </c>
      <c r="BX104" s="791">
        <v>510.55232183008019</v>
      </c>
      <c r="BY104" s="791">
        <v>510.55232183008019</v>
      </c>
      <c r="BZ104" s="791">
        <v>510.55232183008019</v>
      </c>
      <c r="CA104" s="791">
        <v>510.55232183008019</v>
      </c>
      <c r="CB104" s="791">
        <v>510.55232183008019</v>
      </c>
      <c r="CC104" s="791">
        <v>510.55232183008019</v>
      </c>
      <c r="CD104" s="791">
        <v>510.55232183008019</v>
      </c>
      <c r="CE104" s="791">
        <v>510.55232183008019</v>
      </c>
      <c r="CF104" s="791">
        <v>510.55232183008019</v>
      </c>
      <c r="CG104" s="791">
        <v>510.55232183008019</v>
      </c>
      <c r="CH104" s="791">
        <v>510.55232183008019</v>
      </c>
      <c r="CI104" s="791">
        <v>510.55232183008019</v>
      </c>
      <c r="CJ104" s="791">
        <v>510.55232183008019</v>
      </c>
      <c r="CK104" s="791">
        <v>510.55232183008019</v>
      </c>
      <c r="CL104" s="791">
        <v>510.55232183008019</v>
      </c>
      <c r="CM104" s="791">
        <v>510.55232183008019</v>
      </c>
      <c r="CN104" s="694"/>
      <c r="CO104" s="694"/>
      <c r="CP104" s="694"/>
      <c r="CQ104" s="694"/>
      <c r="CR104" s="694"/>
    </row>
    <row r="105" spans="1:96">
      <c r="A105" s="743" t="s">
        <v>3</v>
      </c>
      <c r="B105" s="752">
        <v>41555</v>
      </c>
      <c r="C105" s="745">
        <v>2013</v>
      </c>
      <c r="D105" s="746" t="s">
        <v>15</v>
      </c>
      <c r="E105" s="746" t="s">
        <v>25</v>
      </c>
      <c r="F105" s="746" t="s">
        <v>17</v>
      </c>
      <c r="G105" s="746"/>
      <c r="H105" s="743" t="s">
        <v>959</v>
      </c>
      <c r="I105" s="746" t="s">
        <v>5</v>
      </c>
      <c r="J105" s="746" t="s">
        <v>376</v>
      </c>
      <c r="K105" s="706">
        <v>1</v>
      </c>
      <c r="L105" s="743"/>
      <c r="M105" s="743" t="s">
        <v>1089</v>
      </c>
      <c r="N105" s="743">
        <v>19</v>
      </c>
      <c r="O105" s="706"/>
      <c r="P105" s="706"/>
      <c r="Q105" s="706"/>
      <c r="R105" s="706"/>
      <c r="S105" s="706"/>
      <c r="T105" s="706"/>
      <c r="U105" s="738">
        <v>0.56111033676686872</v>
      </c>
      <c r="V105" s="795">
        <v>1089.5241408502645</v>
      </c>
      <c r="W105" s="793">
        <v>0.56111033676686872</v>
      </c>
      <c r="X105" s="708">
        <v>1089.5241408502645</v>
      </c>
      <c r="Y105" s="719">
        <v>20700.958676155027</v>
      </c>
      <c r="Z105" s="719">
        <v>9700.4941147715253</v>
      </c>
      <c r="AA105" s="719">
        <v>1021.1046436601604</v>
      </c>
      <c r="AB105" s="738">
        <v>0.26293697817068751</v>
      </c>
      <c r="AC105" s="706"/>
      <c r="AD105" s="706"/>
      <c r="AE105" s="714">
        <v>0.55640399126363804</v>
      </c>
      <c r="AF105" s="714">
        <v>2.500519309808772E-2</v>
      </c>
      <c r="AG105" s="706"/>
      <c r="AH105" s="714">
        <v>0.4686012018344497</v>
      </c>
      <c r="AI105" s="748">
        <v>0.55640399126363804</v>
      </c>
      <c r="AJ105" s="748">
        <v>2.500519309808772E-2</v>
      </c>
      <c r="AK105" s="748"/>
      <c r="AL105" s="714">
        <v>0.4686012018344497</v>
      </c>
      <c r="AM105" s="706"/>
      <c r="AN105" s="706"/>
      <c r="AO105" s="706"/>
      <c r="AP105" s="747"/>
      <c r="AQ105" s="733"/>
      <c r="AR105" s="706"/>
      <c r="AS105" s="706"/>
      <c r="AT105" s="706"/>
      <c r="AU105" s="706">
        <v>0.26293697817068751</v>
      </c>
      <c r="AV105" s="706">
        <v>0.26293697817068751</v>
      </c>
      <c r="AW105" s="706">
        <v>0.26293697817068751</v>
      </c>
      <c r="AX105" s="706">
        <v>0.26293697817068751</v>
      </c>
      <c r="AY105" s="706">
        <v>0.26293697817068751</v>
      </c>
      <c r="AZ105" s="706">
        <v>0.26293697817068751</v>
      </c>
      <c r="BA105" s="706">
        <v>0.26293697817068751</v>
      </c>
      <c r="BB105" s="706">
        <v>0.26293697817068751</v>
      </c>
      <c r="BC105" s="706">
        <v>0.26293697817068751</v>
      </c>
      <c r="BD105" s="706">
        <v>0.26293697817068751</v>
      </c>
      <c r="BE105" s="706">
        <v>0.26293697817068751</v>
      </c>
      <c r="BF105" s="706">
        <v>0.26293697817068751</v>
      </c>
      <c r="BG105" s="706">
        <v>0.26293697817068751</v>
      </c>
      <c r="BH105" s="706">
        <v>0.26293697817068751</v>
      </c>
      <c r="BI105" s="706">
        <v>0.26293697817068751</v>
      </c>
      <c r="BJ105" s="706">
        <v>0.26293697817068751</v>
      </c>
      <c r="BK105" s="706">
        <v>0.26293697817068751</v>
      </c>
      <c r="BL105" s="706">
        <v>0.26293697817068751</v>
      </c>
      <c r="BM105" s="706">
        <v>0.26293697817068751</v>
      </c>
      <c r="BN105" s="710"/>
      <c r="BO105" s="710"/>
      <c r="BP105" s="710"/>
      <c r="BQ105" s="710"/>
      <c r="BR105" s="710"/>
      <c r="BS105" s="706"/>
      <c r="BT105" s="706"/>
      <c r="BU105" s="791">
        <v>510.55232183008019</v>
      </c>
      <c r="BV105" s="791">
        <v>510.55232183008019</v>
      </c>
      <c r="BW105" s="791">
        <v>510.55232183008019</v>
      </c>
      <c r="BX105" s="791">
        <v>510.55232183008019</v>
      </c>
      <c r="BY105" s="791">
        <v>510.55232183008019</v>
      </c>
      <c r="BZ105" s="791">
        <v>510.55232183008019</v>
      </c>
      <c r="CA105" s="791">
        <v>510.55232183008019</v>
      </c>
      <c r="CB105" s="791">
        <v>510.55232183008019</v>
      </c>
      <c r="CC105" s="791">
        <v>510.55232183008019</v>
      </c>
      <c r="CD105" s="791">
        <v>510.55232183008019</v>
      </c>
      <c r="CE105" s="791">
        <v>510.55232183008019</v>
      </c>
      <c r="CF105" s="791">
        <v>510.55232183008019</v>
      </c>
      <c r="CG105" s="791">
        <v>510.55232183008019</v>
      </c>
      <c r="CH105" s="791">
        <v>510.55232183008019</v>
      </c>
      <c r="CI105" s="791">
        <v>510.55232183008019</v>
      </c>
      <c r="CJ105" s="791">
        <v>510.55232183008019</v>
      </c>
      <c r="CK105" s="791">
        <v>510.55232183008019</v>
      </c>
      <c r="CL105" s="791">
        <v>510.55232183008019</v>
      </c>
      <c r="CM105" s="791">
        <v>510.55232183008019</v>
      </c>
      <c r="CN105" s="694"/>
      <c r="CO105" s="694"/>
      <c r="CP105" s="694"/>
      <c r="CQ105" s="694"/>
      <c r="CR105" s="694"/>
    </row>
    <row r="106" spans="1:96">
      <c r="A106" s="743" t="s">
        <v>3</v>
      </c>
      <c r="B106" s="752">
        <v>41582</v>
      </c>
      <c r="C106" s="745">
        <v>2013</v>
      </c>
      <c r="D106" s="746" t="s">
        <v>15</v>
      </c>
      <c r="E106" s="746" t="s">
        <v>25</v>
      </c>
      <c r="F106" s="746" t="s">
        <v>17</v>
      </c>
      <c r="G106" s="746"/>
      <c r="H106" s="743" t="s">
        <v>959</v>
      </c>
      <c r="I106" s="746" t="s">
        <v>5</v>
      </c>
      <c r="J106" s="746" t="s">
        <v>376</v>
      </c>
      <c r="K106" s="706">
        <v>1</v>
      </c>
      <c r="L106" s="743"/>
      <c r="M106" s="743" t="s">
        <v>1088</v>
      </c>
      <c r="N106" s="743">
        <v>19</v>
      </c>
      <c r="O106" s="706"/>
      <c r="P106" s="706"/>
      <c r="Q106" s="706"/>
      <c r="R106" s="706"/>
      <c r="S106" s="706"/>
      <c r="T106" s="706"/>
      <c r="U106" s="738">
        <v>0.56111033676686872</v>
      </c>
      <c r="V106" s="795">
        <v>1089.5241408502645</v>
      </c>
      <c r="W106" s="793">
        <v>0.56111033676686872</v>
      </c>
      <c r="X106" s="708">
        <v>1089.5241408502645</v>
      </c>
      <c r="Y106" s="719">
        <v>20700.958676155027</v>
      </c>
      <c r="Z106" s="719">
        <v>9700.4941147715253</v>
      </c>
      <c r="AA106" s="719">
        <v>1021.1046436601604</v>
      </c>
      <c r="AB106" s="738">
        <v>0.26293697817068751</v>
      </c>
      <c r="AC106" s="706"/>
      <c r="AD106" s="706"/>
      <c r="AE106" s="714">
        <v>0.55640399126363804</v>
      </c>
      <c r="AF106" s="714">
        <v>2.500519309808772E-2</v>
      </c>
      <c r="AG106" s="706"/>
      <c r="AH106" s="714">
        <v>0.4686012018344497</v>
      </c>
      <c r="AI106" s="748">
        <v>0.55640399126363804</v>
      </c>
      <c r="AJ106" s="748">
        <v>2.500519309808772E-2</v>
      </c>
      <c r="AK106" s="748"/>
      <c r="AL106" s="714">
        <v>0.4686012018344497</v>
      </c>
      <c r="AM106" s="706"/>
      <c r="AN106" s="706"/>
      <c r="AO106" s="706"/>
      <c r="AP106" s="747"/>
      <c r="AQ106" s="733"/>
      <c r="AR106" s="706"/>
      <c r="AS106" s="706"/>
      <c r="AT106" s="706"/>
      <c r="AU106" s="706">
        <v>0.26293697817068751</v>
      </c>
      <c r="AV106" s="706">
        <v>0.26293697817068751</v>
      </c>
      <c r="AW106" s="706">
        <v>0.26293697817068751</v>
      </c>
      <c r="AX106" s="706">
        <v>0.26293697817068751</v>
      </c>
      <c r="AY106" s="706">
        <v>0.26293697817068751</v>
      </c>
      <c r="AZ106" s="706">
        <v>0.26293697817068751</v>
      </c>
      <c r="BA106" s="706">
        <v>0.26293697817068751</v>
      </c>
      <c r="BB106" s="706">
        <v>0.26293697817068751</v>
      </c>
      <c r="BC106" s="706">
        <v>0.26293697817068751</v>
      </c>
      <c r="BD106" s="706">
        <v>0.26293697817068751</v>
      </c>
      <c r="BE106" s="706">
        <v>0.26293697817068751</v>
      </c>
      <c r="BF106" s="706">
        <v>0.26293697817068751</v>
      </c>
      <c r="BG106" s="706">
        <v>0.26293697817068751</v>
      </c>
      <c r="BH106" s="706">
        <v>0.26293697817068751</v>
      </c>
      <c r="BI106" s="706">
        <v>0.26293697817068751</v>
      </c>
      <c r="BJ106" s="706">
        <v>0.26293697817068751</v>
      </c>
      <c r="BK106" s="706">
        <v>0.26293697817068751</v>
      </c>
      <c r="BL106" s="706">
        <v>0.26293697817068751</v>
      </c>
      <c r="BM106" s="706">
        <v>0.26293697817068751</v>
      </c>
      <c r="BN106" s="710"/>
      <c r="BO106" s="710"/>
      <c r="BP106" s="710"/>
      <c r="BQ106" s="710"/>
      <c r="BR106" s="710"/>
      <c r="BS106" s="706"/>
      <c r="BT106" s="706"/>
      <c r="BU106" s="791">
        <v>510.55232183008019</v>
      </c>
      <c r="BV106" s="791">
        <v>510.55232183008019</v>
      </c>
      <c r="BW106" s="791">
        <v>510.55232183008019</v>
      </c>
      <c r="BX106" s="791">
        <v>510.55232183008019</v>
      </c>
      <c r="BY106" s="791">
        <v>510.55232183008019</v>
      </c>
      <c r="BZ106" s="791">
        <v>510.55232183008019</v>
      </c>
      <c r="CA106" s="791">
        <v>510.55232183008019</v>
      </c>
      <c r="CB106" s="791">
        <v>510.55232183008019</v>
      </c>
      <c r="CC106" s="791">
        <v>510.55232183008019</v>
      </c>
      <c r="CD106" s="791">
        <v>510.55232183008019</v>
      </c>
      <c r="CE106" s="791">
        <v>510.55232183008019</v>
      </c>
      <c r="CF106" s="791">
        <v>510.55232183008019</v>
      </c>
      <c r="CG106" s="791">
        <v>510.55232183008019</v>
      </c>
      <c r="CH106" s="791">
        <v>510.55232183008019</v>
      </c>
      <c r="CI106" s="791">
        <v>510.55232183008019</v>
      </c>
      <c r="CJ106" s="791">
        <v>510.55232183008019</v>
      </c>
      <c r="CK106" s="791">
        <v>510.55232183008019</v>
      </c>
      <c r="CL106" s="791">
        <v>510.55232183008019</v>
      </c>
      <c r="CM106" s="791">
        <v>510.55232183008019</v>
      </c>
      <c r="CN106" s="694"/>
      <c r="CO106" s="694"/>
      <c r="CP106" s="694"/>
      <c r="CQ106" s="694"/>
      <c r="CR106" s="694"/>
    </row>
    <row r="107" spans="1:96">
      <c r="A107" s="743" t="s">
        <v>3</v>
      </c>
      <c r="B107" s="752">
        <v>41584</v>
      </c>
      <c r="C107" s="745">
        <v>2013</v>
      </c>
      <c r="D107" s="746" t="s">
        <v>15</v>
      </c>
      <c r="E107" s="746" t="s">
        <v>25</v>
      </c>
      <c r="F107" s="746" t="s">
        <v>17</v>
      </c>
      <c r="G107" s="746"/>
      <c r="H107" s="743" t="s">
        <v>959</v>
      </c>
      <c r="I107" s="746" t="s">
        <v>5</v>
      </c>
      <c r="J107" s="746" t="s">
        <v>376</v>
      </c>
      <c r="K107" s="706">
        <v>1</v>
      </c>
      <c r="L107" s="743"/>
      <c r="M107" s="743" t="s">
        <v>1087</v>
      </c>
      <c r="N107" s="743">
        <v>19</v>
      </c>
      <c r="O107" s="706"/>
      <c r="P107" s="706"/>
      <c r="Q107" s="706"/>
      <c r="R107" s="706"/>
      <c r="S107" s="706"/>
      <c r="T107" s="706"/>
      <c r="U107" s="738">
        <v>0.56111033676686872</v>
      </c>
      <c r="V107" s="795">
        <v>1089.5241408502645</v>
      </c>
      <c r="W107" s="793">
        <v>0.56111033676686872</v>
      </c>
      <c r="X107" s="708">
        <v>1089.5241408502645</v>
      </c>
      <c r="Y107" s="719">
        <v>20700.958676155027</v>
      </c>
      <c r="Z107" s="719">
        <v>9700.4941147715253</v>
      </c>
      <c r="AA107" s="719">
        <v>1021.1046436601604</v>
      </c>
      <c r="AB107" s="738">
        <v>0.26293697817068751</v>
      </c>
      <c r="AC107" s="706"/>
      <c r="AD107" s="706"/>
      <c r="AE107" s="714">
        <v>0.55640399126363804</v>
      </c>
      <c r="AF107" s="714">
        <v>2.500519309808772E-2</v>
      </c>
      <c r="AG107" s="706"/>
      <c r="AH107" s="714">
        <v>0.4686012018344497</v>
      </c>
      <c r="AI107" s="748">
        <v>0.55640399126363804</v>
      </c>
      <c r="AJ107" s="748">
        <v>2.500519309808772E-2</v>
      </c>
      <c r="AK107" s="748"/>
      <c r="AL107" s="714">
        <v>0.4686012018344497</v>
      </c>
      <c r="AM107" s="706"/>
      <c r="AN107" s="706"/>
      <c r="AO107" s="706"/>
      <c r="AP107" s="747"/>
      <c r="AQ107" s="733"/>
      <c r="AR107" s="706"/>
      <c r="AS107" s="706"/>
      <c r="AT107" s="706"/>
      <c r="AU107" s="706">
        <v>0.26293697817068751</v>
      </c>
      <c r="AV107" s="706">
        <v>0.26293697817068751</v>
      </c>
      <c r="AW107" s="706">
        <v>0.26293697817068751</v>
      </c>
      <c r="AX107" s="706">
        <v>0.26293697817068751</v>
      </c>
      <c r="AY107" s="706">
        <v>0.26293697817068751</v>
      </c>
      <c r="AZ107" s="706">
        <v>0.26293697817068751</v>
      </c>
      <c r="BA107" s="706">
        <v>0.26293697817068751</v>
      </c>
      <c r="BB107" s="706">
        <v>0.26293697817068751</v>
      </c>
      <c r="BC107" s="706">
        <v>0.26293697817068751</v>
      </c>
      <c r="BD107" s="706">
        <v>0.26293697817068751</v>
      </c>
      <c r="BE107" s="706">
        <v>0.26293697817068751</v>
      </c>
      <c r="BF107" s="706">
        <v>0.26293697817068751</v>
      </c>
      <c r="BG107" s="706">
        <v>0.26293697817068751</v>
      </c>
      <c r="BH107" s="706">
        <v>0.26293697817068751</v>
      </c>
      <c r="BI107" s="706">
        <v>0.26293697817068751</v>
      </c>
      <c r="BJ107" s="706">
        <v>0.26293697817068751</v>
      </c>
      <c r="BK107" s="706">
        <v>0.26293697817068751</v>
      </c>
      <c r="BL107" s="706">
        <v>0.26293697817068751</v>
      </c>
      <c r="BM107" s="706">
        <v>0.26293697817068751</v>
      </c>
      <c r="BN107" s="710"/>
      <c r="BO107" s="710"/>
      <c r="BP107" s="710"/>
      <c r="BQ107" s="710"/>
      <c r="BR107" s="710"/>
      <c r="BS107" s="706"/>
      <c r="BT107" s="706"/>
      <c r="BU107" s="791">
        <v>510.55232183008019</v>
      </c>
      <c r="BV107" s="791">
        <v>510.55232183008019</v>
      </c>
      <c r="BW107" s="791">
        <v>510.55232183008019</v>
      </c>
      <c r="BX107" s="791">
        <v>510.55232183008019</v>
      </c>
      <c r="BY107" s="791">
        <v>510.55232183008019</v>
      </c>
      <c r="BZ107" s="791">
        <v>510.55232183008019</v>
      </c>
      <c r="CA107" s="791">
        <v>510.55232183008019</v>
      </c>
      <c r="CB107" s="791">
        <v>510.55232183008019</v>
      </c>
      <c r="CC107" s="791">
        <v>510.55232183008019</v>
      </c>
      <c r="CD107" s="791">
        <v>510.55232183008019</v>
      </c>
      <c r="CE107" s="791">
        <v>510.55232183008019</v>
      </c>
      <c r="CF107" s="791">
        <v>510.55232183008019</v>
      </c>
      <c r="CG107" s="791">
        <v>510.55232183008019</v>
      </c>
      <c r="CH107" s="791">
        <v>510.55232183008019</v>
      </c>
      <c r="CI107" s="791">
        <v>510.55232183008019</v>
      </c>
      <c r="CJ107" s="791">
        <v>510.55232183008019</v>
      </c>
      <c r="CK107" s="791">
        <v>510.55232183008019</v>
      </c>
      <c r="CL107" s="791">
        <v>510.55232183008019</v>
      </c>
      <c r="CM107" s="791">
        <v>510.55232183008019</v>
      </c>
      <c r="CN107" s="694"/>
      <c r="CO107" s="694"/>
      <c r="CP107" s="694"/>
      <c r="CQ107" s="694"/>
      <c r="CR107" s="694"/>
    </row>
    <row r="108" spans="1:96">
      <c r="A108" s="743" t="s">
        <v>3</v>
      </c>
      <c r="B108" s="752">
        <v>41548</v>
      </c>
      <c r="C108" s="745">
        <v>2013</v>
      </c>
      <c r="D108" s="746" t="s">
        <v>15</v>
      </c>
      <c r="E108" s="746" t="s">
        <v>25</v>
      </c>
      <c r="F108" s="746" t="s">
        <v>17</v>
      </c>
      <c r="G108" s="746"/>
      <c r="H108" s="743" t="s">
        <v>959</v>
      </c>
      <c r="I108" s="746" t="s">
        <v>5</v>
      </c>
      <c r="J108" s="746" t="s">
        <v>376</v>
      </c>
      <c r="K108" s="706">
        <v>1</v>
      </c>
      <c r="L108" s="743"/>
      <c r="M108" s="743" t="s">
        <v>901</v>
      </c>
      <c r="N108" s="743">
        <v>19</v>
      </c>
      <c r="O108" s="706"/>
      <c r="P108" s="706"/>
      <c r="Q108" s="706"/>
      <c r="R108" s="706"/>
      <c r="S108" s="706"/>
      <c r="T108" s="706"/>
      <c r="U108" s="738">
        <v>0.56111033676686872</v>
      </c>
      <c r="V108" s="795">
        <v>1089.5241408502645</v>
      </c>
      <c r="W108" s="793">
        <v>0.56111033676686872</v>
      </c>
      <c r="X108" s="708">
        <v>1089.5241408502645</v>
      </c>
      <c r="Y108" s="719">
        <v>20700.958676155027</v>
      </c>
      <c r="Z108" s="719">
        <v>9700.4941147715253</v>
      </c>
      <c r="AA108" s="719">
        <v>1021.1046436601604</v>
      </c>
      <c r="AB108" s="738">
        <v>0.26293697817068751</v>
      </c>
      <c r="AC108" s="706"/>
      <c r="AD108" s="706"/>
      <c r="AE108" s="714">
        <v>0.55640399126363804</v>
      </c>
      <c r="AF108" s="714">
        <v>2.500519309808772E-2</v>
      </c>
      <c r="AG108" s="706"/>
      <c r="AH108" s="714">
        <v>0.4686012018344497</v>
      </c>
      <c r="AI108" s="748">
        <v>0.55640399126363804</v>
      </c>
      <c r="AJ108" s="748">
        <v>2.500519309808772E-2</v>
      </c>
      <c r="AK108" s="748"/>
      <c r="AL108" s="714">
        <v>0.4686012018344497</v>
      </c>
      <c r="AM108" s="706"/>
      <c r="AN108" s="706"/>
      <c r="AO108" s="706"/>
      <c r="AP108" s="747"/>
      <c r="AQ108" s="733"/>
      <c r="AR108" s="706"/>
      <c r="AS108" s="706"/>
      <c r="AT108" s="706"/>
      <c r="AU108" s="706">
        <v>0.26293697817068751</v>
      </c>
      <c r="AV108" s="706">
        <v>0.26293697817068751</v>
      </c>
      <c r="AW108" s="706">
        <v>0.26293697817068751</v>
      </c>
      <c r="AX108" s="706">
        <v>0.26293697817068751</v>
      </c>
      <c r="AY108" s="706">
        <v>0.26293697817068751</v>
      </c>
      <c r="AZ108" s="706">
        <v>0.26293697817068751</v>
      </c>
      <c r="BA108" s="706">
        <v>0.26293697817068751</v>
      </c>
      <c r="BB108" s="706">
        <v>0.26293697817068751</v>
      </c>
      <c r="BC108" s="706">
        <v>0.26293697817068751</v>
      </c>
      <c r="BD108" s="706">
        <v>0.26293697817068751</v>
      </c>
      <c r="BE108" s="706">
        <v>0.26293697817068751</v>
      </c>
      <c r="BF108" s="706">
        <v>0.26293697817068751</v>
      </c>
      <c r="BG108" s="706">
        <v>0.26293697817068751</v>
      </c>
      <c r="BH108" s="706">
        <v>0.26293697817068751</v>
      </c>
      <c r="BI108" s="706">
        <v>0.26293697817068751</v>
      </c>
      <c r="BJ108" s="706">
        <v>0.26293697817068751</v>
      </c>
      <c r="BK108" s="706">
        <v>0.26293697817068751</v>
      </c>
      <c r="BL108" s="706">
        <v>0.26293697817068751</v>
      </c>
      <c r="BM108" s="706">
        <v>0.26293697817068751</v>
      </c>
      <c r="BN108" s="710"/>
      <c r="BO108" s="710"/>
      <c r="BP108" s="710"/>
      <c r="BQ108" s="710"/>
      <c r="BR108" s="710"/>
      <c r="BS108" s="706"/>
      <c r="BT108" s="706"/>
      <c r="BU108" s="791">
        <v>510.55232183008019</v>
      </c>
      <c r="BV108" s="791">
        <v>510.55232183008019</v>
      </c>
      <c r="BW108" s="791">
        <v>510.55232183008019</v>
      </c>
      <c r="BX108" s="791">
        <v>510.55232183008019</v>
      </c>
      <c r="BY108" s="791">
        <v>510.55232183008019</v>
      </c>
      <c r="BZ108" s="791">
        <v>510.55232183008019</v>
      </c>
      <c r="CA108" s="791">
        <v>510.55232183008019</v>
      </c>
      <c r="CB108" s="791">
        <v>510.55232183008019</v>
      </c>
      <c r="CC108" s="791">
        <v>510.55232183008019</v>
      </c>
      <c r="CD108" s="791">
        <v>510.55232183008019</v>
      </c>
      <c r="CE108" s="791">
        <v>510.55232183008019</v>
      </c>
      <c r="CF108" s="791">
        <v>510.55232183008019</v>
      </c>
      <c r="CG108" s="791">
        <v>510.55232183008019</v>
      </c>
      <c r="CH108" s="791">
        <v>510.55232183008019</v>
      </c>
      <c r="CI108" s="791">
        <v>510.55232183008019</v>
      </c>
      <c r="CJ108" s="791">
        <v>510.55232183008019</v>
      </c>
      <c r="CK108" s="791">
        <v>510.55232183008019</v>
      </c>
      <c r="CL108" s="791">
        <v>510.55232183008019</v>
      </c>
      <c r="CM108" s="791">
        <v>510.55232183008019</v>
      </c>
      <c r="CN108" s="694"/>
      <c r="CO108" s="694"/>
      <c r="CP108" s="694"/>
      <c r="CQ108" s="694"/>
      <c r="CR108" s="694"/>
    </row>
    <row r="109" spans="1:96">
      <c r="A109" s="743" t="s">
        <v>3</v>
      </c>
      <c r="B109" s="752">
        <v>41477</v>
      </c>
      <c r="C109" s="745">
        <v>2013</v>
      </c>
      <c r="D109" s="746" t="s">
        <v>15</v>
      </c>
      <c r="E109" s="746" t="s">
        <v>25</v>
      </c>
      <c r="F109" s="746" t="s">
        <v>17</v>
      </c>
      <c r="G109" s="746"/>
      <c r="H109" s="743" t="s">
        <v>390</v>
      </c>
      <c r="I109" s="746" t="s">
        <v>5</v>
      </c>
      <c r="J109" s="746" t="s">
        <v>376</v>
      </c>
      <c r="K109" s="706">
        <v>1</v>
      </c>
      <c r="L109" s="743"/>
      <c r="M109" s="743" t="s">
        <v>894</v>
      </c>
      <c r="N109" s="743">
        <v>18</v>
      </c>
      <c r="O109" s="706"/>
      <c r="P109" s="706"/>
      <c r="Q109" s="706"/>
      <c r="R109" s="706"/>
      <c r="S109" s="706"/>
      <c r="T109" s="706"/>
      <c r="U109" s="738">
        <v>0.16471486934027457</v>
      </c>
      <c r="V109" s="795">
        <v>147.297</v>
      </c>
      <c r="W109" s="793">
        <v>0.16471486934027457</v>
      </c>
      <c r="X109" s="708">
        <v>147.297</v>
      </c>
      <c r="Y109" s="719">
        <v>2651.346</v>
      </c>
      <c r="Z109" s="719">
        <v>1361.8447756756386</v>
      </c>
      <c r="AA109" s="719">
        <v>151.31608618618208</v>
      </c>
      <c r="AB109" s="738">
        <v>8.4604606221575132E-2</v>
      </c>
      <c r="AC109" s="706"/>
      <c r="AD109" s="706"/>
      <c r="AE109" s="714">
        <v>0.51136239593934696</v>
      </c>
      <c r="AF109" s="714">
        <v>2.500519309808772E-2</v>
      </c>
      <c r="AG109" s="706"/>
      <c r="AH109" s="714">
        <v>0.51364279715874073</v>
      </c>
      <c r="AI109" s="748">
        <v>0.51136239593934696</v>
      </c>
      <c r="AJ109" s="748">
        <v>2.500519309808772E-2</v>
      </c>
      <c r="AK109" s="748"/>
      <c r="AL109" s="714">
        <v>0.51364279715874073</v>
      </c>
      <c r="AM109" s="706"/>
      <c r="AN109" s="706"/>
      <c r="AO109" s="706"/>
      <c r="AP109" s="747"/>
      <c r="AQ109" s="733"/>
      <c r="AR109" s="706"/>
      <c r="AS109" s="706"/>
      <c r="AT109" s="706"/>
      <c r="AU109" s="706">
        <v>8.4604606221575132E-2</v>
      </c>
      <c r="AV109" s="706">
        <v>8.4604606221575132E-2</v>
      </c>
      <c r="AW109" s="706">
        <v>8.4604606221575132E-2</v>
      </c>
      <c r="AX109" s="706">
        <v>8.4604606221575132E-2</v>
      </c>
      <c r="AY109" s="706">
        <v>8.4604606221575132E-2</v>
      </c>
      <c r="AZ109" s="706">
        <v>8.4604606221575132E-2</v>
      </c>
      <c r="BA109" s="706">
        <v>8.4604606221575132E-2</v>
      </c>
      <c r="BB109" s="706">
        <v>8.4604606221575132E-2</v>
      </c>
      <c r="BC109" s="706">
        <v>8.4604606221575132E-2</v>
      </c>
      <c r="BD109" s="706">
        <v>8.4604606221575132E-2</v>
      </c>
      <c r="BE109" s="706">
        <v>8.4604606221575132E-2</v>
      </c>
      <c r="BF109" s="706">
        <v>8.4604606221575132E-2</v>
      </c>
      <c r="BG109" s="706">
        <v>8.4604606221575132E-2</v>
      </c>
      <c r="BH109" s="706">
        <v>8.4604606221575132E-2</v>
      </c>
      <c r="BI109" s="706">
        <v>8.4604606221575132E-2</v>
      </c>
      <c r="BJ109" s="706">
        <v>8.4604606221575132E-2</v>
      </c>
      <c r="BK109" s="706">
        <v>8.4604606221575132E-2</v>
      </c>
      <c r="BL109" s="706">
        <v>8.4604606221575132E-2</v>
      </c>
      <c r="BM109" s="706"/>
      <c r="BN109" s="710"/>
      <c r="BO109" s="710"/>
      <c r="BP109" s="710"/>
      <c r="BQ109" s="710"/>
      <c r="BR109" s="710"/>
      <c r="BS109" s="706"/>
      <c r="BT109" s="706"/>
      <c r="BU109" s="791">
        <v>75.658043093091038</v>
      </c>
      <c r="BV109" s="791">
        <v>75.658043093091038</v>
      </c>
      <c r="BW109" s="791">
        <v>75.658043093091038</v>
      </c>
      <c r="BX109" s="791">
        <v>75.658043093091038</v>
      </c>
      <c r="BY109" s="791">
        <v>75.658043093091038</v>
      </c>
      <c r="BZ109" s="791">
        <v>75.658043093091038</v>
      </c>
      <c r="CA109" s="791">
        <v>75.658043093091038</v>
      </c>
      <c r="CB109" s="791">
        <v>75.658043093091038</v>
      </c>
      <c r="CC109" s="791">
        <v>75.658043093091038</v>
      </c>
      <c r="CD109" s="791">
        <v>75.658043093091038</v>
      </c>
      <c r="CE109" s="791">
        <v>75.658043093091038</v>
      </c>
      <c r="CF109" s="791">
        <v>75.658043093091038</v>
      </c>
      <c r="CG109" s="791">
        <v>75.658043093091038</v>
      </c>
      <c r="CH109" s="791">
        <v>75.658043093091038</v>
      </c>
      <c r="CI109" s="791">
        <v>75.658043093091038</v>
      </c>
      <c r="CJ109" s="791">
        <v>75.658043093091038</v>
      </c>
      <c r="CK109" s="791">
        <v>75.658043093091038</v>
      </c>
      <c r="CL109" s="791">
        <v>75.658043093091038</v>
      </c>
      <c r="CM109" s="791"/>
      <c r="CN109" s="694"/>
      <c r="CO109" s="694"/>
      <c r="CP109" s="694"/>
      <c r="CQ109" s="694"/>
      <c r="CR109" s="694"/>
    </row>
    <row r="110" spans="1:96">
      <c r="A110" s="743" t="s">
        <v>3</v>
      </c>
      <c r="B110" s="752">
        <v>41530</v>
      </c>
      <c r="C110" s="745">
        <v>2013</v>
      </c>
      <c r="D110" s="746" t="s">
        <v>15</v>
      </c>
      <c r="E110" s="746" t="s">
        <v>25</v>
      </c>
      <c r="F110" s="746" t="s">
        <v>17</v>
      </c>
      <c r="G110" s="746"/>
      <c r="H110" s="743" t="s">
        <v>393</v>
      </c>
      <c r="I110" s="746" t="s">
        <v>5</v>
      </c>
      <c r="J110" s="746" t="s">
        <v>376</v>
      </c>
      <c r="K110" s="706">
        <v>1</v>
      </c>
      <c r="L110" s="743"/>
      <c r="M110" s="743" t="s">
        <v>980</v>
      </c>
      <c r="N110" s="743">
        <v>18</v>
      </c>
      <c r="O110" s="706"/>
      <c r="P110" s="706"/>
      <c r="Q110" s="706"/>
      <c r="R110" s="706"/>
      <c r="S110" s="706"/>
      <c r="T110" s="706"/>
      <c r="U110" s="738">
        <v>0.23360018720981882</v>
      </c>
      <c r="V110" s="795">
        <v>208.898</v>
      </c>
      <c r="W110" s="793">
        <v>0.23360018720981882</v>
      </c>
      <c r="X110" s="708">
        <v>208.898</v>
      </c>
      <c r="Y110" s="719">
        <v>3760.1639999999998</v>
      </c>
      <c r="Z110" s="719">
        <v>2130.2489596957312</v>
      </c>
      <c r="AA110" s="719">
        <v>236.69432885508124</v>
      </c>
      <c r="AB110" s="738">
        <v>0.13234171589016983</v>
      </c>
      <c r="AC110" s="706"/>
      <c r="AD110" s="706"/>
      <c r="AE110" s="714">
        <v>0.45847432909967401</v>
      </c>
      <c r="AF110" s="714">
        <v>2.500519309808772E-2</v>
      </c>
      <c r="AG110" s="706"/>
      <c r="AH110" s="714">
        <v>0.56653086399841368</v>
      </c>
      <c r="AI110" s="748">
        <v>0.45847432909967401</v>
      </c>
      <c r="AJ110" s="748">
        <v>2.500519309808772E-2</v>
      </c>
      <c r="AK110" s="748"/>
      <c r="AL110" s="714">
        <v>0.56653086399841368</v>
      </c>
      <c r="AM110" s="706"/>
      <c r="AN110" s="706"/>
      <c r="AO110" s="706"/>
      <c r="AP110" s="747"/>
      <c r="AQ110" s="733"/>
      <c r="AR110" s="706"/>
      <c r="AS110" s="706"/>
      <c r="AT110" s="706"/>
      <c r="AU110" s="706">
        <v>0.13234171589016983</v>
      </c>
      <c r="AV110" s="706">
        <v>0.13234171589016983</v>
      </c>
      <c r="AW110" s="706">
        <v>0.13234171589016983</v>
      </c>
      <c r="AX110" s="706">
        <v>0.13234171589016983</v>
      </c>
      <c r="AY110" s="706">
        <v>0.13234171589016983</v>
      </c>
      <c r="AZ110" s="706">
        <v>0.13234171589016983</v>
      </c>
      <c r="BA110" s="706">
        <v>0.13234171589016983</v>
      </c>
      <c r="BB110" s="706">
        <v>0.13234171589016983</v>
      </c>
      <c r="BC110" s="706">
        <v>0.13234171589016983</v>
      </c>
      <c r="BD110" s="706">
        <v>0.13234171589016983</v>
      </c>
      <c r="BE110" s="706">
        <v>0.13234171589016983</v>
      </c>
      <c r="BF110" s="706">
        <v>0.13234171589016983</v>
      </c>
      <c r="BG110" s="706">
        <v>0.13234171589016983</v>
      </c>
      <c r="BH110" s="706">
        <v>0.13234171589016983</v>
      </c>
      <c r="BI110" s="706">
        <v>0.13234171589016983</v>
      </c>
      <c r="BJ110" s="706">
        <v>0.13234171589016983</v>
      </c>
      <c r="BK110" s="706">
        <v>0.13234171589016983</v>
      </c>
      <c r="BL110" s="706">
        <v>0.13234171589016983</v>
      </c>
      <c r="BM110" s="706"/>
      <c r="BN110" s="710"/>
      <c r="BO110" s="710"/>
      <c r="BP110" s="710"/>
      <c r="BQ110" s="710"/>
      <c r="BR110" s="710"/>
      <c r="BS110" s="706"/>
      <c r="BT110" s="706"/>
      <c r="BU110" s="791">
        <v>118.34716442754062</v>
      </c>
      <c r="BV110" s="791">
        <v>118.34716442754062</v>
      </c>
      <c r="BW110" s="791">
        <v>118.34716442754062</v>
      </c>
      <c r="BX110" s="791">
        <v>118.34716442754062</v>
      </c>
      <c r="BY110" s="791">
        <v>118.34716442754062</v>
      </c>
      <c r="BZ110" s="791">
        <v>118.34716442754062</v>
      </c>
      <c r="CA110" s="791">
        <v>118.34716442754062</v>
      </c>
      <c r="CB110" s="791">
        <v>118.34716442754062</v>
      </c>
      <c r="CC110" s="791">
        <v>118.34716442754062</v>
      </c>
      <c r="CD110" s="791">
        <v>118.34716442754062</v>
      </c>
      <c r="CE110" s="791">
        <v>118.34716442754062</v>
      </c>
      <c r="CF110" s="791">
        <v>118.34716442754062</v>
      </c>
      <c r="CG110" s="791">
        <v>118.34716442754062</v>
      </c>
      <c r="CH110" s="791">
        <v>118.34716442754062</v>
      </c>
      <c r="CI110" s="791">
        <v>118.34716442754062</v>
      </c>
      <c r="CJ110" s="791">
        <v>118.34716442754062</v>
      </c>
      <c r="CK110" s="791">
        <v>118.34716442754062</v>
      </c>
      <c r="CL110" s="791">
        <v>118.34716442754062</v>
      </c>
      <c r="CM110" s="791"/>
      <c r="CN110" s="694"/>
      <c r="CO110" s="694"/>
      <c r="CP110" s="694"/>
      <c r="CQ110" s="694"/>
      <c r="CR110" s="694"/>
    </row>
    <row r="111" spans="1:96">
      <c r="A111" s="743" t="s">
        <v>3</v>
      </c>
      <c r="B111" s="752">
        <v>41575</v>
      </c>
      <c r="C111" s="745">
        <v>2013</v>
      </c>
      <c r="D111" s="746" t="s">
        <v>15</v>
      </c>
      <c r="E111" s="746" t="s">
        <v>25</v>
      </c>
      <c r="F111" s="746" t="s">
        <v>17</v>
      </c>
      <c r="G111" s="746"/>
      <c r="H111" s="743" t="s">
        <v>393</v>
      </c>
      <c r="I111" s="746" t="s">
        <v>5</v>
      </c>
      <c r="J111" s="746" t="s">
        <v>376</v>
      </c>
      <c r="K111" s="706">
        <v>1</v>
      </c>
      <c r="L111" s="743"/>
      <c r="M111" s="743" t="s">
        <v>1086</v>
      </c>
      <c r="N111" s="743">
        <v>18</v>
      </c>
      <c r="O111" s="706"/>
      <c r="P111" s="706"/>
      <c r="Q111" s="706"/>
      <c r="R111" s="706"/>
      <c r="S111" s="706"/>
      <c r="T111" s="706"/>
      <c r="U111" s="738">
        <v>0.23360018720981882</v>
      </c>
      <c r="V111" s="795">
        <v>208.898</v>
      </c>
      <c r="W111" s="793">
        <v>0.23360018720981882</v>
      </c>
      <c r="X111" s="708">
        <v>208.898</v>
      </c>
      <c r="Y111" s="719">
        <v>3760.1639999999998</v>
      </c>
      <c r="Z111" s="719">
        <v>2130.2489596957312</v>
      </c>
      <c r="AA111" s="719">
        <v>236.69432885508124</v>
      </c>
      <c r="AB111" s="738">
        <v>0.13234171589016983</v>
      </c>
      <c r="AC111" s="706"/>
      <c r="AD111" s="706"/>
      <c r="AE111" s="714">
        <v>0.45847432909967401</v>
      </c>
      <c r="AF111" s="714">
        <v>2.500519309808772E-2</v>
      </c>
      <c r="AG111" s="706"/>
      <c r="AH111" s="714">
        <v>0.56653086399841368</v>
      </c>
      <c r="AI111" s="748">
        <v>0.45847432909967401</v>
      </c>
      <c r="AJ111" s="748">
        <v>2.500519309808772E-2</v>
      </c>
      <c r="AK111" s="748"/>
      <c r="AL111" s="714">
        <v>0.56653086399841368</v>
      </c>
      <c r="AM111" s="706"/>
      <c r="AN111" s="706"/>
      <c r="AO111" s="706"/>
      <c r="AP111" s="747"/>
      <c r="AQ111" s="733"/>
      <c r="AR111" s="706"/>
      <c r="AS111" s="706"/>
      <c r="AT111" s="706"/>
      <c r="AU111" s="706">
        <v>0.13234171589016983</v>
      </c>
      <c r="AV111" s="706">
        <v>0.13234171589016983</v>
      </c>
      <c r="AW111" s="706">
        <v>0.13234171589016983</v>
      </c>
      <c r="AX111" s="706">
        <v>0.13234171589016983</v>
      </c>
      <c r="AY111" s="706">
        <v>0.13234171589016983</v>
      </c>
      <c r="AZ111" s="706">
        <v>0.13234171589016983</v>
      </c>
      <c r="BA111" s="706">
        <v>0.13234171589016983</v>
      </c>
      <c r="BB111" s="706">
        <v>0.13234171589016983</v>
      </c>
      <c r="BC111" s="706">
        <v>0.13234171589016983</v>
      </c>
      <c r="BD111" s="706">
        <v>0.13234171589016983</v>
      </c>
      <c r="BE111" s="706">
        <v>0.13234171589016983</v>
      </c>
      <c r="BF111" s="706">
        <v>0.13234171589016983</v>
      </c>
      <c r="BG111" s="706">
        <v>0.13234171589016983</v>
      </c>
      <c r="BH111" s="706">
        <v>0.13234171589016983</v>
      </c>
      <c r="BI111" s="706">
        <v>0.13234171589016983</v>
      </c>
      <c r="BJ111" s="706">
        <v>0.13234171589016983</v>
      </c>
      <c r="BK111" s="706">
        <v>0.13234171589016983</v>
      </c>
      <c r="BL111" s="706">
        <v>0.13234171589016983</v>
      </c>
      <c r="BM111" s="706"/>
      <c r="BN111" s="710"/>
      <c r="BO111" s="710"/>
      <c r="BP111" s="710"/>
      <c r="BQ111" s="710"/>
      <c r="BR111" s="710"/>
      <c r="BS111" s="706"/>
      <c r="BT111" s="706"/>
      <c r="BU111" s="791">
        <v>118.34716442754062</v>
      </c>
      <c r="BV111" s="791">
        <v>118.34716442754062</v>
      </c>
      <c r="BW111" s="791">
        <v>118.34716442754062</v>
      </c>
      <c r="BX111" s="791">
        <v>118.34716442754062</v>
      </c>
      <c r="BY111" s="791">
        <v>118.34716442754062</v>
      </c>
      <c r="BZ111" s="791">
        <v>118.34716442754062</v>
      </c>
      <c r="CA111" s="791">
        <v>118.34716442754062</v>
      </c>
      <c r="CB111" s="791">
        <v>118.34716442754062</v>
      </c>
      <c r="CC111" s="791">
        <v>118.34716442754062</v>
      </c>
      <c r="CD111" s="791">
        <v>118.34716442754062</v>
      </c>
      <c r="CE111" s="791">
        <v>118.34716442754062</v>
      </c>
      <c r="CF111" s="791">
        <v>118.34716442754062</v>
      </c>
      <c r="CG111" s="791">
        <v>118.34716442754062</v>
      </c>
      <c r="CH111" s="791">
        <v>118.34716442754062</v>
      </c>
      <c r="CI111" s="791">
        <v>118.34716442754062</v>
      </c>
      <c r="CJ111" s="791">
        <v>118.34716442754062</v>
      </c>
      <c r="CK111" s="791">
        <v>118.34716442754062</v>
      </c>
      <c r="CL111" s="791">
        <v>118.34716442754062</v>
      </c>
      <c r="CM111" s="791"/>
      <c r="CN111" s="694"/>
      <c r="CO111" s="694"/>
      <c r="CP111" s="694"/>
      <c r="CQ111" s="694"/>
      <c r="CR111" s="694"/>
    </row>
    <row r="112" spans="1:96">
      <c r="A112" s="743" t="s">
        <v>3</v>
      </c>
      <c r="B112" s="752">
        <v>41621</v>
      </c>
      <c r="C112" s="745">
        <v>2013</v>
      </c>
      <c r="D112" s="746" t="s">
        <v>15</v>
      </c>
      <c r="E112" s="746" t="s">
        <v>25</v>
      </c>
      <c r="F112" s="746" t="s">
        <v>17</v>
      </c>
      <c r="G112" s="746"/>
      <c r="H112" s="743" t="s">
        <v>393</v>
      </c>
      <c r="I112" s="746" t="s">
        <v>5</v>
      </c>
      <c r="J112" s="746" t="s">
        <v>376</v>
      </c>
      <c r="K112" s="706">
        <v>1</v>
      </c>
      <c r="L112" s="743"/>
      <c r="M112" s="743" t="s">
        <v>1085</v>
      </c>
      <c r="N112" s="743">
        <v>18</v>
      </c>
      <c r="O112" s="706"/>
      <c r="P112" s="706"/>
      <c r="Q112" s="706"/>
      <c r="R112" s="706"/>
      <c r="S112" s="706"/>
      <c r="T112" s="706"/>
      <c r="U112" s="738">
        <v>0.23360018720981882</v>
      </c>
      <c r="V112" s="795">
        <v>208.898</v>
      </c>
      <c r="W112" s="793">
        <v>0.23360018720981882</v>
      </c>
      <c r="X112" s="708">
        <v>208.898</v>
      </c>
      <c r="Y112" s="719">
        <v>3760.1639999999998</v>
      </c>
      <c r="Z112" s="719">
        <v>2130.2489596957312</v>
      </c>
      <c r="AA112" s="719">
        <v>236.69432885508124</v>
      </c>
      <c r="AB112" s="738">
        <v>0.13234171589016983</v>
      </c>
      <c r="AC112" s="706"/>
      <c r="AD112" s="706"/>
      <c r="AE112" s="714">
        <v>0.45847432909967401</v>
      </c>
      <c r="AF112" s="714">
        <v>2.500519309808772E-2</v>
      </c>
      <c r="AG112" s="706"/>
      <c r="AH112" s="714">
        <v>0.56653086399841368</v>
      </c>
      <c r="AI112" s="748">
        <v>0.45847432909967401</v>
      </c>
      <c r="AJ112" s="748">
        <v>2.500519309808772E-2</v>
      </c>
      <c r="AK112" s="748"/>
      <c r="AL112" s="714">
        <v>0.56653086399841368</v>
      </c>
      <c r="AM112" s="706"/>
      <c r="AN112" s="706"/>
      <c r="AO112" s="706"/>
      <c r="AP112" s="747"/>
      <c r="AQ112" s="733"/>
      <c r="AR112" s="706"/>
      <c r="AS112" s="706"/>
      <c r="AT112" s="706"/>
      <c r="AU112" s="706">
        <v>0.13234171589016983</v>
      </c>
      <c r="AV112" s="706">
        <v>0.13234171589016983</v>
      </c>
      <c r="AW112" s="706">
        <v>0.13234171589016983</v>
      </c>
      <c r="AX112" s="706">
        <v>0.13234171589016983</v>
      </c>
      <c r="AY112" s="706">
        <v>0.13234171589016983</v>
      </c>
      <c r="AZ112" s="706">
        <v>0.13234171589016983</v>
      </c>
      <c r="BA112" s="706">
        <v>0.13234171589016983</v>
      </c>
      <c r="BB112" s="706">
        <v>0.13234171589016983</v>
      </c>
      <c r="BC112" s="706">
        <v>0.13234171589016983</v>
      </c>
      <c r="BD112" s="706">
        <v>0.13234171589016983</v>
      </c>
      <c r="BE112" s="706">
        <v>0.13234171589016983</v>
      </c>
      <c r="BF112" s="706">
        <v>0.13234171589016983</v>
      </c>
      <c r="BG112" s="706">
        <v>0.13234171589016983</v>
      </c>
      <c r="BH112" s="706">
        <v>0.13234171589016983</v>
      </c>
      <c r="BI112" s="706">
        <v>0.13234171589016983</v>
      </c>
      <c r="BJ112" s="706">
        <v>0.13234171589016983</v>
      </c>
      <c r="BK112" s="706">
        <v>0.13234171589016983</v>
      </c>
      <c r="BL112" s="706">
        <v>0.13234171589016983</v>
      </c>
      <c r="BM112" s="706"/>
      <c r="BN112" s="710"/>
      <c r="BO112" s="710"/>
      <c r="BP112" s="710"/>
      <c r="BQ112" s="710"/>
      <c r="BR112" s="710"/>
      <c r="BS112" s="706"/>
      <c r="BT112" s="706"/>
      <c r="BU112" s="791">
        <v>118.34716442754062</v>
      </c>
      <c r="BV112" s="791">
        <v>118.34716442754062</v>
      </c>
      <c r="BW112" s="791">
        <v>118.34716442754062</v>
      </c>
      <c r="BX112" s="791">
        <v>118.34716442754062</v>
      </c>
      <c r="BY112" s="791">
        <v>118.34716442754062</v>
      </c>
      <c r="BZ112" s="791">
        <v>118.34716442754062</v>
      </c>
      <c r="CA112" s="791">
        <v>118.34716442754062</v>
      </c>
      <c r="CB112" s="791">
        <v>118.34716442754062</v>
      </c>
      <c r="CC112" s="791">
        <v>118.34716442754062</v>
      </c>
      <c r="CD112" s="791">
        <v>118.34716442754062</v>
      </c>
      <c r="CE112" s="791">
        <v>118.34716442754062</v>
      </c>
      <c r="CF112" s="791">
        <v>118.34716442754062</v>
      </c>
      <c r="CG112" s="791">
        <v>118.34716442754062</v>
      </c>
      <c r="CH112" s="791">
        <v>118.34716442754062</v>
      </c>
      <c r="CI112" s="791">
        <v>118.34716442754062</v>
      </c>
      <c r="CJ112" s="791">
        <v>118.34716442754062</v>
      </c>
      <c r="CK112" s="791">
        <v>118.34716442754062</v>
      </c>
      <c r="CL112" s="791">
        <v>118.34716442754062</v>
      </c>
      <c r="CM112" s="791"/>
      <c r="CN112" s="694"/>
      <c r="CO112" s="694"/>
      <c r="CP112" s="694"/>
      <c r="CQ112" s="694"/>
      <c r="CR112" s="694"/>
    </row>
    <row r="113" spans="1:96">
      <c r="A113" s="743" t="s">
        <v>3</v>
      </c>
      <c r="B113" s="752">
        <v>41522</v>
      </c>
      <c r="C113" s="745">
        <v>2013</v>
      </c>
      <c r="D113" s="746" t="s">
        <v>15</v>
      </c>
      <c r="E113" s="746" t="s">
        <v>25</v>
      </c>
      <c r="F113" s="746" t="s">
        <v>17</v>
      </c>
      <c r="G113" s="746"/>
      <c r="H113" s="743" t="s">
        <v>393</v>
      </c>
      <c r="I113" s="746" t="s">
        <v>5</v>
      </c>
      <c r="J113" s="746" t="s">
        <v>376</v>
      </c>
      <c r="K113" s="706">
        <v>1</v>
      </c>
      <c r="L113" s="743"/>
      <c r="M113" s="743" t="s">
        <v>1084</v>
      </c>
      <c r="N113" s="743">
        <v>18</v>
      </c>
      <c r="O113" s="706"/>
      <c r="P113" s="706"/>
      <c r="Q113" s="706"/>
      <c r="R113" s="706"/>
      <c r="S113" s="706"/>
      <c r="T113" s="706"/>
      <c r="U113" s="738">
        <v>0.23360018720981882</v>
      </c>
      <c r="V113" s="795">
        <v>208.898</v>
      </c>
      <c r="W113" s="793">
        <v>0.23360018720981882</v>
      </c>
      <c r="X113" s="708">
        <v>208.898</v>
      </c>
      <c r="Y113" s="719">
        <v>3760.1639999999998</v>
      </c>
      <c r="Z113" s="719">
        <v>2130.2489596957312</v>
      </c>
      <c r="AA113" s="719">
        <v>236.69432885508124</v>
      </c>
      <c r="AB113" s="738">
        <v>0.13234171589016983</v>
      </c>
      <c r="AC113" s="706"/>
      <c r="AD113" s="706"/>
      <c r="AE113" s="714">
        <v>0.45847432909967401</v>
      </c>
      <c r="AF113" s="714">
        <v>2.500519309808772E-2</v>
      </c>
      <c r="AG113" s="706"/>
      <c r="AH113" s="714">
        <v>0.56653086399841368</v>
      </c>
      <c r="AI113" s="748">
        <v>0.45847432909967401</v>
      </c>
      <c r="AJ113" s="748">
        <v>2.500519309808772E-2</v>
      </c>
      <c r="AK113" s="748"/>
      <c r="AL113" s="714">
        <v>0.56653086399841368</v>
      </c>
      <c r="AM113" s="706"/>
      <c r="AN113" s="706"/>
      <c r="AO113" s="706"/>
      <c r="AP113" s="747"/>
      <c r="AQ113" s="733"/>
      <c r="AR113" s="706"/>
      <c r="AS113" s="706"/>
      <c r="AT113" s="706"/>
      <c r="AU113" s="706">
        <v>0.13234171589016983</v>
      </c>
      <c r="AV113" s="706">
        <v>0.13234171589016983</v>
      </c>
      <c r="AW113" s="706">
        <v>0.13234171589016983</v>
      </c>
      <c r="AX113" s="706">
        <v>0.13234171589016983</v>
      </c>
      <c r="AY113" s="706">
        <v>0.13234171589016983</v>
      </c>
      <c r="AZ113" s="706">
        <v>0.13234171589016983</v>
      </c>
      <c r="BA113" s="706">
        <v>0.13234171589016983</v>
      </c>
      <c r="BB113" s="706">
        <v>0.13234171589016983</v>
      </c>
      <c r="BC113" s="706">
        <v>0.13234171589016983</v>
      </c>
      <c r="BD113" s="706">
        <v>0.13234171589016983</v>
      </c>
      <c r="BE113" s="706">
        <v>0.13234171589016983</v>
      </c>
      <c r="BF113" s="706">
        <v>0.13234171589016983</v>
      </c>
      <c r="BG113" s="706">
        <v>0.13234171589016983</v>
      </c>
      <c r="BH113" s="706">
        <v>0.13234171589016983</v>
      </c>
      <c r="BI113" s="706">
        <v>0.13234171589016983</v>
      </c>
      <c r="BJ113" s="706">
        <v>0.13234171589016983</v>
      </c>
      <c r="BK113" s="706">
        <v>0.13234171589016983</v>
      </c>
      <c r="BL113" s="706">
        <v>0.13234171589016983</v>
      </c>
      <c r="BM113" s="706"/>
      <c r="BN113" s="710"/>
      <c r="BO113" s="710"/>
      <c r="BP113" s="710"/>
      <c r="BQ113" s="710"/>
      <c r="BR113" s="710"/>
      <c r="BS113" s="706"/>
      <c r="BT113" s="706"/>
      <c r="BU113" s="791">
        <v>118.34716442754062</v>
      </c>
      <c r="BV113" s="791">
        <v>118.34716442754062</v>
      </c>
      <c r="BW113" s="791">
        <v>118.34716442754062</v>
      </c>
      <c r="BX113" s="791">
        <v>118.34716442754062</v>
      </c>
      <c r="BY113" s="791">
        <v>118.34716442754062</v>
      </c>
      <c r="BZ113" s="791">
        <v>118.34716442754062</v>
      </c>
      <c r="CA113" s="791">
        <v>118.34716442754062</v>
      </c>
      <c r="CB113" s="791">
        <v>118.34716442754062</v>
      </c>
      <c r="CC113" s="791">
        <v>118.34716442754062</v>
      </c>
      <c r="CD113" s="791">
        <v>118.34716442754062</v>
      </c>
      <c r="CE113" s="791">
        <v>118.34716442754062</v>
      </c>
      <c r="CF113" s="791">
        <v>118.34716442754062</v>
      </c>
      <c r="CG113" s="791">
        <v>118.34716442754062</v>
      </c>
      <c r="CH113" s="791">
        <v>118.34716442754062</v>
      </c>
      <c r="CI113" s="791">
        <v>118.34716442754062</v>
      </c>
      <c r="CJ113" s="791">
        <v>118.34716442754062</v>
      </c>
      <c r="CK113" s="791">
        <v>118.34716442754062</v>
      </c>
      <c r="CL113" s="791">
        <v>118.34716442754062</v>
      </c>
      <c r="CM113" s="791"/>
      <c r="CN113" s="694"/>
      <c r="CO113" s="694"/>
      <c r="CP113" s="694"/>
      <c r="CQ113" s="694"/>
      <c r="CR113" s="694"/>
    </row>
    <row r="114" spans="1:96">
      <c r="A114" s="743" t="s">
        <v>3</v>
      </c>
      <c r="B114" s="752">
        <v>41645</v>
      </c>
      <c r="C114" s="743">
        <v>2014</v>
      </c>
      <c r="D114" s="746" t="s">
        <v>15</v>
      </c>
      <c r="E114" s="746" t="s">
        <v>25</v>
      </c>
      <c r="F114" s="746" t="s">
        <v>17</v>
      </c>
      <c r="G114" s="746" t="s">
        <v>58</v>
      </c>
      <c r="H114" s="694" t="s">
        <v>959</v>
      </c>
      <c r="I114" s="746" t="s">
        <v>5</v>
      </c>
      <c r="J114" s="746" t="s">
        <v>376</v>
      </c>
      <c r="K114" s="706">
        <v>1</v>
      </c>
      <c r="L114" s="745" t="s">
        <v>58</v>
      </c>
      <c r="M114" s="743" t="s">
        <v>1083</v>
      </c>
      <c r="N114" s="743">
        <v>19</v>
      </c>
      <c r="O114" s="706"/>
      <c r="P114" s="706"/>
      <c r="Q114" s="706"/>
      <c r="R114" s="706"/>
      <c r="S114" s="706"/>
      <c r="T114" s="706"/>
      <c r="U114" s="738">
        <v>0.62806842093767556</v>
      </c>
      <c r="V114" s="738">
        <v>1227.8974155200376</v>
      </c>
      <c r="W114" s="793">
        <v>0.62806842093767556</v>
      </c>
      <c r="X114" s="708">
        <v>1227.8974155200376</v>
      </c>
      <c r="Y114" s="719">
        <v>23330.050894880715</v>
      </c>
      <c r="Z114" s="719">
        <v>11048.341077309895</v>
      </c>
      <c r="AA114" s="719">
        <v>581.49163564788921</v>
      </c>
      <c r="AB114" s="738">
        <v>0.29743244734753344</v>
      </c>
      <c r="AC114" s="792">
        <v>1</v>
      </c>
      <c r="AD114" s="792">
        <v>1</v>
      </c>
      <c r="AE114" s="717">
        <v>0.56884057971014501</v>
      </c>
      <c r="AF114" s="714">
        <v>4.2407531067898789E-2</v>
      </c>
      <c r="AG114" s="706"/>
      <c r="AH114" s="792">
        <v>0.47356695135775378</v>
      </c>
      <c r="AI114" s="748">
        <v>0.56884057971014501</v>
      </c>
      <c r="AJ114" s="748">
        <v>4.2407531067898789E-2</v>
      </c>
      <c r="AK114" s="748"/>
      <c r="AL114" s="714">
        <v>0.47356695135775378</v>
      </c>
      <c r="AM114" s="706"/>
      <c r="AN114" s="706"/>
      <c r="AO114" s="706"/>
      <c r="AP114" s="747"/>
      <c r="AQ114" s="733"/>
      <c r="AR114" s="706" t="s">
        <v>957</v>
      </c>
      <c r="AS114" s="706"/>
      <c r="AT114" s="706"/>
      <c r="AU114" s="710"/>
      <c r="AV114" s="706">
        <v>0.29743244734753344</v>
      </c>
      <c r="AW114" s="706">
        <v>0.29743244734753344</v>
      </c>
      <c r="AX114" s="706">
        <v>0.29743244734753344</v>
      </c>
      <c r="AY114" s="706">
        <v>0.29743244734753344</v>
      </c>
      <c r="AZ114" s="706">
        <v>0.29743244734753344</v>
      </c>
      <c r="BA114" s="706">
        <v>0.29743244734753344</v>
      </c>
      <c r="BB114" s="706">
        <v>0.29743244734753344</v>
      </c>
      <c r="BC114" s="706">
        <v>0.29743244734753344</v>
      </c>
      <c r="BD114" s="706">
        <v>0.29743244734753344</v>
      </c>
      <c r="BE114" s="706">
        <v>0.29743244734753344</v>
      </c>
      <c r="BF114" s="706">
        <v>0.29743244734753344</v>
      </c>
      <c r="BG114" s="706">
        <v>0.29743244734753344</v>
      </c>
      <c r="BH114" s="706">
        <v>0.29743244734753344</v>
      </c>
      <c r="BI114" s="706">
        <v>0.29743244734753344</v>
      </c>
      <c r="BJ114" s="706">
        <v>0.29743244734753344</v>
      </c>
      <c r="BK114" s="706">
        <v>0.29743244734753344</v>
      </c>
      <c r="BL114" s="706">
        <v>0.29743244734753344</v>
      </c>
      <c r="BM114" s="706">
        <v>0.29743244734753344</v>
      </c>
      <c r="BN114" s="706">
        <v>0.29743244734753344</v>
      </c>
      <c r="BO114" s="710"/>
      <c r="BP114" s="710"/>
      <c r="BQ114" s="710"/>
      <c r="BR114" s="710"/>
      <c r="BS114" s="706"/>
      <c r="BT114" s="706"/>
      <c r="BU114" s="708"/>
      <c r="BV114" s="791">
        <v>581.49163564788921</v>
      </c>
      <c r="BW114" s="791">
        <v>581.49163564788921</v>
      </c>
      <c r="BX114" s="791">
        <v>581.49163564788921</v>
      </c>
      <c r="BY114" s="791">
        <v>581.49163564788921</v>
      </c>
      <c r="BZ114" s="791">
        <v>581.49163564788921</v>
      </c>
      <c r="CA114" s="791">
        <v>581.49163564788921</v>
      </c>
      <c r="CB114" s="791">
        <v>581.49163564788921</v>
      </c>
      <c r="CC114" s="791">
        <v>581.49163564788921</v>
      </c>
      <c r="CD114" s="791">
        <v>581.49163564788921</v>
      </c>
      <c r="CE114" s="791">
        <v>581.49163564788921</v>
      </c>
      <c r="CF114" s="791">
        <v>581.49163564788921</v>
      </c>
      <c r="CG114" s="791">
        <v>581.49163564788921</v>
      </c>
      <c r="CH114" s="791">
        <v>581.49163564788921</v>
      </c>
      <c r="CI114" s="791">
        <v>581.49163564788921</v>
      </c>
      <c r="CJ114" s="791">
        <v>581.49163564788921</v>
      </c>
      <c r="CK114" s="791">
        <v>581.49163564788921</v>
      </c>
      <c r="CL114" s="791">
        <v>581.49163564788921</v>
      </c>
      <c r="CM114" s="791">
        <v>581.49163564788921</v>
      </c>
      <c r="CN114" s="791">
        <v>581.49163564788921</v>
      </c>
      <c r="CO114" s="708"/>
      <c r="CP114" s="708"/>
      <c r="CQ114" s="708"/>
      <c r="CR114" s="708"/>
    </row>
    <row r="115" spans="1:96">
      <c r="A115" s="743" t="s">
        <v>3</v>
      </c>
      <c r="B115" s="752">
        <v>41648</v>
      </c>
      <c r="C115" s="743">
        <v>2014</v>
      </c>
      <c r="D115" s="746" t="s">
        <v>15</v>
      </c>
      <c r="E115" s="746" t="s">
        <v>25</v>
      </c>
      <c r="F115" s="746" t="s">
        <v>17</v>
      </c>
      <c r="G115" s="746" t="s">
        <v>58</v>
      </c>
      <c r="H115" s="694" t="s">
        <v>959</v>
      </c>
      <c r="I115" s="746" t="s">
        <v>5</v>
      </c>
      <c r="J115" s="746" t="s">
        <v>376</v>
      </c>
      <c r="K115" s="706">
        <v>1</v>
      </c>
      <c r="L115" s="745" t="s">
        <v>58</v>
      </c>
      <c r="M115" s="743" t="s">
        <v>1082</v>
      </c>
      <c r="N115" s="743">
        <v>19</v>
      </c>
      <c r="O115" s="706"/>
      <c r="P115" s="706"/>
      <c r="Q115" s="706"/>
      <c r="R115" s="706"/>
      <c r="S115" s="706"/>
      <c r="T115" s="706"/>
      <c r="U115" s="738">
        <v>0.62806842093767556</v>
      </c>
      <c r="V115" s="738">
        <v>1227.8974155200376</v>
      </c>
      <c r="W115" s="793">
        <v>0.62806842093767556</v>
      </c>
      <c r="X115" s="708">
        <v>1227.8974155200376</v>
      </c>
      <c r="Y115" s="719">
        <v>23330.050894880715</v>
      </c>
      <c r="Z115" s="719">
        <v>11048.341077309895</v>
      </c>
      <c r="AA115" s="719">
        <v>581.49163564788921</v>
      </c>
      <c r="AB115" s="738">
        <v>0.29743244734753344</v>
      </c>
      <c r="AC115" s="792">
        <v>1</v>
      </c>
      <c r="AD115" s="792">
        <v>1</v>
      </c>
      <c r="AE115" s="717">
        <v>0.56884057971014501</v>
      </c>
      <c r="AF115" s="714">
        <v>4.2407531067898789E-2</v>
      </c>
      <c r="AG115" s="706"/>
      <c r="AH115" s="792">
        <v>0.47356695135775378</v>
      </c>
      <c r="AI115" s="748">
        <v>0.56884057971014501</v>
      </c>
      <c r="AJ115" s="748">
        <v>4.2407531067898789E-2</v>
      </c>
      <c r="AK115" s="748"/>
      <c r="AL115" s="714">
        <v>0.47356695135775378</v>
      </c>
      <c r="AM115" s="706"/>
      <c r="AN115" s="706"/>
      <c r="AO115" s="706"/>
      <c r="AP115" s="747"/>
      <c r="AQ115" s="733"/>
      <c r="AR115" s="706" t="s">
        <v>957</v>
      </c>
      <c r="AS115" s="706"/>
      <c r="AT115" s="706"/>
      <c r="AU115" s="710"/>
      <c r="AV115" s="706">
        <v>0.29743244734753344</v>
      </c>
      <c r="AW115" s="706">
        <v>0.29743244734753344</v>
      </c>
      <c r="AX115" s="706">
        <v>0.29743244734753344</v>
      </c>
      <c r="AY115" s="706">
        <v>0.29743244734753344</v>
      </c>
      <c r="AZ115" s="706">
        <v>0.29743244734753344</v>
      </c>
      <c r="BA115" s="706">
        <v>0.29743244734753344</v>
      </c>
      <c r="BB115" s="706">
        <v>0.29743244734753344</v>
      </c>
      <c r="BC115" s="706">
        <v>0.29743244734753344</v>
      </c>
      <c r="BD115" s="706">
        <v>0.29743244734753344</v>
      </c>
      <c r="BE115" s="706">
        <v>0.29743244734753344</v>
      </c>
      <c r="BF115" s="706">
        <v>0.29743244734753344</v>
      </c>
      <c r="BG115" s="706">
        <v>0.29743244734753344</v>
      </c>
      <c r="BH115" s="706">
        <v>0.29743244734753344</v>
      </c>
      <c r="BI115" s="706">
        <v>0.29743244734753344</v>
      </c>
      <c r="BJ115" s="706">
        <v>0.29743244734753344</v>
      </c>
      <c r="BK115" s="706">
        <v>0.29743244734753344</v>
      </c>
      <c r="BL115" s="706">
        <v>0.29743244734753344</v>
      </c>
      <c r="BM115" s="706">
        <v>0.29743244734753344</v>
      </c>
      <c r="BN115" s="706">
        <v>0.29743244734753344</v>
      </c>
      <c r="BO115" s="710"/>
      <c r="BP115" s="710"/>
      <c r="BQ115" s="710"/>
      <c r="BR115" s="710"/>
      <c r="BS115" s="706"/>
      <c r="BT115" s="706"/>
      <c r="BU115" s="708"/>
      <c r="BV115" s="791">
        <v>581.49163564788921</v>
      </c>
      <c r="BW115" s="791">
        <v>581.49163564788921</v>
      </c>
      <c r="BX115" s="791">
        <v>581.49163564788921</v>
      </c>
      <c r="BY115" s="791">
        <v>581.49163564788921</v>
      </c>
      <c r="BZ115" s="791">
        <v>581.49163564788921</v>
      </c>
      <c r="CA115" s="791">
        <v>581.49163564788921</v>
      </c>
      <c r="CB115" s="791">
        <v>581.49163564788921</v>
      </c>
      <c r="CC115" s="791">
        <v>581.49163564788921</v>
      </c>
      <c r="CD115" s="791">
        <v>581.49163564788921</v>
      </c>
      <c r="CE115" s="791">
        <v>581.49163564788921</v>
      </c>
      <c r="CF115" s="791">
        <v>581.49163564788921</v>
      </c>
      <c r="CG115" s="791">
        <v>581.49163564788921</v>
      </c>
      <c r="CH115" s="791">
        <v>581.49163564788921</v>
      </c>
      <c r="CI115" s="791">
        <v>581.49163564788921</v>
      </c>
      <c r="CJ115" s="791">
        <v>581.49163564788921</v>
      </c>
      <c r="CK115" s="791">
        <v>581.49163564788921</v>
      </c>
      <c r="CL115" s="791">
        <v>581.49163564788921</v>
      </c>
      <c r="CM115" s="791">
        <v>581.49163564788921</v>
      </c>
      <c r="CN115" s="791">
        <v>581.49163564788921</v>
      </c>
      <c r="CO115" s="708"/>
      <c r="CP115" s="708"/>
      <c r="CQ115" s="708"/>
      <c r="CR115" s="708"/>
    </row>
    <row r="116" spans="1:96">
      <c r="A116" s="743" t="s">
        <v>3</v>
      </c>
      <c r="B116" s="752">
        <v>41656</v>
      </c>
      <c r="C116" s="743">
        <v>2014</v>
      </c>
      <c r="D116" s="746" t="s">
        <v>15</v>
      </c>
      <c r="E116" s="746" t="s">
        <v>25</v>
      </c>
      <c r="F116" s="746" t="s">
        <v>17</v>
      </c>
      <c r="G116" s="746" t="s">
        <v>58</v>
      </c>
      <c r="H116" s="694" t="s">
        <v>959</v>
      </c>
      <c r="I116" s="746" t="s">
        <v>5</v>
      </c>
      <c r="J116" s="746" t="s">
        <v>376</v>
      </c>
      <c r="K116" s="706">
        <v>1</v>
      </c>
      <c r="L116" s="745" t="s">
        <v>58</v>
      </c>
      <c r="M116" s="743" t="s">
        <v>1081</v>
      </c>
      <c r="N116" s="743">
        <v>19</v>
      </c>
      <c r="O116" s="706"/>
      <c r="P116" s="706"/>
      <c r="Q116" s="706"/>
      <c r="R116" s="706"/>
      <c r="S116" s="706"/>
      <c r="T116" s="706"/>
      <c r="U116" s="738">
        <v>0.62806842093767556</v>
      </c>
      <c r="V116" s="738">
        <v>1227.8974155200376</v>
      </c>
      <c r="W116" s="793">
        <v>0.62806842093767556</v>
      </c>
      <c r="X116" s="708">
        <v>1227.8974155200376</v>
      </c>
      <c r="Y116" s="719">
        <v>23330.050894880715</v>
      </c>
      <c r="Z116" s="719">
        <v>11048.341077309895</v>
      </c>
      <c r="AA116" s="719">
        <v>581.49163564788921</v>
      </c>
      <c r="AB116" s="738">
        <v>0.29743244734753344</v>
      </c>
      <c r="AC116" s="792">
        <v>1</v>
      </c>
      <c r="AD116" s="792">
        <v>1</v>
      </c>
      <c r="AE116" s="717">
        <v>0.56884057971014501</v>
      </c>
      <c r="AF116" s="714">
        <v>4.2407531067898789E-2</v>
      </c>
      <c r="AG116" s="706"/>
      <c r="AH116" s="792">
        <v>0.47356695135775378</v>
      </c>
      <c r="AI116" s="748">
        <v>0.56884057971014501</v>
      </c>
      <c r="AJ116" s="748">
        <v>4.2407531067898789E-2</v>
      </c>
      <c r="AK116" s="748"/>
      <c r="AL116" s="714">
        <v>0.47356695135775378</v>
      </c>
      <c r="AM116" s="706"/>
      <c r="AN116" s="706"/>
      <c r="AO116" s="706"/>
      <c r="AP116" s="747"/>
      <c r="AQ116" s="733"/>
      <c r="AR116" s="706" t="s">
        <v>957</v>
      </c>
      <c r="AS116" s="706"/>
      <c r="AT116" s="706"/>
      <c r="AU116" s="710"/>
      <c r="AV116" s="706">
        <v>0.29743244734753344</v>
      </c>
      <c r="AW116" s="706">
        <v>0.29743244734753344</v>
      </c>
      <c r="AX116" s="706">
        <v>0.29743244734753344</v>
      </c>
      <c r="AY116" s="706">
        <v>0.29743244734753344</v>
      </c>
      <c r="AZ116" s="706">
        <v>0.29743244734753344</v>
      </c>
      <c r="BA116" s="706">
        <v>0.29743244734753344</v>
      </c>
      <c r="BB116" s="706">
        <v>0.29743244734753344</v>
      </c>
      <c r="BC116" s="706">
        <v>0.29743244734753344</v>
      </c>
      <c r="BD116" s="706">
        <v>0.29743244734753344</v>
      </c>
      <c r="BE116" s="706">
        <v>0.29743244734753344</v>
      </c>
      <c r="BF116" s="706">
        <v>0.29743244734753344</v>
      </c>
      <c r="BG116" s="706">
        <v>0.29743244734753344</v>
      </c>
      <c r="BH116" s="706">
        <v>0.29743244734753344</v>
      </c>
      <c r="BI116" s="706">
        <v>0.29743244734753344</v>
      </c>
      <c r="BJ116" s="706">
        <v>0.29743244734753344</v>
      </c>
      <c r="BK116" s="706">
        <v>0.29743244734753344</v>
      </c>
      <c r="BL116" s="706">
        <v>0.29743244734753344</v>
      </c>
      <c r="BM116" s="706">
        <v>0.29743244734753344</v>
      </c>
      <c r="BN116" s="706">
        <v>0.29743244734753344</v>
      </c>
      <c r="BO116" s="710"/>
      <c r="BP116" s="710"/>
      <c r="BQ116" s="710"/>
      <c r="BR116" s="710"/>
      <c r="BS116" s="706"/>
      <c r="BT116" s="706"/>
      <c r="BU116" s="708"/>
      <c r="BV116" s="791">
        <v>581.49163564788921</v>
      </c>
      <c r="BW116" s="791">
        <v>581.49163564788921</v>
      </c>
      <c r="BX116" s="791">
        <v>581.49163564788921</v>
      </c>
      <c r="BY116" s="791">
        <v>581.49163564788921</v>
      </c>
      <c r="BZ116" s="791">
        <v>581.49163564788921</v>
      </c>
      <c r="CA116" s="791">
        <v>581.49163564788921</v>
      </c>
      <c r="CB116" s="791">
        <v>581.49163564788921</v>
      </c>
      <c r="CC116" s="791">
        <v>581.49163564788921</v>
      </c>
      <c r="CD116" s="791">
        <v>581.49163564788921</v>
      </c>
      <c r="CE116" s="791">
        <v>581.49163564788921</v>
      </c>
      <c r="CF116" s="791">
        <v>581.49163564788921</v>
      </c>
      <c r="CG116" s="791">
        <v>581.49163564788921</v>
      </c>
      <c r="CH116" s="791">
        <v>581.49163564788921</v>
      </c>
      <c r="CI116" s="791">
        <v>581.49163564788921</v>
      </c>
      <c r="CJ116" s="791">
        <v>581.49163564788921</v>
      </c>
      <c r="CK116" s="791">
        <v>581.49163564788921</v>
      </c>
      <c r="CL116" s="791">
        <v>581.49163564788921</v>
      </c>
      <c r="CM116" s="791">
        <v>581.49163564788921</v>
      </c>
      <c r="CN116" s="791">
        <v>581.49163564788921</v>
      </c>
      <c r="CO116" s="708"/>
      <c r="CP116" s="708"/>
      <c r="CQ116" s="708"/>
      <c r="CR116" s="708"/>
    </row>
    <row r="117" spans="1:96">
      <c r="A117" s="743" t="s">
        <v>3</v>
      </c>
      <c r="B117" s="752">
        <v>41662</v>
      </c>
      <c r="C117" s="743">
        <v>2014</v>
      </c>
      <c r="D117" s="746" t="s">
        <v>15</v>
      </c>
      <c r="E117" s="746" t="s">
        <v>25</v>
      </c>
      <c r="F117" s="746" t="s">
        <v>17</v>
      </c>
      <c r="G117" s="746" t="s">
        <v>58</v>
      </c>
      <c r="H117" s="694" t="s">
        <v>959</v>
      </c>
      <c r="I117" s="746" t="s">
        <v>5</v>
      </c>
      <c r="J117" s="746" t="s">
        <v>376</v>
      </c>
      <c r="K117" s="706">
        <v>1</v>
      </c>
      <c r="L117" s="745" t="s">
        <v>58</v>
      </c>
      <c r="M117" s="743" t="s">
        <v>1080</v>
      </c>
      <c r="N117" s="743">
        <v>19</v>
      </c>
      <c r="O117" s="706"/>
      <c r="P117" s="706"/>
      <c r="Q117" s="706"/>
      <c r="R117" s="706"/>
      <c r="S117" s="706"/>
      <c r="T117" s="706"/>
      <c r="U117" s="738">
        <v>0.62806842093767556</v>
      </c>
      <c r="V117" s="738">
        <v>1227.8974155200376</v>
      </c>
      <c r="W117" s="793">
        <v>0.62806842093767556</v>
      </c>
      <c r="X117" s="708">
        <v>1227.8974155200376</v>
      </c>
      <c r="Y117" s="719">
        <v>23330.050894880715</v>
      </c>
      <c r="Z117" s="719">
        <v>11048.341077309895</v>
      </c>
      <c r="AA117" s="719">
        <v>581.49163564788921</v>
      </c>
      <c r="AB117" s="738">
        <v>0.29743244734753344</v>
      </c>
      <c r="AC117" s="792">
        <v>1</v>
      </c>
      <c r="AD117" s="792">
        <v>1</v>
      </c>
      <c r="AE117" s="717">
        <v>0.56884057971014501</v>
      </c>
      <c r="AF117" s="714">
        <v>4.2407531067898789E-2</v>
      </c>
      <c r="AG117" s="706"/>
      <c r="AH117" s="792">
        <v>0.47356695135775378</v>
      </c>
      <c r="AI117" s="748">
        <v>0.56884057971014501</v>
      </c>
      <c r="AJ117" s="748">
        <v>4.2407531067898789E-2</v>
      </c>
      <c r="AK117" s="748"/>
      <c r="AL117" s="714">
        <v>0.47356695135775378</v>
      </c>
      <c r="AM117" s="706"/>
      <c r="AN117" s="706"/>
      <c r="AO117" s="706"/>
      <c r="AP117" s="747"/>
      <c r="AQ117" s="733"/>
      <c r="AR117" s="706" t="s">
        <v>957</v>
      </c>
      <c r="AS117" s="706"/>
      <c r="AT117" s="706"/>
      <c r="AU117" s="710"/>
      <c r="AV117" s="706">
        <v>0.29743244734753344</v>
      </c>
      <c r="AW117" s="706">
        <v>0.29743244734753344</v>
      </c>
      <c r="AX117" s="706">
        <v>0.29743244734753344</v>
      </c>
      <c r="AY117" s="706">
        <v>0.29743244734753344</v>
      </c>
      <c r="AZ117" s="706">
        <v>0.29743244734753344</v>
      </c>
      <c r="BA117" s="706">
        <v>0.29743244734753344</v>
      </c>
      <c r="BB117" s="706">
        <v>0.29743244734753344</v>
      </c>
      <c r="BC117" s="706">
        <v>0.29743244734753344</v>
      </c>
      <c r="BD117" s="706">
        <v>0.29743244734753344</v>
      </c>
      <c r="BE117" s="706">
        <v>0.29743244734753344</v>
      </c>
      <c r="BF117" s="706">
        <v>0.29743244734753344</v>
      </c>
      <c r="BG117" s="706">
        <v>0.29743244734753344</v>
      </c>
      <c r="BH117" s="706">
        <v>0.29743244734753344</v>
      </c>
      <c r="BI117" s="706">
        <v>0.29743244734753344</v>
      </c>
      <c r="BJ117" s="706">
        <v>0.29743244734753344</v>
      </c>
      <c r="BK117" s="706">
        <v>0.29743244734753344</v>
      </c>
      <c r="BL117" s="706">
        <v>0.29743244734753344</v>
      </c>
      <c r="BM117" s="706">
        <v>0.29743244734753344</v>
      </c>
      <c r="BN117" s="706">
        <v>0.29743244734753344</v>
      </c>
      <c r="BO117" s="710"/>
      <c r="BP117" s="710"/>
      <c r="BQ117" s="710"/>
      <c r="BR117" s="710"/>
      <c r="BS117" s="706"/>
      <c r="BT117" s="706"/>
      <c r="BU117" s="708"/>
      <c r="BV117" s="791">
        <v>581.49163564788921</v>
      </c>
      <c r="BW117" s="791">
        <v>581.49163564788921</v>
      </c>
      <c r="BX117" s="791">
        <v>581.49163564788921</v>
      </c>
      <c r="BY117" s="791">
        <v>581.49163564788921</v>
      </c>
      <c r="BZ117" s="791">
        <v>581.49163564788921</v>
      </c>
      <c r="CA117" s="791">
        <v>581.49163564788921</v>
      </c>
      <c r="CB117" s="791">
        <v>581.49163564788921</v>
      </c>
      <c r="CC117" s="791">
        <v>581.49163564788921</v>
      </c>
      <c r="CD117" s="791">
        <v>581.49163564788921</v>
      </c>
      <c r="CE117" s="791">
        <v>581.49163564788921</v>
      </c>
      <c r="CF117" s="791">
        <v>581.49163564788921</v>
      </c>
      <c r="CG117" s="791">
        <v>581.49163564788921</v>
      </c>
      <c r="CH117" s="791">
        <v>581.49163564788921</v>
      </c>
      <c r="CI117" s="791">
        <v>581.49163564788921</v>
      </c>
      <c r="CJ117" s="791">
        <v>581.49163564788921</v>
      </c>
      <c r="CK117" s="791">
        <v>581.49163564788921</v>
      </c>
      <c r="CL117" s="791">
        <v>581.49163564788921</v>
      </c>
      <c r="CM117" s="791">
        <v>581.49163564788921</v>
      </c>
      <c r="CN117" s="791">
        <v>581.49163564788921</v>
      </c>
      <c r="CO117" s="708"/>
      <c r="CP117" s="708"/>
      <c r="CQ117" s="708"/>
      <c r="CR117" s="708"/>
    </row>
    <row r="118" spans="1:96">
      <c r="A118" s="743" t="s">
        <v>3</v>
      </c>
      <c r="B118" s="752">
        <v>41675</v>
      </c>
      <c r="C118" s="743">
        <v>2014</v>
      </c>
      <c r="D118" s="746" t="s">
        <v>15</v>
      </c>
      <c r="E118" s="746" t="s">
        <v>25</v>
      </c>
      <c r="F118" s="746" t="s">
        <v>17</v>
      </c>
      <c r="G118" s="746" t="s">
        <v>58</v>
      </c>
      <c r="H118" s="694" t="s">
        <v>959</v>
      </c>
      <c r="I118" s="746" t="s">
        <v>5</v>
      </c>
      <c r="J118" s="746" t="s">
        <v>376</v>
      </c>
      <c r="K118" s="706">
        <v>1</v>
      </c>
      <c r="L118" s="745" t="s">
        <v>58</v>
      </c>
      <c r="M118" s="743" t="s">
        <v>1079</v>
      </c>
      <c r="N118" s="743">
        <v>19</v>
      </c>
      <c r="O118" s="706"/>
      <c r="P118" s="706"/>
      <c r="Q118" s="706"/>
      <c r="R118" s="706"/>
      <c r="S118" s="706"/>
      <c r="T118" s="706"/>
      <c r="U118" s="738">
        <v>0.62806842093767556</v>
      </c>
      <c r="V118" s="738">
        <v>1227.8974155200376</v>
      </c>
      <c r="W118" s="793">
        <v>0.62806842093767556</v>
      </c>
      <c r="X118" s="708">
        <v>1227.8974155200376</v>
      </c>
      <c r="Y118" s="719">
        <v>23330.050894880715</v>
      </c>
      <c r="Z118" s="719">
        <v>11048.341077309895</v>
      </c>
      <c r="AA118" s="719">
        <v>581.49163564788921</v>
      </c>
      <c r="AB118" s="738">
        <v>0.29743244734753344</v>
      </c>
      <c r="AC118" s="792">
        <v>1</v>
      </c>
      <c r="AD118" s="792">
        <v>1</v>
      </c>
      <c r="AE118" s="717">
        <v>0.56884057971014501</v>
      </c>
      <c r="AF118" s="714">
        <v>4.2407531067898789E-2</v>
      </c>
      <c r="AG118" s="706"/>
      <c r="AH118" s="792">
        <v>0.47356695135775378</v>
      </c>
      <c r="AI118" s="748">
        <v>0.56884057971014501</v>
      </c>
      <c r="AJ118" s="748">
        <v>4.2407531067898789E-2</v>
      </c>
      <c r="AK118" s="748"/>
      <c r="AL118" s="714">
        <v>0.47356695135775378</v>
      </c>
      <c r="AM118" s="706"/>
      <c r="AN118" s="706"/>
      <c r="AO118" s="706"/>
      <c r="AP118" s="747"/>
      <c r="AQ118" s="733"/>
      <c r="AR118" s="706" t="s">
        <v>957</v>
      </c>
      <c r="AS118" s="706"/>
      <c r="AT118" s="706"/>
      <c r="AU118" s="710"/>
      <c r="AV118" s="706">
        <v>0.29743244734753344</v>
      </c>
      <c r="AW118" s="706">
        <v>0.29743244734753344</v>
      </c>
      <c r="AX118" s="706">
        <v>0.29743244734753344</v>
      </c>
      <c r="AY118" s="706">
        <v>0.29743244734753344</v>
      </c>
      <c r="AZ118" s="706">
        <v>0.29743244734753344</v>
      </c>
      <c r="BA118" s="706">
        <v>0.29743244734753344</v>
      </c>
      <c r="BB118" s="706">
        <v>0.29743244734753344</v>
      </c>
      <c r="BC118" s="706">
        <v>0.29743244734753344</v>
      </c>
      <c r="BD118" s="706">
        <v>0.29743244734753344</v>
      </c>
      <c r="BE118" s="706">
        <v>0.29743244734753344</v>
      </c>
      <c r="BF118" s="706">
        <v>0.29743244734753344</v>
      </c>
      <c r="BG118" s="706">
        <v>0.29743244734753344</v>
      </c>
      <c r="BH118" s="706">
        <v>0.29743244734753344</v>
      </c>
      <c r="BI118" s="706">
        <v>0.29743244734753344</v>
      </c>
      <c r="BJ118" s="706">
        <v>0.29743244734753344</v>
      </c>
      <c r="BK118" s="706">
        <v>0.29743244734753344</v>
      </c>
      <c r="BL118" s="706">
        <v>0.29743244734753344</v>
      </c>
      <c r="BM118" s="706">
        <v>0.29743244734753344</v>
      </c>
      <c r="BN118" s="706">
        <v>0.29743244734753344</v>
      </c>
      <c r="BO118" s="710"/>
      <c r="BP118" s="710"/>
      <c r="BQ118" s="710"/>
      <c r="BR118" s="710"/>
      <c r="BS118" s="706"/>
      <c r="BT118" s="706"/>
      <c r="BU118" s="708"/>
      <c r="BV118" s="791">
        <v>581.49163564788921</v>
      </c>
      <c r="BW118" s="791">
        <v>581.49163564788921</v>
      </c>
      <c r="BX118" s="791">
        <v>581.49163564788921</v>
      </c>
      <c r="BY118" s="791">
        <v>581.49163564788921</v>
      </c>
      <c r="BZ118" s="791">
        <v>581.49163564788921</v>
      </c>
      <c r="CA118" s="791">
        <v>581.49163564788921</v>
      </c>
      <c r="CB118" s="791">
        <v>581.49163564788921</v>
      </c>
      <c r="CC118" s="791">
        <v>581.49163564788921</v>
      </c>
      <c r="CD118" s="791">
        <v>581.49163564788921</v>
      </c>
      <c r="CE118" s="791">
        <v>581.49163564788921</v>
      </c>
      <c r="CF118" s="791">
        <v>581.49163564788921</v>
      </c>
      <c r="CG118" s="791">
        <v>581.49163564788921</v>
      </c>
      <c r="CH118" s="791">
        <v>581.49163564788921</v>
      </c>
      <c r="CI118" s="791">
        <v>581.49163564788921</v>
      </c>
      <c r="CJ118" s="791">
        <v>581.49163564788921</v>
      </c>
      <c r="CK118" s="791">
        <v>581.49163564788921</v>
      </c>
      <c r="CL118" s="791">
        <v>581.49163564788921</v>
      </c>
      <c r="CM118" s="791">
        <v>581.49163564788921</v>
      </c>
      <c r="CN118" s="791">
        <v>581.49163564788921</v>
      </c>
      <c r="CO118" s="708"/>
      <c r="CP118" s="708"/>
      <c r="CQ118" s="708"/>
      <c r="CR118" s="708"/>
    </row>
    <row r="119" spans="1:96">
      <c r="A119" s="743" t="s">
        <v>3</v>
      </c>
      <c r="B119" s="752">
        <v>41684</v>
      </c>
      <c r="C119" s="743">
        <v>2014</v>
      </c>
      <c r="D119" s="746" t="s">
        <v>15</v>
      </c>
      <c r="E119" s="746" t="s">
        <v>25</v>
      </c>
      <c r="F119" s="746" t="s">
        <v>17</v>
      </c>
      <c r="G119" s="746" t="s">
        <v>58</v>
      </c>
      <c r="H119" s="694" t="s">
        <v>959</v>
      </c>
      <c r="I119" s="746" t="s">
        <v>5</v>
      </c>
      <c r="J119" s="746" t="s">
        <v>376</v>
      </c>
      <c r="K119" s="706">
        <v>1</v>
      </c>
      <c r="L119" s="745" t="s">
        <v>58</v>
      </c>
      <c r="M119" s="743" t="s">
        <v>1078</v>
      </c>
      <c r="N119" s="743">
        <v>19</v>
      </c>
      <c r="O119" s="706"/>
      <c r="P119" s="706"/>
      <c r="Q119" s="706"/>
      <c r="R119" s="706"/>
      <c r="S119" s="706"/>
      <c r="T119" s="706"/>
      <c r="U119" s="738">
        <v>0.62806842093767556</v>
      </c>
      <c r="V119" s="738">
        <v>1227.8974155200376</v>
      </c>
      <c r="W119" s="793">
        <v>0.62806842093767556</v>
      </c>
      <c r="X119" s="708">
        <v>1227.8974155200376</v>
      </c>
      <c r="Y119" s="719">
        <v>23330.050894880715</v>
      </c>
      <c r="Z119" s="719">
        <v>11048.341077309895</v>
      </c>
      <c r="AA119" s="719">
        <v>581.49163564788921</v>
      </c>
      <c r="AB119" s="738">
        <v>0.29743244734753344</v>
      </c>
      <c r="AC119" s="792">
        <v>1</v>
      </c>
      <c r="AD119" s="792">
        <v>1</v>
      </c>
      <c r="AE119" s="717">
        <v>0.56884057971014501</v>
      </c>
      <c r="AF119" s="714">
        <v>4.2407531067898789E-2</v>
      </c>
      <c r="AG119" s="706"/>
      <c r="AH119" s="792">
        <v>0.47356695135775378</v>
      </c>
      <c r="AI119" s="748">
        <v>0.56884057971014501</v>
      </c>
      <c r="AJ119" s="748">
        <v>4.2407531067898789E-2</v>
      </c>
      <c r="AK119" s="748"/>
      <c r="AL119" s="714">
        <v>0.47356695135775378</v>
      </c>
      <c r="AM119" s="706"/>
      <c r="AN119" s="706"/>
      <c r="AO119" s="706"/>
      <c r="AP119" s="747"/>
      <c r="AQ119" s="733"/>
      <c r="AR119" s="706" t="s">
        <v>957</v>
      </c>
      <c r="AS119" s="706"/>
      <c r="AT119" s="706"/>
      <c r="AU119" s="710"/>
      <c r="AV119" s="706">
        <v>0.29743244734753344</v>
      </c>
      <c r="AW119" s="706">
        <v>0.29743244734753344</v>
      </c>
      <c r="AX119" s="706">
        <v>0.29743244734753344</v>
      </c>
      <c r="AY119" s="706">
        <v>0.29743244734753344</v>
      </c>
      <c r="AZ119" s="706">
        <v>0.29743244734753344</v>
      </c>
      <c r="BA119" s="706">
        <v>0.29743244734753344</v>
      </c>
      <c r="BB119" s="706">
        <v>0.29743244734753344</v>
      </c>
      <c r="BC119" s="706">
        <v>0.29743244734753344</v>
      </c>
      <c r="BD119" s="706">
        <v>0.29743244734753344</v>
      </c>
      <c r="BE119" s="706">
        <v>0.29743244734753344</v>
      </c>
      <c r="BF119" s="706">
        <v>0.29743244734753344</v>
      </c>
      <c r="BG119" s="706">
        <v>0.29743244734753344</v>
      </c>
      <c r="BH119" s="706">
        <v>0.29743244734753344</v>
      </c>
      <c r="BI119" s="706">
        <v>0.29743244734753344</v>
      </c>
      <c r="BJ119" s="706">
        <v>0.29743244734753344</v>
      </c>
      <c r="BK119" s="706">
        <v>0.29743244734753344</v>
      </c>
      <c r="BL119" s="706">
        <v>0.29743244734753344</v>
      </c>
      <c r="BM119" s="706">
        <v>0.29743244734753344</v>
      </c>
      <c r="BN119" s="706">
        <v>0.29743244734753344</v>
      </c>
      <c r="BO119" s="710"/>
      <c r="BP119" s="710"/>
      <c r="BQ119" s="710"/>
      <c r="BR119" s="710"/>
      <c r="BS119" s="706"/>
      <c r="BT119" s="706"/>
      <c r="BU119" s="708"/>
      <c r="BV119" s="791">
        <v>581.49163564788921</v>
      </c>
      <c r="BW119" s="791">
        <v>581.49163564788921</v>
      </c>
      <c r="BX119" s="791">
        <v>581.49163564788921</v>
      </c>
      <c r="BY119" s="791">
        <v>581.49163564788921</v>
      </c>
      <c r="BZ119" s="791">
        <v>581.49163564788921</v>
      </c>
      <c r="CA119" s="791">
        <v>581.49163564788921</v>
      </c>
      <c r="CB119" s="791">
        <v>581.49163564788921</v>
      </c>
      <c r="CC119" s="791">
        <v>581.49163564788921</v>
      </c>
      <c r="CD119" s="791">
        <v>581.49163564788921</v>
      </c>
      <c r="CE119" s="791">
        <v>581.49163564788921</v>
      </c>
      <c r="CF119" s="791">
        <v>581.49163564788921</v>
      </c>
      <c r="CG119" s="791">
        <v>581.49163564788921</v>
      </c>
      <c r="CH119" s="791">
        <v>581.49163564788921</v>
      </c>
      <c r="CI119" s="791">
        <v>581.49163564788921</v>
      </c>
      <c r="CJ119" s="791">
        <v>581.49163564788921</v>
      </c>
      <c r="CK119" s="791">
        <v>581.49163564788921</v>
      </c>
      <c r="CL119" s="791">
        <v>581.49163564788921</v>
      </c>
      <c r="CM119" s="791">
        <v>581.49163564788921</v>
      </c>
      <c r="CN119" s="791">
        <v>581.49163564788921</v>
      </c>
      <c r="CO119" s="708"/>
      <c r="CP119" s="708"/>
      <c r="CQ119" s="708"/>
      <c r="CR119" s="708"/>
    </row>
    <row r="120" spans="1:96">
      <c r="A120" s="743" t="s">
        <v>3</v>
      </c>
      <c r="B120" s="752">
        <v>41683</v>
      </c>
      <c r="C120" s="743">
        <v>2014</v>
      </c>
      <c r="D120" s="746" t="s">
        <v>15</v>
      </c>
      <c r="E120" s="746" t="s">
        <v>25</v>
      </c>
      <c r="F120" s="746" t="s">
        <v>17</v>
      </c>
      <c r="G120" s="746" t="s">
        <v>58</v>
      </c>
      <c r="H120" s="694" t="s">
        <v>959</v>
      </c>
      <c r="I120" s="746" t="s">
        <v>5</v>
      </c>
      <c r="J120" s="746" t="s">
        <v>376</v>
      </c>
      <c r="K120" s="706">
        <v>1</v>
      </c>
      <c r="L120" s="745" t="s">
        <v>58</v>
      </c>
      <c r="M120" s="743" t="s">
        <v>1077</v>
      </c>
      <c r="N120" s="743">
        <v>19</v>
      </c>
      <c r="O120" s="706"/>
      <c r="P120" s="706"/>
      <c r="Q120" s="706"/>
      <c r="R120" s="706"/>
      <c r="S120" s="706"/>
      <c r="T120" s="706"/>
      <c r="U120" s="738">
        <v>0.62806842093767556</v>
      </c>
      <c r="V120" s="738">
        <v>1227.8974155200376</v>
      </c>
      <c r="W120" s="793">
        <v>0.62806842093767556</v>
      </c>
      <c r="X120" s="708">
        <v>1227.8974155200376</v>
      </c>
      <c r="Y120" s="719">
        <v>23330.050894880715</v>
      </c>
      <c r="Z120" s="719">
        <v>11048.341077309895</v>
      </c>
      <c r="AA120" s="719">
        <v>581.49163564788921</v>
      </c>
      <c r="AB120" s="738">
        <v>0.29743244734753344</v>
      </c>
      <c r="AC120" s="792">
        <v>1</v>
      </c>
      <c r="AD120" s="792">
        <v>1</v>
      </c>
      <c r="AE120" s="717">
        <v>0.56884057971014501</v>
      </c>
      <c r="AF120" s="714">
        <v>4.2407531067898789E-2</v>
      </c>
      <c r="AG120" s="706"/>
      <c r="AH120" s="792">
        <v>0.47356695135775378</v>
      </c>
      <c r="AI120" s="748">
        <v>0.56884057971014501</v>
      </c>
      <c r="AJ120" s="748">
        <v>4.2407531067898789E-2</v>
      </c>
      <c r="AK120" s="748"/>
      <c r="AL120" s="714">
        <v>0.47356695135775378</v>
      </c>
      <c r="AM120" s="706"/>
      <c r="AN120" s="706"/>
      <c r="AO120" s="706"/>
      <c r="AP120" s="747"/>
      <c r="AQ120" s="733"/>
      <c r="AR120" s="706" t="s">
        <v>957</v>
      </c>
      <c r="AS120" s="706"/>
      <c r="AT120" s="706"/>
      <c r="AU120" s="710"/>
      <c r="AV120" s="706">
        <v>0.29743244734753344</v>
      </c>
      <c r="AW120" s="706">
        <v>0.29743244734753344</v>
      </c>
      <c r="AX120" s="706">
        <v>0.29743244734753344</v>
      </c>
      <c r="AY120" s="706">
        <v>0.29743244734753344</v>
      </c>
      <c r="AZ120" s="706">
        <v>0.29743244734753344</v>
      </c>
      <c r="BA120" s="706">
        <v>0.29743244734753344</v>
      </c>
      <c r="BB120" s="706">
        <v>0.29743244734753344</v>
      </c>
      <c r="BC120" s="706">
        <v>0.29743244734753344</v>
      </c>
      <c r="BD120" s="706">
        <v>0.29743244734753344</v>
      </c>
      <c r="BE120" s="706">
        <v>0.29743244734753344</v>
      </c>
      <c r="BF120" s="706">
        <v>0.29743244734753344</v>
      </c>
      <c r="BG120" s="706">
        <v>0.29743244734753344</v>
      </c>
      <c r="BH120" s="706">
        <v>0.29743244734753344</v>
      </c>
      <c r="BI120" s="706">
        <v>0.29743244734753344</v>
      </c>
      <c r="BJ120" s="706">
        <v>0.29743244734753344</v>
      </c>
      <c r="BK120" s="706">
        <v>0.29743244734753344</v>
      </c>
      <c r="BL120" s="706">
        <v>0.29743244734753344</v>
      </c>
      <c r="BM120" s="706">
        <v>0.29743244734753344</v>
      </c>
      <c r="BN120" s="706">
        <v>0.29743244734753344</v>
      </c>
      <c r="BO120" s="710"/>
      <c r="BP120" s="710"/>
      <c r="BQ120" s="710"/>
      <c r="BR120" s="710"/>
      <c r="BS120" s="706"/>
      <c r="BT120" s="706"/>
      <c r="BU120" s="708"/>
      <c r="BV120" s="791">
        <v>581.49163564788921</v>
      </c>
      <c r="BW120" s="791">
        <v>581.49163564788921</v>
      </c>
      <c r="BX120" s="791">
        <v>581.49163564788921</v>
      </c>
      <c r="BY120" s="791">
        <v>581.49163564788921</v>
      </c>
      <c r="BZ120" s="791">
        <v>581.49163564788921</v>
      </c>
      <c r="CA120" s="791">
        <v>581.49163564788921</v>
      </c>
      <c r="CB120" s="791">
        <v>581.49163564788921</v>
      </c>
      <c r="CC120" s="791">
        <v>581.49163564788921</v>
      </c>
      <c r="CD120" s="791">
        <v>581.49163564788921</v>
      </c>
      <c r="CE120" s="791">
        <v>581.49163564788921</v>
      </c>
      <c r="CF120" s="791">
        <v>581.49163564788921</v>
      </c>
      <c r="CG120" s="791">
        <v>581.49163564788921</v>
      </c>
      <c r="CH120" s="791">
        <v>581.49163564788921</v>
      </c>
      <c r="CI120" s="791">
        <v>581.49163564788921</v>
      </c>
      <c r="CJ120" s="791">
        <v>581.49163564788921</v>
      </c>
      <c r="CK120" s="791">
        <v>581.49163564788921</v>
      </c>
      <c r="CL120" s="791">
        <v>581.49163564788921</v>
      </c>
      <c r="CM120" s="791">
        <v>581.49163564788921</v>
      </c>
      <c r="CN120" s="791">
        <v>581.49163564788921</v>
      </c>
      <c r="CO120" s="708"/>
      <c r="CP120" s="708"/>
      <c r="CQ120" s="708"/>
      <c r="CR120" s="708"/>
    </row>
    <row r="121" spans="1:96">
      <c r="A121" s="743" t="s">
        <v>3</v>
      </c>
      <c r="B121" s="752">
        <v>41690</v>
      </c>
      <c r="C121" s="743">
        <v>2014</v>
      </c>
      <c r="D121" s="746" t="s">
        <v>15</v>
      </c>
      <c r="E121" s="746" t="s">
        <v>25</v>
      </c>
      <c r="F121" s="746" t="s">
        <v>17</v>
      </c>
      <c r="G121" s="746" t="s">
        <v>58</v>
      </c>
      <c r="H121" s="694" t="s">
        <v>959</v>
      </c>
      <c r="I121" s="746" t="s">
        <v>5</v>
      </c>
      <c r="J121" s="746" t="s">
        <v>376</v>
      </c>
      <c r="K121" s="706">
        <v>1</v>
      </c>
      <c r="L121" s="745" t="s">
        <v>58</v>
      </c>
      <c r="M121" s="743" t="s">
        <v>1033</v>
      </c>
      <c r="N121" s="743">
        <v>19</v>
      </c>
      <c r="O121" s="706"/>
      <c r="P121" s="706"/>
      <c r="Q121" s="706"/>
      <c r="R121" s="706"/>
      <c r="S121" s="706"/>
      <c r="T121" s="706"/>
      <c r="U121" s="738">
        <v>0.62806842093767556</v>
      </c>
      <c r="V121" s="738">
        <v>1227.8974155200376</v>
      </c>
      <c r="W121" s="793">
        <v>0.62806842093767556</v>
      </c>
      <c r="X121" s="708">
        <v>1227.8974155200376</v>
      </c>
      <c r="Y121" s="719">
        <v>23330.050894880715</v>
      </c>
      <c r="Z121" s="719">
        <v>11048.341077309895</v>
      </c>
      <c r="AA121" s="719">
        <v>581.49163564788921</v>
      </c>
      <c r="AB121" s="738">
        <v>0.29743244734753344</v>
      </c>
      <c r="AC121" s="792">
        <v>1</v>
      </c>
      <c r="AD121" s="792">
        <v>1</v>
      </c>
      <c r="AE121" s="717">
        <v>0.56884057971014501</v>
      </c>
      <c r="AF121" s="714">
        <v>4.2407531067898789E-2</v>
      </c>
      <c r="AG121" s="706"/>
      <c r="AH121" s="792">
        <v>0.47356695135775378</v>
      </c>
      <c r="AI121" s="748">
        <v>0.56884057971014501</v>
      </c>
      <c r="AJ121" s="748">
        <v>4.2407531067898789E-2</v>
      </c>
      <c r="AK121" s="748"/>
      <c r="AL121" s="714">
        <v>0.47356695135775378</v>
      </c>
      <c r="AM121" s="706"/>
      <c r="AN121" s="706"/>
      <c r="AO121" s="706"/>
      <c r="AP121" s="747"/>
      <c r="AQ121" s="733"/>
      <c r="AR121" s="706" t="s">
        <v>957</v>
      </c>
      <c r="AS121" s="706"/>
      <c r="AT121" s="706"/>
      <c r="AU121" s="710"/>
      <c r="AV121" s="706">
        <v>0.29743244734753344</v>
      </c>
      <c r="AW121" s="706">
        <v>0.29743244734753344</v>
      </c>
      <c r="AX121" s="706">
        <v>0.29743244734753344</v>
      </c>
      <c r="AY121" s="706">
        <v>0.29743244734753344</v>
      </c>
      <c r="AZ121" s="706">
        <v>0.29743244734753344</v>
      </c>
      <c r="BA121" s="706">
        <v>0.29743244734753344</v>
      </c>
      <c r="BB121" s="706">
        <v>0.29743244734753344</v>
      </c>
      <c r="BC121" s="706">
        <v>0.29743244734753344</v>
      </c>
      <c r="BD121" s="706">
        <v>0.29743244734753344</v>
      </c>
      <c r="BE121" s="706">
        <v>0.29743244734753344</v>
      </c>
      <c r="BF121" s="706">
        <v>0.29743244734753344</v>
      </c>
      <c r="BG121" s="706">
        <v>0.29743244734753344</v>
      </c>
      <c r="BH121" s="706">
        <v>0.29743244734753344</v>
      </c>
      <c r="BI121" s="706">
        <v>0.29743244734753344</v>
      </c>
      <c r="BJ121" s="706">
        <v>0.29743244734753344</v>
      </c>
      <c r="BK121" s="706">
        <v>0.29743244734753344</v>
      </c>
      <c r="BL121" s="706">
        <v>0.29743244734753344</v>
      </c>
      <c r="BM121" s="706">
        <v>0.29743244734753344</v>
      </c>
      <c r="BN121" s="706">
        <v>0.29743244734753344</v>
      </c>
      <c r="BO121" s="710"/>
      <c r="BP121" s="710"/>
      <c r="BQ121" s="710"/>
      <c r="BR121" s="710"/>
      <c r="BS121" s="706"/>
      <c r="BT121" s="706"/>
      <c r="BU121" s="708"/>
      <c r="BV121" s="791">
        <v>581.49163564788921</v>
      </c>
      <c r="BW121" s="791">
        <v>581.49163564788921</v>
      </c>
      <c r="BX121" s="791">
        <v>581.49163564788921</v>
      </c>
      <c r="BY121" s="791">
        <v>581.49163564788921</v>
      </c>
      <c r="BZ121" s="791">
        <v>581.49163564788921</v>
      </c>
      <c r="CA121" s="791">
        <v>581.49163564788921</v>
      </c>
      <c r="CB121" s="791">
        <v>581.49163564788921</v>
      </c>
      <c r="CC121" s="791">
        <v>581.49163564788921</v>
      </c>
      <c r="CD121" s="791">
        <v>581.49163564788921</v>
      </c>
      <c r="CE121" s="791">
        <v>581.49163564788921</v>
      </c>
      <c r="CF121" s="791">
        <v>581.49163564788921</v>
      </c>
      <c r="CG121" s="791">
        <v>581.49163564788921</v>
      </c>
      <c r="CH121" s="791">
        <v>581.49163564788921</v>
      </c>
      <c r="CI121" s="791">
        <v>581.49163564788921</v>
      </c>
      <c r="CJ121" s="791">
        <v>581.49163564788921</v>
      </c>
      <c r="CK121" s="791">
        <v>581.49163564788921</v>
      </c>
      <c r="CL121" s="791">
        <v>581.49163564788921</v>
      </c>
      <c r="CM121" s="791">
        <v>581.49163564788921</v>
      </c>
      <c r="CN121" s="791">
        <v>581.49163564788921</v>
      </c>
      <c r="CO121" s="708"/>
      <c r="CP121" s="708"/>
      <c r="CQ121" s="708"/>
      <c r="CR121" s="708"/>
    </row>
    <row r="122" spans="1:96">
      <c r="A122" s="743" t="s">
        <v>3</v>
      </c>
      <c r="B122" s="752">
        <v>41694</v>
      </c>
      <c r="C122" s="743">
        <v>2014</v>
      </c>
      <c r="D122" s="746" t="s">
        <v>15</v>
      </c>
      <c r="E122" s="746" t="s">
        <v>25</v>
      </c>
      <c r="F122" s="746" t="s">
        <v>17</v>
      </c>
      <c r="G122" s="746" t="s">
        <v>58</v>
      </c>
      <c r="H122" s="694" t="s">
        <v>959</v>
      </c>
      <c r="I122" s="746" t="s">
        <v>5</v>
      </c>
      <c r="J122" s="746" t="s">
        <v>376</v>
      </c>
      <c r="K122" s="706">
        <v>1</v>
      </c>
      <c r="L122" s="745" t="s">
        <v>58</v>
      </c>
      <c r="M122" s="743" t="s">
        <v>1076</v>
      </c>
      <c r="N122" s="743">
        <v>19</v>
      </c>
      <c r="O122" s="706"/>
      <c r="P122" s="706"/>
      <c r="Q122" s="706"/>
      <c r="R122" s="706"/>
      <c r="S122" s="706"/>
      <c r="T122" s="706"/>
      <c r="U122" s="738">
        <v>0.62806842093767556</v>
      </c>
      <c r="V122" s="738">
        <v>1227.8974155200376</v>
      </c>
      <c r="W122" s="793">
        <v>0.62806842093767556</v>
      </c>
      <c r="X122" s="708">
        <v>1227.8974155200376</v>
      </c>
      <c r="Y122" s="719">
        <v>23330.050894880715</v>
      </c>
      <c r="Z122" s="719">
        <v>11048.341077309895</v>
      </c>
      <c r="AA122" s="719">
        <v>581.49163564788921</v>
      </c>
      <c r="AB122" s="738">
        <v>0.29743244734753344</v>
      </c>
      <c r="AC122" s="792">
        <v>1</v>
      </c>
      <c r="AD122" s="792">
        <v>1</v>
      </c>
      <c r="AE122" s="717">
        <v>0.56884057971014501</v>
      </c>
      <c r="AF122" s="714">
        <v>4.2407531067898789E-2</v>
      </c>
      <c r="AG122" s="706"/>
      <c r="AH122" s="792">
        <v>0.47356695135775378</v>
      </c>
      <c r="AI122" s="748">
        <v>0.56884057971014501</v>
      </c>
      <c r="AJ122" s="748">
        <v>4.2407531067898789E-2</v>
      </c>
      <c r="AK122" s="748"/>
      <c r="AL122" s="714">
        <v>0.47356695135775378</v>
      </c>
      <c r="AM122" s="706"/>
      <c r="AN122" s="706"/>
      <c r="AO122" s="706"/>
      <c r="AP122" s="747"/>
      <c r="AQ122" s="733"/>
      <c r="AR122" s="706" t="s">
        <v>957</v>
      </c>
      <c r="AS122" s="706"/>
      <c r="AT122" s="706"/>
      <c r="AU122" s="710"/>
      <c r="AV122" s="706">
        <v>0.29743244734753344</v>
      </c>
      <c r="AW122" s="706">
        <v>0.29743244734753344</v>
      </c>
      <c r="AX122" s="706">
        <v>0.29743244734753344</v>
      </c>
      <c r="AY122" s="706">
        <v>0.29743244734753344</v>
      </c>
      <c r="AZ122" s="706">
        <v>0.29743244734753344</v>
      </c>
      <c r="BA122" s="706">
        <v>0.29743244734753344</v>
      </c>
      <c r="BB122" s="706">
        <v>0.29743244734753344</v>
      </c>
      <c r="BC122" s="706">
        <v>0.29743244734753344</v>
      </c>
      <c r="BD122" s="706">
        <v>0.29743244734753344</v>
      </c>
      <c r="BE122" s="706">
        <v>0.29743244734753344</v>
      </c>
      <c r="BF122" s="706">
        <v>0.29743244734753344</v>
      </c>
      <c r="BG122" s="706">
        <v>0.29743244734753344</v>
      </c>
      <c r="BH122" s="706">
        <v>0.29743244734753344</v>
      </c>
      <c r="BI122" s="706">
        <v>0.29743244734753344</v>
      </c>
      <c r="BJ122" s="706">
        <v>0.29743244734753344</v>
      </c>
      <c r="BK122" s="706">
        <v>0.29743244734753344</v>
      </c>
      <c r="BL122" s="706">
        <v>0.29743244734753344</v>
      </c>
      <c r="BM122" s="706">
        <v>0.29743244734753344</v>
      </c>
      <c r="BN122" s="706">
        <v>0.29743244734753344</v>
      </c>
      <c r="BO122" s="710"/>
      <c r="BP122" s="710"/>
      <c r="BQ122" s="710"/>
      <c r="BR122" s="710"/>
      <c r="BS122" s="706"/>
      <c r="BT122" s="706"/>
      <c r="BU122" s="708"/>
      <c r="BV122" s="791">
        <v>581.49163564788921</v>
      </c>
      <c r="BW122" s="791">
        <v>581.49163564788921</v>
      </c>
      <c r="BX122" s="791">
        <v>581.49163564788921</v>
      </c>
      <c r="BY122" s="791">
        <v>581.49163564788921</v>
      </c>
      <c r="BZ122" s="791">
        <v>581.49163564788921</v>
      </c>
      <c r="CA122" s="791">
        <v>581.49163564788921</v>
      </c>
      <c r="CB122" s="791">
        <v>581.49163564788921</v>
      </c>
      <c r="CC122" s="791">
        <v>581.49163564788921</v>
      </c>
      <c r="CD122" s="791">
        <v>581.49163564788921</v>
      </c>
      <c r="CE122" s="791">
        <v>581.49163564788921</v>
      </c>
      <c r="CF122" s="791">
        <v>581.49163564788921</v>
      </c>
      <c r="CG122" s="791">
        <v>581.49163564788921</v>
      </c>
      <c r="CH122" s="791">
        <v>581.49163564788921</v>
      </c>
      <c r="CI122" s="791">
        <v>581.49163564788921</v>
      </c>
      <c r="CJ122" s="791">
        <v>581.49163564788921</v>
      </c>
      <c r="CK122" s="791">
        <v>581.49163564788921</v>
      </c>
      <c r="CL122" s="791">
        <v>581.49163564788921</v>
      </c>
      <c r="CM122" s="791">
        <v>581.49163564788921</v>
      </c>
      <c r="CN122" s="791">
        <v>581.49163564788921</v>
      </c>
      <c r="CO122" s="708"/>
      <c r="CP122" s="708"/>
      <c r="CQ122" s="708"/>
      <c r="CR122" s="708"/>
    </row>
    <row r="123" spans="1:96">
      <c r="A123" s="743" t="s">
        <v>3</v>
      </c>
      <c r="B123" s="752">
        <v>41684</v>
      </c>
      <c r="C123" s="743">
        <v>2014</v>
      </c>
      <c r="D123" s="746" t="s">
        <v>15</v>
      </c>
      <c r="E123" s="746" t="s">
        <v>25</v>
      </c>
      <c r="F123" s="746" t="s">
        <v>17</v>
      </c>
      <c r="G123" s="746" t="s">
        <v>58</v>
      </c>
      <c r="H123" s="694" t="s">
        <v>959</v>
      </c>
      <c r="I123" s="746" t="s">
        <v>5</v>
      </c>
      <c r="J123" s="746" t="s">
        <v>376</v>
      </c>
      <c r="K123" s="706">
        <v>1</v>
      </c>
      <c r="L123" s="745" t="s">
        <v>58</v>
      </c>
      <c r="M123" s="743" t="s">
        <v>993</v>
      </c>
      <c r="N123" s="743">
        <v>19</v>
      </c>
      <c r="O123" s="706"/>
      <c r="P123" s="706"/>
      <c r="Q123" s="706"/>
      <c r="R123" s="706"/>
      <c r="S123" s="706"/>
      <c r="T123" s="706"/>
      <c r="U123" s="738">
        <v>0.62806842093767556</v>
      </c>
      <c r="V123" s="738">
        <v>1227.8974155200376</v>
      </c>
      <c r="W123" s="793">
        <v>0.62806842093767556</v>
      </c>
      <c r="X123" s="708">
        <v>1227.8974155200376</v>
      </c>
      <c r="Y123" s="719">
        <v>23330.050894880715</v>
      </c>
      <c r="Z123" s="719">
        <v>11048.341077309895</v>
      </c>
      <c r="AA123" s="719">
        <v>581.49163564788921</v>
      </c>
      <c r="AB123" s="738">
        <v>0.29743244734753344</v>
      </c>
      <c r="AC123" s="792">
        <v>1</v>
      </c>
      <c r="AD123" s="792">
        <v>1</v>
      </c>
      <c r="AE123" s="717">
        <v>0.56884057971014501</v>
      </c>
      <c r="AF123" s="714">
        <v>4.2407531067898789E-2</v>
      </c>
      <c r="AG123" s="706"/>
      <c r="AH123" s="792">
        <v>0.47356695135775378</v>
      </c>
      <c r="AI123" s="748">
        <v>0.56884057971014501</v>
      </c>
      <c r="AJ123" s="748">
        <v>4.2407531067898789E-2</v>
      </c>
      <c r="AK123" s="748"/>
      <c r="AL123" s="714">
        <v>0.47356695135775378</v>
      </c>
      <c r="AM123" s="706"/>
      <c r="AN123" s="706"/>
      <c r="AO123" s="706"/>
      <c r="AP123" s="747"/>
      <c r="AQ123" s="733"/>
      <c r="AR123" s="706" t="s">
        <v>957</v>
      </c>
      <c r="AS123" s="706"/>
      <c r="AT123" s="706"/>
      <c r="AU123" s="710"/>
      <c r="AV123" s="706">
        <v>0.29743244734753344</v>
      </c>
      <c r="AW123" s="706">
        <v>0.29743244734753344</v>
      </c>
      <c r="AX123" s="706">
        <v>0.29743244734753344</v>
      </c>
      <c r="AY123" s="706">
        <v>0.29743244734753344</v>
      </c>
      <c r="AZ123" s="706">
        <v>0.29743244734753344</v>
      </c>
      <c r="BA123" s="706">
        <v>0.29743244734753344</v>
      </c>
      <c r="BB123" s="706">
        <v>0.29743244734753344</v>
      </c>
      <c r="BC123" s="706">
        <v>0.29743244734753344</v>
      </c>
      <c r="BD123" s="706">
        <v>0.29743244734753344</v>
      </c>
      <c r="BE123" s="706">
        <v>0.29743244734753344</v>
      </c>
      <c r="BF123" s="706">
        <v>0.29743244734753344</v>
      </c>
      <c r="BG123" s="706">
        <v>0.29743244734753344</v>
      </c>
      <c r="BH123" s="706">
        <v>0.29743244734753344</v>
      </c>
      <c r="BI123" s="706">
        <v>0.29743244734753344</v>
      </c>
      <c r="BJ123" s="706">
        <v>0.29743244734753344</v>
      </c>
      <c r="BK123" s="706">
        <v>0.29743244734753344</v>
      </c>
      <c r="BL123" s="706">
        <v>0.29743244734753344</v>
      </c>
      <c r="BM123" s="706">
        <v>0.29743244734753344</v>
      </c>
      <c r="BN123" s="706">
        <v>0.29743244734753344</v>
      </c>
      <c r="BO123" s="710"/>
      <c r="BP123" s="710"/>
      <c r="BQ123" s="710"/>
      <c r="BR123" s="710"/>
      <c r="BS123" s="706"/>
      <c r="BT123" s="706"/>
      <c r="BU123" s="708"/>
      <c r="BV123" s="791">
        <v>581.49163564788921</v>
      </c>
      <c r="BW123" s="791">
        <v>581.49163564788921</v>
      </c>
      <c r="BX123" s="791">
        <v>581.49163564788921</v>
      </c>
      <c r="BY123" s="791">
        <v>581.49163564788921</v>
      </c>
      <c r="BZ123" s="791">
        <v>581.49163564788921</v>
      </c>
      <c r="CA123" s="791">
        <v>581.49163564788921</v>
      </c>
      <c r="CB123" s="791">
        <v>581.49163564788921</v>
      </c>
      <c r="CC123" s="791">
        <v>581.49163564788921</v>
      </c>
      <c r="CD123" s="791">
        <v>581.49163564788921</v>
      </c>
      <c r="CE123" s="791">
        <v>581.49163564788921</v>
      </c>
      <c r="CF123" s="791">
        <v>581.49163564788921</v>
      </c>
      <c r="CG123" s="791">
        <v>581.49163564788921</v>
      </c>
      <c r="CH123" s="791">
        <v>581.49163564788921</v>
      </c>
      <c r="CI123" s="791">
        <v>581.49163564788921</v>
      </c>
      <c r="CJ123" s="791">
        <v>581.49163564788921</v>
      </c>
      <c r="CK123" s="791">
        <v>581.49163564788921</v>
      </c>
      <c r="CL123" s="791">
        <v>581.49163564788921</v>
      </c>
      <c r="CM123" s="791">
        <v>581.49163564788921</v>
      </c>
      <c r="CN123" s="791">
        <v>581.49163564788921</v>
      </c>
      <c r="CO123" s="708"/>
      <c r="CP123" s="708"/>
      <c r="CQ123" s="708"/>
      <c r="CR123" s="708"/>
    </row>
    <row r="124" spans="1:96">
      <c r="A124" s="743" t="s">
        <v>3</v>
      </c>
      <c r="B124" s="752">
        <v>41684</v>
      </c>
      <c r="C124" s="743">
        <v>2014</v>
      </c>
      <c r="D124" s="746" t="s">
        <v>15</v>
      </c>
      <c r="E124" s="746" t="s">
        <v>25</v>
      </c>
      <c r="F124" s="746" t="s">
        <v>17</v>
      </c>
      <c r="G124" s="746" t="s">
        <v>58</v>
      </c>
      <c r="H124" s="694" t="s">
        <v>959</v>
      </c>
      <c r="I124" s="746" t="s">
        <v>5</v>
      </c>
      <c r="J124" s="746" t="s">
        <v>376</v>
      </c>
      <c r="K124" s="706">
        <v>1</v>
      </c>
      <c r="L124" s="745" t="s">
        <v>58</v>
      </c>
      <c r="M124" s="743" t="s">
        <v>1075</v>
      </c>
      <c r="N124" s="743">
        <v>19</v>
      </c>
      <c r="O124" s="706"/>
      <c r="P124" s="706"/>
      <c r="Q124" s="706"/>
      <c r="R124" s="706"/>
      <c r="S124" s="706"/>
      <c r="T124" s="706"/>
      <c r="U124" s="738">
        <v>0.62806842093767556</v>
      </c>
      <c r="V124" s="738">
        <v>1227.8974155200376</v>
      </c>
      <c r="W124" s="793">
        <v>0.62806842093767556</v>
      </c>
      <c r="X124" s="708">
        <v>1227.8974155200376</v>
      </c>
      <c r="Y124" s="719">
        <v>23330.050894880715</v>
      </c>
      <c r="Z124" s="719">
        <v>11048.341077309895</v>
      </c>
      <c r="AA124" s="719">
        <v>581.49163564788921</v>
      </c>
      <c r="AB124" s="738">
        <v>0.29743244734753344</v>
      </c>
      <c r="AC124" s="792">
        <v>1</v>
      </c>
      <c r="AD124" s="792">
        <v>1</v>
      </c>
      <c r="AE124" s="717">
        <v>0.56884057971014501</v>
      </c>
      <c r="AF124" s="714">
        <v>4.2407531067898789E-2</v>
      </c>
      <c r="AG124" s="706"/>
      <c r="AH124" s="792">
        <v>0.47356695135775378</v>
      </c>
      <c r="AI124" s="748">
        <v>0.56884057971014501</v>
      </c>
      <c r="AJ124" s="748">
        <v>4.2407531067898789E-2</v>
      </c>
      <c r="AK124" s="748"/>
      <c r="AL124" s="714">
        <v>0.47356695135775378</v>
      </c>
      <c r="AM124" s="706"/>
      <c r="AN124" s="706"/>
      <c r="AO124" s="706"/>
      <c r="AP124" s="747"/>
      <c r="AQ124" s="733"/>
      <c r="AR124" s="706" t="s">
        <v>957</v>
      </c>
      <c r="AS124" s="706"/>
      <c r="AT124" s="706"/>
      <c r="AU124" s="710"/>
      <c r="AV124" s="706">
        <v>0.29743244734753344</v>
      </c>
      <c r="AW124" s="706">
        <v>0.29743244734753344</v>
      </c>
      <c r="AX124" s="706">
        <v>0.29743244734753344</v>
      </c>
      <c r="AY124" s="706">
        <v>0.29743244734753344</v>
      </c>
      <c r="AZ124" s="706">
        <v>0.29743244734753344</v>
      </c>
      <c r="BA124" s="706">
        <v>0.29743244734753344</v>
      </c>
      <c r="BB124" s="706">
        <v>0.29743244734753344</v>
      </c>
      <c r="BC124" s="706">
        <v>0.29743244734753344</v>
      </c>
      <c r="BD124" s="706">
        <v>0.29743244734753344</v>
      </c>
      <c r="BE124" s="706">
        <v>0.29743244734753344</v>
      </c>
      <c r="BF124" s="706">
        <v>0.29743244734753344</v>
      </c>
      <c r="BG124" s="706">
        <v>0.29743244734753344</v>
      </c>
      <c r="BH124" s="706">
        <v>0.29743244734753344</v>
      </c>
      <c r="BI124" s="706">
        <v>0.29743244734753344</v>
      </c>
      <c r="BJ124" s="706">
        <v>0.29743244734753344</v>
      </c>
      <c r="BK124" s="706">
        <v>0.29743244734753344</v>
      </c>
      <c r="BL124" s="706">
        <v>0.29743244734753344</v>
      </c>
      <c r="BM124" s="706">
        <v>0.29743244734753344</v>
      </c>
      <c r="BN124" s="706">
        <v>0.29743244734753344</v>
      </c>
      <c r="BO124" s="710"/>
      <c r="BP124" s="710"/>
      <c r="BQ124" s="710"/>
      <c r="BR124" s="710"/>
      <c r="BS124" s="706"/>
      <c r="BT124" s="706"/>
      <c r="BU124" s="708"/>
      <c r="BV124" s="791">
        <v>581.49163564788921</v>
      </c>
      <c r="BW124" s="791">
        <v>581.49163564788921</v>
      </c>
      <c r="BX124" s="791">
        <v>581.49163564788921</v>
      </c>
      <c r="BY124" s="791">
        <v>581.49163564788921</v>
      </c>
      <c r="BZ124" s="791">
        <v>581.49163564788921</v>
      </c>
      <c r="CA124" s="791">
        <v>581.49163564788921</v>
      </c>
      <c r="CB124" s="791">
        <v>581.49163564788921</v>
      </c>
      <c r="CC124" s="791">
        <v>581.49163564788921</v>
      </c>
      <c r="CD124" s="791">
        <v>581.49163564788921</v>
      </c>
      <c r="CE124" s="791">
        <v>581.49163564788921</v>
      </c>
      <c r="CF124" s="791">
        <v>581.49163564788921</v>
      </c>
      <c r="CG124" s="791">
        <v>581.49163564788921</v>
      </c>
      <c r="CH124" s="791">
        <v>581.49163564788921</v>
      </c>
      <c r="CI124" s="791">
        <v>581.49163564788921</v>
      </c>
      <c r="CJ124" s="791">
        <v>581.49163564788921</v>
      </c>
      <c r="CK124" s="791">
        <v>581.49163564788921</v>
      </c>
      <c r="CL124" s="791">
        <v>581.49163564788921</v>
      </c>
      <c r="CM124" s="791">
        <v>581.49163564788921</v>
      </c>
      <c r="CN124" s="791">
        <v>581.49163564788921</v>
      </c>
      <c r="CO124" s="708"/>
      <c r="CP124" s="708"/>
      <c r="CQ124" s="708"/>
      <c r="CR124" s="708"/>
    </row>
    <row r="125" spans="1:96">
      <c r="A125" s="743" t="s">
        <v>3</v>
      </c>
      <c r="B125" s="752">
        <v>41884</v>
      </c>
      <c r="C125" s="743">
        <v>2014</v>
      </c>
      <c r="D125" s="746" t="s">
        <v>15</v>
      </c>
      <c r="E125" s="746" t="s">
        <v>25</v>
      </c>
      <c r="F125" s="746" t="s">
        <v>17</v>
      </c>
      <c r="G125" s="746" t="s">
        <v>58</v>
      </c>
      <c r="H125" s="694" t="s">
        <v>959</v>
      </c>
      <c r="I125" s="746" t="s">
        <v>5</v>
      </c>
      <c r="J125" s="746" t="s">
        <v>376</v>
      </c>
      <c r="K125" s="706">
        <v>1</v>
      </c>
      <c r="L125" s="745" t="s">
        <v>58</v>
      </c>
      <c r="M125" s="743" t="s">
        <v>826</v>
      </c>
      <c r="N125" s="743">
        <v>19</v>
      </c>
      <c r="O125" s="706"/>
      <c r="P125" s="706"/>
      <c r="Q125" s="706"/>
      <c r="R125" s="706"/>
      <c r="S125" s="706"/>
      <c r="T125" s="706"/>
      <c r="U125" s="738">
        <v>0.62806842093767556</v>
      </c>
      <c r="V125" s="738">
        <v>1227.8974155200376</v>
      </c>
      <c r="W125" s="793">
        <v>0.62806842093767556</v>
      </c>
      <c r="X125" s="708">
        <v>1227.8974155200376</v>
      </c>
      <c r="Y125" s="719">
        <v>23330.050894880715</v>
      </c>
      <c r="Z125" s="719">
        <v>11048.341077309895</v>
      </c>
      <c r="AA125" s="719">
        <v>581.49163564788921</v>
      </c>
      <c r="AB125" s="738">
        <v>0.29743244734753344</v>
      </c>
      <c r="AC125" s="792">
        <v>1</v>
      </c>
      <c r="AD125" s="792">
        <v>1</v>
      </c>
      <c r="AE125" s="717">
        <v>0.56884057971014501</v>
      </c>
      <c r="AF125" s="714">
        <v>4.2407531067898789E-2</v>
      </c>
      <c r="AG125" s="706"/>
      <c r="AH125" s="792">
        <v>0.47356695135775378</v>
      </c>
      <c r="AI125" s="748">
        <v>0.56884057971014501</v>
      </c>
      <c r="AJ125" s="748">
        <v>4.2407531067898789E-2</v>
      </c>
      <c r="AK125" s="748"/>
      <c r="AL125" s="714">
        <v>0.47356695135775378</v>
      </c>
      <c r="AM125" s="706"/>
      <c r="AN125" s="706"/>
      <c r="AO125" s="706"/>
      <c r="AP125" s="747"/>
      <c r="AQ125" s="733"/>
      <c r="AR125" s="706" t="s">
        <v>957</v>
      </c>
      <c r="AS125" s="706"/>
      <c r="AT125" s="706"/>
      <c r="AU125" s="710"/>
      <c r="AV125" s="706">
        <v>0.29743244734753344</v>
      </c>
      <c r="AW125" s="706">
        <v>0.29743244734753344</v>
      </c>
      <c r="AX125" s="706">
        <v>0.29743244734753344</v>
      </c>
      <c r="AY125" s="706">
        <v>0.29743244734753344</v>
      </c>
      <c r="AZ125" s="706">
        <v>0.29743244734753344</v>
      </c>
      <c r="BA125" s="706">
        <v>0.29743244734753344</v>
      </c>
      <c r="BB125" s="706">
        <v>0.29743244734753344</v>
      </c>
      <c r="BC125" s="706">
        <v>0.29743244734753344</v>
      </c>
      <c r="BD125" s="706">
        <v>0.29743244734753344</v>
      </c>
      <c r="BE125" s="706">
        <v>0.29743244734753344</v>
      </c>
      <c r="BF125" s="706">
        <v>0.29743244734753344</v>
      </c>
      <c r="BG125" s="706">
        <v>0.29743244734753344</v>
      </c>
      <c r="BH125" s="706">
        <v>0.29743244734753344</v>
      </c>
      <c r="BI125" s="706">
        <v>0.29743244734753344</v>
      </c>
      <c r="BJ125" s="706">
        <v>0.29743244734753344</v>
      </c>
      <c r="BK125" s="706">
        <v>0.29743244734753344</v>
      </c>
      <c r="BL125" s="706">
        <v>0.29743244734753344</v>
      </c>
      <c r="BM125" s="706">
        <v>0.29743244734753344</v>
      </c>
      <c r="BN125" s="706">
        <v>0.29743244734753344</v>
      </c>
      <c r="BO125" s="710"/>
      <c r="BP125" s="710"/>
      <c r="BQ125" s="710"/>
      <c r="BR125" s="710"/>
      <c r="BS125" s="706"/>
      <c r="BT125" s="706"/>
      <c r="BU125" s="708"/>
      <c r="BV125" s="791">
        <v>581.49163564788921</v>
      </c>
      <c r="BW125" s="791">
        <v>581.49163564788921</v>
      </c>
      <c r="BX125" s="791">
        <v>581.49163564788921</v>
      </c>
      <c r="BY125" s="791">
        <v>581.49163564788921</v>
      </c>
      <c r="BZ125" s="791">
        <v>581.49163564788921</v>
      </c>
      <c r="CA125" s="791">
        <v>581.49163564788921</v>
      </c>
      <c r="CB125" s="791">
        <v>581.49163564788921</v>
      </c>
      <c r="CC125" s="791">
        <v>581.49163564788921</v>
      </c>
      <c r="CD125" s="791">
        <v>581.49163564788921</v>
      </c>
      <c r="CE125" s="791">
        <v>581.49163564788921</v>
      </c>
      <c r="CF125" s="791">
        <v>581.49163564788921</v>
      </c>
      <c r="CG125" s="791">
        <v>581.49163564788921</v>
      </c>
      <c r="CH125" s="791">
        <v>581.49163564788921</v>
      </c>
      <c r="CI125" s="791">
        <v>581.49163564788921</v>
      </c>
      <c r="CJ125" s="791">
        <v>581.49163564788921</v>
      </c>
      <c r="CK125" s="791">
        <v>581.49163564788921</v>
      </c>
      <c r="CL125" s="791">
        <v>581.49163564788921</v>
      </c>
      <c r="CM125" s="791">
        <v>581.49163564788921</v>
      </c>
      <c r="CN125" s="791">
        <v>581.49163564788921</v>
      </c>
      <c r="CO125" s="708"/>
      <c r="CP125" s="708"/>
      <c r="CQ125" s="708"/>
      <c r="CR125" s="708"/>
    </row>
    <row r="126" spans="1:96">
      <c r="A126" s="743" t="s">
        <v>3</v>
      </c>
      <c r="B126" s="752">
        <v>41708</v>
      </c>
      <c r="C126" s="743">
        <v>2014</v>
      </c>
      <c r="D126" s="746" t="s">
        <v>15</v>
      </c>
      <c r="E126" s="746" t="s">
        <v>25</v>
      </c>
      <c r="F126" s="746" t="s">
        <v>17</v>
      </c>
      <c r="G126" s="746" t="s">
        <v>58</v>
      </c>
      <c r="H126" s="694" t="s">
        <v>959</v>
      </c>
      <c r="I126" s="746" t="s">
        <v>5</v>
      </c>
      <c r="J126" s="746" t="s">
        <v>376</v>
      </c>
      <c r="K126" s="706">
        <v>1</v>
      </c>
      <c r="L126" s="745" t="s">
        <v>58</v>
      </c>
      <c r="M126" s="743" t="s">
        <v>1074</v>
      </c>
      <c r="N126" s="743">
        <v>19</v>
      </c>
      <c r="O126" s="706"/>
      <c r="P126" s="706"/>
      <c r="Q126" s="706"/>
      <c r="R126" s="706"/>
      <c r="S126" s="706"/>
      <c r="T126" s="706"/>
      <c r="U126" s="738">
        <v>0.62806842093767556</v>
      </c>
      <c r="V126" s="738">
        <v>1227.8974155200376</v>
      </c>
      <c r="W126" s="793">
        <v>0.62806842093767556</v>
      </c>
      <c r="X126" s="708">
        <v>1227.8974155200376</v>
      </c>
      <c r="Y126" s="719">
        <v>23330.050894880715</v>
      </c>
      <c r="Z126" s="719">
        <v>11048.341077309895</v>
      </c>
      <c r="AA126" s="719">
        <v>581.49163564788921</v>
      </c>
      <c r="AB126" s="738">
        <v>0.29743244734753344</v>
      </c>
      <c r="AC126" s="792">
        <v>1</v>
      </c>
      <c r="AD126" s="792">
        <v>1</v>
      </c>
      <c r="AE126" s="717">
        <v>0.56884057971014501</v>
      </c>
      <c r="AF126" s="714">
        <v>4.2407531067898789E-2</v>
      </c>
      <c r="AG126" s="706"/>
      <c r="AH126" s="792">
        <v>0.47356695135775378</v>
      </c>
      <c r="AI126" s="748">
        <v>0.56884057971014501</v>
      </c>
      <c r="AJ126" s="748">
        <v>4.2407531067898789E-2</v>
      </c>
      <c r="AK126" s="748"/>
      <c r="AL126" s="714">
        <v>0.47356695135775378</v>
      </c>
      <c r="AM126" s="706"/>
      <c r="AN126" s="706"/>
      <c r="AO126" s="706"/>
      <c r="AP126" s="747"/>
      <c r="AQ126" s="733"/>
      <c r="AR126" s="706" t="s">
        <v>957</v>
      </c>
      <c r="AS126" s="706"/>
      <c r="AT126" s="706"/>
      <c r="AU126" s="710"/>
      <c r="AV126" s="706">
        <v>0.29743244734753344</v>
      </c>
      <c r="AW126" s="706">
        <v>0.29743244734753344</v>
      </c>
      <c r="AX126" s="706">
        <v>0.29743244734753344</v>
      </c>
      <c r="AY126" s="706">
        <v>0.29743244734753344</v>
      </c>
      <c r="AZ126" s="706">
        <v>0.29743244734753344</v>
      </c>
      <c r="BA126" s="706">
        <v>0.29743244734753344</v>
      </c>
      <c r="BB126" s="706">
        <v>0.29743244734753344</v>
      </c>
      <c r="BC126" s="706">
        <v>0.29743244734753344</v>
      </c>
      <c r="BD126" s="706">
        <v>0.29743244734753344</v>
      </c>
      <c r="BE126" s="706">
        <v>0.29743244734753344</v>
      </c>
      <c r="BF126" s="706">
        <v>0.29743244734753344</v>
      </c>
      <c r="BG126" s="706">
        <v>0.29743244734753344</v>
      </c>
      <c r="BH126" s="706">
        <v>0.29743244734753344</v>
      </c>
      <c r="BI126" s="706">
        <v>0.29743244734753344</v>
      </c>
      <c r="BJ126" s="706">
        <v>0.29743244734753344</v>
      </c>
      <c r="BK126" s="706">
        <v>0.29743244734753344</v>
      </c>
      <c r="BL126" s="706">
        <v>0.29743244734753344</v>
      </c>
      <c r="BM126" s="706">
        <v>0.29743244734753344</v>
      </c>
      <c r="BN126" s="706">
        <v>0.29743244734753344</v>
      </c>
      <c r="BO126" s="710"/>
      <c r="BP126" s="710"/>
      <c r="BQ126" s="710"/>
      <c r="BR126" s="710"/>
      <c r="BS126" s="706"/>
      <c r="BT126" s="706"/>
      <c r="BU126" s="708"/>
      <c r="BV126" s="791">
        <v>581.49163564788921</v>
      </c>
      <c r="BW126" s="791">
        <v>581.49163564788921</v>
      </c>
      <c r="BX126" s="791">
        <v>581.49163564788921</v>
      </c>
      <c r="BY126" s="791">
        <v>581.49163564788921</v>
      </c>
      <c r="BZ126" s="791">
        <v>581.49163564788921</v>
      </c>
      <c r="CA126" s="791">
        <v>581.49163564788921</v>
      </c>
      <c r="CB126" s="791">
        <v>581.49163564788921</v>
      </c>
      <c r="CC126" s="791">
        <v>581.49163564788921</v>
      </c>
      <c r="CD126" s="791">
        <v>581.49163564788921</v>
      </c>
      <c r="CE126" s="791">
        <v>581.49163564788921</v>
      </c>
      <c r="CF126" s="791">
        <v>581.49163564788921</v>
      </c>
      <c r="CG126" s="791">
        <v>581.49163564788921</v>
      </c>
      <c r="CH126" s="791">
        <v>581.49163564788921</v>
      </c>
      <c r="CI126" s="791">
        <v>581.49163564788921</v>
      </c>
      <c r="CJ126" s="791">
        <v>581.49163564788921</v>
      </c>
      <c r="CK126" s="791">
        <v>581.49163564788921</v>
      </c>
      <c r="CL126" s="791">
        <v>581.49163564788921</v>
      </c>
      <c r="CM126" s="791">
        <v>581.49163564788921</v>
      </c>
      <c r="CN126" s="791">
        <v>581.49163564788921</v>
      </c>
      <c r="CO126" s="708"/>
      <c r="CP126" s="708"/>
      <c r="CQ126" s="708"/>
      <c r="CR126" s="708"/>
    </row>
    <row r="127" spans="1:96">
      <c r="A127" s="743" t="s">
        <v>3</v>
      </c>
      <c r="B127" s="752">
        <v>41708</v>
      </c>
      <c r="C127" s="743">
        <v>2014</v>
      </c>
      <c r="D127" s="746" t="s">
        <v>15</v>
      </c>
      <c r="E127" s="746" t="s">
        <v>25</v>
      </c>
      <c r="F127" s="746" t="s">
        <v>17</v>
      </c>
      <c r="G127" s="746" t="s">
        <v>58</v>
      </c>
      <c r="H127" s="694" t="s">
        <v>959</v>
      </c>
      <c r="I127" s="746" t="s">
        <v>5</v>
      </c>
      <c r="J127" s="746" t="s">
        <v>376</v>
      </c>
      <c r="K127" s="706">
        <v>1</v>
      </c>
      <c r="L127" s="745" t="s">
        <v>58</v>
      </c>
      <c r="M127" s="743" t="s">
        <v>1073</v>
      </c>
      <c r="N127" s="743">
        <v>19</v>
      </c>
      <c r="O127" s="706"/>
      <c r="P127" s="706"/>
      <c r="Q127" s="706"/>
      <c r="R127" s="706"/>
      <c r="S127" s="706"/>
      <c r="T127" s="706"/>
      <c r="U127" s="738">
        <v>0.62806842093767556</v>
      </c>
      <c r="V127" s="738">
        <v>1227.8974155200376</v>
      </c>
      <c r="W127" s="793">
        <v>0.62806842093767556</v>
      </c>
      <c r="X127" s="708">
        <v>1227.8974155200376</v>
      </c>
      <c r="Y127" s="719">
        <v>23330.050894880715</v>
      </c>
      <c r="Z127" s="719">
        <v>11048.341077309895</v>
      </c>
      <c r="AA127" s="719">
        <v>581.49163564788921</v>
      </c>
      <c r="AB127" s="738">
        <v>0.29743244734753344</v>
      </c>
      <c r="AC127" s="792">
        <v>1</v>
      </c>
      <c r="AD127" s="792">
        <v>1</v>
      </c>
      <c r="AE127" s="717">
        <v>0.56884057971014501</v>
      </c>
      <c r="AF127" s="714">
        <v>4.2407531067898789E-2</v>
      </c>
      <c r="AG127" s="706"/>
      <c r="AH127" s="792">
        <v>0.47356695135775378</v>
      </c>
      <c r="AI127" s="748">
        <v>0.56884057971014501</v>
      </c>
      <c r="AJ127" s="748">
        <v>4.2407531067898789E-2</v>
      </c>
      <c r="AK127" s="748"/>
      <c r="AL127" s="714">
        <v>0.47356695135775378</v>
      </c>
      <c r="AM127" s="706"/>
      <c r="AN127" s="706"/>
      <c r="AO127" s="706"/>
      <c r="AP127" s="747"/>
      <c r="AQ127" s="733"/>
      <c r="AR127" s="706" t="s">
        <v>957</v>
      </c>
      <c r="AS127" s="706"/>
      <c r="AT127" s="706"/>
      <c r="AU127" s="710"/>
      <c r="AV127" s="706">
        <v>0.29743244734753344</v>
      </c>
      <c r="AW127" s="706">
        <v>0.29743244734753344</v>
      </c>
      <c r="AX127" s="706">
        <v>0.29743244734753344</v>
      </c>
      <c r="AY127" s="706">
        <v>0.29743244734753344</v>
      </c>
      <c r="AZ127" s="706">
        <v>0.29743244734753344</v>
      </c>
      <c r="BA127" s="706">
        <v>0.29743244734753344</v>
      </c>
      <c r="BB127" s="706">
        <v>0.29743244734753344</v>
      </c>
      <c r="BC127" s="706">
        <v>0.29743244734753344</v>
      </c>
      <c r="BD127" s="706">
        <v>0.29743244734753344</v>
      </c>
      <c r="BE127" s="706">
        <v>0.29743244734753344</v>
      </c>
      <c r="BF127" s="706">
        <v>0.29743244734753344</v>
      </c>
      <c r="BG127" s="706">
        <v>0.29743244734753344</v>
      </c>
      <c r="BH127" s="706">
        <v>0.29743244734753344</v>
      </c>
      <c r="BI127" s="706">
        <v>0.29743244734753344</v>
      </c>
      <c r="BJ127" s="706">
        <v>0.29743244734753344</v>
      </c>
      <c r="BK127" s="706">
        <v>0.29743244734753344</v>
      </c>
      <c r="BL127" s="706">
        <v>0.29743244734753344</v>
      </c>
      <c r="BM127" s="706">
        <v>0.29743244734753344</v>
      </c>
      <c r="BN127" s="706">
        <v>0.29743244734753344</v>
      </c>
      <c r="BO127" s="710"/>
      <c r="BP127" s="710"/>
      <c r="BQ127" s="710"/>
      <c r="BR127" s="710"/>
      <c r="BS127" s="706"/>
      <c r="BT127" s="706"/>
      <c r="BU127" s="708"/>
      <c r="BV127" s="791">
        <v>581.49163564788921</v>
      </c>
      <c r="BW127" s="791">
        <v>581.49163564788921</v>
      </c>
      <c r="BX127" s="791">
        <v>581.49163564788921</v>
      </c>
      <c r="BY127" s="791">
        <v>581.49163564788921</v>
      </c>
      <c r="BZ127" s="791">
        <v>581.49163564788921</v>
      </c>
      <c r="CA127" s="791">
        <v>581.49163564788921</v>
      </c>
      <c r="CB127" s="791">
        <v>581.49163564788921</v>
      </c>
      <c r="CC127" s="791">
        <v>581.49163564788921</v>
      </c>
      <c r="CD127" s="791">
        <v>581.49163564788921</v>
      </c>
      <c r="CE127" s="791">
        <v>581.49163564788921</v>
      </c>
      <c r="CF127" s="791">
        <v>581.49163564788921</v>
      </c>
      <c r="CG127" s="791">
        <v>581.49163564788921</v>
      </c>
      <c r="CH127" s="791">
        <v>581.49163564788921</v>
      </c>
      <c r="CI127" s="791">
        <v>581.49163564788921</v>
      </c>
      <c r="CJ127" s="791">
        <v>581.49163564788921</v>
      </c>
      <c r="CK127" s="791">
        <v>581.49163564788921</v>
      </c>
      <c r="CL127" s="791">
        <v>581.49163564788921</v>
      </c>
      <c r="CM127" s="791">
        <v>581.49163564788921</v>
      </c>
      <c r="CN127" s="791">
        <v>581.49163564788921</v>
      </c>
      <c r="CO127" s="708"/>
      <c r="CP127" s="708"/>
      <c r="CQ127" s="708"/>
      <c r="CR127" s="708"/>
    </row>
    <row r="128" spans="1:96">
      <c r="A128" s="743" t="s">
        <v>3</v>
      </c>
      <c r="B128" s="752">
        <v>41701</v>
      </c>
      <c r="C128" s="743">
        <v>2014</v>
      </c>
      <c r="D128" s="746" t="s">
        <v>15</v>
      </c>
      <c r="E128" s="746" t="s">
        <v>25</v>
      </c>
      <c r="F128" s="746" t="s">
        <v>17</v>
      </c>
      <c r="G128" s="746" t="s">
        <v>58</v>
      </c>
      <c r="H128" s="694" t="s">
        <v>959</v>
      </c>
      <c r="I128" s="746" t="s">
        <v>5</v>
      </c>
      <c r="J128" s="746" t="s">
        <v>376</v>
      </c>
      <c r="K128" s="706">
        <v>1</v>
      </c>
      <c r="L128" s="745" t="s">
        <v>58</v>
      </c>
      <c r="M128" s="743" t="s">
        <v>1072</v>
      </c>
      <c r="N128" s="743">
        <v>19</v>
      </c>
      <c r="O128" s="706"/>
      <c r="P128" s="706"/>
      <c r="Q128" s="706"/>
      <c r="R128" s="706"/>
      <c r="S128" s="706"/>
      <c r="T128" s="706"/>
      <c r="U128" s="738">
        <v>0.62806842093767556</v>
      </c>
      <c r="V128" s="738">
        <v>1227.8974155200376</v>
      </c>
      <c r="W128" s="793">
        <v>0.62806842093767556</v>
      </c>
      <c r="X128" s="708">
        <v>1227.8974155200376</v>
      </c>
      <c r="Y128" s="719">
        <v>23330.050894880715</v>
      </c>
      <c r="Z128" s="719">
        <v>11048.341077309895</v>
      </c>
      <c r="AA128" s="719">
        <v>581.49163564788921</v>
      </c>
      <c r="AB128" s="738">
        <v>0.29743244734753344</v>
      </c>
      <c r="AC128" s="792">
        <v>1</v>
      </c>
      <c r="AD128" s="792">
        <v>1</v>
      </c>
      <c r="AE128" s="717">
        <v>0.56884057971014501</v>
      </c>
      <c r="AF128" s="714">
        <v>4.2407531067898789E-2</v>
      </c>
      <c r="AG128" s="706"/>
      <c r="AH128" s="792">
        <v>0.47356695135775378</v>
      </c>
      <c r="AI128" s="748">
        <v>0.56884057971014501</v>
      </c>
      <c r="AJ128" s="748">
        <v>4.2407531067898789E-2</v>
      </c>
      <c r="AK128" s="748"/>
      <c r="AL128" s="714">
        <v>0.47356695135775378</v>
      </c>
      <c r="AM128" s="706"/>
      <c r="AN128" s="706"/>
      <c r="AO128" s="706"/>
      <c r="AP128" s="747"/>
      <c r="AQ128" s="733"/>
      <c r="AR128" s="706" t="s">
        <v>957</v>
      </c>
      <c r="AS128" s="706"/>
      <c r="AT128" s="706"/>
      <c r="AU128" s="710"/>
      <c r="AV128" s="706">
        <v>0.29743244734753344</v>
      </c>
      <c r="AW128" s="706">
        <v>0.29743244734753344</v>
      </c>
      <c r="AX128" s="706">
        <v>0.29743244734753344</v>
      </c>
      <c r="AY128" s="706">
        <v>0.29743244734753344</v>
      </c>
      <c r="AZ128" s="706">
        <v>0.29743244734753344</v>
      </c>
      <c r="BA128" s="706">
        <v>0.29743244734753344</v>
      </c>
      <c r="BB128" s="706">
        <v>0.29743244734753344</v>
      </c>
      <c r="BC128" s="706">
        <v>0.29743244734753344</v>
      </c>
      <c r="BD128" s="706">
        <v>0.29743244734753344</v>
      </c>
      <c r="BE128" s="706">
        <v>0.29743244734753344</v>
      </c>
      <c r="BF128" s="706">
        <v>0.29743244734753344</v>
      </c>
      <c r="BG128" s="706">
        <v>0.29743244734753344</v>
      </c>
      <c r="BH128" s="706">
        <v>0.29743244734753344</v>
      </c>
      <c r="BI128" s="706">
        <v>0.29743244734753344</v>
      </c>
      <c r="BJ128" s="706">
        <v>0.29743244734753344</v>
      </c>
      <c r="BK128" s="706">
        <v>0.29743244734753344</v>
      </c>
      <c r="BL128" s="706">
        <v>0.29743244734753344</v>
      </c>
      <c r="BM128" s="706">
        <v>0.29743244734753344</v>
      </c>
      <c r="BN128" s="706">
        <v>0.29743244734753344</v>
      </c>
      <c r="BO128" s="710"/>
      <c r="BP128" s="710"/>
      <c r="BQ128" s="710"/>
      <c r="BR128" s="710"/>
      <c r="BS128" s="706"/>
      <c r="BT128" s="706"/>
      <c r="BU128" s="708"/>
      <c r="BV128" s="791">
        <v>581.49163564788921</v>
      </c>
      <c r="BW128" s="791">
        <v>581.49163564788921</v>
      </c>
      <c r="BX128" s="791">
        <v>581.49163564788921</v>
      </c>
      <c r="BY128" s="791">
        <v>581.49163564788921</v>
      </c>
      <c r="BZ128" s="791">
        <v>581.49163564788921</v>
      </c>
      <c r="CA128" s="791">
        <v>581.49163564788921</v>
      </c>
      <c r="CB128" s="791">
        <v>581.49163564788921</v>
      </c>
      <c r="CC128" s="791">
        <v>581.49163564788921</v>
      </c>
      <c r="CD128" s="791">
        <v>581.49163564788921</v>
      </c>
      <c r="CE128" s="791">
        <v>581.49163564788921</v>
      </c>
      <c r="CF128" s="791">
        <v>581.49163564788921</v>
      </c>
      <c r="CG128" s="791">
        <v>581.49163564788921</v>
      </c>
      <c r="CH128" s="791">
        <v>581.49163564788921</v>
      </c>
      <c r="CI128" s="791">
        <v>581.49163564788921</v>
      </c>
      <c r="CJ128" s="791">
        <v>581.49163564788921</v>
      </c>
      <c r="CK128" s="791">
        <v>581.49163564788921</v>
      </c>
      <c r="CL128" s="791">
        <v>581.49163564788921</v>
      </c>
      <c r="CM128" s="791">
        <v>581.49163564788921</v>
      </c>
      <c r="CN128" s="791">
        <v>581.49163564788921</v>
      </c>
      <c r="CO128" s="708"/>
      <c r="CP128" s="708"/>
      <c r="CQ128" s="708"/>
      <c r="CR128" s="708"/>
    </row>
    <row r="129" spans="1:96">
      <c r="A129" s="743" t="s">
        <v>3</v>
      </c>
      <c r="B129" s="752">
        <v>41681</v>
      </c>
      <c r="C129" s="743">
        <v>2014</v>
      </c>
      <c r="D129" s="746" t="s">
        <v>15</v>
      </c>
      <c r="E129" s="746" t="s">
        <v>25</v>
      </c>
      <c r="F129" s="746" t="s">
        <v>17</v>
      </c>
      <c r="G129" s="746" t="s">
        <v>58</v>
      </c>
      <c r="H129" s="694" t="s">
        <v>959</v>
      </c>
      <c r="I129" s="746" t="s">
        <v>5</v>
      </c>
      <c r="J129" s="746" t="s">
        <v>376</v>
      </c>
      <c r="K129" s="706">
        <v>1</v>
      </c>
      <c r="L129" s="745" t="s">
        <v>58</v>
      </c>
      <c r="M129" s="743" t="s">
        <v>1071</v>
      </c>
      <c r="N129" s="743">
        <v>19</v>
      </c>
      <c r="O129" s="706"/>
      <c r="P129" s="706"/>
      <c r="Q129" s="706"/>
      <c r="R129" s="706"/>
      <c r="S129" s="706"/>
      <c r="T129" s="706"/>
      <c r="U129" s="738">
        <v>0.62806842093767556</v>
      </c>
      <c r="V129" s="738">
        <v>1227.8974155200376</v>
      </c>
      <c r="W129" s="793">
        <v>0.62806842093767556</v>
      </c>
      <c r="X129" s="708">
        <v>1227.8974155200376</v>
      </c>
      <c r="Y129" s="719">
        <v>23330.050894880715</v>
      </c>
      <c r="Z129" s="719">
        <v>11048.341077309895</v>
      </c>
      <c r="AA129" s="719">
        <v>581.49163564788921</v>
      </c>
      <c r="AB129" s="738">
        <v>0.29743244734753344</v>
      </c>
      <c r="AC129" s="792">
        <v>1</v>
      </c>
      <c r="AD129" s="792">
        <v>1</v>
      </c>
      <c r="AE129" s="717">
        <v>0.56884057971014501</v>
      </c>
      <c r="AF129" s="714">
        <v>4.2407531067898789E-2</v>
      </c>
      <c r="AG129" s="706"/>
      <c r="AH129" s="792">
        <v>0.47356695135775378</v>
      </c>
      <c r="AI129" s="748">
        <v>0.56884057971014501</v>
      </c>
      <c r="AJ129" s="748">
        <v>4.2407531067898789E-2</v>
      </c>
      <c r="AK129" s="748"/>
      <c r="AL129" s="714">
        <v>0.47356695135775378</v>
      </c>
      <c r="AM129" s="706"/>
      <c r="AN129" s="706"/>
      <c r="AO129" s="706"/>
      <c r="AP129" s="747"/>
      <c r="AQ129" s="733"/>
      <c r="AR129" s="706" t="s">
        <v>957</v>
      </c>
      <c r="AS129" s="706"/>
      <c r="AT129" s="706"/>
      <c r="AU129" s="710"/>
      <c r="AV129" s="706">
        <v>0.29743244734753344</v>
      </c>
      <c r="AW129" s="706">
        <v>0.29743244734753344</v>
      </c>
      <c r="AX129" s="706">
        <v>0.29743244734753344</v>
      </c>
      <c r="AY129" s="706">
        <v>0.29743244734753344</v>
      </c>
      <c r="AZ129" s="706">
        <v>0.29743244734753344</v>
      </c>
      <c r="BA129" s="706">
        <v>0.29743244734753344</v>
      </c>
      <c r="BB129" s="706">
        <v>0.29743244734753344</v>
      </c>
      <c r="BC129" s="706">
        <v>0.29743244734753344</v>
      </c>
      <c r="BD129" s="706">
        <v>0.29743244734753344</v>
      </c>
      <c r="BE129" s="706">
        <v>0.29743244734753344</v>
      </c>
      <c r="BF129" s="706">
        <v>0.29743244734753344</v>
      </c>
      <c r="BG129" s="706">
        <v>0.29743244734753344</v>
      </c>
      <c r="BH129" s="706">
        <v>0.29743244734753344</v>
      </c>
      <c r="BI129" s="706">
        <v>0.29743244734753344</v>
      </c>
      <c r="BJ129" s="706">
        <v>0.29743244734753344</v>
      </c>
      <c r="BK129" s="706">
        <v>0.29743244734753344</v>
      </c>
      <c r="BL129" s="706">
        <v>0.29743244734753344</v>
      </c>
      <c r="BM129" s="706">
        <v>0.29743244734753344</v>
      </c>
      <c r="BN129" s="706">
        <v>0.29743244734753344</v>
      </c>
      <c r="BO129" s="710"/>
      <c r="BP129" s="710"/>
      <c r="BQ129" s="710"/>
      <c r="BR129" s="710"/>
      <c r="BS129" s="706"/>
      <c r="BT129" s="706"/>
      <c r="BU129" s="708"/>
      <c r="BV129" s="791">
        <v>581.49163564788921</v>
      </c>
      <c r="BW129" s="791">
        <v>581.49163564788921</v>
      </c>
      <c r="BX129" s="791">
        <v>581.49163564788921</v>
      </c>
      <c r="BY129" s="791">
        <v>581.49163564788921</v>
      </c>
      <c r="BZ129" s="791">
        <v>581.49163564788921</v>
      </c>
      <c r="CA129" s="791">
        <v>581.49163564788921</v>
      </c>
      <c r="CB129" s="791">
        <v>581.49163564788921</v>
      </c>
      <c r="CC129" s="791">
        <v>581.49163564788921</v>
      </c>
      <c r="CD129" s="791">
        <v>581.49163564788921</v>
      </c>
      <c r="CE129" s="791">
        <v>581.49163564788921</v>
      </c>
      <c r="CF129" s="791">
        <v>581.49163564788921</v>
      </c>
      <c r="CG129" s="791">
        <v>581.49163564788921</v>
      </c>
      <c r="CH129" s="791">
        <v>581.49163564788921</v>
      </c>
      <c r="CI129" s="791">
        <v>581.49163564788921</v>
      </c>
      <c r="CJ129" s="791">
        <v>581.49163564788921</v>
      </c>
      <c r="CK129" s="791">
        <v>581.49163564788921</v>
      </c>
      <c r="CL129" s="791">
        <v>581.49163564788921</v>
      </c>
      <c r="CM129" s="791">
        <v>581.49163564788921</v>
      </c>
      <c r="CN129" s="791">
        <v>581.49163564788921</v>
      </c>
      <c r="CO129" s="708"/>
      <c r="CP129" s="708"/>
      <c r="CQ129" s="708"/>
      <c r="CR129" s="708"/>
    </row>
    <row r="130" spans="1:96">
      <c r="A130" s="743" t="s">
        <v>3</v>
      </c>
      <c r="B130" s="752">
        <v>41717</v>
      </c>
      <c r="C130" s="743">
        <v>2014</v>
      </c>
      <c r="D130" s="746" t="s">
        <v>15</v>
      </c>
      <c r="E130" s="746" t="s">
        <v>25</v>
      </c>
      <c r="F130" s="746" t="s">
        <v>17</v>
      </c>
      <c r="G130" s="746" t="s">
        <v>58</v>
      </c>
      <c r="H130" s="694" t="s">
        <v>959</v>
      </c>
      <c r="I130" s="746" t="s">
        <v>5</v>
      </c>
      <c r="J130" s="746" t="s">
        <v>376</v>
      </c>
      <c r="K130" s="706">
        <v>1</v>
      </c>
      <c r="L130" s="745" t="s">
        <v>58</v>
      </c>
      <c r="M130" s="743" t="s">
        <v>1070</v>
      </c>
      <c r="N130" s="743">
        <v>19</v>
      </c>
      <c r="O130" s="706"/>
      <c r="P130" s="706"/>
      <c r="Q130" s="706"/>
      <c r="R130" s="706"/>
      <c r="S130" s="706"/>
      <c r="T130" s="706"/>
      <c r="U130" s="738">
        <v>0.62806842093767556</v>
      </c>
      <c r="V130" s="738">
        <v>1227.8974155200376</v>
      </c>
      <c r="W130" s="793">
        <v>0.62806842093767556</v>
      </c>
      <c r="X130" s="708">
        <v>1227.8974155200376</v>
      </c>
      <c r="Y130" s="719">
        <v>23330.050894880715</v>
      </c>
      <c r="Z130" s="719">
        <v>11048.341077309895</v>
      </c>
      <c r="AA130" s="719">
        <v>581.49163564788921</v>
      </c>
      <c r="AB130" s="738">
        <v>0.29743244734753344</v>
      </c>
      <c r="AC130" s="792">
        <v>1</v>
      </c>
      <c r="AD130" s="792">
        <v>1</v>
      </c>
      <c r="AE130" s="717">
        <v>0.56884057971014501</v>
      </c>
      <c r="AF130" s="714">
        <v>4.2407531067898789E-2</v>
      </c>
      <c r="AG130" s="706"/>
      <c r="AH130" s="792">
        <v>0.47356695135775378</v>
      </c>
      <c r="AI130" s="748">
        <v>0.56884057971014501</v>
      </c>
      <c r="AJ130" s="748">
        <v>4.2407531067898789E-2</v>
      </c>
      <c r="AK130" s="748"/>
      <c r="AL130" s="714">
        <v>0.47356695135775378</v>
      </c>
      <c r="AM130" s="706"/>
      <c r="AN130" s="706"/>
      <c r="AO130" s="706"/>
      <c r="AP130" s="747"/>
      <c r="AQ130" s="733"/>
      <c r="AR130" s="706" t="s">
        <v>957</v>
      </c>
      <c r="AS130" s="706"/>
      <c r="AT130" s="706"/>
      <c r="AU130" s="710"/>
      <c r="AV130" s="706">
        <v>0.29743244734753344</v>
      </c>
      <c r="AW130" s="706">
        <v>0.29743244734753344</v>
      </c>
      <c r="AX130" s="706">
        <v>0.29743244734753344</v>
      </c>
      <c r="AY130" s="706">
        <v>0.29743244734753344</v>
      </c>
      <c r="AZ130" s="706">
        <v>0.29743244734753344</v>
      </c>
      <c r="BA130" s="706">
        <v>0.29743244734753344</v>
      </c>
      <c r="BB130" s="706">
        <v>0.29743244734753344</v>
      </c>
      <c r="BC130" s="706">
        <v>0.29743244734753344</v>
      </c>
      <c r="BD130" s="706">
        <v>0.29743244734753344</v>
      </c>
      <c r="BE130" s="706">
        <v>0.29743244734753344</v>
      </c>
      <c r="BF130" s="706">
        <v>0.29743244734753344</v>
      </c>
      <c r="BG130" s="706">
        <v>0.29743244734753344</v>
      </c>
      <c r="BH130" s="706">
        <v>0.29743244734753344</v>
      </c>
      <c r="BI130" s="706">
        <v>0.29743244734753344</v>
      </c>
      <c r="BJ130" s="706">
        <v>0.29743244734753344</v>
      </c>
      <c r="BK130" s="706">
        <v>0.29743244734753344</v>
      </c>
      <c r="BL130" s="706">
        <v>0.29743244734753344</v>
      </c>
      <c r="BM130" s="706">
        <v>0.29743244734753344</v>
      </c>
      <c r="BN130" s="706">
        <v>0.29743244734753344</v>
      </c>
      <c r="BO130" s="710"/>
      <c r="BP130" s="710"/>
      <c r="BQ130" s="710"/>
      <c r="BR130" s="710"/>
      <c r="BS130" s="706"/>
      <c r="BT130" s="706"/>
      <c r="BU130" s="708"/>
      <c r="BV130" s="791">
        <v>581.49163564788921</v>
      </c>
      <c r="BW130" s="791">
        <v>581.49163564788921</v>
      </c>
      <c r="BX130" s="791">
        <v>581.49163564788921</v>
      </c>
      <c r="BY130" s="791">
        <v>581.49163564788921</v>
      </c>
      <c r="BZ130" s="791">
        <v>581.49163564788921</v>
      </c>
      <c r="CA130" s="791">
        <v>581.49163564788921</v>
      </c>
      <c r="CB130" s="791">
        <v>581.49163564788921</v>
      </c>
      <c r="CC130" s="791">
        <v>581.49163564788921</v>
      </c>
      <c r="CD130" s="791">
        <v>581.49163564788921</v>
      </c>
      <c r="CE130" s="791">
        <v>581.49163564788921</v>
      </c>
      <c r="CF130" s="791">
        <v>581.49163564788921</v>
      </c>
      <c r="CG130" s="791">
        <v>581.49163564788921</v>
      </c>
      <c r="CH130" s="791">
        <v>581.49163564788921</v>
      </c>
      <c r="CI130" s="791">
        <v>581.49163564788921</v>
      </c>
      <c r="CJ130" s="791">
        <v>581.49163564788921</v>
      </c>
      <c r="CK130" s="791">
        <v>581.49163564788921</v>
      </c>
      <c r="CL130" s="791">
        <v>581.49163564788921</v>
      </c>
      <c r="CM130" s="791">
        <v>581.49163564788921</v>
      </c>
      <c r="CN130" s="791">
        <v>581.49163564788921</v>
      </c>
      <c r="CO130" s="708"/>
      <c r="CP130" s="708"/>
      <c r="CQ130" s="708"/>
      <c r="CR130" s="708"/>
    </row>
    <row r="131" spans="1:96">
      <c r="A131" s="743" t="s">
        <v>3</v>
      </c>
      <c r="B131" s="752">
        <v>41717</v>
      </c>
      <c r="C131" s="743">
        <v>2014</v>
      </c>
      <c r="D131" s="746" t="s">
        <v>15</v>
      </c>
      <c r="E131" s="746" t="s">
        <v>25</v>
      </c>
      <c r="F131" s="746" t="s">
        <v>17</v>
      </c>
      <c r="G131" s="746" t="s">
        <v>58</v>
      </c>
      <c r="H131" s="694" t="s">
        <v>959</v>
      </c>
      <c r="I131" s="746" t="s">
        <v>5</v>
      </c>
      <c r="J131" s="746" t="s">
        <v>376</v>
      </c>
      <c r="K131" s="706">
        <v>1</v>
      </c>
      <c r="L131" s="745" t="s">
        <v>58</v>
      </c>
      <c r="M131" s="743" t="s">
        <v>1069</v>
      </c>
      <c r="N131" s="743">
        <v>19</v>
      </c>
      <c r="O131" s="706"/>
      <c r="P131" s="706"/>
      <c r="Q131" s="706"/>
      <c r="R131" s="706"/>
      <c r="S131" s="706"/>
      <c r="T131" s="706"/>
      <c r="U131" s="738">
        <v>0.62806842093767556</v>
      </c>
      <c r="V131" s="738">
        <v>1227.8974155200376</v>
      </c>
      <c r="W131" s="793">
        <v>0.62806842093767556</v>
      </c>
      <c r="X131" s="708">
        <v>1227.8974155200376</v>
      </c>
      <c r="Y131" s="719">
        <v>23330.050894880715</v>
      </c>
      <c r="Z131" s="719">
        <v>11048.341077309895</v>
      </c>
      <c r="AA131" s="719">
        <v>581.49163564788921</v>
      </c>
      <c r="AB131" s="738">
        <v>0.29743244734753344</v>
      </c>
      <c r="AC131" s="792">
        <v>1</v>
      </c>
      <c r="AD131" s="792">
        <v>1</v>
      </c>
      <c r="AE131" s="717">
        <v>0.56884057971014501</v>
      </c>
      <c r="AF131" s="714">
        <v>4.2407531067898789E-2</v>
      </c>
      <c r="AG131" s="706"/>
      <c r="AH131" s="792">
        <v>0.47356695135775378</v>
      </c>
      <c r="AI131" s="748">
        <v>0.56884057971014501</v>
      </c>
      <c r="AJ131" s="748">
        <v>4.2407531067898789E-2</v>
      </c>
      <c r="AK131" s="748"/>
      <c r="AL131" s="714">
        <v>0.47356695135775378</v>
      </c>
      <c r="AM131" s="706"/>
      <c r="AN131" s="706"/>
      <c r="AO131" s="706"/>
      <c r="AP131" s="747"/>
      <c r="AQ131" s="733"/>
      <c r="AR131" s="706" t="s">
        <v>957</v>
      </c>
      <c r="AS131" s="706"/>
      <c r="AT131" s="706"/>
      <c r="AU131" s="710"/>
      <c r="AV131" s="706">
        <v>0.29743244734753344</v>
      </c>
      <c r="AW131" s="706">
        <v>0.29743244734753344</v>
      </c>
      <c r="AX131" s="706">
        <v>0.29743244734753344</v>
      </c>
      <c r="AY131" s="706">
        <v>0.29743244734753344</v>
      </c>
      <c r="AZ131" s="706">
        <v>0.29743244734753344</v>
      </c>
      <c r="BA131" s="706">
        <v>0.29743244734753344</v>
      </c>
      <c r="BB131" s="706">
        <v>0.29743244734753344</v>
      </c>
      <c r="BC131" s="706">
        <v>0.29743244734753344</v>
      </c>
      <c r="BD131" s="706">
        <v>0.29743244734753344</v>
      </c>
      <c r="BE131" s="706">
        <v>0.29743244734753344</v>
      </c>
      <c r="BF131" s="706">
        <v>0.29743244734753344</v>
      </c>
      <c r="BG131" s="706">
        <v>0.29743244734753344</v>
      </c>
      <c r="BH131" s="706">
        <v>0.29743244734753344</v>
      </c>
      <c r="BI131" s="706">
        <v>0.29743244734753344</v>
      </c>
      <c r="BJ131" s="706">
        <v>0.29743244734753344</v>
      </c>
      <c r="BK131" s="706">
        <v>0.29743244734753344</v>
      </c>
      <c r="BL131" s="706">
        <v>0.29743244734753344</v>
      </c>
      <c r="BM131" s="706">
        <v>0.29743244734753344</v>
      </c>
      <c r="BN131" s="706">
        <v>0.29743244734753344</v>
      </c>
      <c r="BO131" s="710"/>
      <c r="BP131" s="710"/>
      <c r="BQ131" s="710"/>
      <c r="BR131" s="710"/>
      <c r="BS131" s="706"/>
      <c r="BT131" s="706"/>
      <c r="BU131" s="708"/>
      <c r="BV131" s="791">
        <v>581.49163564788921</v>
      </c>
      <c r="BW131" s="791">
        <v>581.49163564788921</v>
      </c>
      <c r="BX131" s="791">
        <v>581.49163564788921</v>
      </c>
      <c r="BY131" s="791">
        <v>581.49163564788921</v>
      </c>
      <c r="BZ131" s="791">
        <v>581.49163564788921</v>
      </c>
      <c r="CA131" s="791">
        <v>581.49163564788921</v>
      </c>
      <c r="CB131" s="791">
        <v>581.49163564788921</v>
      </c>
      <c r="CC131" s="791">
        <v>581.49163564788921</v>
      </c>
      <c r="CD131" s="791">
        <v>581.49163564788921</v>
      </c>
      <c r="CE131" s="791">
        <v>581.49163564788921</v>
      </c>
      <c r="CF131" s="791">
        <v>581.49163564788921</v>
      </c>
      <c r="CG131" s="791">
        <v>581.49163564788921</v>
      </c>
      <c r="CH131" s="791">
        <v>581.49163564788921</v>
      </c>
      <c r="CI131" s="791">
        <v>581.49163564788921</v>
      </c>
      <c r="CJ131" s="791">
        <v>581.49163564788921</v>
      </c>
      <c r="CK131" s="791">
        <v>581.49163564788921</v>
      </c>
      <c r="CL131" s="791">
        <v>581.49163564788921</v>
      </c>
      <c r="CM131" s="791">
        <v>581.49163564788921</v>
      </c>
      <c r="CN131" s="791">
        <v>581.49163564788921</v>
      </c>
      <c r="CO131" s="708"/>
      <c r="CP131" s="708"/>
      <c r="CQ131" s="708"/>
      <c r="CR131" s="708"/>
    </row>
    <row r="132" spans="1:96">
      <c r="A132" s="743" t="s">
        <v>3</v>
      </c>
      <c r="B132" s="752">
        <v>41701</v>
      </c>
      <c r="C132" s="743">
        <v>2014</v>
      </c>
      <c r="D132" s="746" t="s">
        <v>15</v>
      </c>
      <c r="E132" s="746" t="s">
        <v>25</v>
      </c>
      <c r="F132" s="746" t="s">
        <v>17</v>
      </c>
      <c r="G132" s="746" t="s">
        <v>58</v>
      </c>
      <c r="H132" s="694" t="s">
        <v>959</v>
      </c>
      <c r="I132" s="746" t="s">
        <v>5</v>
      </c>
      <c r="J132" s="746" t="s">
        <v>376</v>
      </c>
      <c r="K132" s="706">
        <v>1</v>
      </c>
      <c r="L132" s="745" t="s">
        <v>58</v>
      </c>
      <c r="M132" s="743" t="s">
        <v>1068</v>
      </c>
      <c r="N132" s="743">
        <v>19</v>
      </c>
      <c r="O132" s="706"/>
      <c r="P132" s="706"/>
      <c r="Q132" s="706"/>
      <c r="R132" s="706"/>
      <c r="S132" s="706"/>
      <c r="T132" s="706"/>
      <c r="U132" s="738">
        <v>0.62806842093767556</v>
      </c>
      <c r="V132" s="738">
        <v>1227.8974155200376</v>
      </c>
      <c r="W132" s="793">
        <v>0.62806842093767556</v>
      </c>
      <c r="X132" s="708">
        <v>1227.8974155200376</v>
      </c>
      <c r="Y132" s="719">
        <v>23330.050894880715</v>
      </c>
      <c r="Z132" s="719">
        <v>11048.341077309895</v>
      </c>
      <c r="AA132" s="719">
        <v>581.49163564788921</v>
      </c>
      <c r="AB132" s="738">
        <v>0.29743244734753344</v>
      </c>
      <c r="AC132" s="792">
        <v>1</v>
      </c>
      <c r="AD132" s="792">
        <v>1</v>
      </c>
      <c r="AE132" s="717">
        <v>0.56884057971014501</v>
      </c>
      <c r="AF132" s="714">
        <v>4.2407531067898789E-2</v>
      </c>
      <c r="AG132" s="706"/>
      <c r="AH132" s="792">
        <v>0.47356695135775378</v>
      </c>
      <c r="AI132" s="748">
        <v>0.56884057971014501</v>
      </c>
      <c r="AJ132" s="748">
        <v>4.2407531067898789E-2</v>
      </c>
      <c r="AK132" s="748"/>
      <c r="AL132" s="714">
        <v>0.47356695135775378</v>
      </c>
      <c r="AM132" s="706"/>
      <c r="AN132" s="706"/>
      <c r="AO132" s="706"/>
      <c r="AP132" s="747"/>
      <c r="AQ132" s="733"/>
      <c r="AR132" s="706" t="s">
        <v>957</v>
      </c>
      <c r="AS132" s="706"/>
      <c r="AT132" s="706"/>
      <c r="AU132" s="710"/>
      <c r="AV132" s="706">
        <v>0.29743244734753344</v>
      </c>
      <c r="AW132" s="706">
        <v>0.29743244734753344</v>
      </c>
      <c r="AX132" s="706">
        <v>0.29743244734753344</v>
      </c>
      <c r="AY132" s="706">
        <v>0.29743244734753344</v>
      </c>
      <c r="AZ132" s="706">
        <v>0.29743244734753344</v>
      </c>
      <c r="BA132" s="706">
        <v>0.29743244734753344</v>
      </c>
      <c r="BB132" s="706">
        <v>0.29743244734753344</v>
      </c>
      <c r="BC132" s="706">
        <v>0.29743244734753344</v>
      </c>
      <c r="BD132" s="706">
        <v>0.29743244734753344</v>
      </c>
      <c r="BE132" s="706">
        <v>0.29743244734753344</v>
      </c>
      <c r="BF132" s="706">
        <v>0.29743244734753344</v>
      </c>
      <c r="BG132" s="706">
        <v>0.29743244734753344</v>
      </c>
      <c r="BH132" s="706">
        <v>0.29743244734753344</v>
      </c>
      <c r="BI132" s="706">
        <v>0.29743244734753344</v>
      </c>
      <c r="BJ132" s="706">
        <v>0.29743244734753344</v>
      </c>
      <c r="BK132" s="706">
        <v>0.29743244734753344</v>
      </c>
      <c r="BL132" s="706">
        <v>0.29743244734753344</v>
      </c>
      <c r="BM132" s="706">
        <v>0.29743244734753344</v>
      </c>
      <c r="BN132" s="706">
        <v>0.29743244734753344</v>
      </c>
      <c r="BO132" s="710"/>
      <c r="BP132" s="710"/>
      <c r="BQ132" s="710"/>
      <c r="BR132" s="710"/>
      <c r="BS132" s="706"/>
      <c r="BT132" s="706"/>
      <c r="BU132" s="708"/>
      <c r="BV132" s="791">
        <v>581.49163564788921</v>
      </c>
      <c r="BW132" s="791">
        <v>581.49163564788921</v>
      </c>
      <c r="BX132" s="791">
        <v>581.49163564788921</v>
      </c>
      <c r="BY132" s="791">
        <v>581.49163564788921</v>
      </c>
      <c r="BZ132" s="791">
        <v>581.49163564788921</v>
      </c>
      <c r="CA132" s="791">
        <v>581.49163564788921</v>
      </c>
      <c r="CB132" s="791">
        <v>581.49163564788921</v>
      </c>
      <c r="CC132" s="791">
        <v>581.49163564788921</v>
      </c>
      <c r="CD132" s="791">
        <v>581.49163564788921</v>
      </c>
      <c r="CE132" s="791">
        <v>581.49163564788921</v>
      </c>
      <c r="CF132" s="791">
        <v>581.49163564788921</v>
      </c>
      <c r="CG132" s="791">
        <v>581.49163564788921</v>
      </c>
      <c r="CH132" s="791">
        <v>581.49163564788921</v>
      </c>
      <c r="CI132" s="791">
        <v>581.49163564788921</v>
      </c>
      <c r="CJ132" s="791">
        <v>581.49163564788921</v>
      </c>
      <c r="CK132" s="791">
        <v>581.49163564788921</v>
      </c>
      <c r="CL132" s="791">
        <v>581.49163564788921</v>
      </c>
      <c r="CM132" s="791">
        <v>581.49163564788921</v>
      </c>
      <c r="CN132" s="791">
        <v>581.49163564788921</v>
      </c>
      <c r="CO132" s="708"/>
      <c r="CP132" s="708"/>
      <c r="CQ132" s="708"/>
      <c r="CR132" s="708"/>
    </row>
    <row r="133" spans="1:96">
      <c r="A133" s="743" t="s">
        <v>3</v>
      </c>
      <c r="B133" s="752">
        <v>41716</v>
      </c>
      <c r="C133" s="743">
        <v>2014</v>
      </c>
      <c r="D133" s="746" t="s">
        <v>15</v>
      </c>
      <c r="E133" s="746" t="s">
        <v>25</v>
      </c>
      <c r="F133" s="746" t="s">
        <v>17</v>
      </c>
      <c r="G133" s="746" t="s">
        <v>58</v>
      </c>
      <c r="H133" s="694" t="s">
        <v>959</v>
      </c>
      <c r="I133" s="746" t="s">
        <v>5</v>
      </c>
      <c r="J133" s="746" t="s">
        <v>376</v>
      </c>
      <c r="K133" s="706">
        <v>1</v>
      </c>
      <c r="L133" s="745" t="s">
        <v>58</v>
      </c>
      <c r="M133" s="743" t="s">
        <v>1067</v>
      </c>
      <c r="N133" s="743">
        <v>19</v>
      </c>
      <c r="O133" s="706"/>
      <c r="P133" s="706"/>
      <c r="Q133" s="706"/>
      <c r="R133" s="706"/>
      <c r="S133" s="706"/>
      <c r="T133" s="706"/>
      <c r="U133" s="738">
        <v>0.62806842093767556</v>
      </c>
      <c r="V133" s="738">
        <v>1227.8974155200376</v>
      </c>
      <c r="W133" s="793">
        <v>0.62806842093767556</v>
      </c>
      <c r="X133" s="708">
        <v>1227.8974155200376</v>
      </c>
      <c r="Y133" s="719">
        <v>23330.050894880715</v>
      </c>
      <c r="Z133" s="719">
        <v>11048.341077309895</v>
      </c>
      <c r="AA133" s="719">
        <v>581.49163564788921</v>
      </c>
      <c r="AB133" s="738">
        <v>0.29743244734753344</v>
      </c>
      <c r="AC133" s="792">
        <v>1</v>
      </c>
      <c r="AD133" s="792">
        <v>1</v>
      </c>
      <c r="AE133" s="717">
        <v>0.56884057971014501</v>
      </c>
      <c r="AF133" s="714">
        <v>4.2407531067898789E-2</v>
      </c>
      <c r="AG133" s="706"/>
      <c r="AH133" s="792">
        <v>0.47356695135775378</v>
      </c>
      <c r="AI133" s="748">
        <v>0.56884057971014501</v>
      </c>
      <c r="AJ133" s="748">
        <v>4.2407531067898789E-2</v>
      </c>
      <c r="AK133" s="748"/>
      <c r="AL133" s="714">
        <v>0.47356695135775378</v>
      </c>
      <c r="AM133" s="706"/>
      <c r="AN133" s="706"/>
      <c r="AO133" s="706"/>
      <c r="AP133" s="747"/>
      <c r="AQ133" s="733"/>
      <c r="AR133" s="706" t="s">
        <v>957</v>
      </c>
      <c r="AS133" s="706"/>
      <c r="AT133" s="706"/>
      <c r="AU133" s="710"/>
      <c r="AV133" s="706">
        <v>0.29743244734753344</v>
      </c>
      <c r="AW133" s="706">
        <v>0.29743244734753344</v>
      </c>
      <c r="AX133" s="706">
        <v>0.29743244734753344</v>
      </c>
      <c r="AY133" s="706">
        <v>0.29743244734753344</v>
      </c>
      <c r="AZ133" s="706">
        <v>0.29743244734753344</v>
      </c>
      <c r="BA133" s="706">
        <v>0.29743244734753344</v>
      </c>
      <c r="BB133" s="706">
        <v>0.29743244734753344</v>
      </c>
      <c r="BC133" s="706">
        <v>0.29743244734753344</v>
      </c>
      <c r="BD133" s="706">
        <v>0.29743244734753344</v>
      </c>
      <c r="BE133" s="706">
        <v>0.29743244734753344</v>
      </c>
      <c r="BF133" s="706">
        <v>0.29743244734753344</v>
      </c>
      <c r="BG133" s="706">
        <v>0.29743244734753344</v>
      </c>
      <c r="BH133" s="706">
        <v>0.29743244734753344</v>
      </c>
      <c r="BI133" s="706">
        <v>0.29743244734753344</v>
      </c>
      <c r="BJ133" s="706">
        <v>0.29743244734753344</v>
      </c>
      <c r="BK133" s="706">
        <v>0.29743244734753344</v>
      </c>
      <c r="BL133" s="706">
        <v>0.29743244734753344</v>
      </c>
      <c r="BM133" s="706">
        <v>0.29743244734753344</v>
      </c>
      <c r="BN133" s="706">
        <v>0.29743244734753344</v>
      </c>
      <c r="BO133" s="710"/>
      <c r="BP133" s="710"/>
      <c r="BQ133" s="710"/>
      <c r="BR133" s="710"/>
      <c r="BS133" s="706"/>
      <c r="BT133" s="706"/>
      <c r="BU133" s="708"/>
      <c r="BV133" s="791">
        <v>581.49163564788921</v>
      </c>
      <c r="BW133" s="791">
        <v>581.49163564788921</v>
      </c>
      <c r="BX133" s="791">
        <v>581.49163564788921</v>
      </c>
      <c r="BY133" s="791">
        <v>581.49163564788921</v>
      </c>
      <c r="BZ133" s="791">
        <v>581.49163564788921</v>
      </c>
      <c r="CA133" s="791">
        <v>581.49163564788921</v>
      </c>
      <c r="CB133" s="791">
        <v>581.49163564788921</v>
      </c>
      <c r="CC133" s="791">
        <v>581.49163564788921</v>
      </c>
      <c r="CD133" s="791">
        <v>581.49163564788921</v>
      </c>
      <c r="CE133" s="791">
        <v>581.49163564788921</v>
      </c>
      <c r="CF133" s="791">
        <v>581.49163564788921</v>
      </c>
      <c r="CG133" s="791">
        <v>581.49163564788921</v>
      </c>
      <c r="CH133" s="791">
        <v>581.49163564788921</v>
      </c>
      <c r="CI133" s="791">
        <v>581.49163564788921</v>
      </c>
      <c r="CJ133" s="791">
        <v>581.49163564788921</v>
      </c>
      <c r="CK133" s="791">
        <v>581.49163564788921</v>
      </c>
      <c r="CL133" s="791">
        <v>581.49163564788921</v>
      </c>
      <c r="CM133" s="791">
        <v>581.49163564788921</v>
      </c>
      <c r="CN133" s="791">
        <v>581.49163564788921</v>
      </c>
      <c r="CO133" s="708"/>
      <c r="CP133" s="708"/>
      <c r="CQ133" s="708"/>
      <c r="CR133" s="708"/>
    </row>
    <row r="134" spans="1:96">
      <c r="A134" s="743" t="s">
        <v>3</v>
      </c>
      <c r="B134" s="752">
        <v>41948</v>
      </c>
      <c r="C134" s="743">
        <v>2014</v>
      </c>
      <c r="D134" s="746" t="s">
        <v>15</v>
      </c>
      <c r="E134" s="746" t="s">
        <v>25</v>
      </c>
      <c r="F134" s="746" t="s">
        <v>17</v>
      </c>
      <c r="G134" s="746" t="s">
        <v>58</v>
      </c>
      <c r="H134" s="694" t="s">
        <v>959</v>
      </c>
      <c r="I134" s="746" t="s">
        <v>5</v>
      </c>
      <c r="J134" s="746" t="s">
        <v>376</v>
      </c>
      <c r="K134" s="706">
        <v>1</v>
      </c>
      <c r="L134" s="745" t="s">
        <v>58</v>
      </c>
      <c r="M134" s="743" t="s">
        <v>945</v>
      </c>
      <c r="N134" s="743">
        <v>19</v>
      </c>
      <c r="O134" s="706"/>
      <c r="P134" s="706"/>
      <c r="Q134" s="706"/>
      <c r="R134" s="706"/>
      <c r="S134" s="706"/>
      <c r="T134" s="706"/>
      <c r="U134" s="738">
        <v>0.62806842093767556</v>
      </c>
      <c r="V134" s="738">
        <v>1227.8974155200376</v>
      </c>
      <c r="W134" s="793">
        <v>0.62806842093767556</v>
      </c>
      <c r="X134" s="708">
        <v>1227.8974155200376</v>
      </c>
      <c r="Y134" s="719">
        <v>23330.050894880715</v>
      </c>
      <c r="Z134" s="719">
        <v>11048.341077309895</v>
      </c>
      <c r="AA134" s="719">
        <v>581.49163564788921</v>
      </c>
      <c r="AB134" s="738">
        <v>0.29743244734753344</v>
      </c>
      <c r="AC134" s="792">
        <v>1</v>
      </c>
      <c r="AD134" s="792">
        <v>1</v>
      </c>
      <c r="AE134" s="717">
        <v>0.56884057971014501</v>
      </c>
      <c r="AF134" s="714">
        <v>4.2407531067898789E-2</v>
      </c>
      <c r="AG134" s="706"/>
      <c r="AH134" s="792">
        <v>0.47356695135775378</v>
      </c>
      <c r="AI134" s="748">
        <v>0.56884057971014501</v>
      </c>
      <c r="AJ134" s="748">
        <v>4.2407531067898789E-2</v>
      </c>
      <c r="AK134" s="748"/>
      <c r="AL134" s="714">
        <v>0.47356695135775378</v>
      </c>
      <c r="AM134" s="706"/>
      <c r="AN134" s="706"/>
      <c r="AO134" s="706"/>
      <c r="AP134" s="747"/>
      <c r="AQ134" s="733"/>
      <c r="AR134" s="706" t="s">
        <v>957</v>
      </c>
      <c r="AS134" s="706"/>
      <c r="AT134" s="706"/>
      <c r="AU134" s="710"/>
      <c r="AV134" s="706">
        <v>0.29743244734753344</v>
      </c>
      <c r="AW134" s="706">
        <v>0.29743244734753344</v>
      </c>
      <c r="AX134" s="706">
        <v>0.29743244734753344</v>
      </c>
      <c r="AY134" s="706">
        <v>0.29743244734753344</v>
      </c>
      <c r="AZ134" s="706">
        <v>0.29743244734753344</v>
      </c>
      <c r="BA134" s="706">
        <v>0.29743244734753344</v>
      </c>
      <c r="BB134" s="706">
        <v>0.29743244734753344</v>
      </c>
      <c r="BC134" s="706">
        <v>0.29743244734753344</v>
      </c>
      <c r="BD134" s="706">
        <v>0.29743244734753344</v>
      </c>
      <c r="BE134" s="706">
        <v>0.29743244734753344</v>
      </c>
      <c r="BF134" s="706">
        <v>0.29743244734753344</v>
      </c>
      <c r="BG134" s="706">
        <v>0.29743244734753344</v>
      </c>
      <c r="BH134" s="706">
        <v>0.29743244734753344</v>
      </c>
      <c r="BI134" s="706">
        <v>0.29743244734753344</v>
      </c>
      <c r="BJ134" s="706">
        <v>0.29743244734753344</v>
      </c>
      <c r="BK134" s="706">
        <v>0.29743244734753344</v>
      </c>
      <c r="BL134" s="706">
        <v>0.29743244734753344</v>
      </c>
      <c r="BM134" s="706">
        <v>0.29743244734753344</v>
      </c>
      <c r="BN134" s="706">
        <v>0.29743244734753344</v>
      </c>
      <c r="BO134" s="710"/>
      <c r="BP134" s="710"/>
      <c r="BQ134" s="710"/>
      <c r="BR134" s="710"/>
      <c r="BS134" s="706"/>
      <c r="BT134" s="706"/>
      <c r="BU134" s="708"/>
      <c r="BV134" s="791">
        <v>581.49163564788921</v>
      </c>
      <c r="BW134" s="791">
        <v>581.49163564788921</v>
      </c>
      <c r="BX134" s="791">
        <v>581.49163564788921</v>
      </c>
      <c r="BY134" s="791">
        <v>581.49163564788921</v>
      </c>
      <c r="BZ134" s="791">
        <v>581.49163564788921</v>
      </c>
      <c r="CA134" s="791">
        <v>581.49163564788921</v>
      </c>
      <c r="CB134" s="791">
        <v>581.49163564788921</v>
      </c>
      <c r="CC134" s="791">
        <v>581.49163564788921</v>
      </c>
      <c r="CD134" s="791">
        <v>581.49163564788921</v>
      </c>
      <c r="CE134" s="791">
        <v>581.49163564788921</v>
      </c>
      <c r="CF134" s="791">
        <v>581.49163564788921</v>
      </c>
      <c r="CG134" s="791">
        <v>581.49163564788921</v>
      </c>
      <c r="CH134" s="791">
        <v>581.49163564788921</v>
      </c>
      <c r="CI134" s="791">
        <v>581.49163564788921</v>
      </c>
      <c r="CJ134" s="791">
        <v>581.49163564788921</v>
      </c>
      <c r="CK134" s="791">
        <v>581.49163564788921</v>
      </c>
      <c r="CL134" s="791">
        <v>581.49163564788921</v>
      </c>
      <c r="CM134" s="791">
        <v>581.49163564788921</v>
      </c>
      <c r="CN134" s="791">
        <v>581.49163564788921</v>
      </c>
      <c r="CO134" s="708"/>
      <c r="CP134" s="708"/>
      <c r="CQ134" s="708"/>
      <c r="CR134" s="708"/>
    </row>
    <row r="135" spans="1:96">
      <c r="A135" s="743" t="s">
        <v>3</v>
      </c>
      <c r="B135" s="752">
        <v>41726</v>
      </c>
      <c r="C135" s="743">
        <v>2014</v>
      </c>
      <c r="D135" s="746" t="s">
        <v>15</v>
      </c>
      <c r="E135" s="746" t="s">
        <v>25</v>
      </c>
      <c r="F135" s="746" t="s">
        <v>17</v>
      </c>
      <c r="G135" s="746" t="s">
        <v>58</v>
      </c>
      <c r="H135" s="694" t="s">
        <v>959</v>
      </c>
      <c r="I135" s="746" t="s">
        <v>5</v>
      </c>
      <c r="J135" s="746" t="s">
        <v>376</v>
      </c>
      <c r="K135" s="706">
        <v>1</v>
      </c>
      <c r="L135" s="745" t="s">
        <v>58</v>
      </c>
      <c r="M135" s="743" t="s">
        <v>1066</v>
      </c>
      <c r="N135" s="743">
        <v>19</v>
      </c>
      <c r="O135" s="706"/>
      <c r="P135" s="706"/>
      <c r="Q135" s="706"/>
      <c r="R135" s="706"/>
      <c r="S135" s="706"/>
      <c r="T135" s="706"/>
      <c r="U135" s="738">
        <v>0.62806842093767556</v>
      </c>
      <c r="V135" s="738">
        <v>1227.8974155200376</v>
      </c>
      <c r="W135" s="793">
        <v>0.62806842093767556</v>
      </c>
      <c r="X135" s="708">
        <v>1227.8974155200376</v>
      </c>
      <c r="Y135" s="719">
        <v>23330.050894880715</v>
      </c>
      <c r="Z135" s="719">
        <v>11048.341077309895</v>
      </c>
      <c r="AA135" s="719">
        <v>581.49163564788921</v>
      </c>
      <c r="AB135" s="738">
        <v>0.29743244734753344</v>
      </c>
      <c r="AC135" s="792">
        <v>1</v>
      </c>
      <c r="AD135" s="792">
        <v>1</v>
      </c>
      <c r="AE135" s="717">
        <v>0.56884057971014501</v>
      </c>
      <c r="AF135" s="714">
        <v>4.2407531067898789E-2</v>
      </c>
      <c r="AG135" s="706"/>
      <c r="AH135" s="792">
        <v>0.47356695135775378</v>
      </c>
      <c r="AI135" s="748">
        <v>0.56884057971014501</v>
      </c>
      <c r="AJ135" s="748">
        <v>4.2407531067898789E-2</v>
      </c>
      <c r="AK135" s="748"/>
      <c r="AL135" s="714">
        <v>0.47356695135775378</v>
      </c>
      <c r="AM135" s="706"/>
      <c r="AN135" s="706"/>
      <c r="AO135" s="706"/>
      <c r="AP135" s="747"/>
      <c r="AQ135" s="733"/>
      <c r="AR135" s="706" t="s">
        <v>957</v>
      </c>
      <c r="AS135" s="706"/>
      <c r="AT135" s="706"/>
      <c r="AU135" s="710"/>
      <c r="AV135" s="706">
        <v>0.29743244734753344</v>
      </c>
      <c r="AW135" s="706">
        <v>0.29743244734753344</v>
      </c>
      <c r="AX135" s="706">
        <v>0.29743244734753344</v>
      </c>
      <c r="AY135" s="706">
        <v>0.29743244734753344</v>
      </c>
      <c r="AZ135" s="706">
        <v>0.29743244734753344</v>
      </c>
      <c r="BA135" s="706">
        <v>0.29743244734753344</v>
      </c>
      <c r="BB135" s="706">
        <v>0.29743244734753344</v>
      </c>
      <c r="BC135" s="706">
        <v>0.29743244734753344</v>
      </c>
      <c r="BD135" s="706">
        <v>0.29743244734753344</v>
      </c>
      <c r="BE135" s="706">
        <v>0.29743244734753344</v>
      </c>
      <c r="BF135" s="706">
        <v>0.29743244734753344</v>
      </c>
      <c r="BG135" s="706">
        <v>0.29743244734753344</v>
      </c>
      <c r="BH135" s="706">
        <v>0.29743244734753344</v>
      </c>
      <c r="BI135" s="706">
        <v>0.29743244734753344</v>
      </c>
      <c r="BJ135" s="706">
        <v>0.29743244734753344</v>
      </c>
      <c r="BK135" s="706">
        <v>0.29743244734753344</v>
      </c>
      <c r="BL135" s="706">
        <v>0.29743244734753344</v>
      </c>
      <c r="BM135" s="706">
        <v>0.29743244734753344</v>
      </c>
      <c r="BN135" s="706">
        <v>0.29743244734753344</v>
      </c>
      <c r="BO135" s="710"/>
      <c r="BP135" s="710"/>
      <c r="BQ135" s="710"/>
      <c r="BR135" s="710"/>
      <c r="BS135" s="706"/>
      <c r="BT135" s="706"/>
      <c r="BU135" s="708"/>
      <c r="BV135" s="791">
        <v>581.49163564788921</v>
      </c>
      <c r="BW135" s="791">
        <v>581.49163564788921</v>
      </c>
      <c r="BX135" s="791">
        <v>581.49163564788921</v>
      </c>
      <c r="BY135" s="791">
        <v>581.49163564788921</v>
      </c>
      <c r="BZ135" s="791">
        <v>581.49163564788921</v>
      </c>
      <c r="CA135" s="791">
        <v>581.49163564788921</v>
      </c>
      <c r="CB135" s="791">
        <v>581.49163564788921</v>
      </c>
      <c r="CC135" s="791">
        <v>581.49163564788921</v>
      </c>
      <c r="CD135" s="791">
        <v>581.49163564788921</v>
      </c>
      <c r="CE135" s="791">
        <v>581.49163564788921</v>
      </c>
      <c r="CF135" s="791">
        <v>581.49163564788921</v>
      </c>
      <c r="CG135" s="791">
        <v>581.49163564788921</v>
      </c>
      <c r="CH135" s="791">
        <v>581.49163564788921</v>
      </c>
      <c r="CI135" s="791">
        <v>581.49163564788921</v>
      </c>
      <c r="CJ135" s="791">
        <v>581.49163564788921</v>
      </c>
      <c r="CK135" s="791">
        <v>581.49163564788921</v>
      </c>
      <c r="CL135" s="791">
        <v>581.49163564788921</v>
      </c>
      <c r="CM135" s="791">
        <v>581.49163564788921</v>
      </c>
      <c r="CN135" s="791">
        <v>581.49163564788921</v>
      </c>
      <c r="CO135" s="708"/>
      <c r="CP135" s="708"/>
      <c r="CQ135" s="708"/>
      <c r="CR135" s="708"/>
    </row>
    <row r="136" spans="1:96">
      <c r="A136" s="743" t="s">
        <v>3</v>
      </c>
      <c r="B136" s="752">
        <v>41702</v>
      </c>
      <c r="C136" s="743">
        <v>2014</v>
      </c>
      <c r="D136" s="746" t="s">
        <v>15</v>
      </c>
      <c r="E136" s="746" t="s">
        <v>25</v>
      </c>
      <c r="F136" s="746" t="s">
        <v>17</v>
      </c>
      <c r="G136" s="746" t="s">
        <v>58</v>
      </c>
      <c r="H136" s="694" t="s">
        <v>959</v>
      </c>
      <c r="I136" s="746" t="s">
        <v>5</v>
      </c>
      <c r="J136" s="746" t="s">
        <v>376</v>
      </c>
      <c r="K136" s="706">
        <v>1</v>
      </c>
      <c r="L136" s="745" t="s">
        <v>58</v>
      </c>
      <c r="M136" s="743" t="s">
        <v>888</v>
      </c>
      <c r="N136" s="743">
        <v>19</v>
      </c>
      <c r="O136" s="706"/>
      <c r="P136" s="706"/>
      <c r="Q136" s="706"/>
      <c r="R136" s="706"/>
      <c r="S136" s="706"/>
      <c r="T136" s="706"/>
      <c r="U136" s="738">
        <v>0.62806842093767556</v>
      </c>
      <c r="V136" s="738">
        <v>1227.8974155200376</v>
      </c>
      <c r="W136" s="793">
        <v>0.62806842093767556</v>
      </c>
      <c r="X136" s="708">
        <v>1227.8974155200376</v>
      </c>
      <c r="Y136" s="719">
        <v>23330.050894880715</v>
      </c>
      <c r="Z136" s="719">
        <v>11048.341077309895</v>
      </c>
      <c r="AA136" s="719">
        <v>581.49163564788921</v>
      </c>
      <c r="AB136" s="738">
        <v>0.29743244734753344</v>
      </c>
      <c r="AC136" s="792">
        <v>1</v>
      </c>
      <c r="AD136" s="792">
        <v>1</v>
      </c>
      <c r="AE136" s="717">
        <v>0.56884057971014501</v>
      </c>
      <c r="AF136" s="714">
        <v>4.2407531067898789E-2</v>
      </c>
      <c r="AG136" s="706"/>
      <c r="AH136" s="792">
        <v>0.47356695135775378</v>
      </c>
      <c r="AI136" s="748">
        <v>0.56884057971014501</v>
      </c>
      <c r="AJ136" s="748">
        <v>4.2407531067898789E-2</v>
      </c>
      <c r="AK136" s="748"/>
      <c r="AL136" s="714">
        <v>0.47356695135775378</v>
      </c>
      <c r="AM136" s="706"/>
      <c r="AN136" s="706"/>
      <c r="AO136" s="706"/>
      <c r="AP136" s="747"/>
      <c r="AQ136" s="733"/>
      <c r="AR136" s="706" t="s">
        <v>957</v>
      </c>
      <c r="AS136" s="706"/>
      <c r="AT136" s="706"/>
      <c r="AU136" s="710"/>
      <c r="AV136" s="706">
        <v>0.29743244734753344</v>
      </c>
      <c r="AW136" s="706">
        <v>0.29743244734753344</v>
      </c>
      <c r="AX136" s="706">
        <v>0.29743244734753344</v>
      </c>
      <c r="AY136" s="706">
        <v>0.29743244734753344</v>
      </c>
      <c r="AZ136" s="706">
        <v>0.29743244734753344</v>
      </c>
      <c r="BA136" s="706">
        <v>0.29743244734753344</v>
      </c>
      <c r="BB136" s="706">
        <v>0.29743244734753344</v>
      </c>
      <c r="BC136" s="706">
        <v>0.29743244734753344</v>
      </c>
      <c r="BD136" s="706">
        <v>0.29743244734753344</v>
      </c>
      <c r="BE136" s="706">
        <v>0.29743244734753344</v>
      </c>
      <c r="BF136" s="706">
        <v>0.29743244734753344</v>
      </c>
      <c r="BG136" s="706">
        <v>0.29743244734753344</v>
      </c>
      <c r="BH136" s="706">
        <v>0.29743244734753344</v>
      </c>
      <c r="BI136" s="706">
        <v>0.29743244734753344</v>
      </c>
      <c r="BJ136" s="706">
        <v>0.29743244734753344</v>
      </c>
      <c r="BK136" s="706">
        <v>0.29743244734753344</v>
      </c>
      <c r="BL136" s="706">
        <v>0.29743244734753344</v>
      </c>
      <c r="BM136" s="706">
        <v>0.29743244734753344</v>
      </c>
      <c r="BN136" s="706">
        <v>0.29743244734753344</v>
      </c>
      <c r="BO136" s="710"/>
      <c r="BP136" s="710"/>
      <c r="BQ136" s="710"/>
      <c r="BR136" s="710"/>
      <c r="BS136" s="706"/>
      <c r="BT136" s="706"/>
      <c r="BU136" s="708"/>
      <c r="BV136" s="791">
        <v>581.49163564788921</v>
      </c>
      <c r="BW136" s="791">
        <v>581.49163564788921</v>
      </c>
      <c r="BX136" s="791">
        <v>581.49163564788921</v>
      </c>
      <c r="BY136" s="791">
        <v>581.49163564788921</v>
      </c>
      <c r="BZ136" s="791">
        <v>581.49163564788921</v>
      </c>
      <c r="CA136" s="791">
        <v>581.49163564788921</v>
      </c>
      <c r="CB136" s="791">
        <v>581.49163564788921</v>
      </c>
      <c r="CC136" s="791">
        <v>581.49163564788921</v>
      </c>
      <c r="CD136" s="791">
        <v>581.49163564788921</v>
      </c>
      <c r="CE136" s="791">
        <v>581.49163564788921</v>
      </c>
      <c r="CF136" s="791">
        <v>581.49163564788921</v>
      </c>
      <c r="CG136" s="791">
        <v>581.49163564788921</v>
      </c>
      <c r="CH136" s="791">
        <v>581.49163564788921</v>
      </c>
      <c r="CI136" s="791">
        <v>581.49163564788921</v>
      </c>
      <c r="CJ136" s="791">
        <v>581.49163564788921</v>
      </c>
      <c r="CK136" s="791">
        <v>581.49163564788921</v>
      </c>
      <c r="CL136" s="791">
        <v>581.49163564788921</v>
      </c>
      <c r="CM136" s="791">
        <v>581.49163564788921</v>
      </c>
      <c r="CN136" s="791">
        <v>581.49163564788921</v>
      </c>
      <c r="CO136" s="708"/>
      <c r="CP136" s="708"/>
      <c r="CQ136" s="708"/>
      <c r="CR136" s="708"/>
    </row>
    <row r="137" spans="1:96">
      <c r="A137" s="743" t="s">
        <v>3</v>
      </c>
      <c r="B137" s="752">
        <v>41752</v>
      </c>
      <c r="C137" s="743">
        <v>2014</v>
      </c>
      <c r="D137" s="746" t="s">
        <v>15</v>
      </c>
      <c r="E137" s="746" t="s">
        <v>25</v>
      </c>
      <c r="F137" s="746" t="s">
        <v>17</v>
      </c>
      <c r="G137" s="746" t="s">
        <v>58</v>
      </c>
      <c r="H137" s="694" t="s">
        <v>959</v>
      </c>
      <c r="I137" s="746" t="s">
        <v>5</v>
      </c>
      <c r="J137" s="746" t="s">
        <v>376</v>
      </c>
      <c r="K137" s="706">
        <v>1</v>
      </c>
      <c r="L137" s="745" t="s">
        <v>58</v>
      </c>
      <c r="M137" s="743" t="s">
        <v>944</v>
      </c>
      <c r="N137" s="743">
        <v>19</v>
      </c>
      <c r="O137" s="706"/>
      <c r="P137" s="706"/>
      <c r="Q137" s="706"/>
      <c r="R137" s="706"/>
      <c r="S137" s="706"/>
      <c r="T137" s="706"/>
      <c r="U137" s="738">
        <v>0.62806842093767556</v>
      </c>
      <c r="V137" s="738">
        <v>1227.8974155200376</v>
      </c>
      <c r="W137" s="793">
        <v>0.62806842093767556</v>
      </c>
      <c r="X137" s="708">
        <v>1227.8974155200376</v>
      </c>
      <c r="Y137" s="719">
        <v>23330.050894880715</v>
      </c>
      <c r="Z137" s="719">
        <v>11048.341077309895</v>
      </c>
      <c r="AA137" s="719">
        <v>581.49163564788921</v>
      </c>
      <c r="AB137" s="738">
        <v>0.29743244734753344</v>
      </c>
      <c r="AC137" s="792">
        <v>1</v>
      </c>
      <c r="AD137" s="792">
        <v>1</v>
      </c>
      <c r="AE137" s="717">
        <v>0.56884057971014501</v>
      </c>
      <c r="AF137" s="714">
        <v>4.2407531067898789E-2</v>
      </c>
      <c r="AG137" s="706"/>
      <c r="AH137" s="792">
        <v>0.47356695135775378</v>
      </c>
      <c r="AI137" s="748">
        <v>0.56884057971014501</v>
      </c>
      <c r="AJ137" s="748">
        <v>4.2407531067898789E-2</v>
      </c>
      <c r="AK137" s="748"/>
      <c r="AL137" s="714">
        <v>0.47356695135775378</v>
      </c>
      <c r="AM137" s="706"/>
      <c r="AN137" s="706"/>
      <c r="AO137" s="706"/>
      <c r="AP137" s="747"/>
      <c r="AQ137" s="733"/>
      <c r="AR137" s="706" t="s">
        <v>957</v>
      </c>
      <c r="AS137" s="706"/>
      <c r="AT137" s="706"/>
      <c r="AU137" s="710"/>
      <c r="AV137" s="706">
        <v>0.29743244734753344</v>
      </c>
      <c r="AW137" s="706">
        <v>0.29743244734753344</v>
      </c>
      <c r="AX137" s="706">
        <v>0.29743244734753344</v>
      </c>
      <c r="AY137" s="706">
        <v>0.29743244734753344</v>
      </c>
      <c r="AZ137" s="706">
        <v>0.29743244734753344</v>
      </c>
      <c r="BA137" s="706">
        <v>0.29743244734753344</v>
      </c>
      <c r="BB137" s="706">
        <v>0.29743244734753344</v>
      </c>
      <c r="BC137" s="706">
        <v>0.29743244734753344</v>
      </c>
      <c r="BD137" s="706">
        <v>0.29743244734753344</v>
      </c>
      <c r="BE137" s="706">
        <v>0.29743244734753344</v>
      </c>
      <c r="BF137" s="706">
        <v>0.29743244734753344</v>
      </c>
      <c r="BG137" s="706">
        <v>0.29743244734753344</v>
      </c>
      <c r="BH137" s="706">
        <v>0.29743244734753344</v>
      </c>
      <c r="BI137" s="706">
        <v>0.29743244734753344</v>
      </c>
      <c r="BJ137" s="706">
        <v>0.29743244734753344</v>
      </c>
      <c r="BK137" s="706">
        <v>0.29743244734753344</v>
      </c>
      <c r="BL137" s="706">
        <v>0.29743244734753344</v>
      </c>
      <c r="BM137" s="706">
        <v>0.29743244734753344</v>
      </c>
      <c r="BN137" s="706">
        <v>0.29743244734753344</v>
      </c>
      <c r="BO137" s="710"/>
      <c r="BP137" s="710"/>
      <c r="BQ137" s="710"/>
      <c r="BR137" s="710"/>
      <c r="BS137" s="706"/>
      <c r="BT137" s="706"/>
      <c r="BU137" s="708"/>
      <c r="BV137" s="791">
        <v>581.49163564788921</v>
      </c>
      <c r="BW137" s="791">
        <v>581.49163564788921</v>
      </c>
      <c r="BX137" s="791">
        <v>581.49163564788921</v>
      </c>
      <c r="BY137" s="791">
        <v>581.49163564788921</v>
      </c>
      <c r="BZ137" s="791">
        <v>581.49163564788921</v>
      </c>
      <c r="CA137" s="791">
        <v>581.49163564788921</v>
      </c>
      <c r="CB137" s="791">
        <v>581.49163564788921</v>
      </c>
      <c r="CC137" s="791">
        <v>581.49163564788921</v>
      </c>
      <c r="CD137" s="791">
        <v>581.49163564788921</v>
      </c>
      <c r="CE137" s="791">
        <v>581.49163564788921</v>
      </c>
      <c r="CF137" s="791">
        <v>581.49163564788921</v>
      </c>
      <c r="CG137" s="791">
        <v>581.49163564788921</v>
      </c>
      <c r="CH137" s="791">
        <v>581.49163564788921</v>
      </c>
      <c r="CI137" s="791">
        <v>581.49163564788921</v>
      </c>
      <c r="CJ137" s="791">
        <v>581.49163564788921</v>
      </c>
      <c r="CK137" s="791">
        <v>581.49163564788921</v>
      </c>
      <c r="CL137" s="791">
        <v>581.49163564788921</v>
      </c>
      <c r="CM137" s="791">
        <v>581.49163564788921</v>
      </c>
      <c r="CN137" s="791">
        <v>581.49163564788921</v>
      </c>
      <c r="CO137" s="708"/>
      <c r="CP137" s="708"/>
      <c r="CQ137" s="708"/>
      <c r="CR137" s="708"/>
    </row>
    <row r="138" spans="1:96">
      <c r="A138" s="743" t="s">
        <v>3</v>
      </c>
      <c r="B138" s="752">
        <v>41740</v>
      </c>
      <c r="C138" s="743">
        <v>2014</v>
      </c>
      <c r="D138" s="746" t="s">
        <v>15</v>
      </c>
      <c r="E138" s="746" t="s">
        <v>25</v>
      </c>
      <c r="F138" s="746" t="s">
        <v>17</v>
      </c>
      <c r="G138" s="746" t="s">
        <v>58</v>
      </c>
      <c r="H138" s="694" t="s">
        <v>959</v>
      </c>
      <c r="I138" s="746" t="s">
        <v>5</v>
      </c>
      <c r="J138" s="746" t="s">
        <v>376</v>
      </c>
      <c r="K138" s="706">
        <v>1</v>
      </c>
      <c r="L138" s="745" t="s">
        <v>58</v>
      </c>
      <c r="M138" s="743" t="s">
        <v>1065</v>
      </c>
      <c r="N138" s="743">
        <v>19</v>
      </c>
      <c r="O138" s="706"/>
      <c r="P138" s="706"/>
      <c r="Q138" s="706"/>
      <c r="R138" s="706"/>
      <c r="S138" s="706"/>
      <c r="T138" s="706"/>
      <c r="U138" s="738">
        <v>0.62806842093767556</v>
      </c>
      <c r="V138" s="738">
        <v>1227.8974155200376</v>
      </c>
      <c r="W138" s="793">
        <v>0.62806842093767556</v>
      </c>
      <c r="X138" s="708">
        <v>1227.8974155200376</v>
      </c>
      <c r="Y138" s="719">
        <v>23330.050894880715</v>
      </c>
      <c r="Z138" s="719">
        <v>11048.341077309895</v>
      </c>
      <c r="AA138" s="719">
        <v>581.49163564788921</v>
      </c>
      <c r="AB138" s="738">
        <v>0.29743244734753344</v>
      </c>
      <c r="AC138" s="792">
        <v>1</v>
      </c>
      <c r="AD138" s="792">
        <v>1</v>
      </c>
      <c r="AE138" s="717">
        <v>0.56884057971014501</v>
      </c>
      <c r="AF138" s="714">
        <v>4.2407531067898789E-2</v>
      </c>
      <c r="AG138" s="706"/>
      <c r="AH138" s="792">
        <v>0.47356695135775378</v>
      </c>
      <c r="AI138" s="748">
        <v>0.56884057971014501</v>
      </c>
      <c r="AJ138" s="748">
        <v>4.2407531067898789E-2</v>
      </c>
      <c r="AK138" s="748"/>
      <c r="AL138" s="714">
        <v>0.47356695135775378</v>
      </c>
      <c r="AM138" s="706"/>
      <c r="AN138" s="706"/>
      <c r="AO138" s="706"/>
      <c r="AP138" s="747"/>
      <c r="AQ138" s="733"/>
      <c r="AR138" s="706" t="s">
        <v>957</v>
      </c>
      <c r="AS138" s="706"/>
      <c r="AT138" s="706"/>
      <c r="AU138" s="710"/>
      <c r="AV138" s="706">
        <v>0.29743244734753344</v>
      </c>
      <c r="AW138" s="706">
        <v>0.29743244734753344</v>
      </c>
      <c r="AX138" s="706">
        <v>0.29743244734753344</v>
      </c>
      <c r="AY138" s="706">
        <v>0.29743244734753344</v>
      </c>
      <c r="AZ138" s="706">
        <v>0.29743244734753344</v>
      </c>
      <c r="BA138" s="706">
        <v>0.29743244734753344</v>
      </c>
      <c r="BB138" s="706">
        <v>0.29743244734753344</v>
      </c>
      <c r="BC138" s="706">
        <v>0.29743244734753344</v>
      </c>
      <c r="BD138" s="706">
        <v>0.29743244734753344</v>
      </c>
      <c r="BE138" s="706">
        <v>0.29743244734753344</v>
      </c>
      <c r="BF138" s="706">
        <v>0.29743244734753344</v>
      </c>
      <c r="BG138" s="706">
        <v>0.29743244734753344</v>
      </c>
      <c r="BH138" s="706">
        <v>0.29743244734753344</v>
      </c>
      <c r="BI138" s="706">
        <v>0.29743244734753344</v>
      </c>
      <c r="BJ138" s="706">
        <v>0.29743244734753344</v>
      </c>
      <c r="BK138" s="706">
        <v>0.29743244734753344</v>
      </c>
      <c r="BL138" s="706">
        <v>0.29743244734753344</v>
      </c>
      <c r="BM138" s="706">
        <v>0.29743244734753344</v>
      </c>
      <c r="BN138" s="706">
        <v>0.29743244734753344</v>
      </c>
      <c r="BO138" s="710"/>
      <c r="BP138" s="710"/>
      <c r="BQ138" s="710"/>
      <c r="BR138" s="710"/>
      <c r="BS138" s="706"/>
      <c r="BT138" s="706"/>
      <c r="BU138" s="708"/>
      <c r="BV138" s="791">
        <v>581.49163564788921</v>
      </c>
      <c r="BW138" s="791">
        <v>581.49163564788921</v>
      </c>
      <c r="BX138" s="791">
        <v>581.49163564788921</v>
      </c>
      <c r="BY138" s="791">
        <v>581.49163564788921</v>
      </c>
      <c r="BZ138" s="791">
        <v>581.49163564788921</v>
      </c>
      <c r="CA138" s="791">
        <v>581.49163564788921</v>
      </c>
      <c r="CB138" s="791">
        <v>581.49163564788921</v>
      </c>
      <c r="CC138" s="791">
        <v>581.49163564788921</v>
      </c>
      <c r="CD138" s="791">
        <v>581.49163564788921</v>
      </c>
      <c r="CE138" s="791">
        <v>581.49163564788921</v>
      </c>
      <c r="CF138" s="791">
        <v>581.49163564788921</v>
      </c>
      <c r="CG138" s="791">
        <v>581.49163564788921</v>
      </c>
      <c r="CH138" s="791">
        <v>581.49163564788921</v>
      </c>
      <c r="CI138" s="791">
        <v>581.49163564788921</v>
      </c>
      <c r="CJ138" s="791">
        <v>581.49163564788921</v>
      </c>
      <c r="CK138" s="791">
        <v>581.49163564788921</v>
      </c>
      <c r="CL138" s="791">
        <v>581.49163564788921</v>
      </c>
      <c r="CM138" s="791">
        <v>581.49163564788921</v>
      </c>
      <c r="CN138" s="791">
        <v>581.49163564788921</v>
      </c>
      <c r="CO138" s="708"/>
      <c r="CP138" s="708"/>
      <c r="CQ138" s="708"/>
      <c r="CR138" s="708"/>
    </row>
    <row r="139" spans="1:96">
      <c r="A139" s="743" t="s">
        <v>3</v>
      </c>
      <c r="B139" s="752">
        <v>41799</v>
      </c>
      <c r="C139" s="743">
        <v>2014</v>
      </c>
      <c r="D139" s="746" t="s">
        <v>15</v>
      </c>
      <c r="E139" s="746" t="s">
        <v>25</v>
      </c>
      <c r="F139" s="746" t="s">
        <v>17</v>
      </c>
      <c r="G139" s="746" t="s">
        <v>58</v>
      </c>
      <c r="H139" s="694" t="s">
        <v>959</v>
      </c>
      <c r="I139" s="746" t="s">
        <v>5</v>
      </c>
      <c r="J139" s="746" t="s">
        <v>376</v>
      </c>
      <c r="K139" s="706">
        <v>1</v>
      </c>
      <c r="L139" s="745" t="s">
        <v>58</v>
      </c>
      <c r="M139" s="743" t="s">
        <v>943</v>
      </c>
      <c r="N139" s="743">
        <v>19</v>
      </c>
      <c r="O139" s="706"/>
      <c r="P139" s="706"/>
      <c r="Q139" s="706"/>
      <c r="R139" s="706"/>
      <c r="S139" s="706"/>
      <c r="T139" s="706"/>
      <c r="U139" s="738">
        <v>0.62806842093767556</v>
      </c>
      <c r="V139" s="738">
        <v>1227.8974155200376</v>
      </c>
      <c r="W139" s="793">
        <v>0.62806842093767556</v>
      </c>
      <c r="X139" s="708">
        <v>1227.8974155200376</v>
      </c>
      <c r="Y139" s="719">
        <v>23330.050894880715</v>
      </c>
      <c r="Z139" s="719">
        <v>11048.341077309895</v>
      </c>
      <c r="AA139" s="719">
        <v>581.49163564788921</v>
      </c>
      <c r="AB139" s="738">
        <v>0.29743244734753344</v>
      </c>
      <c r="AC139" s="792">
        <v>1</v>
      </c>
      <c r="AD139" s="792">
        <v>1</v>
      </c>
      <c r="AE139" s="717">
        <v>0.56884057971014501</v>
      </c>
      <c r="AF139" s="714">
        <v>4.2407531067898789E-2</v>
      </c>
      <c r="AG139" s="706"/>
      <c r="AH139" s="792">
        <v>0.47356695135775378</v>
      </c>
      <c r="AI139" s="748">
        <v>0.56884057971014501</v>
      </c>
      <c r="AJ139" s="748">
        <v>4.2407531067898789E-2</v>
      </c>
      <c r="AK139" s="748"/>
      <c r="AL139" s="714">
        <v>0.47356695135775378</v>
      </c>
      <c r="AM139" s="706"/>
      <c r="AN139" s="706"/>
      <c r="AO139" s="706"/>
      <c r="AP139" s="747"/>
      <c r="AQ139" s="733"/>
      <c r="AR139" s="706" t="s">
        <v>957</v>
      </c>
      <c r="AS139" s="706"/>
      <c r="AT139" s="706"/>
      <c r="AU139" s="710"/>
      <c r="AV139" s="706">
        <v>0.29743244734753344</v>
      </c>
      <c r="AW139" s="706">
        <v>0.29743244734753344</v>
      </c>
      <c r="AX139" s="706">
        <v>0.29743244734753344</v>
      </c>
      <c r="AY139" s="706">
        <v>0.29743244734753344</v>
      </c>
      <c r="AZ139" s="706">
        <v>0.29743244734753344</v>
      </c>
      <c r="BA139" s="706">
        <v>0.29743244734753344</v>
      </c>
      <c r="BB139" s="706">
        <v>0.29743244734753344</v>
      </c>
      <c r="BC139" s="706">
        <v>0.29743244734753344</v>
      </c>
      <c r="BD139" s="706">
        <v>0.29743244734753344</v>
      </c>
      <c r="BE139" s="706">
        <v>0.29743244734753344</v>
      </c>
      <c r="BF139" s="706">
        <v>0.29743244734753344</v>
      </c>
      <c r="BG139" s="706">
        <v>0.29743244734753344</v>
      </c>
      <c r="BH139" s="706">
        <v>0.29743244734753344</v>
      </c>
      <c r="BI139" s="706">
        <v>0.29743244734753344</v>
      </c>
      <c r="BJ139" s="706">
        <v>0.29743244734753344</v>
      </c>
      <c r="BK139" s="706">
        <v>0.29743244734753344</v>
      </c>
      <c r="BL139" s="706">
        <v>0.29743244734753344</v>
      </c>
      <c r="BM139" s="706">
        <v>0.29743244734753344</v>
      </c>
      <c r="BN139" s="706">
        <v>0.29743244734753344</v>
      </c>
      <c r="BO139" s="710"/>
      <c r="BP139" s="710"/>
      <c r="BQ139" s="710"/>
      <c r="BR139" s="710"/>
      <c r="BS139" s="706"/>
      <c r="BT139" s="706"/>
      <c r="BU139" s="708"/>
      <c r="BV139" s="791">
        <v>581.49163564788921</v>
      </c>
      <c r="BW139" s="791">
        <v>581.49163564788921</v>
      </c>
      <c r="BX139" s="791">
        <v>581.49163564788921</v>
      </c>
      <c r="BY139" s="791">
        <v>581.49163564788921</v>
      </c>
      <c r="BZ139" s="791">
        <v>581.49163564788921</v>
      </c>
      <c r="CA139" s="791">
        <v>581.49163564788921</v>
      </c>
      <c r="CB139" s="791">
        <v>581.49163564788921</v>
      </c>
      <c r="CC139" s="791">
        <v>581.49163564788921</v>
      </c>
      <c r="CD139" s="791">
        <v>581.49163564788921</v>
      </c>
      <c r="CE139" s="791">
        <v>581.49163564788921</v>
      </c>
      <c r="CF139" s="791">
        <v>581.49163564788921</v>
      </c>
      <c r="CG139" s="791">
        <v>581.49163564788921</v>
      </c>
      <c r="CH139" s="791">
        <v>581.49163564788921</v>
      </c>
      <c r="CI139" s="791">
        <v>581.49163564788921</v>
      </c>
      <c r="CJ139" s="791">
        <v>581.49163564788921</v>
      </c>
      <c r="CK139" s="791">
        <v>581.49163564788921</v>
      </c>
      <c r="CL139" s="791">
        <v>581.49163564788921</v>
      </c>
      <c r="CM139" s="791">
        <v>581.49163564788921</v>
      </c>
      <c r="CN139" s="791">
        <v>581.49163564788921</v>
      </c>
      <c r="CO139" s="708"/>
      <c r="CP139" s="708"/>
      <c r="CQ139" s="708"/>
      <c r="CR139" s="708"/>
    </row>
    <row r="140" spans="1:96">
      <c r="A140" s="743" t="s">
        <v>3</v>
      </c>
      <c r="B140" s="752">
        <v>41744</v>
      </c>
      <c r="C140" s="743">
        <v>2014</v>
      </c>
      <c r="D140" s="746" t="s">
        <v>15</v>
      </c>
      <c r="E140" s="746" t="s">
        <v>25</v>
      </c>
      <c r="F140" s="746" t="s">
        <v>17</v>
      </c>
      <c r="G140" s="746" t="s">
        <v>58</v>
      </c>
      <c r="H140" s="694" t="s">
        <v>959</v>
      </c>
      <c r="I140" s="746" t="s">
        <v>5</v>
      </c>
      <c r="J140" s="746" t="s">
        <v>376</v>
      </c>
      <c r="K140" s="706">
        <v>1</v>
      </c>
      <c r="L140" s="745" t="s">
        <v>58</v>
      </c>
      <c r="M140" s="743" t="s">
        <v>1064</v>
      </c>
      <c r="N140" s="743">
        <v>19</v>
      </c>
      <c r="O140" s="706"/>
      <c r="P140" s="706"/>
      <c r="Q140" s="706"/>
      <c r="R140" s="706"/>
      <c r="S140" s="706"/>
      <c r="T140" s="706"/>
      <c r="U140" s="738">
        <v>0.62806842093767556</v>
      </c>
      <c r="V140" s="738">
        <v>1227.8974155200376</v>
      </c>
      <c r="W140" s="793">
        <v>0.62806842093767556</v>
      </c>
      <c r="X140" s="708">
        <v>1227.8974155200376</v>
      </c>
      <c r="Y140" s="719">
        <v>23330.050894880715</v>
      </c>
      <c r="Z140" s="719">
        <v>11048.341077309895</v>
      </c>
      <c r="AA140" s="719">
        <v>581.49163564788921</v>
      </c>
      <c r="AB140" s="738">
        <v>0.29743244734753344</v>
      </c>
      <c r="AC140" s="792">
        <v>1</v>
      </c>
      <c r="AD140" s="792">
        <v>1</v>
      </c>
      <c r="AE140" s="717">
        <v>0.56884057971014501</v>
      </c>
      <c r="AF140" s="714">
        <v>4.2407531067898789E-2</v>
      </c>
      <c r="AG140" s="706"/>
      <c r="AH140" s="792">
        <v>0.47356695135775378</v>
      </c>
      <c r="AI140" s="748">
        <v>0.56884057971014501</v>
      </c>
      <c r="AJ140" s="748">
        <v>4.2407531067898789E-2</v>
      </c>
      <c r="AK140" s="748"/>
      <c r="AL140" s="714">
        <v>0.47356695135775378</v>
      </c>
      <c r="AM140" s="706"/>
      <c r="AN140" s="706"/>
      <c r="AO140" s="706"/>
      <c r="AP140" s="747"/>
      <c r="AQ140" s="733"/>
      <c r="AR140" s="706" t="s">
        <v>957</v>
      </c>
      <c r="AS140" s="706"/>
      <c r="AT140" s="706"/>
      <c r="AU140" s="710"/>
      <c r="AV140" s="706">
        <v>0.29743244734753344</v>
      </c>
      <c r="AW140" s="706">
        <v>0.29743244734753344</v>
      </c>
      <c r="AX140" s="706">
        <v>0.29743244734753344</v>
      </c>
      <c r="AY140" s="706">
        <v>0.29743244734753344</v>
      </c>
      <c r="AZ140" s="706">
        <v>0.29743244734753344</v>
      </c>
      <c r="BA140" s="706">
        <v>0.29743244734753344</v>
      </c>
      <c r="BB140" s="706">
        <v>0.29743244734753344</v>
      </c>
      <c r="BC140" s="706">
        <v>0.29743244734753344</v>
      </c>
      <c r="BD140" s="706">
        <v>0.29743244734753344</v>
      </c>
      <c r="BE140" s="706">
        <v>0.29743244734753344</v>
      </c>
      <c r="BF140" s="706">
        <v>0.29743244734753344</v>
      </c>
      <c r="BG140" s="706">
        <v>0.29743244734753344</v>
      </c>
      <c r="BH140" s="706">
        <v>0.29743244734753344</v>
      </c>
      <c r="BI140" s="706">
        <v>0.29743244734753344</v>
      </c>
      <c r="BJ140" s="706">
        <v>0.29743244734753344</v>
      </c>
      <c r="BK140" s="706">
        <v>0.29743244734753344</v>
      </c>
      <c r="BL140" s="706">
        <v>0.29743244734753344</v>
      </c>
      <c r="BM140" s="706">
        <v>0.29743244734753344</v>
      </c>
      <c r="BN140" s="706">
        <v>0.29743244734753344</v>
      </c>
      <c r="BO140" s="710"/>
      <c r="BP140" s="710"/>
      <c r="BQ140" s="710"/>
      <c r="BR140" s="710"/>
      <c r="BS140" s="706"/>
      <c r="BT140" s="706"/>
      <c r="BU140" s="708"/>
      <c r="BV140" s="791">
        <v>581.49163564788921</v>
      </c>
      <c r="BW140" s="791">
        <v>581.49163564788921</v>
      </c>
      <c r="BX140" s="791">
        <v>581.49163564788921</v>
      </c>
      <c r="BY140" s="791">
        <v>581.49163564788921</v>
      </c>
      <c r="BZ140" s="791">
        <v>581.49163564788921</v>
      </c>
      <c r="CA140" s="791">
        <v>581.49163564788921</v>
      </c>
      <c r="CB140" s="791">
        <v>581.49163564788921</v>
      </c>
      <c r="CC140" s="791">
        <v>581.49163564788921</v>
      </c>
      <c r="CD140" s="791">
        <v>581.49163564788921</v>
      </c>
      <c r="CE140" s="791">
        <v>581.49163564788921</v>
      </c>
      <c r="CF140" s="791">
        <v>581.49163564788921</v>
      </c>
      <c r="CG140" s="791">
        <v>581.49163564788921</v>
      </c>
      <c r="CH140" s="791">
        <v>581.49163564788921</v>
      </c>
      <c r="CI140" s="791">
        <v>581.49163564788921</v>
      </c>
      <c r="CJ140" s="791">
        <v>581.49163564788921</v>
      </c>
      <c r="CK140" s="791">
        <v>581.49163564788921</v>
      </c>
      <c r="CL140" s="791">
        <v>581.49163564788921</v>
      </c>
      <c r="CM140" s="791">
        <v>581.49163564788921</v>
      </c>
      <c r="CN140" s="791">
        <v>581.49163564788921</v>
      </c>
      <c r="CO140" s="708"/>
      <c r="CP140" s="708"/>
      <c r="CQ140" s="708"/>
      <c r="CR140" s="708"/>
    </row>
    <row r="141" spans="1:96">
      <c r="A141" s="743" t="s">
        <v>3</v>
      </c>
      <c r="B141" s="752">
        <v>41743</v>
      </c>
      <c r="C141" s="743">
        <v>2014</v>
      </c>
      <c r="D141" s="746" t="s">
        <v>15</v>
      </c>
      <c r="E141" s="746" t="s">
        <v>25</v>
      </c>
      <c r="F141" s="746" t="s">
        <v>17</v>
      </c>
      <c r="G141" s="746" t="s">
        <v>58</v>
      </c>
      <c r="H141" s="694" t="s">
        <v>959</v>
      </c>
      <c r="I141" s="746" t="s">
        <v>5</v>
      </c>
      <c r="J141" s="746" t="s">
        <v>376</v>
      </c>
      <c r="K141" s="706">
        <v>1</v>
      </c>
      <c r="L141" s="745" t="s">
        <v>58</v>
      </c>
      <c r="M141" s="743" t="s">
        <v>1063</v>
      </c>
      <c r="N141" s="743">
        <v>19</v>
      </c>
      <c r="O141" s="706"/>
      <c r="P141" s="706"/>
      <c r="Q141" s="706"/>
      <c r="R141" s="706"/>
      <c r="S141" s="706"/>
      <c r="T141" s="706"/>
      <c r="U141" s="738">
        <v>0.62806842093767556</v>
      </c>
      <c r="V141" s="738">
        <v>1227.8974155200376</v>
      </c>
      <c r="W141" s="793">
        <v>0.62806842093767556</v>
      </c>
      <c r="X141" s="708">
        <v>1227.8974155200376</v>
      </c>
      <c r="Y141" s="719">
        <v>23330.050894880715</v>
      </c>
      <c r="Z141" s="719">
        <v>11048.341077309895</v>
      </c>
      <c r="AA141" s="719">
        <v>581.49163564788921</v>
      </c>
      <c r="AB141" s="738">
        <v>0.29743244734753344</v>
      </c>
      <c r="AC141" s="792">
        <v>1</v>
      </c>
      <c r="AD141" s="792">
        <v>1</v>
      </c>
      <c r="AE141" s="717">
        <v>0.56884057971014501</v>
      </c>
      <c r="AF141" s="714">
        <v>4.2407531067898789E-2</v>
      </c>
      <c r="AG141" s="706"/>
      <c r="AH141" s="792">
        <v>0.47356695135775378</v>
      </c>
      <c r="AI141" s="748">
        <v>0.56884057971014501</v>
      </c>
      <c r="AJ141" s="748">
        <v>4.2407531067898789E-2</v>
      </c>
      <c r="AK141" s="748"/>
      <c r="AL141" s="714">
        <v>0.47356695135775378</v>
      </c>
      <c r="AM141" s="706"/>
      <c r="AN141" s="706"/>
      <c r="AO141" s="706"/>
      <c r="AP141" s="747"/>
      <c r="AQ141" s="733"/>
      <c r="AR141" s="706" t="s">
        <v>957</v>
      </c>
      <c r="AS141" s="706"/>
      <c r="AT141" s="706"/>
      <c r="AU141" s="710"/>
      <c r="AV141" s="706">
        <v>0.29743244734753344</v>
      </c>
      <c r="AW141" s="706">
        <v>0.29743244734753344</v>
      </c>
      <c r="AX141" s="706">
        <v>0.29743244734753344</v>
      </c>
      <c r="AY141" s="706">
        <v>0.29743244734753344</v>
      </c>
      <c r="AZ141" s="706">
        <v>0.29743244734753344</v>
      </c>
      <c r="BA141" s="706">
        <v>0.29743244734753344</v>
      </c>
      <c r="BB141" s="706">
        <v>0.29743244734753344</v>
      </c>
      <c r="BC141" s="706">
        <v>0.29743244734753344</v>
      </c>
      <c r="BD141" s="706">
        <v>0.29743244734753344</v>
      </c>
      <c r="BE141" s="706">
        <v>0.29743244734753344</v>
      </c>
      <c r="BF141" s="706">
        <v>0.29743244734753344</v>
      </c>
      <c r="BG141" s="706">
        <v>0.29743244734753344</v>
      </c>
      <c r="BH141" s="706">
        <v>0.29743244734753344</v>
      </c>
      <c r="BI141" s="706">
        <v>0.29743244734753344</v>
      </c>
      <c r="BJ141" s="706">
        <v>0.29743244734753344</v>
      </c>
      <c r="BK141" s="706">
        <v>0.29743244734753344</v>
      </c>
      <c r="BL141" s="706">
        <v>0.29743244734753344</v>
      </c>
      <c r="BM141" s="706">
        <v>0.29743244734753344</v>
      </c>
      <c r="BN141" s="706">
        <v>0.29743244734753344</v>
      </c>
      <c r="BO141" s="710"/>
      <c r="BP141" s="710"/>
      <c r="BQ141" s="710"/>
      <c r="BR141" s="710"/>
      <c r="BS141" s="706"/>
      <c r="BT141" s="706"/>
      <c r="BU141" s="708"/>
      <c r="BV141" s="791">
        <v>581.49163564788921</v>
      </c>
      <c r="BW141" s="791">
        <v>581.49163564788921</v>
      </c>
      <c r="BX141" s="791">
        <v>581.49163564788921</v>
      </c>
      <c r="BY141" s="791">
        <v>581.49163564788921</v>
      </c>
      <c r="BZ141" s="791">
        <v>581.49163564788921</v>
      </c>
      <c r="CA141" s="791">
        <v>581.49163564788921</v>
      </c>
      <c r="CB141" s="791">
        <v>581.49163564788921</v>
      </c>
      <c r="CC141" s="791">
        <v>581.49163564788921</v>
      </c>
      <c r="CD141" s="791">
        <v>581.49163564788921</v>
      </c>
      <c r="CE141" s="791">
        <v>581.49163564788921</v>
      </c>
      <c r="CF141" s="791">
        <v>581.49163564788921</v>
      </c>
      <c r="CG141" s="791">
        <v>581.49163564788921</v>
      </c>
      <c r="CH141" s="791">
        <v>581.49163564788921</v>
      </c>
      <c r="CI141" s="791">
        <v>581.49163564788921</v>
      </c>
      <c r="CJ141" s="791">
        <v>581.49163564788921</v>
      </c>
      <c r="CK141" s="791">
        <v>581.49163564788921</v>
      </c>
      <c r="CL141" s="791">
        <v>581.49163564788921</v>
      </c>
      <c r="CM141" s="791">
        <v>581.49163564788921</v>
      </c>
      <c r="CN141" s="791">
        <v>581.49163564788921</v>
      </c>
      <c r="CO141" s="708"/>
      <c r="CP141" s="708"/>
      <c r="CQ141" s="708"/>
      <c r="CR141" s="708"/>
    </row>
    <row r="142" spans="1:96">
      <c r="A142" s="743" t="s">
        <v>3</v>
      </c>
      <c r="B142" s="752">
        <v>41745</v>
      </c>
      <c r="C142" s="743">
        <v>2014</v>
      </c>
      <c r="D142" s="746" t="s">
        <v>15</v>
      </c>
      <c r="E142" s="746" t="s">
        <v>25</v>
      </c>
      <c r="F142" s="746" t="s">
        <v>17</v>
      </c>
      <c r="G142" s="746" t="s">
        <v>58</v>
      </c>
      <c r="H142" s="694" t="s">
        <v>959</v>
      </c>
      <c r="I142" s="746" t="s">
        <v>5</v>
      </c>
      <c r="J142" s="746" t="s">
        <v>376</v>
      </c>
      <c r="K142" s="706">
        <v>1</v>
      </c>
      <c r="L142" s="745" t="s">
        <v>58</v>
      </c>
      <c r="M142" s="743" t="s">
        <v>1062</v>
      </c>
      <c r="N142" s="743">
        <v>19</v>
      </c>
      <c r="O142" s="706"/>
      <c r="P142" s="706"/>
      <c r="Q142" s="706"/>
      <c r="R142" s="706"/>
      <c r="S142" s="706"/>
      <c r="T142" s="706"/>
      <c r="U142" s="738">
        <v>0.62806842093767556</v>
      </c>
      <c r="V142" s="738">
        <v>1227.8974155200376</v>
      </c>
      <c r="W142" s="793">
        <v>0.62806842093767556</v>
      </c>
      <c r="X142" s="708">
        <v>1227.8974155200376</v>
      </c>
      <c r="Y142" s="719">
        <v>23330.050894880715</v>
      </c>
      <c r="Z142" s="719">
        <v>11048.341077309895</v>
      </c>
      <c r="AA142" s="719">
        <v>581.49163564788921</v>
      </c>
      <c r="AB142" s="738">
        <v>0.29743244734753344</v>
      </c>
      <c r="AC142" s="792">
        <v>1</v>
      </c>
      <c r="AD142" s="792">
        <v>1</v>
      </c>
      <c r="AE142" s="717">
        <v>0.56884057971014501</v>
      </c>
      <c r="AF142" s="714">
        <v>4.2407531067898789E-2</v>
      </c>
      <c r="AG142" s="706"/>
      <c r="AH142" s="792">
        <v>0.47356695135775378</v>
      </c>
      <c r="AI142" s="748">
        <v>0.56884057971014501</v>
      </c>
      <c r="AJ142" s="748">
        <v>4.2407531067898789E-2</v>
      </c>
      <c r="AK142" s="748"/>
      <c r="AL142" s="714">
        <v>0.47356695135775378</v>
      </c>
      <c r="AM142" s="706"/>
      <c r="AN142" s="706"/>
      <c r="AO142" s="706"/>
      <c r="AP142" s="747"/>
      <c r="AQ142" s="733"/>
      <c r="AR142" s="706" t="s">
        <v>957</v>
      </c>
      <c r="AS142" s="706"/>
      <c r="AT142" s="706"/>
      <c r="AU142" s="710"/>
      <c r="AV142" s="706">
        <v>0.29743244734753344</v>
      </c>
      <c r="AW142" s="706">
        <v>0.29743244734753344</v>
      </c>
      <c r="AX142" s="706">
        <v>0.29743244734753344</v>
      </c>
      <c r="AY142" s="706">
        <v>0.29743244734753344</v>
      </c>
      <c r="AZ142" s="706">
        <v>0.29743244734753344</v>
      </c>
      <c r="BA142" s="706">
        <v>0.29743244734753344</v>
      </c>
      <c r="BB142" s="706">
        <v>0.29743244734753344</v>
      </c>
      <c r="BC142" s="706">
        <v>0.29743244734753344</v>
      </c>
      <c r="BD142" s="706">
        <v>0.29743244734753344</v>
      </c>
      <c r="BE142" s="706">
        <v>0.29743244734753344</v>
      </c>
      <c r="BF142" s="706">
        <v>0.29743244734753344</v>
      </c>
      <c r="BG142" s="706">
        <v>0.29743244734753344</v>
      </c>
      <c r="BH142" s="706">
        <v>0.29743244734753344</v>
      </c>
      <c r="BI142" s="706">
        <v>0.29743244734753344</v>
      </c>
      <c r="BJ142" s="706">
        <v>0.29743244734753344</v>
      </c>
      <c r="BK142" s="706">
        <v>0.29743244734753344</v>
      </c>
      <c r="BL142" s="706">
        <v>0.29743244734753344</v>
      </c>
      <c r="BM142" s="706">
        <v>0.29743244734753344</v>
      </c>
      <c r="BN142" s="706">
        <v>0.29743244734753344</v>
      </c>
      <c r="BO142" s="710"/>
      <c r="BP142" s="710"/>
      <c r="BQ142" s="710"/>
      <c r="BR142" s="710"/>
      <c r="BS142" s="706"/>
      <c r="BT142" s="706"/>
      <c r="BU142" s="708"/>
      <c r="BV142" s="791">
        <v>581.49163564788921</v>
      </c>
      <c r="BW142" s="791">
        <v>581.49163564788921</v>
      </c>
      <c r="BX142" s="791">
        <v>581.49163564788921</v>
      </c>
      <c r="BY142" s="791">
        <v>581.49163564788921</v>
      </c>
      <c r="BZ142" s="791">
        <v>581.49163564788921</v>
      </c>
      <c r="CA142" s="791">
        <v>581.49163564788921</v>
      </c>
      <c r="CB142" s="791">
        <v>581.49163564788921</v>
      </c>
      <c r="CC142" s="791">
        <v>581.49163564788921</v>
      </c>
      <c r="CD142" s="791">
        <v>581.49163564788921</v>
      </c>
      <c r="CE142" s="791">
        <v>581.49163564788921</v>
      </c>
      <c r="CF142" s="791">
        <v>581.49163564788921</v>
      </c>
      <c r="CG142" s="791">
        <v>581.49163564788921</v>
      </c>
      <c r="CH142" s="791">
        <v>581.49163564788921</v>
      </c>
      <c r="CI142" s="791">
        <v>581.49163564788921</v>
      </c>
      <c r="CJ142" s="791">
        <v>581.49163564788921</v>
      </c>
      <c r="CK142" s="791">
        <v>581.49163564788921</v>
      </c>
      <c r="CL142" s="791">
        <v>581.49163564788921</v>
      </c>
      <c r="CM142" s="791">
        <v>581.49163564788921</v>
      </c>
      <c r="CN142" s="791">
        <v>581.49163564788921</v>
      </c>
      <c r="CO142" s="708"/>
      <c r="CP142" s="708"/>
      <c r="CQ142" s="708"/>
      <c r="CR142" s="708"/>
    </row>
    <row r="143" spans="1:96">
      <c r="A143" s="743" t="s">
        <v>3</v>
      </c>
      <c r="B143" s="752">
        <v>41702</v>
      </c>
      <c r="C143" s="743">
        <v>2014</v>
      </c>
      <c r="D143" s="746" t="s">
        <v>15</v>
      </c>
      <c r="E143" s="746" t="s">
        <v>25</v>
      </c>
      <c r="F143" s="746" t="s">
        <v>17</v>
      </c>
      <c r="G143" s="746" t="s">
        <v>58</v>
      </c>
      <c r="H143" s="694" t="s">
        <v>959</v>
      </c>
      <c r="I143" s="746" t="s">
        <v>5</v>
      </c>
      <c r="J143" s="746" t="s">
        <v>376</v>
      </c>
      <c r="K143" s="706">
        <v>1</v>
      </c>
      <c r="L143" s="745" t="s">
        <v>58</v>
      </c>
      <c r="M143" s="743" t="s">
        <v>1061</v>
      </c>
      <c r="N143" s="743">
        <v>19</v>
      </c>
      <c r="O143" s="706"/>
      <c r="P143" s="706"/>
      <c r="Q143" s="706"/>
      <c r="R143" s="706"/>
      <c r="S143" s="706"/>
      <c r="T143" s="706"/>
      <c r="U143" s="738">
        <v>0.62806842093767556</v>
      </c>
      <c r="V143" s="738">
        <v>1227.8974155200376</v>
      </c>
      <c r="W143" s="793">
        <v>0.62806842093767556</v>
      </c>
      <c r="X143" s="708">
        <v>1227.8974155200376</v>
      </c>
      <c r="Y143" s="719">
        <v>23330.050894880715</v>
      </c>
      <c r="Z143" s="719">
        <v>11048.341077309895</v>
      </c>
      <c r="AA143" s="719">
        <v>581.49163564788921</v>
      </c>
      <c r="AB143" s="738">
        <v>0.29743244734753344</v>
      </c>
      <c r="AC143" s="792">
        <v>1</v>
      </c>
      <c r="AD143" s="792">
        <v>1</v>
      </c>
      <c r="AE143" s="717">
        <v>0.56884057971014501</v>
      </c>
      <c r="AF143" s="714">
        <v>4.2407531067898789E-2</v>
      </c>
      <c r="AG143" s="706"/>
      <c r="AH143" s="792">
        <v>0.47356695135775378</v>
      </c>
      <c r="AI143" s="748">
        <v>0.56884057971014501</v>
      </c>
      <c r="AJ143" s="748">
        <v>4.2407531067898789E-2</v>
      </c>
      <c r="AK143" s="748"/>
      <c r="AL143" s="714">
        <v>0.47356695135775378</v>
      </c>
      <c r="AM143" s="706"/>
      <c r="AN143" s="706"/>
      <c r="AO143" s="706"/>
      <c r="AP143" s="747"/>
      <c r="AQ143" s="733"/>
      <c r="AR143" s="706" t="s">
        <v>957</v>
      </c>
      <c r="AS143" s="706"/>
      <c r="AT143" s="706"/>
      <c r="AU143" s="710"/>
      <c r="AV143" s="706">
        <v>0.29743244734753344</v>
      </c>
      <c r="AW143" s="706">
        <v>0.29743244734753344</v>
      </c>
      <c r="AX143" s="706">
        <v>0.29743244734753344</v>
      </c>
      <c r="AY143" s="706">
        <v>0.29743244734753344</v>
      </c>
      <c r="AZ143" s="706">
        <v>0.29743244734753344</v>
      </c>
      <c r="BA143" s="706">
        <v>0.29743244734753344</v>
      </c>
      <c r="BB143" s="706">
        <v>0.29743244734753344</v>
      </c>
      <c r="BC143" s="706">
        <v>0.29743244734753344</v>
      </c>
      <c r="BD143" s="706">
        <v>0.29743244734753344</v>
      </c>
      <c r="BE143" s="706">
        <v>0.29743244734753344</v>
      </c>
      <c r="BF143" s="706">
        <v>0.29743244734753344</v>
      </c>
      <c r="BG143" s="706">
        <v>0.29743244734753344</v>
      </c>
      <c r="BH143" s="706">
        <v>0.29743244734753344</v>
      </c>
      <c r="BI143" s="706">
        <v>0.29743244734753344</v>
      </c>
      <c r="BJ143" s="706">
        <v>0.29743244734753344</v>
      </c>
      <c r="BK143" s="706">
        <v>0.29743244734753344</v>
      </c>
      <c r="BL143" s="706">
        <v>0.29743244734753344</v>
      </c>
      <c r="BM143" s="706">
        <v>0.29743244734753344</v>
      </c>
      <c r="BN143" s="706">
        <v>0.29743244734753344</v>
      </c>
      <c r="BO143" s="710"/>
      <c r="BP143" s="710"/>
      <c r="BQ143" s="710"/>
      <c r="BR143" s="710"/>
      <c r="BS143" s="706"/>
      <c r="BT143" s="706"/>
      <c r="BU143" s="708"/>
      <c r="BV143" s="791">
        <v>581.49163564788921</v>
      </c>
      <c r="BW143" s="791">
        <v>581.49163564788921</v>
      </c>
      <c r="BX143" s="791">
        <v>581.49163564788921</v>
      </c>
      <c r="BY143" s="791">
        <v>581.49163564788921</v>
      </c>
      <c r="BZ143" s="791">
        <v>581.49163564788921</v>
      </c>
      <c r="CA143" s="791">
        <v>581.49163564788921</v>
      </c>
      <c r="CB143" s="791">
        <v>581.49163564788921</v>
      </c>
      <c r="CC143" s="791">
        <v>581.49163564788921</v>
      </c>
      <c r="CD143" s="791">
        <v>581.49163564788921</v>
      </c>
      <c r="CE143" s="791">
        <v>581.49163564788921</v>
      </c>
      <c r="CF143" s="791">
        <v>581.49163564788921</v>
      </c>
      <c r="CG143" s="791">
        <v>581.49163564788921</v>
      </c>
      <c r="CH143" s="791">
        <v>581.49163564788921</v>
      </c>
      <c r="CI143" s="791">
        <v>581.49163564788921</v>
      </c>
      <c r="CJ143" s="791">
        <v>581.49163564788921</v>
      </c>
      <c r="CK143" s="791">
        <v>581.49163564788921</v>
      </c>
      <c r="CL143" s="791">
        <v>581.49163564788921</v>
      </c>
      <c r="CM143" s="791">
        <v>581.49163564788921</v>
      </c>
      <c r="CN143" s="791">
        <v>581.49163564788921</v>
      </c>
      <c r="CO143" s="708"/>
      <c r="CP143" s="708"/>
      <c r="CQ143" s="708"/>
      <c r="CR143" s="708"/>
    </row>
    <row r="144" spans="1:96">
      <c r="A144" s="743" t="s">
        <v>3</v>
      </c>
      <c r="B144" s="752">
        <v>41844</v>
      </c>
      <c r="C144" s="743">
        <v>2014</v>
      </c>
      <c r="D144" s="746" t="s">
        <v>15</v>
      </c>
      <c r="E144" s="746" t="s">
        <v>25</v>
      </c>
      <c r="F144" s="746" t="s">
        <v>17</v>
      </c>
      <c r="G144" s="746" t="s">
        <v>58</v>
      </c>
      <c r="H144" s="694" t="s">
        <v>959</v>
      </c>
      <c r="I144" s="746" t="s">
        <v>5</v>
      </c>
      <c r="J144" s="746" t="s">
        <v>376</v>
      </c>
      <c r="K144" s="706">
        <v>1</v>
      </c>
      <c r="L144" s="745" t="s">
        <v>58</v>
      </c>
      <c r="M144" s="743" t="s">
        <v>941</v>
      </c>
      <c r="N144" s="743">
        <v>19</v>
      </c>
      <c r="O144" s="706"/>
      <c r="P144" s="706"/>
      <c r="Q144" s="706"/>
      <c r="R144" s="706"/>
      <c r="S144" s="706"/>
      <c r="T144" s="706"/>
      <c r="U144" s="738">
        <v>0.62806842093767556</v>
      </c>
      <c r="V144" s="738">
        <v>1227.8974155200376</v>
      </c>
      <c r="W144" s="793">
        <v>0.62806842093767556</v>
      </c>
      <c r="X144" s="708">
        <v>1227.8974155200376</v>
      </c>
      <c r="Y144" s="719">
        <v>23330.050894880715</v>
      </c>
      <c r="Z144" s="719">
        <v>11048.341077309895</v>
      </c>
      <c r="AA144" s="719">
        <v>581.49163564788921</v>
      </c>
      <c r="AB144" s="738">
        <v>0.29743244734753344</v>
      </c>
      <c r="AC144" s="792">
        <v>1</v>
      </c>
      <c r="AD144" s="792">
        <v>1</v>
      </c>
      <c r="AE144" s="717">
        <v>0.56884057971014501</v>
      </c>
      <c r="AF144" s="714">
        <v>4.2407531067898789E-2</v>
      </c>
      <c r="AG144" s="706"/>
      <c r="AH144" s="792">
        <v>0.47356695135775378</v>
      </c>
      <c r="AI144" s="748">
        <v>0.56884057971014501</v>
      </c>
      <c r="AJ144" s="748">
        <v>4.2407531067898789E-2</v>
      </c>
      <c r="AK144" s="748"/>
      <c r="AL144" s="714">
        <v>0.47356695135775378</v>
      </c>
      <c r="AM144" s="706"/>
      <c r="AN144" s="706"/>
      <c r="AO144" s="706"/>
      <c r="AP144" s="747"/>
      <c r="AQ144" s="733"/>
      <c r="AR144" s="706" t="s">
        <v>957</v>
      </c>
      <c r="AS144" s="706"/>
      <c r="AT144" s="706"/>
      <c r="AU144" s="710"/>
      <c r="AV144" s="706">
        <v>0.29743244734753344</v>
      </c>
      <c r="AW144" s="706">
        <v>0.29743244734753344</v>
      </c>
      <c r="AX144" s="706">
        <v>0.29743244734753344</v>
      </c>
      <c r="AY144" s="706">
        <v>0.29743244734753344</v>
      </c>
      <c r="AZ144" s="706">
        <v>0.29743244734753344</v>
      </c>
      <c r="BA144" s="706">
        <v>0.29743244734753344</v>
      </c>
      <c r="BB144" s="706">
        <v>0.29743244734753344</v>
      </c>
      <c r="BC144" s="706">
        <v>0.29743244734753344</v>
      </c>
      <c r="BD144" s="706">
        <v>0.29743244734753344</v>
      </c>
      <c r="BE144" s="706">
        <v>0.29743244734753344</v>
      </c>
      <c r="BF144" s="706">
        <v>0.29743244734753344</v>
      </c>
      <c r="BG144" s="706">
        <v>0.29743244734753344</v>
      </c>
      <c r="BH144" s="706">
        <v>0.29743244734753344</v>
      </c>
      <c r="BI144" s="706">
        <v>0.29743244734753344</v>
      </c>
      <c r="BJ144" s="706">
        <v>0.29743244734753344</v>
      </c>
      <c r="BK144" s="706">
        <v>0.29743244734753344</v>
      </c>
      <c r="BL144" s="706">
        <v>0.29743244734753344</v>
      </c>
      <c r="BM144" s="706">
        <v>0.29743244734753344</v>
      </c>
      <c r="BN144" s="706">
        <v>0.29743244734753344</v>
      </c>
      <c r="BO144" s="710"/>
      <c r="BP144" s="710"/>
      <c r="BQ144" s="710"/>
      <c r="BR144" s="710"/>
      <c r="BS144" s="706"/>
      <c r="BT144" s="706"/>
      <c r="BU144" s="708"/>
      <c r="BV144" s="791">
        <v>581.49163564788921</v>
      </c>
      <c r="BW144" s="791">
        <v>581.49163564788921</v>
      </c>
      <c r="BX144" s="791">
        <v>581.49163564788921</v>
      </c>
      <c r="BY144" s="791">
        <v>581.49163564788921</v>
      </c>
      <c r="BZ144" s="791">
        <v>581.49163564788921</v>
      </c>
      <c r="CA144" s="791">
        <v>581.49163564788921</v>
      </c>
      <c r="CB144" s="791">
        <v>581.49163564788921</v>
      </c>
      <c r="CC144" s="791">
        <v>581.49163564788921</v>
      </c>
      <c r="CD144" s="791">
        <v>581.49163564788921</v>
      </c>
      <c r="CE144" s="791">
        <v>581.49163564788921</v>
      </c>
      <c r="CF144" s="791">
        <v>581.49163564788921</v>
      </c>
      <c r="CG144" s="791">
        <v>581.49163564788921</v>
      </c>
      <c r="CH144" s="791">
        <v>581.49163564788921</v>
      </c>
      <c r="CI144" s="791">
        <v>581.49163564788921</v>
      </c>
      <c r="CJ144" s="791">
        <v>581.49163564788921</v>
      </c>
      <c r="CK144" s="791">
        <v>581.49163564788921</v>
      </c>
      <c r="CL144" s="791">
        <v>581.49163564788921</v>
      </c>
      <c r="CM144" s="791">
        <v>581.49163564788921</v>
      </c>
      <c r="CN144" s="791">
        <v>581.49163564788921</v>
      </c>
      <c r="CO144" s="708"/>
      <c r="CP144" s="708"/>
      <c r="CQ144" s="708"/>
      <c r="CR144" s="708"/>
    </row>
    <row r="145" spans="1:96">
      <c r="A145" s="743" t="s">
        <v>3</v>
      </c>
      <c r="B145" s="752">
        <v>41708</v>
      </c>
      <c r="C145" s="743">
        <v>2014</v>
      </c>
      <c r="D145" s="746" t="s">
        <v>15</v>
      </c>
      <c r="E145" s="746" t="s">
        <v>25</v>
      </c>
      <c r="F145" s="746" t="s">
        <v>17</v>
      </c>
      <c r="G145" s="746" t="s">
        <v>58</v>
      </c>
      <c r="H145" s="694" t="s">
        <v>959</v>
      </c>
      <c r="I145" s="746" t="s">
        <v>5</v>
      </c>
      <c r="J145" s="746" t="s">
        <v>376</v>
      </c>
      <c r="K145" s="706">
        <v>1</v>
      </c>
      <c r="L145" s="745" t="s">
        <v>58</v>
      </c>
      <c r="M145" s="743" t="s">
        <v>919</v>
      </c>
      <c r="N145" s="743">
        <v>19</v>
      </c>
      <c r="O145" s="706"/>
      <c r="P145" s="706"/>
      <c r="Q145" s="706"/>
      <c r="R145" s="706"/>
      <c r="S145" s="706"/>
      <c r="T145" s="706"/>
      <c r="U145" s="738">
        <v>0.62806842093767556</v>
      </c>
      <c r="V145" s="738">
        <v>1227.8974155200376</v>
      </c>
      <c r="W145" s="793">
        <v>0.62806842093767556</v>
      </c>
      <c r="X145" s="708">
        <v>1227.8974155200376</v>
      </c>
      <c r="Y145" s="719">
        <v>23330.050894880715</v>
      </c>
      <c r="Z145" s="719">
        <v>11048.341077309895</v>
      </c>
      <c r="AA145" s="719">
        <v>581.49163564788921</v>
      </c>
      <c r="AB145" s="738">
        <v>0.29743244734753344</v>
      </c>
      <c r="AC145" s="792">
        <v>1</v>
      </c>
      <c r="AD145" s="792">
        <v>1</v>
      </c>
      <c r="AE145" s="717">
        <v>0.56884057971014501</v>
      </c>
      <c r="AF145" s="714">
        <v>4.2407531067898789E-2</v>
      </c>
      <c r="AG145" s="706"/>
      <c r="AH145" s="792">
        <v>0.47356695135775378</v>
      </c>
      <c r="AI145" s="748">
        <v>0.56884057971014501</v>
      </c>
      <c r="AJ145" s="748">
        <v>4.2407531067898789E-2</v>
      </c>
      <c r="AK145" s="748"/>
      <c r="AL145" s="714">
        <v>0.47356695135775378</v>
      </c>
      <c r="AM145" s="706"/>
      <c r="AN145" s="706"/>
      <c r="AO145" s="706"/>
      <c r="AP145" s="747"/>
      <c r="AQ145" s="733"/>
      <c r="AR145" s="706" t="s">
        <v>957</v>
      </c>
      <c r="AS145" s="706"/>
      <c r="AT145" s="706"/>
      <c r="AU145" s="710"/>
      <c r="AV145" s="706">
        <v>0.29743244734753344</v>
      </c>
      <c r="AW145" s="706">
        <v>0.29743244734753344</v>
      </c>
      <c r="AX145" s="706">
        <v>0.29743244734753344</v>
      </c>
      <c r="AY145" s="706">
        <v>0.29743244734753344</v>
      </c>
      <c r="AZ145" s="706">
        <v>0.29743244734753344</v>
      </c>
      <c r="BA145" s="706">
        <v>0.29743244734753344</v>
      </c>
      <c r="BB145" s="706">
        <v>0.29743244734753344</v>
      </c>
      <c r="BC145" s="706">
        <v>0.29743244734753344</v>
      </c>
      <c r="BD145" s="706">
        <v>0.29743244734753344</v>
      </c>
      <c r="BE145" s="706">
        <v>0.29743244734753344</v>
      </c>
      <c r="BF145" s="706">
        <v>0.29743244734753344</v>
      </c>
      <c r="BG145" s="706">
        <v>0.29743244734753344</v>
      </c>
      <c r="BH145" s="706">
        <v>0.29743244734753344</v>
      </c>
      <c r="BI145" s="706">
        <v>0.29743244734753344</v>
      </c>
      <c r="BJ145" s="706">
        <v>0.29743244734753344</v>
      </c>
      <c r="BK145" s="706">
        <v>0.29743244734753344</v>
      </c>
      <c r="BL145" s="706">
        <v>0.29743244734753344</v>
      </c>
      <c r="BM145" s="706">
        <v>0.29743244734753344</v>
      </c>
      <c r="BN145" s="706">
        <v>0.29743244734753344</v>
      </c>
      <c r="BO145" s="710"/>
      <c r="BP145" s="710"/>
      <c r="BQ145" s="710"/>
      <c r="BR145" s="710"/>
      <c r="BS145" s="706"/>
      <c r="BT145" s="706"/>
      <c r="BU145" s="708"/>
      <c r="BV145" s="791">
        <v>581.49163564788921</v>
      </c>
      <c r="BW145" s="791">
        <v>581.49163564788921</v>
      </c>
      <c r="BX145" s="791">
        <v>581.49163564788921</v>
      </c>
      <c r="BY145" s="791">
        <v>581.49163564788921</v>
      </c>
      <c r="BZ145" s="791">
        <v>581.49163564788921</v>
      </c>
      <c r="CA145" s="791">
        <v>581.49163564788921</v>
      </c>
      <c r="CB145" s="791">
        <v>581.49163564788921</v>
      </c>
      <c r="CC145" s="791">
        <v>581.49163564788921</v>
      </c>
      <c r="CD145" s="791">
        <v>581.49163564788921</v>
      </c>
      <c r="CE145" s="791">
        <v>581.49163564788921</v>
      </c>
      <c r="CF145" s="791">
        <v>581.49163564788921</v>
      </c>
      <c r="CG145" s="791">
        <v>581.49163564788921</v>
      </c>
      <c r="CH145" s="791">
        <v>581.49163564788921</v>
      </c>
      <c r="CI145" s="791">
        <v>581.49163564788921</v>
      </c>
      <c r="CJ145" s="791">
        <v>581.49163564788921</v>
      </c>
      <c r="CK145" s="791">
        <v>581.49163564788921</v>
      </c>
      <c r="CL145" s="791">
        <v>581.49163564788921</v>
      </c>
      <c r="CM145" s="791">
        <v>581.49163564788921</v>
      </c>
      <c r="CN145" s="791">
        <v>581.49163564788921</v>
      </c>
      <c r="CO145" s="708"/>
      <c r="CP145" s="708"/>
      <c r="CQ145" s="708"/>
      <c r="CR145" s="708"/>
    </row>
    <row r="146" spans="1:96">
      <c r="A146" s="743" t="s">
        <v>3</v>
      </c>
      <c r="B146" s="752">
        <v>41911</v>
      </c>
      <c r="C146" s="743">
        <v>2014</v>
      </c>
      <c r="D146" s="746" t="s">
        <v>15</v>
      </c>
      <c r="E146" s="746" t="s">
        <v>25</v>
      </c>
      <c r="F146" s="746" t="s">
        <v>17</v>
      </c>
      <c r="G146" s="746" t="s">
        <v>58</v>
      </c>
      <c r="H146" s="694" t="s">
        <v>959</v>
      </c>
      <c r="I146" s="746" t="s">
        <v>5</v>
      </c>
      <c r="J146" s="746" t="s">
        <v>376</v>
      </c>
      <c r="K146" s="706">
        <v>1</v>
      </c>
      <c r="L146" s="745" t="s">
        <v>58</v>
      </c>
      <c r="M146" s="743" t="s">
        <v>940</v>
      </c>
      <c r="N146" s="743">
        <v>19</v>
      </c>
      <c r="O146" s="706"/>
      <c r="P146" s="706"/>
      <c r="Q146" s="706"/>
      <c r="R146" s="706"/>
      <c r="S146" s="706"/>
      <c r="T146" s="706"/>
      <c r="U146" s="738">
        <v>0.62806842093767556</v>
      </c>
      <c r="V146" s="738">
        <v>1227.8974155200376</v>
      </c>
      <c r="W146" s="793">
        <v>0.62806842093767556</v>
      </c>
      <c r="X146" s="708">
        <v>1227.8974155200376</v>
      </c>
      <c r="Y146" s="719">
        <v>23330.050894880715</v>
      </c>
      <c r="Z146" s="719">
        <v>11048.341077309895</v>
      </c>
      <c r="AA146" s="719">
        <v>581.49163564788921</v>
      </c>
      <c r="AB146" s="738">
        <v>0.29743244734753344</v>
      </c>
      <c r="AC146" s="792">
        <v>1</v>
      </c>
      <c r="AD146" s="792">
        <v>1</v>
      </c>
      <c r="AE146" s="717">
        <v>0.56884057971014501</v>
      </c>
      <c r="AF146" s="714">
        <v>4.2407531067898789E-2</v>
      </c>
      <c r="AG146" s="706"/>
      <c r="AH146" s="792">
        <v>0.47356695135775378</v>
      </c>
      <c r="AI146" s="748">
        <v>0.56884057971014501</v>
      </c>
      <c r="AJ146" s="748">
        <v>4.2407531067898789E-2</v>
      </c>
      <c r="AK146" s="748"/>
      <c r="AL146" s="714">
        <v>0.47356695135775378</v>
      </c>
      <c r="AM146" s="706"/>
      <c r="AN146" s="706"/>
      <c r="AO146" s="706"/>
      <c r="AP146" s="747"/>
      <c r="AQ146" s="733"/>
      <c r="AR146" s="706" t="s">
        <v>957</v>
      </c>
      <c r="AS146" s="706"/>
      <c r="AT146" s="706"/>
      <c r="AU146" s="710"/>
      <c r="AV146" s="706">
        <v>0.29743244734753344</v>
      </c>
      <c r="AW146" s="706">
        <v>0.29743244734753344</v>
      </c>
      <c r="AX146" s="706">
        <v>0.29743244734753344</v>
      </c>
      <c r="AY146" s="706">
        <v>0.29743244734753344</v>
      </c>
      <c r="AZ146" s="706">
        <v>0.29743244734753344</v>
      </c>
      <c r="BA146" s="706">
        <v>0.29743244734753344</v>
      </c>
      <c r="BB146" s="706">
        <v>0.29743244734753344</v>
      </c>
      <c r="BC146" s="706">
        <v>0.29743244734753344</v>
      </c>
      <c r="BD146" s="706">
        <v>0.29743244734753344</v>
      </c>
      <c r="BE146" s="706">
        <v>0.29743244734753344</v>
      </c>
      <c r="BF146" s="706">
        <v>0.29743244734753344</v>
      </c>
      <c r="BG146" s="706">
        <v>0.29743244734753344</v>
      </c>
      <c r="BH146" s="706">
        <v>0.29743244734753344</v>
      </c>
      <c r="BI146" s="706">
        <v>0.29743244734753344</v>
      </c>
      <c r="BJ146" s="706">
        <v>0.29743244734753344</v>
      </c>
      <c r="BK146" s="706">
        <v>0.29743244734753344</v>
      </c>
      <c r="BL146" s="706">
        <v>0.29743244734753344</v>
      </c>
      <c r="BM146" s="706">
        <v>0.29743244734753344</v>
      </c>
      <c r="BN146" s="706">
        <v>0.29743244734753344</v>
      </c>
      <c r="BO146" s="710"/>
      <c r="BP146" s="710"/>
      <c r="BQ146" s="710"/>
      <c r="BR146" s="710"/>
      <c r="BS146" s="706"/>
      <c r="BT146" s="706"/>
      <c r="BU146" s="708"/>
      <c r="BV146" s="791">
        <v>581.49163564788921</v>
      </c>
      <c r="BW146" s="791">
        <v>581.49163564788921</v>
      </c>
      <c r="BX146" s="791">
        <v>581.49163564788921</v>
      </c>
      <c r="BY146" s="791">
        <v>581.49163564788921</v>
      </c>
      <c r="BZ146" s="791">
        <v>581.49163564788921</v>
      </c>
      <c r="CA146" s="791">
        <v>581.49163564788921</v>
      </c>
      <c r="CB146" s="791">
        <v>581.49163564788921</v>
      </c>
      <c r="CC146" s="791">
        <v>581.49163564788921</v>
      </c>
      <c r="CD146" s="791">
        <v>581.49163564788921</v>
      </c>
      <c r="CE146" s="791">
        <v>581.49163564788921</v>
      </c>
      <c r="CF146" s="791">
        <v>581.49163564788921</v>
      </c>
      <c r="CG146" s="791">
        <v>581.49163564788921</v>
      </c>
      <c r="CH146" s="791">
        <v>581.49163564788921</v>
      </c>
      <c r="CI146" s="791">
        <v>581.49163564788921</v>
      </c>
      <c r="CJ146" s="791">
        <v>581.49163564788921</v>
      </c>
      <c r="CK146" s="791">
        <v>581.49163564788921</v>
      </c>
      <c r="CL146" s="791">
        <v>581.49163564788921</v>
      </c>
      <c r="CM146" s="791">
        <v>581.49163564788921</v>
      </c>
      <c r="CN146" s="791">
        <v>581.49163564788921</v>
      </c>
      <c r="CO146" s="708"/>
      <c r="CP146" s="708"/>
      <c r="CQ146" s="708"/>
      <c r="CR146" s="708"/>
    </row>
    <row r="147" spans="1:96">
      <c r="A147" s="743" t="s">
        <v>3</v>
      </c>
      <c r="B147" s="752">
        <v>41758</v>
      </c>
      <c r="C147" s="743">
        <v>2014</v>
      </c>
      <c r="D147" s="746" t="s">
        <v>15</v>
      </c>
      <c r="E147" s="746" t="s">
        <v>25</v>
      </c>
      <c r="F147" s="746" t="s">
        <v>17</v>
      </c>
      <c r="G147" s="746" t="s">
        <v>58</v>
      </c>
      <c r="H147" s="694" t="s">
        <v>959</v>
      </c>
      <c r="I147" s="746" t="s">
        <v>5</v>
      </c>
      <c r="J147" s="746" t="s">
        <v>376</v>
      </c>
      <c r="K147" s="706">
        <v>1</v>
      </c>
      <c r="L147" s="745" t="s">
        <v>58</v>
      </c>
      <c r="M147" s="743" t="s">
        <v>1060</v>
      </c>
      <c r="N147" s="743">
        <v>19</v>
      </c>
      <c r="O147" s="706"/>
      <c r="P147" s="706"/>
      <c r="Q147" s="706"/>
      <c r="R147" s="706"/>
      <c r="S147" s="706"/>
      <c r="T147" s="706"/>
      <c r="U147" s="738">
        <v>0.62806842093767556</v>
      </c>
      <c r="V147" s="738">
        <v>1227.8974155200376</v>
      </c>
      <c r="W147" s="793">
        <v>0.62806842093767556</v>
      </c>
      <c r="X147" s="708">
        <v>1227.8974155200376</v>
      </c>
      <c r="Y147" s="719">
        <v>23330.050894880715</v>
      </c>
      <c r="Z147" s="719">
        <v>11048.341077309895</v>
      </c>
      <c r="AA147" s="719">
        <v>581.49163564788921</v>
      </c>
      <c r="AB147" s="738">
        <v>0.29743244734753344</v>
      </c>
      <c r="AC147" s="792">
        <v>1</v>
      </c>
      <c r="AD147" s="792">
        <v>1</v>
      </c>
      <c r="AE147" s="717">
        <v>0.56884057971014501</v>
      </c>
      <c r="AF147" s="714">
        <v>4.2407531067898789E-2</v>
      </c>
      <c r="AG147" s="706"/>
      <c r="AH147" s="792">
        <v>0.47356695135775378</v>
      </c>
      <c r="AI147" s="748">
        <v>0.56884057971014501</v>
      </c>
      <c r="AJ147" s="748">
        <v>4.2407531067898789E-2</v>
      </c>
      <c r="AK147" s="748"/>
      <c r="AL147" s="714">
        <v>0.47356695135775378</v>
      </c>
      <c r="AM147" s="706"/>
      <c r="AN147" s="706"/>
      <c r="AO147" s="706"/>
      <c r="AP147" s="747"/>
      <c r="AQ147" s="733"/>
      <c r="AR147" s="706" t="s">
        <v>957</v>
      </c>
      <c r="AS147" s="706"/>
      <c r="AT147" s="706"/>
      <c r="AU147" s="710"/>
      <c r="AV147" s="706">
        <v>0.29743244734753344</v>
      </c>
      <c r="AW147" s="706">
        <v>0.29743244734753344</v>
      </c>
      <c r="AX147" s="706">
        <v>0.29743244734753344</v>
      </c>
      <c r="AY147" s="706">
        <v>0.29743244734753344</v>
      </c>
      <c r="AZ147" s="706">
        <v>0.29743244734753344</v>
      </c>
      <c r="BA147" s="706">
        <v>0.29743244734753344</v>
      </c>
      <c r="BB147" s="706">
        <v>0.29743244734753344</v>
      </c>
      <c r="BC147" s="706">
        <v>0.29743244734753344</v>
      </c>
      <c r="BD147" s="706">
        <v>0.29743244734753344</v>
      </c>
      <c r="BE147" s="706">
        <v>0.29743244734753344</v>
      </c>
      <c r="BF147" s="706">
        <v>0.29743244734753344</v>
      </c>
      <c r="BG147" s="706">
        <v>0.29743244734753344</v>
      </c>
      <c r="BH147" s="706">
        <v>0.29743244734753344</v>
      </c>
      <c r="BI147" s="706">
        <v>0.29743244734753344</v>
      </c>
      <c r="BJ147" s="706">
        <v>0.29743244734753344</v>
      </c>
      <c r="BK147" s="706">
        <v>0.29743244734753344</v>
      </c>
      <c r="BL147" s="706">
        <v>0.29743244734753344</v>
      </c>
      <c r="BM147" s="706">
        <v>0.29743244734753344</v>
      </c>
      <c r="BN147" s="706">
        <v>0.29743244734753344</v>
      </c>
      <c r="BO147" s="710"/>
      <c r="BP147" s="710"/>
      <c r="BQ147" s="710"/>
      <c r="BR147" s="710"/>
      <c r="BS147" s="706"/>
      <c r="BT147" s="706"/>
      <c r="BU147" s="708"/>
      <c r="BV147" s="791">
        <v>581.49163564788921</v>
      </c>
      <c r="BW147" s="791">
        <v>581.49163564788921</v>
      </c>
      <c r="BX147" s="791">
        <v>581.49163564788921</v>
      </c>
      <c r="BY147" s="791">
        <v>581.49163564788921</v>
      </c>
      <c r="BZ147" s="791">
        <v>581.49163564788921</v>
      </c>
      <c r="CA147" s="791">
        <v>581.49163564788921</v>
      </c>
      <c r="CB147" s="791">
        <v>581.49163564788921</v>
      </c>
      <c r="CC147" s="791">
        <v>581.49163564788921</v>
      </c>
      <c r="CD147" s="791">
        <v>581.49163564788921</v>
      </c>
      <c r="CE147" s="791">
        <v>581.49163564788921</v>
      </c>
      <c r="CF147" s="791">
        <v>581.49163564788921</v>
      </c>
      <c r="CG147" s="791">
        <v>581.49163564788921</v>
      </c>
      <c r="CH147" s="791">
        <v>581.49163564788921</v>
      </c>
      <c r="CI147" s="791">
        <v>581.49163564788921</v>
      </c>
      <c r="CJ147" s="791">
        <v>581.49163564788921</v>
      </c>
      <c r="CK147" s="791">
        <v>581.49163564788921</v>
      </c>
      <c r="CL147" s="791">
        <v>581.49163564788921</v>
      </c>
      <c r="CM147" s="791">
        <v>581.49163564788921</v>
      </c>
      <c r="CN147" s="791">
        <v>581.49163564788921</v>
      </c>
      <c r="CO147" s="708"/>
      <c r="CP147" s="708"/>
      <c r="CQ147" s="708"/>
      <c r="CR147" s="708"/>
    </row>
    <row r="148" spans="1:96">
      <c r="A148" s="743" t="s">
        <v>3</v>
      </c>
      <c r="B148" s="752">
        <v>41827</v>
      </c>
      <c r="C148" s="743">
        <v>2014</v>
      </c>
      <c r="D148" s="746" t="s">
        <v>15</v>
      </c>
      <c r="E148" s="746" t="s">
        <v>25</v>
      </c>
      <c r="F148" s="746" t="s">
        <v>17</v>
      </c>
      <c r="G148" s="746" t="s">
        <v>58</v>
      </c>
      <c r="H148" s="694" t="s">
        <v>959</v>
      </c>
      <c r="I148" s="746" t="s">
        <v>5</v>
      </c>
      <c r="J148" s="746" t="s">
        <v>376</v>
      </c>
      <c r="K148" s="706">
        <v>1</v>
      </c>
      <c r="L148" s="745" t="s">
        <v>58</v>
      </c>
      <c r="M148" s="743" t="s">
        <v>939</v>
      </c>
      <c r="N148" s="743">
        <v>19</v>
      </c>
      <c r="O148" s="706"/>
      <c r="P148" s="706"/>
      <c r="Q148" s="706"/>
      <c r="R148" s="706"/>
      <c r="S148" s="706"/>
      <c r="T148" s="706"/>
      <c r="U148" s="738">
        <v>0.62806842093767556</v>
      </c>
      <c r="V148" s="738">
        <v>1227.8974155200376</v>
      </c>
      <c r="W148" s="793">
        <v>0.62806842093767556</v>
      </c>
      <c r="X148" s="708">
        <v>1227.8974155200376</v>
      </c>
      <c r="Y148" s="719">
        <v>23330.050894880715</v>
      </c>
      <c r="Z148" s="719">
        <v>11048.341077309895</v>
      </c>
      <c r="AA148" s="719">
        <v>581.49163564788921</v>
      </c>
      <c r="AB148" s="738">
        <v>0.29743244734753344</v>
      </c>
      <c r="AC148" s="792">
        <v>1</v>
      </c>
      <c r="AD148" s="792">
        <v>1</v>
      </c>
      <c r="AE148" s="717">
        <v>0.56884057971014501</v>
      </c>
      <c r="AF148" s="714">
        <v>4.2407531067898789E-2</v>
      </c>
      <c r="AG148" s="706"/>
      <c r="AH148" s="792">
        <v>0.47356695135775378</v>
      </c>
      <c r="AI148" s="748">
        <v>0.56884057971014501</v>
      </c>
      <c r="AJ148" s="748">
        <v>4.2407531067898789E-2</v>
      </c>
      <c r="AK148" s="748"/>
      <c r="AL148" s="714">
        <v>0.47356695135775378</v>
      </c>
      <c r="AM148" s="706"/>
      <c r="AN148" s="706"/>
      <c r="AO148" s="706"/>
      <c r="AP148" s="747"/>
      <c r="AQ148" s="733"/>
      <c r="AR148" s="706" t="s">
        <v>957</v>
      </c>
      <c r="AS148" s="706"/>
      <c r="AT148" s="706"/>
      <c r="AU148" s="710"/>
      <c r="AV148" s="706">
        <v>0.29743244734753344</v>
      </c>
      <c r="AW148" s="706">
        <v>0.29743244734753344</v>
      </c>
      <c r="AX148" s="706">
        <v>0.29743244734753344</v>
      </c>
      <c r="AY148" s="706">
        <v>0.29743244734753344</v>
      </c>
      <c r="AZ148" s="706">
        <v>0.29743244734753344</v>
      </c>
      <c r="BA148" s="706">
        <v>0.29743244734753344</v>
      </c>
      <c r="BB148" s="706">
        <v>0.29743244734753344</v>
      </c>
      <c r="BC148" s="706">
        <v>0.29743244734753344</v>
      </c>
      <c r="BD148" s="706">
        <v>0.29743244734753344</v>
      </c>
      <c r="BE148" s="706">
        <v>0.29743244734753344</v>
      </c>
      <c r="BF148" s="706">
        <v>0.29743244734753344</v>
      </c>
      <c r="BG148" s="706">
        <v>0.29743244734753344</v>
      </c>
      <c r="BH148" s="706">
        <v>0.29743244734753344</v>
      </c>
      <c r="BI148" s="706">
        <v>0.29743244734753344</v>
      </c>
      <c r="BJ148" s="706">
        <v>0.29743244734753344</v>
      </c>
      <c r="BK148" s="706">
        <v>0.29743244734753344</v>
      </c>
      <c r="BL148" s="706">
        <v>0.29743244734753344</v>
      </c>
      <c r="BM148" s="706">
        <v>0.29743244734753344</v>
      </c>
      <c r="BN148" s="706">
        <v>0.29743244734753344</v>
      </c>
      <c r="BO148" s="710"/>
      <c r="BP148" s="710"/>
      <c r="BQ148" s="710"/>
      <c r="BR148" s="710"/>
      <c r="BS148" s="706"/>
      <c r="BT148" s="706"/>
      <c r="BU148" s="708"/>
      <c r="BV148" s="791">
        <v>581.49163564788921</v>
      </c>
      <c r="BW148" s="791">
        <v>581.49163564788921</v>
      </c>
      <c r="BX148" s="791">
        <v>581.49163564788921</v>
      </c>
      <c r="BY148" s="791">
        <v>581.49163564788921</v>
      </c>
      <c r="BZ148" s="791">
        <v>581.49163564788921</v>
      </c>
      <c r="CA148" s="791">
        <v>581.49163564788921</v>
      </c>
      <c r="CB148" s="791">
        <v>581.49163564788921</v>
      </c>
      <c r="CC148" s="791">
        <v>581.49163564788921</v>
      </c>
      <c r="CD148" s="791">
        <v>581.49163564788921</v>
      </c>
      <c r="CE148" s="791">
        <v>581.49163564788921</v>
      </c>
      <c r="CF148" s="791">
        <v>581.49163564788921</v>
      </c>
      <c r="CG148" s="791">
        <v>581.49163564788921</v>
      </c>
      <c r="CH148" s="791">
        <v>581.49163564788921</v>
      </c>
      <c r="CI148" s="791">
        <v>581.49163564788921</v>
      </c>
      <c r="CJ148" s="791">
        <v>581.49163564788921</v>
      </c>
      <c r="CK148" s="791">
        <v>581.49163564788921</v>
      </c>
      <c r="CL148" s="791">
        <v>581.49163564788921</v>
      </c>
      <c r="CM148" s="791">
        <v>581.49163564788921</v>
      </c>
      <c r="CN148" s="791">
        <v>581.49163564788921</v>
      </c>
      <c r="CO148" s="708"/>
      <c r="CP148" s="708"/>
      <c r="CQ148" s="708"/>
      <c r="CR148" s="708"/>
    </row>
    <row r="149" spans="1:96">
      <c r="A149" s="743" t="s">
        <v>3</v>
      </c>
      <c r="B149" s="752">
        <v>41732</v>
      </c>
      <c r="C149" s="743">
        <v>2014</v>
      </c>
      <c r="D149" s="746" t="s">
        <v>15</v>
      </c>
      <c r="E149" s="746" t="s">
        <v>25</v>
      </c>
      <c r="F149" s="746" t="s">
        <v>17</v>
      </c>
      <c r="G149" s="746" t="s">
        <v>58</v>
      </c>
      <c r="H149" s="694" t="s">
        <v>959</v>
      </c>
      <c r="I149" s="746" t="s">
        <v>5</v>
      </c>
      <c r="J149" s="746" t="s">
        <v>376</v>
      </c>
      <c r="K149" s="706">
        <v>1</v>
      </c>
      <c r="L149" s="745" t="s">
        <v>58</v>
      </c>
      <c r="M149" s="743" t="s">
        <v>1055</v>
      </c>
      <c r="N149" s="743">
        <v>19</v>
      </c>
      <c r="O149" s="706"/>
      <c r="P149" s="706"/>
      <c r="Q149" s="706"/>
      <c r="R149" s="706"/>
      <c r="S149" s="706"/>
      <c r="T149" s="706"/>
      <c r="U149" s="738">
        <v>0.62806842093767556</v>
      </c>
      <c r="V149" s="738">
        <v>1227.8974155200376</v>
      </c>
      <c r="W149" s="793">
        <v>0.62806842093767556</v>
      </c>
      <c r="X149" s="708">
        <v>1227.8974155200376</v>
      </c>
      <c r="Y149" s="719">
        <v>23330.050894880715</v>
      </c>
      <c r="Z149" s="719">
        <v>11048.341077309895</v>
      </c>
      <c r="AA149" s="719">
        <v>581.49163564788921</v>
      </c>
      <c r="AB149" s="738">
        <v>0.29743244734753344</v>
      </c>
      <c r="AC149" s="792">
        <v>1</v>
      </c>
      <c r="AD149" s="792">
        <v>1</v>
      </c>
      <c r="AE149" s="717">
        <v>0.56884057971014501</v>
      </c>
      <c r="AF149" s="714">
        <v>4.2407531067898789E-2</v>
      </c>
      <c r="AG149" s="706"/>
      <c r="AH149" s="792">
        <v>0.47356695135775378</v>
      </c>
      <c r="AI149" s="748">
        <v>0.56884057971014501</v>
      </c>
      <c r="AJ149" s="748">
        <v>4.2407531067898789E-2</v>
      </c>
      <c r="AK149" s="748"/>
      <c r="AL149" s="714">
        <v>0.47356695135775378</v>
      </c>
      <c r="AM149" s="706"/>
      <c r="AN149" s="706"/>
      <c r="AO149" s="706"/>
      <c r="AP149" s="747"/>
      <c r="AQ149" s="733"/>
      <c r="AR149" s="706" t="s">
        <v>957</v>
      </c>
      <c r="AS149" s="706"/>
      <c r="AT149" s="706"/>
      <c r="AU149" s="710"/>
      <c r="AV149" s="706">
        <v>0.29743244734753344</v>
      </c>
      <c r="AW149" s="706">
        <v>0.29743244734753344</v>
      </c>
      <c r="AX149" s="706">
        <v>0.29743244734753344</v>
      </c>
      <c r="AY149" s="706">
        <v>0.29743244734753344</v>
      </c>
      <c r="AZ149" s="706">
        <v>0.29743244734753344</v>
      </c>
      <c r="BA149" s="706">
        <v>0.29743244734753344</v>
      </c>
      <c r="BB149" s="706">
        <v>0.29743244734753344</v>
      </c>
      <c r="BC149" s="706">
        <v>0.29743244734753344</v>
      </c>
      <c r="BD149" s="706">
        <v>0.29743244734753344</v>
      </c>
      <c r="BE149" s="706">
        <v>0.29743244734753344</v>
      </c>
      <c r="BF149" s="706">
        <v>0.29743244734753344</v>
      </c>
      <c r="BG149" s="706">
        <v>0.29743244734753344</v>
      </c>
      <c r="BH149" s="706">
        <v>0.29743244734753344</v>
      </c>
      <c r="BI149" s="706">
        <v>0.29743244734753344</v>
      </c>
      <c r="BJ149" s="706">
        <v>0.29743244734753344</v>
      </c>
      <c r="BK149" s="706">
        <v>0.29743244734753344</v>
      </c>
      <c r="BL149" s="706">
        <v>0.29743244734753344</v>
      </c>
      <c r="BM149" s="706">
        <v>0.29743244734753344</v>
      </c>
      <c r="BN149" s="706">
        <v>0.29743244734753344</v>
      </c>
      <c r="BO149" s="710"/>
      <c r="BP149" s="710"/>
      <c r="BQ149" s="710"/>
      <c r="BR149" s="710"/>
      <c r="BS149" s="706"/>
      <c r="BT149" s="706"/>
      <c r="BU149" s="708"/>
      <c r="BV149" s="791">
        <v>581.49163564788921</v>
      </c>
      <c r="BW149" s="791">
        <v>581.49163564788921</v>
      </c>
      <c r="BX149" s="791">
        <v>581.49163564788921</v>
      </c>
      <c r="BY149" s="791">
        <v>581.49163564788921</v>
      </c>
      <c r="BZ149" s="791">
        <v>581.49163564788921</v>
      </c>
      <c r="CA149" s="791">
        <v>581.49163564788921</v>
      </c>
      <c r="CB149" s="791">
        <v>581.49163564788921</v>
      </c>
      <c r="CC149" s="791">
        <v>581.49163564788921</v>
      </c>
      <c r="CD149" s="791">
        <v>581.49163564788921</v>
      </c>
      <c r="CE149" s="791">
        <v>581.49163564788921</v>
      </c>
      <c r="CF149" s="791">
        <v>581.49163564788921</v>
      </c>
      <c r="CG149" s="791">
        <v>581.49163564788921</v>
      </c>
      <c r="CH149" s="791">
        <v>581.49163564788921</v>
      </c>
      <c r="CI149" s="791">
        <v>581.49163564788921</v>
      </c>
      <c r="CJ149" s="791">
        <v>581.49163564788921</v>
      </c>
      <c r="CK149" s="791">
        <v>581.49163564788921</v>
      </c>
      <c r="CL149" s="791">
        <v>581.49163564788921</v>
      </c>
      <c r="CM149" s="791">
        <v>581.49163564788921</v>
      </c>
      <c r="CN149" s="791">
        <v>581.49163564788921</v>
      </c>
      <c r="CO149" s="708"/>
      <c r="CP149" s="708"/>
      <c r="CQ149" s="708"/>
      <c r="CR149" s="708"/>
    </row>
    <row r="150" spans="1:96">
      <c r="A150" s="743" t="s">
        <v>3</v>
      </c>
      <c r="B150" s="752">
        <v>41738</v>
      </c>
      <c r="C150" s="743">
        <v>2014</v>
      </c>
      <c r="D150" s="746" t="s">
        <v>15</v>
      </c>
      <c r="E150" s="746" t="s">
        <v>25</v>
      </c>
      <c r="F150" s="746" t="s">
        <v>17</v>
      </c>
      <c r="G150" s="746" t="s">
        <v>58</v>
      </c>
      <c r="H150" s="694" t="s">
        <v>959</v>
      </c>
      <c r="I150" s="746" t="s">
        <v>5</v>
      </c>
      <c r="J150" s="746" t="s">
        <v>376</v>
      </c>
      <c r="K150" s="706">
        <v>1</v>
      </c>
      <c r="L150" s="745" t="s">
        <v>58</v>
      </c>
      <c r="M150" s="743" t="s">
        <v>1059</v>
      </c>
      <c r="N150" s="743">
        <v>19</v>
      </c>
      <c r="O150" s="706"/>
      <c r="P150" s="706"/>
      <c r="Q150" s="706"/>
      <c r="R150" s="706"/>
      <c r="S150" s="706"/>
      <c r="T150" s="706"/>
      <c r="U150" s="738">
        <v>0.62806842093767556</v>
      </c>
      <c r="V150" s="738">
        <v>1227.8974155200376</v>
      </c>
      <c r="W150" s="793">
        <v>0.62806842093767556</v>
      </c>
      <c r="X150" s="708">
        <v>1227.8974155200376</v>
      </c>
      <c r="Y150" s="719">
        <v>23330.050894880715</v>
      </c>
      <c r="Z150" s="719">
        <v>11048.341077309895</v>
      </c>
      <c r="AA150" s="719">
        <v>581.49163564788921</v>
      </c>
      <c r="AB150" s="738">
        <v>0.29743244734753344</v>
      </c>
      <c r="AC150" s="792">
        <v>1</v>
      </c>
      <c r="AD150" s="792">
        <v>1</v>
      </c>
      <c r="AE150" s="717">
        <v>0.56884057971014501</v>
      </c>
      <c r="AF150" s="714">
        <v>4.2407531067898789E-2</v>
      </c>
      <c r="AG150" s="706"/>
      <c r="AH150" s="792">
        <v>0.47356695135775378</v>
      </c>
      <c r="AI150" s="748">
        <v>0.56884057971014501</v>
      </c>
      <c r="AJ150" s="748">
        <v>4.2407531067898789E-2</v>
      </c>
      <c r="AK150" s="748"/>
      <c r="AL150" s="714">
        <v>0.47356695135775378</v>
      </c>
      <c r="AM150" s="706"/>
      <c r="AN150" s="706"/>
      <c r="AO150" s="706"/>
      <c r="AP150" s="747"/>
      <c r="AQ150" s="733"/>
      <c r="AR150" s="706" t="s">
        <v>957</v>
      </c>
      <c r="AS150" s="706"/>
      <c r="AT150" s="706"/>
      <c r="AU150" s="710"/>
      <c r="AV150" s="706">
        <v>0.29743244734753344</v>
      </c>
      <c r="AW150" s="706">
        <v>0.29743244734753344</v>
      </c>
      <c r="AX150" s="706">
        <v>0.29743244734753344</v>
      </c>
      <c r="AY150" s="706">
        <v>0.29743244734753344</v>
      </c>
      <c r="AZ150" s="706">
        <v>0.29743244734753344</v>
      </c>
      <c r="BA150" s="706">
        <v>0.29743244734753344</v>
      </c>
      <c r="BB150" s="706">
        <v>0.29743244734753344</v>
      </c>
      <c r="BC150" s="706">
        <v>0.29743244734753344</v>
      </c>
      <c r="BD150" s="706">
        <v>0.29743244734753344</v>
      </c>
      <c r="BE150" s="706">
        <v>0.29743244734753344</v>
      </c>
      <c r="BF150" s="706">
        <v>0.29743244734753344</v>
      </c>
      <c r="BG150" s="706">
        <v>0.29743244734753344</v>
      </c>
      <c r="BH150" s="706">
        <v>0.29743244734753344</v>
      </c>
      <c r="BI150" s="706">
        <v>0.29743244734753344</v>
      </c>
      <c r="BJ150" s="706">
        <v>0.29743244734753344</v>
      </c>
      <c r="BK150" s="706">
        <v>0.29743244734753344</v>
      </c>
      <c r="BL150" s="706">
        <v>0.29743244734753344</v>
      </c>
      <c r="BM150" s="706">
        <v>0.29743244734753344</v>
      </c>
      <c r="BN150" s="706">
        <v>0.29743244734753344</v>
      </c>
      <c r="BO150" s="710"/>
      <c r="BP150" s="710"/>
      <c r="BQ150" s="710"/>
      <c r="BR150" s="710"/>
      <c r="BS150" s="706"/>
      <c r="BT150" s="706"/>
      <c r="BU150" s="708"/>
      <c r="BV150" s="791">
        <v>581.49163564788921</v>
      </c>
      <c r="BW150" s="791">
        <v>581.49163564788921</v>
      </c>
      <c r="BX150" s="791">
        <v>581.49163564788921</v>
      </c>
      <c r="BY150" s="791">
        <v>581.49163564788921</v>
      </c>
      <c r="BZ150" s="791">
        <v>581.49163564788921</v>
      </c>
      <c r="CA150" s="791">
        <v>581.49163564788921</v>
      </c>
      <c r="CB150" s="791">
        <v>581.49163564788921</v>
      </c>
      <c r="CC150" s="791">
        <v>581.49163564788921</v>
      </c>
      <c r="CD150" s="791">
        <v>581.49163564788921</v>
      </c>
      <c r="CE150" s="791">
        <v>581.49163564788921</v>
      </c>
      <c r="CF150" s="791">
        <v>581.49163564788921</v>
      </c>
      <c r="CG150" s="791">
        <v>581.49163564788921</v>
      </c>
      <c r="CH150" s="791">
        <v>581.49163564788921</v>
      </c>
      <c r="CI150" s="791">
        <v>581.49163564788921</v>
      </c>
      <c r="CJ150" s="791">
        <v>581.49163564788921</v>
      </c>
      <c r="CK150" s="791">
        <v>581.49163564788921</v>
      </c>
      <c r="CL150" s="791">
        <v>581.49163564788921</v>
      </c>
      <c r="CM150" s="791">
        <v>581.49163564788921</v>
      </c>
      <c r="CN150" s="791">
        <v>581.49163564788921</v>
      </c>
      <c r="CO150" s="708"/>
      <c r="CP150" s="708"/>
      <c r="CQ150" s="708"/>
      <c r="CR150" s="708"/>
    </row>
    <row r="151" spans="1:96">
      <c r="A151" s="743" t="s">
        <v>3</v>
      </c>
      <c r="B151" s="752">
        <v>41724</v>
      </c>
      <c r="C151" s="743">
        <v>2014</v>
      </c>
      <c r="D151" s="746" t="s">
        <v>15</v>
      </c>
      <c r="E151" s="746" t="s">
        <v>25</v>
      </c>
      <c r="F151" s="746" t="s">
        <v>17</v>
      </c>
      <c r="G151" s="746" t="s">
        <v>58</v>
      </c>
      <c r="H151" s="694" t="s">
        <v>959</v>
      </c>
      <c r="I151" s="746" t="s">
        <v>5</v>
      </c>
      <c r="J151" s="746" t="s">
        <v>376</v>
      </c>
      <c r="K151" s="706">
        <v>1</v>
      </c>
      <c r="L151" s="745" t="s">
        <v>58</v>
      </c>
      <c r="M151" s="743" t="s">
        <v>938</v>
      </c>
      <c r="N151" s="743">
        <v>19</v>
      </c>
      <c r="O151" s="706"/>
      <c r="P151" s="706"/>
      <c r="Q151" s="706"/>
      <c r="R151" s="706"/>
      <c r="S151" s="706"/>
      <c r="T151" s="706"/>
      <c r="U151" s="738">
        <v>0.62806842093767556</v>
      </c>
      <c r="V151" s="738">
        <v>1227.8974155200376</v>
      </c>
      <c r="W151" s="793">
        <v>0.62806842093767556</v>
      </c>
      <c r="X151" s="708">
        <v>1227.8974155200376</v>
      </c>
      <c r="Y151" s="719">
        <v>23330.050894880715</v>
      </c>
      <c r="Z151" s="719">
        <v>11048.341077309895</v>
      </c>
      <c r="AA151" s="719">
        <v>581.49163564788921</v>
      </c>
      <c r="AB151" s="738">
        <v>0.29743244734753344</v>
      </c>
      <c r="AC151" s="792">
        <v>1</v>
      </c>
      <c r="AD151" s="792">
        <v>1</v>
      </c>
      <c r="AE151" s="717">
        <v>0.56884057971014501</v>
      </c>
      <c r="AF151" s="714">
        <v>4.2407531067898789E-2</v>
      </c>
      <c r="AG151" s="706"/>
      <c r="AH151" s="792">
        <v>0.47356695135775378</v>
      </c>
      <c r="AI151" s="748">
        <v>0.56884057971014501</v>
      </c>
      <c r="AJ151" s="748">
        <v>4.2407531067898789E-2</v>
      </c>
      <c r="AK151" s="748"/>
      <c r="AL151" s="714">
        <v>0.47356695135775378</v>
      </c>
      <c r="AM151" s="706"/>
      <c r="AN151" s="706"/>
      <c r="AO151" s="706"/>
      <c r="AP151" s="747"/>
      <c r="AQ151" s="733"/>
      <c r="AR151" s="706" t="s">
        <v>957</v>
      </c>
      <c r="AS151" s="706"/>
      <c r="AT151" s="706"/>
      <c r="AU151" s="710"/>
      <c r="AV151" s="706">
        <v>0.29743244734753344</v>
      </c>
      <c r="AW151" s="706">
        <v>0.29743244734753344</v>
      </c>
      <c r="AX151" s="706">
        <v>0.29743244734753344</v>
      </c>
      <c r="AY151" s="706">
        <v>0.29743244734753344</v>
      </c>
      <c r="AZ151" s="706">
        <v>0.29743244734753344</v>
      </c>
      <c r="BA151" s="706">
        <v>0.29743244734753344</v>
      </c>
      <c r="BB151" s="706">
        <v>0.29743244734753344</v>
      </c>
      <c r="BC151" s="706">
        <v>0.29743244734753344</v>
      </c>
      <c r="BD151" s="706">
        <v>0.29743244734753344</v>
      </c>
      <c r="BE151" s="706">
        <v>0.29743244734753344</v>
      </c>
      <c r="BF151" s="706">
        <v>0.29743244734753344</v>
      </c>
      <c r="BG151" s="706">
        <v>0.29743244734753344</v>
      </c>
      <c r="BH151" s="706">
        <v>0.29743244734753344</v>
      </c>
      <c r="BI151" s="706">
        <v>0.29743244734753344</v>
      </c>
      <c r="BJ151" s="706">
        <v>0.29743244734753344</v>
      </c>
      <c r="BK151" s="706">
        <v>0.29743244734753344</v>
      </c>
      <c r="BL151" s="706">
        <v>0.29743244734753344</v>
      </c>
      <c r="BM151" s="706">
        <v>0.29743244734753344</v>
      </c>
      <c r="BN151" s="706">
        <v>0.29743244734753344</v>
      </c>
      <c r="BO151" s="710"/>
      <c r="BP151" s="710"/>
      <c r="BQ151" s="710"/>
      <c r="BR151" s="710"/>
      <c r="BS151" s="706"/>
      <c r="BT151" s="706"/>
      <c r="BU151" s="708"/>
      <c r="BV151" s="791">
        <v>581.49163564788921</v>
      </c>
      <c r="BW151" s="791">
        <v>581.49163564788921</v>
      </c>
      <c r="BX151" s="791">
        <v>581.49163564788921</v>
      </c>
      <c r="BY151" s="791">
        <v>581.49163564788921</v>
      </c>
      <c r="BZ151" s="791">
        <v>581.49163564788921</v>
      </c>
      <c r="CA151" s="791">
        <v>581.49163564788921</v>
      </c>
      <c r="CB151" s="791">
        <v>581.49163564788921</v>
      </c>
      <c r="CC151" s="791">
        <v>581.49163564788921</v>
      </c>
      <c r="CD151" s="791">
        <v>581.49163564788921</v>
      </c>
      <c r="CE151" s="791">
        <v>581.49163564788921</v>
      </c>
      <c r="CF151" s="791">
        <v>581.49163564788921</v>
      </c>
      <c r="CG151" s="791">
        <v>581.49163564788921</v>
      </c>
      <c r="CH151" s="791">
        <v>581.49163564788921</v>
      </c>
      <c r="CI151" s="791">
        <v>581.49163564788921</v>
      </c>
      <c r="CJ151" s="791">
        <v>581.49163564788921</v>
      </c>
      <c r="CK151" s="791">
        <v>581.49163564788921</v>
      </c>
      <c r="CL151" s="791">
        <v>581.49163564788921</v>
      </c>
      <c r="CM151" s="791">
        <v>581.49163564788921</v>
      </c>
      <c r="CN151" s="791">
        <v>581.49163564788921</v>
      </c>
      <c r="CO151" s="708"/>
      <c r="CP151" s="708"/>
      <c r="CQ151" s="708"/>
      <c r="CR151" s="708"/>
    </row>
    <row r="152" spans="1:96">
      <c r="A152" s="743" t="s">
        <v>3</v>
      </c>
      <c r="B152" s="752">
        <v>41696</v>
      </c>
      <c r="C152" s="743">
        <v>2014</v>
      </c>
      <c r="D152" s="746" t="s">
        <v>15</v>
      </c>
      <c r="E152" s="746" t="s">
        <v>25</v>
      </c>
      <c r="F152" s="746" t="s">
        <v>17</v>
      </c>
      <c r="G152" s="746" t="s">
        <v>58</v>
      </c>
      <c r="H152" s="694" t="s">
        <v>959</v>
      </c>
      <c r="I152" s="746" t="s">
        <v>5</v>
      </c>
      <c r="J152" s="746" t="s">
        <v>376</v>
      </c>
      <c r="K152" s="706">
        <v>1</v>
      </c>
      <c r="L152" s="745" t="s">
        <v>58</v>
      </c>
      <c r="M152" s="743" t="s">
        <v>1058</v>
      </c>
      <c r="N152" s="743">
        <v>19</v>
      </c>
      <c r="O152" s="706"/>
      <c r="P152" s="706"/>
      <c r="Q152" s="706"/>
      <c r="R152" s="706"/>
      <c r="S152" s="706"/>
      <c r="T152" s="706"/>
      <c r="U152" s="738">
        <v>0.62806842093767556</v>
      </c>
      <c r="V152" s="738">
        <v>1227.8974155200376</v>
      </c>
      <c r="W152" s="793">
        <v>0.62806842093767556</v>
      </c>
      <c r="X152" s="708">
        <v>1227.8974155200376</v>
      </c>
      <c r="Y152" s="719">
        <v>23330.050894880715</v>
      </c>
      <c r="Z152" s="719">
        <v>11048.341077309895</v>
      </c>
      <c r="AA152" s="719">
        <v>581.49163564788921</v>
      </c>
      <c r="AB152" s="738">
        <v>0.29743244734753344</v>
      </c>
      <c r="AC152" s="792">
        <v>1</v>
      </c>
      <c r="AD152" s="792">
        <v>1</v>
      </c>
      <c r="AE152" s="717">
        <v>0.56884057971014501</v>
      </c>
      <c r="AF152" s="714">
        <v>4.2407531067898789E-2</v>
      </c>
      <c r="AG152" s="706"/>
      <c r="AH152" s="792">
        <v>0.47356695135775378</v>
      </c>
      <c r="AI152" s="748">
        <v>0.56884057971014501</v>
      </c>
      <c r="AJ152" s="748">
        <v>4.2407531067898789E-2</v>
      </c>
      <c r="AK152" s="748"/>
      <c r="AL152" s="714">
        <v>0.47356695135775378</v>
      </c>
      <c r="AM152" s="706"/>
      <c r="AN152" s="706"/>
      <c r="AO152" s="706"/>
      <c r="AP152" s="747"/>
      <c r="AQ152" s="733"/>
      <c r="AR152" s="706" t="s">
        <v>957</v>
      </c>
      <c r="AS152" s="706"/>
      <c r="AT152" s="706"/>
      <c r="AU152" s="710"/>
      <c r="AV152" s="706">
        <v>0.29743244734753344</v>
      </c>
      <c r="AW152" s="706">
        <v>0.29743244734753344</v>
      </c>
      <c r="AX152" s="706">
        <v>0.29743244734753344</v>
      </c>
      <c r="AY152" s="706">
        <v>0.29743244734753344</v>
      </c>
      <c r="AZ152" s="706">
        <v>0.29743244734753344</v>
      </c>
      <c r="BA152" s="706">
        <v>0.29743244734753344</v>
      </c>
      <c r="BB152" s="706">
        <v>0.29743244734753344</v>
      </c>
      <c r="BC152" s="706">
        <v>0.29743244734753344</v>
      </c>
      <c r="BD152" s="706">
        <v>0.29743244734753344</v>
      </c>
      <c r="BE152" s="706">
        <v>0.29743244734753344</v>
      </c>
      <c r="BF152" s="706">
        <v>0.29743244734753344</v>
      </c>
      <c r="BG152" s="706">
        <v>0.29743244734753344</v>
      </c>
      <c r="BH152" s="706">
        <v>0.29743244734753344</v>
      </c>
      <c r="BI152" s="706">
        <v>0.29743244734753344</v>
      </c>
      <c r="BJ152" s="706">
        <v>0.29743244734753344</v>
      </c>
      <c r="BK152" s="706">
        <v>0.29743244734753344</v>
      </c>
      <c r="BL152" s="706">
        <v>0.29743244734753344</v>
      </c>
      <c r="BM152" s="706">
        <v>0.29743244734753344</v>
      </c>
      <c r="BN152" s="706">
        <v>0.29743244734753344</v>
      </c>
      <c r="BO152" s="710"/>
      <c r="BP152" s="710"/>
      <c r="BQ152" s="710"/>
      <c r="BR152" s="710"/>
      <c r="BS152" s="706"/>
      <c r="BT152" s="706"/>
      <c r="BU152" s="708"/>
      <c r="BV152" s="791">
        <v>581.49163564788921</v>
      </c>
      <c r="BW152" s="791">
        <v>581.49163564788921</v>
      </c>
      <c r="BX152" s="791">
        <v>581.49163564788921</v>
      </c>
      <c r="BY152" s="791">
        <v>581.49163564788921</v>
      </c>
      <c r="BZ152" s="791">
        <v>581.49163564788921</v>
      </c>
      <c r="CA152" s="791">
        <v>581.49163564788921</v>
      </c>
      <c r="CB152" s="791">
        <v>581.49163564788921</v>
      </c>
      <c r="CC152" s="791">
        <v>581.49163564788921</v>
      </c>
      <c r="CD152" s="791">
        <v>581.49163564788921</v>
      </c>
      <c r="CE152" s="791">
        <v>581.49163564788921</v>
      </c>
      <c r="CF152" s="791">
        <v>581.49163564788921</v>
      </c>
      <c r="CG152" s="791">
        <v>581.49163564788921</v>
      </c>
      <c r="CH152" s="791">
        <v>581.49163564788921</v>
      </c>
      <c r="CI152" s="791">
        <v>581.49163564788921</v>
      </c>
      <c r="CJ152" s="791">
        <v>581.49163564788921</v>
      </c>
      <c r="CK152" s="791">
        <v>581.49163564788921</v>
      </c>
      <c r="CL152" s="791">
        <v>581.49163564788921</v>
      </c>
      <c r="CM152" s="791">
        <v>581.49163564788921</v>
      </c>
      <c r="CN152" s="791">
        <v>581.49163564788921</v>
      </c>
      <c r="CO152" s="708"/>
      <c r="CP152" s="708"/>
      <c r="CQ152" s="708"/>
      <c r="CR152" s="708"/>
    </row>
    <row r="153" spans="1:96">
      <c r="A153" s="743" t="s">
        <v>3</v>
      </c>
      <c r="B153" s="752">
        <v>41787</v>
      </c>
      <c r="C153" s="743">
        <v>2014</v>
      </c>
      <c r="D153" s="746" t="s">
        <v>15</v>
      </c>
      <c r="E153" s="746" t="s">
        <v>25</v>
      </c>
      <c r="F153" s="746" t="s">
        <v>17</v>
      </c>
      <c r="G153" s="746" t="s">
        <v>58</v>
      </c>
      <c r="H153" s="694" t="s">
        <v>959</v>
      </c>
      <c r="I153" s="746" t="s">
        <v>5</v>
      </c>
      <c r="J153" s="746" t="s">
        <v>376</v>
      </c>
      <c r="K153" s="706">
        <v>1</v>
      </c>
      <c r="L153" s="745" t="s">
        <v>58</v>
      </c>
      <c r="M153" s="743" t="s">
        <v>937</v>
      </c>
      <c r="N153" s="743">
        <v>19</v>
      </c>
      <c r="O153" s="706"/>
      <c r="P153" s="706"/>
      <c r="Q153" s="706"/>
      <c r="R153" s="706"/>
      <c r="S153" s="706"/>
      <c r="T153" s="706"/>
      <c r="U153" s="738">
        <v>0.62806842093767556</v>
      </c>
      <c r="V153" s="738">
        <v>1227.8974155200376</v>
      </c>
      <c r="W153" s="793">
        <v>0.62806842093767556</v>
      </c>
      <c r="X153" s="708">
        <v>1227.8974155200376</v>
      </c>
      <c r="Y153" s="719">
        <v>23330.050894880715</v>
      </c>
      <c r="Z153" s="719">
        <v>11048.341077309895</v>
      </c>
      <c r="AA153" s="719">
        <v>581.49163564788921</v>
      </c>
      <c r="AB153" s="738">
        <v>0.29743244734753344</v>
      </c>
      <c r="AC153" s="792">
        <v>1</v>
      </c>
      <c r="AD153" s="792">
        <v>1</v>
      </c>
      <c r="AE153" s="717">
        <v>0.56884057971014501</v>
      </c>
      <c r="AF153" s="714">
        <v>4.2407531067898789E-2</v>
      </c>
      <c r="AG153" s="706"/>
      <c r="AH153" s="792">
        <v>0.47356695135775378</v>
      </c>
      <c r="AI153" s="748">
        <v>0.56884057971014501</v>
      </c>
      <c r="AJ153" s="748">
        <v>4.2407531067898789E-2</v>
      </c>
      <c r="AK153" s="748"/>
      <c r="AL153" s="714">
        <v>0.47356695135775378</v>
      </c>
      <c r="AM153" s="706"/>
      <c r="AN153" s="706"/>
      <c r="AO153" s="706"/>
      <c r="AP153" s="747"/>
      <c r="AQ153" s="733"/>
      <c r="AR153" s="706" t="s">
        <v>957</v>
      </c>
      <c r="AS153" s="706"/>
      <c r="AT153" s="706"/>
      <c r="AU153" s="710"/>
      <c r="AV153" s="706">
        <v>0.29743244734753344</v>
      </c>
      <c r="AW153" s="706">
        <v>0.29743244734753344</v>
      </c>
      <c r="AX153" s="706">
        <v>0.29743244734753344</v>
      </c>
      <c r="AY153" s="706">
        <v>0.29743244734753344</v>
      </c>
      <c r="AZ153" s="706">
        <v>0.29743244734753344</v>
      </c>
      <c r="BA153" s="706">
        <v>0.29743244734753344</v>
      </c>
      <c r="BB153" s="706">
        <v>0.29743244734753344</v>
      </c>
      <c r="BC153" s="706">
        <v>0.29743244734753344</v>
      </c>
      <c r="BD153" s="706">
        <v>0.29743244734753344</v>
      </c>
      <c r="BE153" s="706">
        <v>0.29743244734753344</v>
      </c>
      <c r="BF153" s="706">
        <v>0.29743244734753344</v>
      </c>
      <c r="BG153" s="706">
        <v>0.29743244734753344</v>
      </c>
      <c r="BH153" s="706">
        <v>0.29743244734753344</v>
      </c>
      <c r="BI153" s="706">
        <v>0.29743244734753344</v>
      </c>
      <c r="BJ153" s="706">
        <v>0.29743244734753344</v>
      </c>
      <c r="BK153" s="706">
        <v>0.29743244734753344</v>
      </c>
      <c r="BL153" s="706">
        <v>0.29743244734753344</v>
      </c>
      <c r="BM153" s="706">
        <v>0.29743244734753344</v>
      </c>
      <c r="BN153" s="706">
        <v>0.29743244734753344</v>
      </c>
      <c r="BO153" s="710"/>
      <c r="BP153" s="710"/>
      <c r="BQ153" s="710"/>
      <c r="BR153" s="710"/>
      <c r="BS153" s="706"/>
      <c r="BT153" s="706"/>
      <c r="BU153" s="708"/>
      <c r="BV153" s="791">
        <v>581.49163564788921</v>
      </c>
      <c r="BW153" s="791">
        <v>581.49163564788921</v>
      </c>
      <c r="BX153" s="791">
        <v>581.49163564788921</v>
      </c>
      <c r="BY153" s="791">
        <v>581.49163564788921</v>
      </c>
      <c r="BZ153" s="791">
        <v>581.49163564788921</v>
      </c>
      <c r="CA153" s="791">
        <v>581.49163564788921</v>
      </c>
      <c r="CB153" s="791">
        <v>581.49163564788921</v>
      </c>
      <c r="CC153" s="791">
        <v>581.49163564788921</v>
      </c>
      <c r="CD153" s="791">
        <v>581.49163564788921</v>
      </c>
      <c r="CE153" s="791">
        <v>581.49163564788921</v>
      </c>
      <c r="CF153" s="791">
        <v>581.49163564788921</v>
      </c>
      <c r="CG153" s="791">
        <v>581.49163564788921</v>
      </c>
      <c r="CH153" s="791">
        <v>581.49163564788921</v>
      </c>
      <c r="CI153" s="791">
        <v>581.49163564788921</v>
      </c>
      <c r="CJ153" s="791">
        <v>581.49163564788921</v>
      </c>
      <c r="CK153" s="791">
        <v>581.49163564788921</v>
      </c>
      <c r="CL153" s="791">
        <v>581.49163564788921</v>
      </c>
      <c r="CM153" s="791">
        <v>581.49163564788921</v>
      </c>
      <c r="CN153" s="791">
        <v>581.49163564788921</v>
      </c>
      <c r="CO153" s="708"/>
      <c r="CP153" s="708"/>
      <c r="CQ153" s="708"/>
      <c r="CR153" s="708"/>
    </row>
    <row r="154" spans="1:96">
      <c r="A154" s="743" t="s">
        <v>3</v>
      </c>
      <c r="B154" s="752">
        <v>41705</v>
      </c>
      <c r="C154" s="743">
        <v>2014</v>
      </c>
      <c r="D154" s="746" t="s">
        <v>15</v>
      </c>
      <c r="E154" s="746" t="s">
        <v>25</v>
      </c>
      <c r="F154" s="746" t="s">
        <v>17</v>
      </c>
      <c r="G154" s="746" t="s">
        <v>58</v>
      </c>
      <c r="H154" s="694" t="s">
        <v>959</v>
      </c>
      <c r="I154" s="746" t="s">
        <v>5</v>
      </c>
      <c r="J154" s="746" t="s">
        <v>376</v>
      </c>
      <c r="K154" s="706">
        <v>1</v>
      </c>
      <c r="L154" s="745" t="s">
        <v>58</v>
      </c>
      <c r="M154" s="743" t="s">
        <v>936</v>
      </c>
      <c r="N154" s="743">
        <v>19</v>
      </c>
      <c r="O154" s="706"/>
      <c r="P154" s="706"/>
      <c r="Q154" s="706"/>
      <c r="R154" s="706"/>
      <c r="S154" s="706"/>
      <c r="T154" s="706"/>
      <c r="U154" s="738">
        <v>0.62806842093767556</v>
      </c>
      <c r="V154" s="738">
        <v>1227.8974155200376</v>
      </c>
      <c r="W154" s="793">
        <v>0.62806842093767556</v>
      </c>
      <c r="X154" s="708">
        <v>1227.8974155200376</v>
      </c>
      <c r="Y154" s="719">
        <v>23330.050894880715</v>
      </c>
      <c r="Z154" s="719">
        <v>11048.341077309895</v>
      </c>
      <c r="AA154" s="719">
        <v>581.49163564788921</v>
      </c>
      <c r="AB154" s="738">
        <v>0.29743244734753344</v>
      </c>
      <c r="AC154" s="792">
        <v>1</v>
      </c>
      <c r="AD154" s="792">
        <v>1</v>
      </c>
      <c r="AE154" s="717">
        <v>0.56884057971014501</v>
      </c>
      <c r="AF154" s="714">
        <v>4.2407531067898789E-2</v>
      </c>
      <c r="AG154" s="706"/>
      <c r="AH154" s="792">
        <v>0.47356695135775378</v>
      </c>
      <c r="AI154" s="748">
        <v>0.56884057971014501</v>
      </c>
      <c r="AJ154" s="748">
        <v>4.2407531067898789E-2</v>
      </c>
      <c r="AK154" s="748"/>
      <c r="AL154" s="714">
        <v>0.47356695135775378</v>
      </c>
      <c r="AM154" s="706"/>
      <c r="AN154" s="706"/>
      <c r="AO154" s="706"/>
      <c r="AP154" s="747"/>
      <c r="AQ154" s="733"/>
      <c r="AR154" s="706" t="s">
        <v>957</v>
      </c>
      <c r="AS154" s="706"/>
      <c r="AT154" s="706"/>
      <c r="AU154" s="710"/>
      <c r="AV154" s="706">
        <v>0.29743244734753344</v>
      </c>
      <c r="AW154" s="706">
        <v>0.29743244734753344</v>
      </c>
      <c r="AX154" s="706">
        <v>0.29743244734753344</v>
      </c>
      <c r="AY154" s="706">
        <v>0.29743244734753344</v>
      </c>
      <c r="AZ154" s="706">
        <v>0.29743244734753344</v>
      </c>
      <c r="BA154" s="706">
        <v>0.29743244734753344</v>
      </c>
      <c r="BB154" s="706">
        <v>0.29743244734753344</v>
      </c>
      <c r="BC154" s="706">
        <v>0.29743244734753344</v>
      </c>
      <c r="BD154" s="706">
        <v>0.29743244734753344</v>
      </c>
      <c r="BE154" s="706">
        <v>0.29743244734753344</v>
      </c>
      <c r="BF154" s="706">
        <v>0.29743244734753344</v>
      </c>
      <c r="BG154" s="706">
        <v>0.29743244734753344</v>
      </c>
      <c r="BH154" s="706">
        <v>0.29743244734753344</v>
      </c>
      <c r="BI154" s="706">
        <v>0.29743244734753344</v>
      </c>
      <c r="BJ154" s="706">
        <v>0.29743244734753344</v>
      </c>
      <c r="BK154" s="706">
        <v>0.29743244734753344</v>
      </c>
      <c r="BL154" s="706">
        <v>0.29743244734753344</v>
      </c>
      <c r="BM154" s="706">
        <v>0.29743244734753344</v>
      </c>
      <c r="BN154" s="706">
        <v>0.29743244734753344</v>
      </c>
      <c r="BO154" s="710"/>
      <c r="BP154" s="710"/>
      <c r="BQ154" s="710"/>
      <c r="BR154" s="710"/>
      <c r="BS154" s="706"/>
      <c r="BT154" s="706"/>
      <c r="BU154" s="708"/>
      <c r="BV154" s="791">
        <v>581.49163564788921</v>
      </c>
      <c r="BW154" s="791">
        <v>581.49163564788921</v>
      </c>
      <c r="BX154" s="791">
        <v>581.49163564788921</v>
      </c>
      <c r="BY154" s="791">
        <v>581.49163564788921</v>
      </c>
      <c r="BZ154" s="791">
        <v>581.49163564788921</v>
      </c>
      <c r="CA154" s="791">
        <v>581.49163564788921</v>
      </c>
      <c r="CB154" s="791">
        <v>581.49163564788921</v>
      </c>
      <c r="CC154" s="791">
        <v>581.49163564788921</v>
      </c>
      <c r="CD154" s="791">
        <v>581.49163564788921</v>
      </c>
      <c r="CE154" s="791">
        <v>581.49163564788921</v>
      </c>
      <c r="CF154" s="791">
        <v>581.49163564788921</v>
      </c>
      <c r="CG154" s="791">
        <v>581.49163564788921</v>
      </c>
      <c r="CH154" s="791">
        <v>581.49163564788921</v>
      </c>
      <c r="CI154" s="791">
        <v>581.49163564788921</v>
      </c>
      <c r="CJ154" s="791">
        <v>581.49163564788921</v>
      </c>
      <c r="CK154" s="791">
        <v>581.49163564788921</v>
      </c>
      <c r="CL154" s="791">
        <v>581.49163564788921</v>
      </c>
      <c r="CM154" s="791">
        <v>581.49163564788921</v>
      </c>
      <c r="CN154" s="791">
        <v>581.49163564788921</v>
      </c>
      <c r="CO154" s="708"/>
      <c r="CP154" s="708"/>
      <c r="CQ154" s="708"/>
      <c r="CR154" s="708"/>
    </row>
    <row r="155" spans="1:96">
      <c r="A155" s="743" t="s">
        <v>3</v>
      </c>
      <c r="B155" s="752">
        <v>41767</v>
      </c>
      <c r="C155" s="743">
        <v>2014</v>
      </c>
      <c r="D155" s="746" t="s">
        <v>15</v>
      </c>
      <c r="E155" s="746" t="s">
        <v>25</v>
      </c>
      <c r="F155" s="746" t="s">
        <v>17</v>
      </c>
      <c r="G155" s="746" t="s">
        <v>58</v>
      </c>
      <c r="H155" s="694" t="s">
        <v>959</v>
      </c>
      <c r="I155" s="746" t="s">
        <v>5</v>
      </c>
      <c r="J155" s="746" t="s">
        <v>376</v>
      </c>
      <c r="K155" s="706">
        <v>1</v>
      </c>
      <c r="L155" s="745" t="s">
        <v>58</v>
      </c>
      <c r="M155" s="743" t="s">
        <v>1057</v>
      </c>
      <c r="N155" s="743">
        <v>19</v>
      </c>
      <c r="O155" s="706"/>
      <c r="P155" s="706"/>
      <c r="Q155" s="706"/>
      <c r="R155" s="706"/>
      <c r="S155" s="706"/>
      <c r="T155" s="706"/>
      <c r="U155" s="738">
        <v>0.62806842093767556</v>
      </c>
      <c r="V155" s="738">
        <v>1227.8974155200376</v>
      </c>
      <c r="W155" s="793">
        <v>0.62806842093767556</v>
      </c>
      <c r="X155" s="708">
        <v>1227.8974155200376</v>
      </c>
      <c r="Y155" s="719">
        <v>23330.050894880715</v>
      </c>
      <c r="Z155" s="719">
        <v>11048.341077309895</v>
      </c>
      <c r="AA155" s="719">
        <v>581.49163564788921</v>
      </c>
      <c r="AB155" s="738">
        <v>0.29743244734753344</v>
      </c>
      <c r="AC155" s="792">
        <v>1</v>
      </c>
      <c r="AD155" s="792">
        <v>1</v>
      </c>
      <c r="AE155" s="717">
        <v>0.56884057971014501</v>
      </c>
      <c r="AF155" s="714">
        <v>4.2407531067898789E-2</v>
      </c>
      <c r="AG155" s="706"/>
      <c r="AH155" s="792">
        <v>0.47356695135775378</v>
      </c>
      <c r="AI155" s="748">
        <v>0.56884057971014501</v>
      </c>
      <c r="AJ155" s="748">
        <v>4.2407531067898789E-2</v>
      </c>
      <c r="AK155" s="748"/>
      <c r="AL155" s="714">
        <v>0.47356695135775378</v>
      </c>
      <c r="AM155" s="706"/>
      <c r="AN155" s="706"/>
      <c r="AO155" s="706"/>
      <c r="AP155" s="747"/>
      <c r="AQ155" s="733"/>
      <c r="AR155" s="706" t="s">
        <v>957</v>
      </c>
      <c r="AS155" s="706"/>
      <c r="AT155" s="706"/>
      <c r="AU155" s="710"/>
      <c r="AV155" s="706">
        <v>0.29743244734753344</v>
      </c>
      <c r="AW155" s="706">
        <v>0.29743244734753344</v>
      </c>
      <c r="AX155" s="706">
        <v>0.29743244734753344</v>
      </c>
      <c r="AY155" s="706">
        <v>0.29743244734753344</v>
      </c>
      <c r="AZ155" s="706">
        <v>0.29743244734753344</v>
      </c>
      <c r="BA155" s="706">
        <v>0.29743244734753344</v>
      </c>
      <c r="BB155" s="706">
        <v>0.29743244734753344</v>
      </c>
      <c r="BC155" s="706">
        <v>0.29743244734753344</v>
      </c>
      <c r="BD155" s="706">
        <v>0.29743244734753344</v>
      </c>
      <c r="BE155" s="706">
        <v>0.29743244734753344</v>
      </c>
      <c r="BF155" s="706">
        <v>0.29743244734753344</v>
      </c>
      <c r="BG155" s="706">
        <v>0.29743244734753344</v>
      </c>
      <c r="BH155" s="706">
        <v>0.29743244734753344</v>
      </c>
      <c r="BI155" s="706">
        <v>0.29743244734753344</v>
      </c>
      <c r="BJ155" s="706">
        <v>0.29743244734753344</v>
      </c>
      <c r="BK155" s="706">
        <v>0.29743244734753344</v>
      </c>
      <c r="BL155" s="706">
        <v>0.29743244734753344</v>
      </c>
      <c r="BM155" s="706">
        <v>0.29743244734753344</v>
      </c>
      <c r="BN155" s="706">
        <v>0.29743244734753344</v>
      </c>
      <c r="BO155" s="710"/>
      <c r="BP155" s="710"/>
      <c r="BQ155" s="710"/>
      <c r="BR155" s="710"/>
      <c r="BS155" s="706"/>
      <c r="BT155" s="706"/>
      <c r="BU155" s="708"/>
      <c r="BV155" s="791">
        <v>581.49163564788921</v>
      </c>
      <c r="BW155" s="791">
        <v>581.49163564788921</v>
      </c>
      <c r="BX155" s="791">
        <v>581.49163564788921</v>
      </c>
      <c r="BY155" s="791">
        <v>581.49163564788921</v>
      </c>
      <c r="BZ155" s="791">
        <v>581.49163564788921</v>
      </c>
      <c r="CA155" s="791">
        <v>581.49163564788921</v>
      </c>
      <c r="CB155" s="791">
        <v>581.49163564788921</v>
      </c>
      <c r="CC155" s="791">
        <v>581.49163564788921</v>
      </c>
      <c r="CD155" s="791">
        <v>581.49163564788921</v>
      </c>
      <c r="CE155" s="791">
        <v>581.49163564788921</v>
      </c>
      <c r="CF155" s="791">
        <v>581.49163564788921</v>
      </c>
      <c r="CG155" s="791">
        <v>581.49163564788921</v>
      </c>
      <c r="CH155" s="791">
        <v>581.49163564788921</v>
      </c>
      <c r="CI155" s="791">
        <v>581.49163564788921</v>
      </c>
      <c r="CJ155" s="791">
        <v>581.49163564788921</v>
      </c>
      <c r="CK155" s="791">
        <v>581.49163564788921</v>
      </c>
      <c r="CL155" s="791">
        <v>581.49163564788921</v>
      </c>
      <c r="CM155" s="791">
        <v>581.49163564788921</v>
      </c>
      <c r="CN155" s="791">
        <v>581.49163564788921</v>
      </c>
      <c r="CO155" s="708"/>
      <c r="CP155" s="708"/>
      <c r="CQ155" s="708"/>
      <c r="CR155" s="708"/>
    </row>
    <row r="156" spans="1:96">
      <c r="A156" s="743" t="s">
        <v>3</v>
      </c>
      <c r="B156" s="752">
        <v>41775</v>
      </c>
      <c r="C156" s="743">
        <v>2014</v>
      </c>
      <c r="D156" s="746" t="s">
        <v>15</v>
      </c>
      <c r="E156" s="746" t="s">
        <v>25</v>
      </c>
      <c r="F156" s="746" t="s">
        <v>17</v>
      </c>
      <c r="G156" s="746" t="s">
        <v>58</v>
      </c>
      <c r="H156" s="694" t="s">
        <v>959</v>
      </c>
      <c r="I156" s="746" t="s">
        <v>5</v>
      </c>
      <c r="J156" s="746" t="s">
        <v>376</v>
      </c>
      <c r="K156" s="706">
        <v>1</v>
      </c>
      <c r="L156" s="745" t="s">
        <v>58</v>
      </c>
      <c r="M156" s="743" t="s">
        <v>935</v>
      </c>
      <c r="N156" s="743">
        <v>19</v>
      </c>
      <c r="O156" s="706"/>
      <c r="P156" s="706"/>
      <c r="Q156" s="706"/>
      <c r="R156" s="706"/>
      <c r="S156" s="706"/>
      <c r="T156" s="706"/>
      <c r="U156" s="738">
        <v>0.62806842093767556</v>
      </c>
      <c r="V156" s="738">
        <v>1227.8974155200376</v>
      </c>
      <c r="W156" s="793">
        <v>0.62806842093767556</v>
      </c>
      <c r="X156" s="708">
        <v>1227.8974155200376</v>
      </c>
      <c r="Y156" s="719">
        <v>23330.050894880715</v>
      </c>
      <c r="Z156" s="719">
        <v>11048.341077309895</v>
      </c>
      <c r="AA156" s="719">
        <v>581.49163564788921</v>
      </c>
      <c r="AB156" s="738">
        <v>0.29743244734753344</v>
      </c>
      <c r="AC156" s="792">
        <v>1</v>
      </c>
      <c r="AD156" s="792">
        <v>1</v>
      </c>
      <c r="AE156" s="717">
        <v>0.56884057971014501</v>
      </c>
      <c r="AF156" s="714">
        <v>4.2407531067898789E-2</v>
      </c>
      <c r="AG156" s="706"/>
      <c r="AH156" s="792">
        <v>0.47356695135775378</v>
      </c>
      <c r="AI156" s="748">
        <v>0.56884057971014501</v>
      </c>
      <c r="AJ156" s="748">
        <v>4.2407531067898789E-2</v>
      </c>
      <c r="AK156" s="748"/>
      <c r="AL156" s="714">
        <v>0.47356695135775378</v>
      </c>
      <c r="AM156" s="706"/>
      <c r="AN156" s="706"/>
      <c r="AO156" s="706"/>
      <c r="AP156" s="747"/>
      <c r="AQ156" s="733"/>
      <c r="AR156" s="706" t="s">
        <v>957</v>
      </c>
      <c r="AS156" s="706"/>
      <c r="AT156" s="706"/>
      <c r="AU156" s="710"/>
      <c r="AV156" s="706">
        <v>0.29743244734753344</v>
      </c>
      <c r="AW156" s="706">
        <v>0.29743244734753344</v>
      </c>
      <c r="AX156" s="706">
        <v>0.29743244734753344</v>
      </c>
      <c r="AY156" s="706">
        <v>0.29743244734753344</v>
      </c>
      <c r="AZ156" s="706">
        <v>0.29743244734753344</v>
      </c>
      <c r="BA156" s="706">
        <v>0.29743244734753344</v>
      </c>
      <c r="BB156" s="706">
        <v>0.29743244734753344</v>
      </c>
      <c r="BC156" s="706">
        <v>0.29743244734753344</v>
      </c>
      <c r="BD156" s="706">
        <v>0.29743244734753344</v>
      </c>
      <c r="BE156" s="706">
        <v>0.29743244734753344</v>
      </c>
      <c r="BF156" s="706">
        <v>0.29743244734753344</v>
      </c>
      <c r="BG156" s="706">
        <v>0.29743244734753344</v>
      </c>
      <c r="BH156" s="706">
        <v>0.29743244734753344</v>
      </c>
      <c r="BI156" s="706">
        <v>0.29743244734753344</v>
      </c>
      <c r="BJ156" s="706">
        <v>0.29743244734753344</v>
      </c>
      <c r="BK156" s="706">
        <v>0.29743244734753344</v>
      </c>
      <c r="BL156" s="706">
        <v>0.29743244734753344</v>
      </c>
      <c r="BM156" s="706">
        <v>0.29743244734753344</v>
      </c>
      <c r="BN156" s="706">
        <v>0.29743244734753344</v>
      </c>
      <c r="BO156" s="710"/>
      <c r="BP156" s="710"/>
      <c r="BQ156" s="710"/>
      <c r="BR156" s="710"/>
      <c r="BS156" s="706"/>
      <c r="BT156" s="706"/>
      <c r="BU156" s="708"/>
      <c r="BV156" s="791">
        <v>581.49163564788921</v>
      </c>
      <c r="BW156" s="791">
        <v>581.49163564788921</v>
      </c>
      <c r="BX156" s="791">
        <v>581.49163564788921</v>
      </c>
      <c r="BY156" s="791">
        <v>581.49163564788921</v>
      </c>
      <c r="BZ156" s="791">
        <v>581.49163564788921</v>
      </c>
      <c r="CA156" s="791">
        <v>581.49163564788921</v>
      </c>
      <c r="CB156" s="791">
        <v>581.49163564788921</v>
      </c>
      <c r="CC156" s="791">
        <v>581.49163564788921</v>
      </c>
      <c r="CD156" s="791">
        <v>581.49163564788921</v>
      </c>
      <c r="CE156" s="791">
        <v>581.49163564788921</v>
      </c>
      <c r="CF156" s="791">
        <v>581.49163564788921</v>
      </c>
      <c r="CG156" s="791">
        <v>581.49163564788921</v>
      </c>
      <c r="CH156" s="791">
        <v>581.49163564788921</v>
      </c>
      <c r="CI156" s="791">
        <v>581.49163564788921</v>
      </c>
      <c r="CJ156" s="791">
        <v>581.49163564788921</v>
      </c>
      <c r="CK156" s="791">
        <v>581.49163564788921</v>
      </c>
      <c r="CL156" s="791">
        <v>581.49163564788921</v>
      </c>
      <c r="CM156" s="791">
        <v>581.49163564788921</v>
      </c>
      <c r="CN156" s="791">
        <v>581.49163564788921</v>
      </c>
      <c r="CO156" s="708"/>
      <c r="CP156" s="708"/>
      <c r="CQ156" s="708"/>
      <c r="CR156" s="708"/>
    </row>
    <row r="157" spans="1:96">
      <c r="A157" s="743" t="s">
        <v>3</v>
      </c>
      <c r="B157" s="752">
        <v>41765</v>
      </c>
      <c r="C157" s="743">
        <v>2014</v>
      </c>
      <c r="D157" s="746" t="s">
        <v>15</v>
      </c>
      <c r="E157" s="746" t="s">
        <v>25</v>
      </c>
      <c r="F157" s="746" t="s">
        <v>17</v>
      </c>
      <c r="G157" s="746" t="s">
        <v>58</v>
      </c>
      <c r="H157" s="694" t="s">
        <v>959</v>
      </c>
      <c r="I157" s="746" t="s">
        <v>5</v>
      </c>
      <c r="J157" s="746" t="s">
        <v>376</v>
      </c>
      <c r="K157" s="706">
        <v>1</v>
      </c>
      <c r="L157" s="745" t="s">
        <v>58</v>
      </c>
      <c r="M157" s="743" t="s">
        <v>1056</v>
      </c>
      <c r="N157" s="743">
        <v>19</v>
      </c>
      <c r="O157" s="706"/>
      <c r="P157" s="706"/>
      <c r="Q157" s="706"/>
      <c r="R157" s="706"/>
      <c r="S157" s="706"/>
      <c r="T157" s="706"/>
      <c r="U157" s="738">
        <v>0.62806842093767556</v>
      </c>
      <c r="V157" s="738">
        <v>1227.8974155200376</v>
      </c>
      <c r="W157" s="793">
        <v>0.62806842093767556</v>
      </c>
      <c r="X157" s="708">
        <v>1227.8974155200376</v>
      </c>
      <c r="Y157" s="719">
        <v>23330.050894880715</v>
      </c>
      <c r="Z157" s="719">
        <v>11048.341077309895</v>
      </c>
      <c r="AA157" s="719">
        <v>581.49163564788921</v>
      </c>
      <c r="AB157" s="738">
        <v>0.29743244734753344</v>
      </c>
      <c r="AC157" s="792">
        <v>1</v>
      </c>
      <c r="AD157" s="792">
        <v>1</v>
      </c>
      <c r="AE157" s="717">
        <v>0.56884057971014501</v>
      </c>
      <c r="AF157" s="714">
        <v>4.2407531067898789E-2</v>
      </c>
      <c r="AG157" s="706"/>
      <c r="AH157" s="792">
        <v>0.47356695135775378</v>
      </c>
      <c r="AI157" s="748">
        <v>0.56884057971014501</v>
      </c>
      <c r="AJ157" s="748">
        <v>4.2407531067898789E-2</v>
      </c>
      <c r="AK157" s="748"/>
      <c r="AL157" s="714">
        <v>0.47356695135775378</v>
      </c>
      <c r="AM157" s="706"/>
      <c r="AN157" s="706"/>
      <c r="AO157" s="706"/>
      <c r="AP157" s="747"/>
      <c r="AQ157" s="733"/>
      <c r="AR157" s="706" t="s">
        <v>957</v>
      </c>
      <c r="AS157" s="706"/>
      <c r="AT157" s="706"/>
      <c r="AU157" s="710"/>
      <c r="AV157" s="706">
        <v>0.29743244734753344</v>
      </c>
      <c r="AW157" s="706">
        <v>0.29743244734753344</v>
      </c>
      <c r="AX157" s="706">
        <v>0.29743244734753344</v>
      </c>
      <c r="AY157" s="706">
        <v>0.29743244734753344</v>
      </c>
      <c r="AZ157" s="706">
        <v>0.29743244734753344</v>
      </c>
      <c r="BA157" s="706">
        <v>0.29743244734753344</v>
      </c>
      <c r="BB157" s="706">
        <v>0.29743244734753344</v>
      </c>
      <c r="BC157" s="706">
        <v>0.29743244734753344</v>
      </c>
      <c r="BD157" s="706">
        <v>0.29743244734753344</v>
      </c>
      <c r="BE157" s="706">
        <v>0.29743244734753344</v>
      </c>
      <c r="BF157" s="706">
        <v>0.29743244734753344</v>
      </c>
      <c r="BG157" s="706">
        <v>0.29743244734753344</v>
      </c>
      <c r="BH157" s="706">
        <v>0.29743244734753344</v>
      </c>
      <c r="BI157" s="706">
        <v>0.29743244734753344</v>
      </c>
      <c r="BJ157" s="706">
        <v>0.29743244734753344</v>
      </c>
      <c r="BK157" s="706">
        <v>0.29743244734753344</v>
      </c>
      <c r="BL157" s="706">
        <v>0.29743244734753344</v>
      </c>
      <c r="BM157" s="706">
        <v>0.29743244734753344</v>
      </c>
      <c r="BN157" s="706">
        <v>0.29743244734753344</v>
      </c>
      <c r="BO157" s="710"/>
      <c r="BP157" s="710"/>
      <c r="BQ157" s="710"/>
      <c r="BR157" s="710"/>
      <c r="BS157" s="706"/>
      <c r="BT157" s="706"/>
      <c r="BU157" s="708"/>
      <c r="BV157" s="791">
        <v>581.49163564788921</v>
      </c>
      <c r="BW157" s="791">
        <v>581.49163564788921</v>
      </c>
      <c r="BX157" s="791">
        <v>581.49163564788921</v>
      </c>
      <c r="BY157" s="791">
        <v>581.49163564788921</v>
      </c>
      <c r="BZ157" s="791">
        <v>581.49163564788921</v>
      </c>
      <c r="CA157" s="791">
        <v>581.49163564788921</v>
      </c>
      <c r="CB157" s="791">
        <v>581.49163564788921</v>
      </c>
      <c r="CC157" s="791">
        <v>581.49163564788921</v>
      </c>
      <c r="CD157" s="791">
        <v>581.49163564788921</v>
      </c>
      <c r="CE157" s="791">
        <v>581.49163564788921</v>
      </c>
      <c r="CF157" s="791">
        <v>581.49163564788921</v>
      </c>
      <c r="CG157" s="791">
        <v>581.49163564788921</v>
      </c>
      <c r="CH157" s="791">
        <v>581.49163564788921</v>
      </c>
      <c r="CI157" s="791">
        <v>581.49163564788921</v>
      </c>
      <c r="CJ157" s="791">
        <v>581.49163564788921</v>
      </c>
      <c r="CK157" s="791">
        <v>581.49163564788921</v>
      </c>
      <c r="CL157" s="791">
        <v>581.49163564788921</v>
      </c>
      <c r="CM157" s="791">
        <v>581.49163564788921</v>
      </c>
      <c r="CN157" s="791">
        <v>581.49163564788921</v>
      </c>
      <c r="CO157" s="708"/>
      <c r="CP157" s="708"/>
      <c r="CQ157" s="708"/>
      <c r="CR157" s="708"/>
    </row>
    <row r="158" spans="1:96">
      <c r="A158" s="743" t="s">
        <v>3</v>
      </c>
      <c r="B158" s="752">
        <v>41767</v>
      </c>
      <c r="C158" s="743">
        <v>2014</v>
      </c>
      <c r="D158" s="746" t="s">
        <v>15</v>
      </c>
      <c r="E158" s="746" t="s">
        <v>25</v>
      </c>
      <c r="F158" s="746" t="s">
        <v>17</v>
      </c>
      <c r="G158" s="746" t="s">
        <v>58</v>
      </c>
      <c r="H158" s="694" t="s">
        <v>959</v>
      </c>
      <c r="I158" s="746" t="s">
        <v>5</v>
      </c>
      <c r="J158" s="746" t="s">
        <v>376</v>
      </c>
      <c r="K158" s="706">
        <v>1</v>
      </c>
      <c r="L158" s="745" t="s">
        <v>58</v>
      </c>
      <c r="M158" s="743" t="s">
        <v>1055</v>
      </c>
      <c r="N158" s="743">
        <v>19</v>
      </c>
      <c r="O158" s="706"/>
      <c r="P158" s="706"/>
      <c r="Q158" s="706"/>
      <c r="R158" s="706"/>
      <c r="S158" s="706"/>
      <c r="T158" s="706"/>
      <c r="U158" s="738">
        <v>0.62806842093767556</v>
      </c>
      <c r="V158" s="738">
        <v>1227.8974155200376</v>
      </c>
      <c r="W158" s="793">
        <v>0.62806842093767556</v>
      </c>
      <c r="X158" s="708">
        <v>1227.8974155200376</v>
      </c>
      <c r="Y158" s="719">
        <v>23330.050894880715</v>
      </c>
      <c r="Z158" s="719">
        <v>11048.341077309895</v>
      </c>
      <c r="AA158" s="719">
        <v>581.49163564788921</v>
      </c>
      <c r="AB158" s="738">
        <v>0.29743244734753344</v>
      </c>
      <c r="AC158" s="792">
        <v>1</v>
      </c>
      <c r="AD158" s="792">
        <v>1</v>
      </c>
      <c r="AE158" s="717">
        <v>0.56884057971014501</v>
      </c>
      <c r="AF158" s="714">
        <v>4.2407531067898789E-2</v>
      </c>
      <c r="AG158" s="706"/>
      <c r="AH158" s="792">
        <v>0.47356695135775378</v>
      </c>
      <c r="AI158" s="748">
        <v>0.56884057971014501</v>
      </c>
      <c r="AJ158" s="748">
        <v>4.2407531067898789E-2</v>
      </c>
      <c r="AK158" s="748"/>
      <c r="AL158" s="714">
        <v>0.47356695135775378</v>
      </c>
      <c r="AM158" s="706"/>
      <c r="AN158" s="706"/>
      <c r="AO158" s="706"/>
      <c r="AP158" s="747"/>
      <c r="AQ158" s="733"/>
      <c r="AR158" s="706" t="s">
        <v>957</v>
      </c>
      <c r="AS158" s="706"/>
      <c r="AT158" s="706"/>
      <c r="AU158" s="710"/>
      <c r="AV158" s="706">
        <v>0.29743244734753344</v>
      </c>
      <c r="AW158" s="706">
        <v>0.29743244734753344</v>
      </c>
      <c r="AX158" s="706">
        <v>0.29743244734753344</v>
      </c>
      <c r="AY158" s="706">
        <v>0.29743244734753344</v>
      </c>
      <c r="AZ158" s="706">
        <v>0.29743244734753344</v>
      </c>
      <c r="BA158" s="706">
        <v>0.29743244734753344</v>
      </c>
      <c r="BB158" s="706">
        <v>0.29743244734753344</v>
      </c>
      <c r="BC158" s="706">
        <v>0.29743244734753344</v>
      </c>
      <c r="BD158" s="706">
        <v>0.29743244734753344</v>
      </c>
      <c r="BE158" s="706">
        <v>0.29743244734753344</v>
      </c>
      <c r="BF158" s="706">
        <v>0.29743244734753344</v>
      </c>
      <c r="BG158" s="706">
        <v>0.29743244734753344</v>
      </c>
      <c r="BH158" s="706">
        <v>0.29743244734753344</v>
      </c>
      <c r="BI158" s="706">
        <v>0.29743244734753344</v>
      </c>
      <c r="BJ158" s="706">
        <v>0.29743244734753344</v>
      </c>
      <c r="BK158" s="706">
        <v>0.29743244734753344</v>
      </c>
      <c r="BL158" s="706">
        <v>0.29743244734753344</v>
      </c>
      <c r="BM158" s="706">
        <v>0.29743244734753344</v>
      </c>
      <c r="BN158" s="706">
        <v>0.29743244734753344</v>
      </c>
      <c r="BO158" s="710"/>
      <c r="BP158" s="710"/>
      <c r="BQ158" s="710"/>
      <c r="BR158" s="710"/>
      <c r="BS158" s="706"/>
      <c r="BT158" s="706"/>
      <c r="BU158" s="708"/>
      <c r="BV158" s="791">
        <v>581.49163564788921</v>
      </c>
      <c r="BW158" s="791">
        <v>581.49163564788921</v>
      </c>
      <c r="BX158" s="791">
        <v>581.49163564788921</v>
      </c>
      <c r="BY158" s="791">
        <v>581.49163564788921</v>
      </c>
      <c r="BZ158" s="791">
        <v>581.49163564788921</v>
      </c>
      <c r="CA158" s="791">
        <v>581.49163564788921</v>
      </c>
      <c r="CB158" s="791">
        <v>581.49163564788921</v>
      </c>
      <c r="CC158" s="791">
        <v>581.49163564788921</v>
      </c>
      <c r="CD158" s="791">
        <v>581.49163564788921</v>
      </c>
      <c r="CE158" s="791">
        <v>581.49163564788921</v>
      </c>
      <c r="CF158" s="791">
        <v>581.49163564788921</v>
      </c>
      <c r="CG158" s="791">
        <v>581.49163564788921</v>
      </c>
      <c r="CH158" s="791">
        <v>581.49163564788921</v>
      </c>
      <c r="CI158" s="791">
        <v>581.49163564788921</v>
      </c>
      <c r="CJ158" s="791">
        <v>581.49163564788921</v>
      </c>
      <c r="CK158" s="791">
        <v>581.49163564788921</v>
      </c>
      <c r="CL158" s="791">
        <v>581.49163564788921</v>
      </c>
      <c r="CM158" s="791">
        <v>581.49163564788921</v>
      </c>
      <c r="CN158" s="791">
        <v>581.49163564788921</v>
      </c>
      <c r="CO158" s="708"/>
      <c r="CP158" s="708"/>
      <c r="CQ158" s="708"/>
      <c r="CR158" s="708"/>
    </row>
    <row r="159" spans="1:96">
      <c r="A159" s="743" t="s">
        <v>3</v>
      </c>
      <c r="B159" s="752">
        <v>41723</v>
      </c>
      <c r="C159" s="743">
        <v>2014</v>
      </c>
      <c r="D159" s="746" t="s">
        <v>15</v>
      </c>
      <c r="E159" s="746" t="s">
        <v>25</v>
      </c>
      <c r="F159" s="746" t="s">
        <v>17</v>
      </c>
      <c r="G159" s="746" t="s">
        <v>58</v>
      </c>
      <c r="H159" s="694" t="s">
        <v>959</v>
      </c>
      <c r="I159" s="746" t="s">
        <v>5</v>
      </c>
      <c r="J159" s="746" t="s">
        <v>376</v>
      </c>
      <c r="K159" s="706">
        <v>1</v>
      </c>
      <c r="L159" s="745" t="s">
        <v>58</v>
      </c>
      <c r="M159" s="743" t="s">
        <v>934</v>
      </c>
      <c r="N159" s="743">
        <v>19</v>
      </c>
      <c r="O159" s="706"/>
      <c r="P159" s="706"/>
      <c r="Q159" s="706"/>
      <c r="R159" s="706"/>
      <c r="S159" s="706"/>
      <c r="T159" s="706"/>
      <c r="U159" s="738">
        <v>0.62806842093767556</v>
      </c>
      <c r="V159" s="738">
        <v>1227.8974155200376</v>
      </c>
      <c r="W159" s="793">
        <v>0.62806842093767556</v>
      </c>
      <c r="X159" s="708">
        <v>1227.8974155200376</v>
      </c>
      <c r="Y159" s="719">
        <v>23330.050894880715</v>
      </c>
      <c r="Z159" s="719">
        <v>11048.341077309895</v>
      </c>
      <c r="AA159" s="719">
        <v>581.49163564788921</v>
      </c>
      <c r="AB159" s="738">
        <v>0.29743244734753344</v>
      </c>
      <c r="AC159" s="792">
        <v>1</v>
      </c>
      <c r="AD159" s="792">
        <v>1</v>
      </c>
      <c r="AE159" s="717">
        <v>0.56884057971014501</v>
      </c>
      <c r="AF159" s="714">
        <v>4.2407531067898789E-2</v>
      </c>
      <c r="AG159" s="706"/>
      <c r="AH159" s="792">
        <v>0.47356695135775378</v>
      </c>
      <c r="AI159" s="748">
        <v>0.56884057971014501</v>
      </c>
      <c r="AJ159" s="748">
        <v>4.2407531067898789E-2</v>
      </c>
      <c r="AK159" s="748"/>
      <c r="AL159" s="714">
        <v>0.47356695135775378</v>
      </c>
      <c r="AM159" s="706"/>
      <c r="AN159" s="706"/>
      <c r="AO159" s="706"/>
      <c r="AP159" s="747"/>
      <c r="AQ159" s="733"/>
      <c r="AR159" s="706" t="s">
        <v>957</v>
      </c>
      <c r="AS159" s="706"/>
      <c r="AT159" s="706"/>
      <c r="AU159" s="710"/>
      <c r="AV159" s="706">
        <v>0.29743244734753344</v>
      </c>
      <c r="AW159" s="706">
        <v>0.29743244734753344</v>
      </c>
      <c r="AX159" s="706">
        <v>0.29743244734753344</v>
      </c>
      <c r="AY159" s="706">
        <v>0.29743244734753344</v>
      </c>
      <c r="AZ159" s="706">
        <v>0.29743244734753344</v>
      </c>
      <c r="BA159" s="706">
        <v>0.29743244734753344</v>
      </c>
      <c r="BB159" s="706">
        <v>0.29743244734753344</v>
      </c>
      <c r="BC159" s="706">
        <v>0.29743244734753344</v>
      </c>
      <c r="BD159" s="706">
        <v>0.29743244734753344</v>
      </c>
      <c r="BE159" s="706">
        <v>0.29743244734753344</v>
      </c>
      <c r="BF159" s="706">
        <v>0.29743244734753344</v>
      </c>
      <c r="BG159" s="706">
        <v>0.29743244734753344</v>
      </c>
      <c r="BH159" s="706">
        <v>0.29743244734753344</v>
      </c>
      <c r="BI159" s="706">
        <v>0.29743244734753344</v>
      </c>
      <c r="BJ159" s="706">
        <v>0.29743244734753344</v>
      </c>
      <c r="BK159" s="706">
        <v>0.29743244734753344</v>
      </c>
      <c r="BL159" s="706">
        <v>0.29743244734753344</v>
      </c>
      <c r="BM159" s="706">
        <v>0.29743244734753344</v>
      </c>
      <c r="BN159" s="706">
        <v>0.29743244734753344</v>
      </c>
      <c r="BO159" s="710"/>
      <c r="BP159" s="710"/>
      <c r="BQ159" s="710"/>
      <c r="BR159" s="710"/>
      <c r="BS159" s="706"/>
      <c r="BT159" s="706"/>
      <c r="BU159" s="708"/>
      <c r="BV159" s="791">
        <v>581.49163564788921</v>
      </c>
      <c r="BW159" s="791">
        <v>581.49163564788921</v>
      </c>
      <c r="BX159" s="791">
        <v>581.49163564788921</v>
      </c>
      <c r="BY159" s="791">
        <v>581.49163564788921</v>
      </c>
      <c r="BZ159" s="791">
        <v>581.49163564788921</v>
      </c>
      <c r="CA159" s="791">
        <v>581.49163564788921</v>
      </c>
      <c r="CB159" s="791">
        <v>581.49163564788921</v>
      </c>
      <c r="CC159" s="791">
        <v>581.49163564788921</v>
      </c>
      <c r="CD159" s="791">
        <v>581.49163564788921</v>
      </c>
      <c r="CE159" s="791">
        <v>581.49163564788921</v>
      </c>
      <c r="CF159" s="791">
        <v>581.49163564788921</v>
      </c>
      <c r="CG159" s="791">
        <v>581.49163564788921</v>
      </c>
      <c r="CH159" s="791">
        <v>581.49163564788921</v>
      </c>
      <c r="CI159" s="791">
        <v>581.49163564788921</v>
      </c>
      <c r="CJ159" s="791">
        <v>581.49163564788921</v>
      </c>
      <c r="CK159" s="791">
        <v>581.49163564788921</v>
      </c>
      <c r="CL159" s="791">
        <v>581.49163564788921</v>
      </c>
      <c r="CM159" s="791">
        <v>581.49163564788921</v>
      </c>
      <c r="CN159" s="791">
        <v>581.49163564788921</v>
      </c>
      <c r="CO159" s="708"/>
      <c r="CP159" s="708"/>
      <c r="CQ159" s="708"/>
      <c r="CR159" s="708"/>
    </row>
    <row r="160" spans="1:96">
      <c r="A160" s="743" t="s">
        <v>3</v>
      </c>
      <c r="B160" s="752">
        <v>41842</v>
      </c>
      <c r="C160" s="743">
        <v>2014</v>
      </c>
      <c r="D160" s="746" t="s">
        <v>15</v>
      </c>
      <c r="E160" s="746" t="s">
        <v>25</v>
      </c>
      <c r="F160" s="746" t="s">
        <v>17</v>
      </c>
      <c r="G160" s="746" t="s">
        <v>58</v>
      </c>
      <c r="H160" s="694" t="s">
        <v>959</v>
      </c>
      <c r="I160" s="746" t="s">
        <v>5</v>
      </c>
      <c r="J160" s="746" t="s">
        <v>376</v>
      </c>
      <c r="K160" s="706">
        <v>1</v>
      </c>
      <c r="L160" s="745" t="s">
        <v>58</v>
      </c>
      <c r="M160" s="743" t="s">
        <v>933</v>
      </c>
      <c r="N160" s="743">
        <v>19</v>
      </c>
      <c r="O160" s="706"/>
      <c r="P160" s="706"/>
      <c r="Q160" s="706"/>
      <c r="R160" s="706"/>
      <c r="S160" s="706"/>
      <c r="T160" s="706"/>
      <c r="U160" s="738">
        <v>0.62806842093767556</v>
      </c>
      <c r="V160" s="738">
        <v>1227.8974155200376</v>
      </c>
      <c r="W160" s="793">
        <v>0.62806842093767556</v>
      </c>
      <c r="X160" s="708">
        <v>1227.8974155200376</v>
      </c>
      <c r="Y160" s="719">
        <v>23330.050894880715</v>
      </c>
      <c r="Z160" s="719">
        <v>11048.341077309895</v>
      </c>
      <c r="AA160" s="719">
        <v>581.49163564788921</v>
      </c>
      <c r="AB160" s="738">
        <v>0.29743244734753344</v>
      </c>
      <c r="AC160" s="792">
        <v>1</v>
      </c>
      <c r="AD160" s="792">
        <v>1</v>
      </c>
      <c r="AE160" s="717">
        <v>0.56884057971014501</v>
      </c>
      <c r="AF160" s="714">
        <v>4.2407531067898789E-2</v>
      </c>
      <c r="AG160" s="706"/>
      <c r="AH160" s="792">
        <v>0.47356695135775378</v>
      </c>
      <c r="AI160" s="748">
        <v>0.56884057971014501</v>
      </c>
      <c r="AJ160" s="748">
        <v>4.2407531067898789E-2</v>
      </c>
      <c r="AK160" s="748"/>
      <c r="AL160" s="714">
        <v>0.47356695135775378</v>
      </c>
      <c r="AM160" s="706"/>
      <c r="AN160" s="706"/>
      <c r="AO160" s="706"/>
      <c r="AP160" s="747"/>
      <c r="AQ160" s="733"/>
      <c r="AR160" s="706" t="s">
        <v>957</v>
      </c>
      <c r="AS160" s="706"/>
      <c r="AT160" s="706"/>
      <c r="AU160" s="710"/>
      <c r="AV160" s="706">
        <v>0.29743244734753344</v>
      </c>
      <c r="AW160" s="706">
        <v>0.29743244734753344</v>
      </c>
      <c r="AX160" s="706">
        <v>0.29743244734753344</v>
      </c>
      <c r="AY160" s="706">
        <v>0.29743244734753344</v>
      </c>
      <c r="AZ160" s="706">
        <v>0.29743244734753344</v>
      </c>
      <c r="BA160" s="706">
        <v>0.29743244734753344</v>
      </c>
      <c r="BB160" s="706">
        <v>0.29743244734753344</v>
      </c>
      <c r="BC160" s="706">
        <v>0.29743244734753344</v>
      </c>
      <c r="BD160" s="706">
        <v>0.29743244734753344</v>
      </c>
      <c r="BE160" s="706">
        <v>0.29743244734753344</v>
      </c>
      <c r="BF160" s="706">
        <v>0.29743244734753344</v>
      </c>
      <c r="BG160" s="706">
        <v>0.29743244734753344</v>
      </c>
      <c r="BH160" s="706">
        <v>0.29743244734753344</v>
      </c>
      <c r="BI160" s="706">
        <v>0.29743244734753344</v>
      </c>
      <c r="BJ160" s="706">
        <v>0.29743244734753344</v>
      </c>
      <c r="BK160" s="706">
        <v>0.29743244734753344</v>
      </c>
      <c r="BL160" s="706">
        <v>0.29743244734753344</v>
      </c>
      <c r="BM160" s="706">
        <v>0.29743244734753344</v>
      </c>
      <c r="BN160" s="706">
        <v>0.29743244734753344</v>
      </c>
      <c r="BO160" s="710"/>
      <c r="BP160" s="710"/>
      <c r="BQ160" s="710"/>
      <c r="BR160" s="710"/>
      <c r="BS160" s="706"/>
      <c r="BT160" s="706"/>
      <c r="BU160" s="708"/>
      <c r="BV160" s="791">
        <v>581.49163564788921</v>
      </c>
      <c r="BW160" s="791">
        <v>581.49163564788921</v>
      </c>
      <c r="BX160" s="791">
        <v>581.49163564788921</v>
      </c>
      <c r="BY160" s="791">
        <v>581.49163564788921</v>
      </c>
      <c r="BZ160" s="791">
        <v>581.49163564788921</v>
      </c>
      <c r="CA160" s="791">
        <v>581.49163564788921</v>
      </c>
      <c r="CB160" s="791">
        <v>581.49163564788921</v>
      </c>
      <c r="CC160" s="791">
        <v>581.49163564788921</v>
      </c>
      <c r="CD160" s="791">
        <v>581.49163564788921</v>
      </c>
      <c r="CE160" s="791">
        <v>581.49163564788921</v>
      </c>
      <c r="CF160" s="791">
        <v>581.49163564788921</v>
      </c>
      <c r="CG160" s="791">
        <v>581.49163564788921</v>
      </c>
      <c r="CH160" s="791">
        <v>581.49163564788921</v>
      </c>
      <c r="CI160" s="791">
        <v>581.49163564788921</v>
      </c>
      <c r="CJ160" s="791">
        <v>581.49163564788921</v>
      </c>
      <c r="CK160" s="791">
        <v>581.49163564788921</v>
      </c>
      <c r="CL160" s="791">
        <v>581.49163564788921</v>
      </c>
      <c r="CM160" s="791">
        <v>581.49163564788921</v>
      </c>
      <c r="CN160" s="791">
        <v>581.49163564788921</v>
      </c>
      <c r="CO160" s="708"/>
      <c r="CP160" s="708"/>
      <c r="CQ160" s="708"/>
      <c r="CR160" s="708"/>
    </row>
    <row r="161" spans="1:96">
      <c r="A161" s="743" t="s">
        <v>3</v>
      </c>
      <c r="B161" s="752">
        <v>41760</v>
      </c>
      <c r="C161" s="743">
        <v>2014</v>
      </c>
      <c r="D161" s="746" t="s">
        <v>15</v>
      </c>
      <c r="E161" s="746" t="s">
        <v>25</v>
      </c>
      <c r="F161" s="746" t="s">
        <v>17</v>
      </c>
      <c r="G161" s="746" t="s">
        <v>58</v>
      </c>
      <c r="H161" s="694" t="s">
        <v>959</v>
      </c>
      <c r="I161" s="746" t="s">
        <v>5</v>
      </c>
      <c r="J161" s="746" t="s">
        <v>376</v>
      </c>
      <c r="K161" s="706">
        <v>1</v>
      </c>
      <c r="L161" s="745" t="s">
        <v>58</v>
      </c>
      <c r="M161" s="743" t="s">
        <v>1054</v>
      </c>
      <c r="N161" s="743">
        <v>19</v>
      </c>
      <c r="O161" s="706"/>
      <c r="P161" s="706"/>
      <c r="Q161" s="706"/>
      <c r="R161" s="706"/>
      <c r="S161" s="706"/>
      <c r="T161" s="706"/>
      <c r="U161" s="738">
        <v>0.62806842093767556</v>
      </c>
      <c r="V161" s="738">
        <v>1227.8974155200376</v>
      </c>
      <c r="W161" s="793">
        <v>0.62806842093767556</v>
      </c>
      <c r="X161" s="708">
        <v>1227.8974155200376</v>
      </c>
      <c r="Y161" s="719">
        <v>23330.050894880715</v>
      </c>
      <c r="Z161" s="719">
        <v>11048.341077309895</v>
      </c>
      <c r="AA161" s="719">
        <v>581.49163564788921</v>
      </c>
      <c r="AB161" s="738">
        <v>0.29743244734753344</v>
      </c>
      <c r="AC161" s="792">
        <v>1</v>
      </c>
      <c r="AD161" s="792">
        <v>1</v>
      </c>
      <c r="AE161" s="717">
        <v>0.56884057971014501</v>
      </c>
      <c r="AF161" s="714">
        <v>4.2407531067898789E-2</v>
      </c>
      <c r="AG161" s="706"/>
      <c r="AH161" s="792">
        <v>0.47356695135775378</v>
      </c>
      <c r="AI161" s="748">
        <v>0.56884057971014501</v>
      </c>
      <c r="AJ161" s="748">
        <v>4.2407531067898789E-2</v>
      </c>
      <c r="AK161" s="748"/>
      <c r="AL161" s="714">
        <v>0.47356695135775378</v>
      </c>
      <c r="AM161" s="706"/>
      <c r="AN161" s="706"/>
      <c r="AO161" s="706"/>
      <c r="AP161" s="747"/>
      <c r="AQ161" s="733"/>
      <c r="AR161" s="706" t="s">
        <v>957</v>
      </c>
      <c r="AS161" s="706"/>
      <c r="AT161" s="706"/>
      <c r="AU161" s="710"/>
      <c r="AV161" s="706">
        <v>0.29743244734753344</v>
      </c>
      <c r="AW161" s="706">
        <v>0.29743244734753344</v>
      </c>
      <c r="AX161" s="706">
        <v>0.29743244734753344</v>
      </c>
      <c r="AY161" s="706">
        <v>0.29743244734753344</v>
      </c>
      <c r="AZ161" s="706">
        <v>0.29743244734753344</v>
      </c>
      <c r="BA161" s="706">
        <v>0.29743244734753344</v>
      </c>
      <c r="BB161" s="706">
        <v>0.29743244734753344</v>
      </c>
      <c r="BC161" s="706">
        <v>0.29743244734753344</v>
      </c>
      <c r="BD161" s="706">
        <v>0.29743244734753344</v>
      </c>
      <c r="BE161" s="706">
        <v>0.29743244734753344</v>
      </c>
      <c r="BF161" s="706">
        <v>0.29743244734753344</v>
      </c>
      <c r="BG161" s="706">
        <v>0.29743244734753344</v>
      </c>
      <c r="BH161" s="706">
        <v>0.29743244734753344</v>
      </c>
      <c r="BI161" s="706">
        <v>0.29743244734753344</v>
      </c>
      <c r="BJ161" s="706">
        <v>0.29743244734753344</v>
      </c>
      <c r="BK161" s="706">
        <v>0.29743244734753344</v>
      </c>
      <c r="BL161" s="706">
        <v>0.29743244734753344</v>
      </c>
      <c r="BM161" s="706">
        <v>0.29743244734753344</v>
      </c>
      <c r="BN161" s="706">
        <v>0.29743244734753344</v>
      </c>
      <c r="BO161" s="710"/>
      <c r="BP161" s="710"/>
      <c r="BQ161" s="710"/>
      <c r="BR161" s="710"/>
      <c r="BS161" s="706"/>
      <c r="BT161" s="706"/>
      <c r="BU161" s="708"/>
      <c r="BV161" s="791">
        <v>581.49163564788921</v>
      </c>
      <c r="BW161" s="791">
        <v>581.49163564788921</v>
      </c>
      <c r="BX161" s="791">
        <v>581.49163564788921</v>
      </c>
      <c r="BY161" s="791">
        <v>581.49163564788921</v>
      </c>
      <c r="BZ161" s="791">
        <v>581.49163564788921</v>
      </c>
      <c r="CA161" s="791">
        <v>581.49163564788921</v>
      </c>
      <c r="CB161" s="791">
        <v>581.49163564788921</v>
      </c>
      <c r="CC161" s="791">
        <v>581.49163564788921</v>
      </c>
      <c r="CD161" s="791">
        <v>581.49163564788921</v>
      </c>
      <c r="CE161" s="791">
        <v>581.49163564788921</v>
      </c>
      <c r="CF161" s="791">
        <v>581.49163564788921</v>
      </c>
      <c r="CG161" s="791">
        <v>581.49163564788921</v>
      </c>
      <c r="CH161" s="791">
        <v>581.49163564788921</v>
      </c>
      <c r="CI161" s="791">
        <v>581.49163564788921</v>
      </c>
      <c r="CJ161" s="791">
        <v>581.49163564788921</v>
      </c>
      <c r="CK161" s="791">
        <v>581.49163564788921</v>
      </c>
      <c r="CL161" s="791">
        <v>581.49163564788921</v>
      </c>
      <c r="CM161" s="791">
        <v>581.49163564788921</v>
      </c>
      <c r="CN161" s="791">
        <v>581.49163564788921</v>
      </c>
      <c r="CO161" s="708"/>
      <c r="CP161" s="708"/>
      <c r="CQ161" s="708"/>
      <c r="CR161" s="708"/>
    </row>
    <row r="162" spans="1:96">
      <c r="A162" s="743" t="s">
        <v>3</v>
      </c>
      <c r="B162" s="752">
        <v>41662</v>
      </c>
      <c r="C162" s="743">
        <v>2014</v>
      </c>
      <c r="D162" s="746" t="s">
        <v>15</v>
      </c>
      <c r="E162" s="746" t="s">
        <v>25</v>
      </c>
      <c r="F162" s="746" t="s">
        <v>17</v>
      </c>
      <c r="G162" s="746" t="s">
        <v>58</v>
      </c>
      <c r="H162" s="694" t="s">
        <v>959</v>
      </c>
      <c r="I162" s="746" t="s">
        <v>5</v>
      </c>
      <c r="J162" s="746" t="s">
        <v>376</v>
      </c>
      <c r="K162" s="706">
        <v>1</v>
      </c>
      <c r="L162" s="745" t="s">
        <v>58</v>
      </c>
      <c r="M162" s="743" t="s">
        <v>1053</v>
      </c>
      <c r="N162" s="743">
        <v>19</v>
      </c>
      <c r="O162" s="706"/>
      <c r="P162" s="706"/>
      <c r="Q162" s="706"/>
      <c r="R162" s="706"/>
      <c r="S162" s="706"/>
      <c r="T162" s="706"/>
      <c r="U162" s="738">
        <v>0.62806842093767556</v>
      </c>
      <c r="V162" s="738">
        <v>1227.8974155200376</v>
      </c>
      <c r="W162" s="793">
        <v>0.62806842093767556</v>
      </c>
      <c r="X162" s="708">
        <v>1227.8974155200376</v>
      </c>
      <c r="Y162" s="719">
        <v>23330.050894880715</v>
      </c>
      <c r="Z162" s="719">
        <v>11048.341077309895</v>
      </c>
      <c r="AA162" s="719">
        <v>581.49163564788921</v>
      </c>
      <c r="AB162" s="738">
        <v>0.29743244734753344</v>
      </c>
      <c r="AC162" s="792">
        <v>1</v>
      </c>
      <c r="AD162" s="792">
        <v>1</v>
      </c>
      <c r="AE162" s="717">
        <v>0.56884057971014501</v>
      </c>
      <c r="AF162" s="714">
        <v>4.2407531067898789E-2</v>
      </c>
      <c r="AG162" s="706"/>
      <c r="AH162" s="792">
        <v>0.47356695135775378</v>
      </c>
      <c r="AI162" s="748">
        <v>0.56884057971014501</v>
      </c>
      <c r="AJ162" s="748">
        <v>4.2407531067898789E-2</v>
      </c>
      <c r="AK162" s="748"/>
      <c r="AL162" s="714">
        <v>0.47356695135775378</v>
      </c>
      <c r="AM162" s="706"/>
      <c r="AN162" s="706"/>
      <c r="AO162" s="706"/>
      <c r="AP162" s="747"/>
      <c r="AQ162" s="733"/>
      <c r="AR162" s="706" t="s">
        <v>957</v>
      </c>
      <c r="AS162" s="706"/>
      <c r="AT162" s="706"/>
      <c r="AU162" s="710"/>
      <c r="AV162" s="706">
        <v>0.29743244734753344</v>
      </c>
      <c r="AW162" s="706">
        <v>0.29743244734753344</v>
      </c>
      <c r="AX162" s="706">
        <v>0.29743244734753344</v>
      </c>
      <c r="AY162" s="706">
        <v>0.29743244734753344</v>
      </c>
      <c r="AZ162" s="706">
        <v>0.29743244734753344</v>
      </c>
      <c r="BA162" s="706">
        <v>0.29743244734753344</v>
      </c>
      <c r="BB162" s="706">
        <v>0.29743244734753344</v>
      </c>
      <c r="BC162" s="706">
        <v>0.29743244734753344</v>
      </c>
      <c r="BD162" s="706">
        <v>0.29743244734753344</v>
      </c>
      <c r="BE162" s="706">
        <v>0.29743244734753344</v>
      </c>
      <c r="BF162" s="706">
        <v>0.29743244734753344</v>
      </c>
      <c r="BG162" s="706">
        <v>0.29743244734753344</v>
      </c>
      <c r="BH162" s="706">
        <v>0.29743244734753344</v>
      </c>
      <c r="BI162" s="706">
        <v>0.29743244734753344</v>
      </c>
      <c r="BJ162" s="706">
        <v>0.29743244734753344</v>
      </c>
      <c r="BK162" s="706">
        <v>0.29743244734753344</v>
      </c>
      <c r="BL162" s="706">
        <v>0.29743244734753344</v>
      </c>
      <c r="BM162" s="706">
        <v>0.29743244734753344</v>
      </c>
      <c r="BN162" s="706">
        <v>0.29743244734753344</v>
      </c>
      <c r="BO162" s="710"/>
      <c r="BP162" s="710"/>
      <c r="BQ162" s="710"/>
      <c r="BR162" s="710"/>
      <c r="BS162" s="706"/>
      <c r="BT162" s="706"/>
      <c r="BU162" s="708"/>
      <c r="BV162" s="791">
        <v>581.49163564788921</v>
      </c>
      <c r="BW162" s="791">
        <v>581.49163564788921</v>
      </c>
      <c r="BX162" s="791">
        <v>581.49163564788921</v>
      </c>
      <c r="BY162" s="791">
        <v>581.49163564788921</v>
      </c>
      <c r="BZ162" s="791">
        <v>581.49163564788921</v>
      </c>
      <c r="CA162" s="791">
        <v>581.49163564788921</v>
      </c>
      <c r="CB162" s="791">
        <v>581.49163564788921</v>
      </c>
      <c r="CC162" s="791">
        <v>581.49163564788921</v>
      </c>
      <c r="CD162" s="791">
        <v>581.49163564788921</v>
      </c>
      <c r="CE162" s="791">
        <v>581.49163564788921</v>
      </c>
      <c r="CF162" s="791">
        <v>581.49163564788921</v>
      </c>
      <c r="CG162" s="791">
        <v>581.49163564788921</v>
      </c>
      <c r="CH162" s="791">
        <v>581.49163564788921</v>
      </c>
      <c r="CI162" s="791">
        <v>581.49163564788921</v>
      </c>
      <c r="CJ162" s="791">
        <v>581.49163564788921</v>
      </c>
      <c r="CK162" s="791">
        <v>581.49163564788921</v>
      </c>
      <c r="CL162" s="791">
        <v>581.49163564788921</v>
      </c>
      <c r="CM162" s="791">
        <v>581.49163564788921</v>
      </c>
      <c r="CN162" s="791">
        <v>581.49163564788921</v>
      </c>
      <c r="CO162" s="708"/>
      <c r="CP162" s="708"/>
      <c r="CQ162" s="708"/>
      <c r="CR162" s="708"/>
    </row>
    <row r="163" spans="1:96">
      <c r="A163" s="743" t="s">
        <v>3</v>
      </c>
      <c r="B163" s="752">
        <v>41649</v>
      </c>
      <c r="C163" s="743">
        <v>2014</v>
      </c>
      <c r="D163" s="746" t="s">
        <v>15</v>
      </c>
      <c r="E163" s="746" t="s">
        <v>25</v>
      </c>
      <c r="F163" s="746" t="s">
        <v>17</v>
      </c>
      <c r="G163" s="746" t="s">
        <v>58</v>
      </c>
      <c r="H163" s="694" t="s">
        <v>959</v>
      </c>
      <c r="I163" s="746" t="s">
        <v>5</v>
      </c>
      <c r="J163" s="746" t="s">
        <v>376</v>
      </c>
      <c r="K163" s="706">
        <v>1</v>
      </c>
      <c r="L163" s="745" t="s">
        <v>58</v>
      </c>
      <c r="M163" s="743" t="s">
        <v>1052</v>
      </c>
      <c r="N163" s="743">
        <v>19</v>
      </c>
      <c r="O163" s="706"/>
      <c r="P163" s="706"/>
      <c r="Q163" s="706"/>
      <c r="R163" s="706"/>
      <c r="S163" s="706"/>
      <c r="T163" s="706"/>
      <c r="U163" s="738">
        <v>0.62806842093767556</v>
      </c>
      <c r="V163" s="738">
        <v>1227.8974155200376</v>
      </c>
      <c r="W163" s="793">
        <v>0.62806842093767556</v>
      </c>
      <c r="X163" s="708">
        <v>1227.8974155200376</v>
      </c>
      <c r="Y163" s="719">
        <v>23330.050894880715</v>
      </c>
      <c r="Z163" s="719">
        <v>11048.341077309895</v>
      </c>
      <c r="AA163" s="719">
        <v>581.49163564788921</v>
      </c>
      <c r="AB163" s="738">
        <v>0.29743244734753344</v>
      </c>
      <c r="AC163" s="792">
        <v>1</v>
      </c>
      <c r="AD163" s="792">
        <v>1</v>
      </c>
      <c r="AE163" s="717">
        <v>0.56884057971014501</v>
      </c>
      <c r="AF163" s="714">
        <v>4.2407531067898789E-2</v>
      </c>
      <c r="AG163" s="706"/>
      <c r="AH163" s="792">
        <v>0.47356695135775378</v>
      </c>
      <c r="AI163" s="748">
        <v>0.56884057971014501</v>
      </c>
      <c r="AJ163" s="748">
        <v>4.2407531067898789E-2</v>
      </c>
      <c r="AK163" s="748"/>
      <c r="AL163" s="714">
        <v>0.47356695135775378</v>
      </c>
      <c r="AM163" s="706"/>
      <c r="AN163" s="706"/>
      <c r="AO163" s="706"/>
      <c r="AP163" s="747"/>
      <c r="AQ163" s="733"/>
      <c r="AR163" s="706" t="s">
        <v>957</v>
      </c>
      <c r="AS163" s="706"/>
      <c r="AT163" s="706"/>
      <c r="AU163" s="710"/>
      <c r="AV163" s="706">
        <v>0.29743244734753344</v>
      </c>
      <c r="AW163" s="706">
        <v>0.29743244734753344</v>
      </c>
      <c r="AX163" s="706">
        <v>0.29743244734753344</v>
      </c>
      <c r="AY163" s="706">
        <v>0.29743244734753344</v>
      </c>
      <c r="AZ163" s="706">
        <v>0.29743244734753344</v>
      </c>
      <c r="BA163" s="706">
        <v>0.29743244734753344</v>
      </c>
      <c r="BB163" s="706">
        <v>0.29743244734753344</v>
      </c>
      <c r="BC163" s="706">
        <v>0.29743244734753344</v>
      </c>
      <c r="BD163" s="706">
        <v>0.29743244734753344</v>
      </c>
      <c r="BE163" s="706">
        <v>0.29743244734753344</v>
      </c>
      <c r="BF163" s="706">
        <v>0.29743244734753344</v>
      </c>
      <c r="BG163" s="706">
        <v>0.29743244734753344</v>
      </c>
      <c r="BH163" s="706">
        <v>0.29743244734753344</v>
      </c>
      <c r="BI163" s="706">
        <v>0.29743244734753344</v>
      </c>
      <c r="BJ163" s="706">
        <v>0.29743244734753344</v>
      </c>
      <c r="BK163" s="706">
        <v>0.29743244734753344</v>
      </c>
      <c r="BL163" s="706">
        <v>0.29743244734753344</v>
      </c>
      <c r="BM163" s="706">
        <v>0.29743244734753344</v>
      </c>
      <c r="BN163" s="706">
        <v>0.29743244734753344</v>
      </c>
      <c r="BO163" s="710"/>
      <c r="BP163" s="710"/>
      <c r="BQ163" s="710"/>
      <c r="BR163" s="710"/>
      <c r="BS163" s="706"/>
      <c r="BT163" s="706"/>
      <c r="BU163" s="708"/>
      <c r="BV163" s="791">
        <v>581.49163564788921</v>
      </c>
      <c r="BW163" s="791">
        <v>581.49163564788921</v>
      </c>
      <c r="BX163" s="791">
        <v>581.49163564788921</v>
      </c>
      <c r="BY163" s="791">
        <v>581.49163564788921</v>
      </c>
      <c r="BZ163" s="791">
        <v>581.49163564788921</v>
      </c>
      <c r="CA163" s="791">
        <v>581.49163564788921</v>
      </c>
      <c r="CB163" s="791">
        <v>581.49163564788921</v>
      </c>
      <c r="CC163" s="791">
        <v>581.49163564788921</v>
      </c>
      <c r="CD163" s="791">
        <v>581.49163564788921</v>
      </c>
      <c r="CE163" s="791">
        <v>581.49163564788921</v>
      </c>
      <c r="CF163" s="791">
        <v>581.49163564788921</v>
      </c>
      <c r="CG163" s="791">
        <v>581.49163564788921</v>
      </c>
      <c r="CH163" s="791">
        <v>581.49163564788921</v>
      </c>
      <c r="CI163" s="791">
        <v>581.49163564788921</v>
      </c>
      <c r="CJ163" s="791">
        <v>581.49163564788921</v>
      </c>
      <c r="CK163" s="791">
        <v>581.49163564788921</v>
      </c>
      <c r="CL163" s="791">
        <v>581.49163564788921</v>
      </c>
      <c r="CM163" s="791">
        <v>581.49163564788921</v>
      </c>
      <c r="CN163" s="791">
        <v>581.49163564788921</v>
      </c>
      <c r="CO163" s="708"/>
      <c r="CP163" s="708"/>
      <c r="CQ163" s="708"/>
      <c r="CR163" s="708"/>
    </row>
    <row r="164" spans="1:96">
      <c r="A164" s="743" t="s">
        <v>3</v>
      </c>
      <c r="B164" s="752">
        <v>41771</v>
      </c>
      <c r="C164" s="743">
        <v>2014</v>
      </c>
      <c r="D164" s="746" t="s">
        <v>15</v>
      </c>
      <c r="E164" s="746" t="s">
        <v>25</v>
      </c>
      <c r="F164" s="746" t="s">
        <v>17</v>
      </c>
      <c r="G164" s="746" t="s">
        <v>58</v>
      </c>
      <c r="H164" s="694" t="s">
        <v>959</v>
      </c>
      <c r="I164" s="746" t="s">
        <v>5</v>
      </c>
      <c r="J164" s="746" t="s">
        <v>376</v>
      </c>
      <c r="K164" s="706">
        <v>1</v>
      </c>
      <c r="L164" s="745" t="s">
        <v>58</v>
      </c>
      <c r="M164" s="743" t="s">
        <v>1051</v>
      </c>
      <c r="N164" s="743">
        <v>19</v>
      </c>
      <c r="O164" s="706"/>
      <c r="P164" s="706"/>
      <c r="Q164" s="706"/>
      <c r="R164" s="706"/>
      <c r="S164" s="706"/>
      <c r="T164" s="706"/>
      <c r="U164" s="738">
        <v>0.62806842093767556</v>
      </c>
      <c r="V164" s="738">
        <v>1227.8974155200376</v>
      </c>
      <c r="W164" s="793">
        <v>0.62806842093767556</v>
      </c>
      <c r="X164" s="708">
        <v>1227.8974155200376</v>
      </c>
      <c r="Y164" s="719">
        <v>23330.050894880715</v>
      </c>
      <c r="Z164" s="719">
        <v>11048.341077309895</v>
      </c>
      <c r="AA164" s="719">
        <v>581.49163564788921</v>
      </c>
      <c r="AB164" s="738">
        <v>0.29743244734753344</v>
      </c>
      <c r="AC164" s="792">
        <v>1</v>
      </c>
      <c r="AD164" s="792">
        <v>1</v>
      </c>
      <c r="AE164" s="717">
        <v>0.56884057971014501</v>
      </c>
      <c r="AF164" s="714">
        <v>4.2407531067898789E-2</v>
      </c>
      <c r="AG164" s="706"/>
      <c r="AH164" s="792">
        <v>0.47356695135775378</v>
      </c>
      <c r="AI164" s="748">
        <v>0.56884057971014501</v>
      </c>
      <c r="AJ164" s="748">
        <v>4.2407531067898789E-2</v>
      </c>
      <c r="AK164" s="748"/>
      <c r="AL164" s="714">
        <v>0.47356695135775378</v>
      </c>
      <c r="AM164" s="706"/>
      <c r="AN164" s="706"/>
      <c r="AO164" s="706"/>
      <c r="AP164" s="747"/>
      <c r="AQ164" s="733"/>
      <c r="AR164" s="706" t="s">
        <v>957</v>
      </c>
      <c r="AS164" s="706"/>
      <c r="AT164" s="706"/>
      <c r="AU164" s="710"/>
      <c r="AV164" s="706">
        <v>0.29743244734753344</v>
      </c>
      <c r="AW164" s="706">
        <v>0.29743244734753344</v>
      </c>
      <c r="AX164" s="706">
        <v>0.29743244734753344</v>
      </c>
      <c r="AY164" s="706">
        <v>0.29743244734753344</v>
      </c>
      <c r="AZ164" s="706">
        <v>0.29743244734753344</v>
      </c>
      <c r="BA164" s="706">
        <v>0.29743244734753344</v>
      </c>
      <c r="BB164" s="706">
        <v>0.29743244734753344</v>
      </c>
      <c r="BC164" s="706">
        <v>0.29743244734753344</v>
      </c>
      <c r="BD164" s="706">
        <v>0.29743244734753344</v>
      </c>
      <c r="BE164" s="706">
        <v>0.29743244734753344</v>
      </c>
      <c r="BF164" s="706">
        <v>0.29743244734753344</v>
      </c>
      <c r="BG164" s="706">
        <v>0.29743244734753344</v>
      </c>
      <c r="BH164" s="706">
        <v>0.29743244734753344</v>
      </c>
      <c r="BI164" s="706">
        <v>0.29743244734753344</v>
      </c>
      <c r="BJ164" s="706">
        <v>0.29743244734753344</v>
      </c>
      <c r="BK164" s="706">
        <v>0.29743244734753344</v>
      </c>
      <c r="BL164" s="706">
        <v>0.29743244734753344</v>
      </c>
      <c r="BM164" s="706">
        <v>0.29743244734753344</v>
      </c>
      <c r="BN164" s="706">
        <v>0.29743244734753344</v>
      </c>
      <c r="BO164" s="710"/>
      <c r="BP164" s="710"/>
      <c r="BQ164" s="710"/>
      <c r="BR164" s="710"/>
      <c r="BS164" s="706"/>
      <c r="BT164" s="706"/>
      <c r="BU164" s="708"/>
      <c r="BV164" s="791">
        <v>581.49163564788921</v>
      </c>
      <c r="BW164" s="791">
        <v>581.49163564788921</v>
      </c>
      <c r="BX164" s="791">
        <v>581.49163564788921</v>
      </c>
      <c r="BY164" s="791">
        <v>581.49163564788921</v>
      </c>
      <c r="BZ164" s="791">
        <v>581.49163564788921</v>
      </c>
      <c r="CA164" s="791">
        <v>581.49163564788921</v>
      </c>
      <c r="CB164" s="791">
        <v>581.49163564788921</v>
      </c>
      <c r="CC164" s="791">
        <v>581.49163564788921</v>
      </c>
      <c r="CD164" s="791">
        <v>581.49163564788921</v>
      </c>
      <c r="CE164" s="791">
        <v>581.49163564788921</v>
      </c>
      <c r="CF164" s="791">
        <v>581.49163564788921</v>
      </c>
      <c r="CG164" s="791">
        <v>581.49163564788921</v>
      </c>
      <c r="CH164" s="791">
        <v>581.49163564788921</v>
      </c>
      <c r="CI164" s="791">
        <v>581.49163564788921</v>
      </c>
      <c r="CJ164" s="791">
        <v>581.49163564788921</v>
      </c>
      <c r="CK164" s="791">
        <v>581.49163564788921</v>
      </c>
      <c r="CL164" s="791">
        <v>581.49163564788921</v>
      </c>
      <c r="CM164" s="791">
        <v>581.49163564788921</v>
      </c>
      <c r="CN164" s="791">
        <v>581.49163564788921</v>
      </c>
      <c r="CO164" s="708"/>
      <c r="CP164" s="708"/>
      <c r="CQ164" s="708"/>
      <c r="CR164" s="708"/>
    </row>
    <row r="165" spans="1:96">
      <c r="A165" s="743" t="s">
        <v>3</v>
      </c>
      <c r="B165" s="752">
        <v>41893</v>
      </c>
      <c r="C165" s="743">
        <v>2014</v>
      </c>
      <c r="D165" s="746" t="s">
        <v>15</v>
      </c>
      <c r="E165" s="746" t="s">
        <v>25</v>
      </c>
      <c r="F165" s="746" t="s">
        <v>17</v>
      </c>
      <c r="G165" s="746" t="s">
        <v>58</v>
      </c>
      <c r="H165" s="694" t="s">
        <v>959</v>
      </c>
      <c r="I165" s="746" t="s">
        <v>5</v>
      </c>
      <c r="J165" s="746" t="s">
        <v>376</v>
      </c>
      <c r="K165" s="706">
        <v>1</v>
      </c>
      <c r="L165" s="745" t="s">
        <v>58</v>
      </c>
      <c r="M165" s="743" t="s">
        <v>904</v>
      </c>
      <c r="N165" s="743">
        <v>19</v>
      </c>
      <c r="O165" s="706"/>
      <c r="P165" s="706"/>
      <c r="Q165" s="706"/>
      <c r="R165" s="706"/>
      <c r="S165" s="706"/>
      <c r="T165" s="706"/>
      <c r="U165" s="738">
        <v>0.62806842093767556</v>
      </c>
      <c r="V165" s="738">
        <v>1227.8974155200376</v>
      </c>
      <c r="W165" s="793">
        <v>0.62806842093767556</v>
      </c>
      <c r="X165" s="708">
        <v>1227.8974155200376</v>
      </c>
      <c r="Y165" s="719">
        <v>23330.050894880715</v>
      </c>
      <c r="Z165" s="719">
        <v>11048.341077309895</v>
      </c>
      <c r="AA165" s="719">
        <v>581.49163564788921</v>
      </c>
      <c r="AB165" s="738">
        <v>0.29743244734753344</v>
      </c>
      <c r="AC165" s="792">
        <v>1</v>
      </c>
      <c r="AD165" s="792">
        <v>1</v>
      </c>
      <c r="AE165" s="717">
        <v>0.56884057971014501</v>
      </c>
      <c r="AF165" s="714">
        <v>4.2407531067898789E-2</v>
      </c>
      <c r="AG165" s="706"/>
      <c r="AH165" s="792">
        <v>0.47356695135775378</v>
      </c>
      <c r="AI165" s="748">
        <v>0.56884057971014501</v>
      </c>
      <c r="AJ165" s="748">
        <v>4.2407531067898789E-2</v>
      </c>
      <c r="AK165" s="748"/>
      <c r="AL165" s="714">
        <v>0.47356695135775378</v>
      </c>
      <c r="AM165" s="706"/>
      <c r="AN165" s="706"/>
      <c r="AO165" s="706"/>
      <c r="AP165" s="747"/>
      <c r="AQ165" s="733"/>
      <c r="AR165" s="706" t="s">
        <v>957</v>
      </c>
      <c r="AS165" s="706"/>
      <c r="AT165" s="706"/>
      <c r="AU165" s="710"/>
      <c r="AV165" s="706">
        <v>0.29743244734753344</v>
      </c>
      <c r="AW165" s="706">
        <v>0.29743244734753344</v>
      </c>
      <c r="AX165" s="706">
        <v>0.29743244734753344</v>
      </c>
      <c r="AY165" s="706">
        <v>0.29743244734753344</v>
      </c>
      <c r="AZ165" s="706">
        <v>0.29743244734753344</v>
      </c>
      <c r="BA165" s="706">
        <v>0.29743244734753344</v>
      </c>
      <c r="BB165" s="706">
        <v>0.29743244734753344</v>
      </c>
      <c r="BC165" s="706">
        <v>0.29743244734753344</v>
      </c>
      <c r="BD165" s="706">
        <v>0.29743244734753344</v>
      </c>
      <c r="BE165" s="706">
        <v>0.29743244734753344</v>
      </c>
      <c r="BF165" s="706">
        <v>0.29743244734753344</v>
      </c>
      <c r="BG165" s="706">
        <v>0.29743244734753344</v>
      </c>
      <c r="BH165" s="706">
        <v>0.29743244734753344</v>
      </c>
      <c r="BI165" s="706">
        <v>0.29743244734753344</v>
      </c>
      <c r="BJ165" s="706">
        <v>0.29743244734753344</v>
      </c>
      <c r="BK165" s="706">
        <v>0.29743244734753344</v>
      </c>
      <c r="BL165" s="706">
        <v>0.29743244734753344</v>
      </c>
      <c r="BM165" s="706">
        <v>0.29743244734753344</v>
      </c>
      <c r="BN165" s="706">
        <v>0.29743244734753344</v>
      </c>
      <c r="BO165" s="710"/>
      <c r="BP165" s="710"/>
      <c r="BQ165" s="710"/>
      <c r="BR165" s="710"/>
      <c r="BS165" s="706"/>
      <c r="BT165" s="706"/>
      <c r="BU165" s="708"/>
      <c r="BV165" s="791">
        <v>581.49163564788921</v>
      </c>
      <c r="BW165" s="791">
        <v>581.49163564788921</v>
      </c>
      <c r="BX165" s="791">
        <v>581.49163564788921</v>
      </c>
      <c r="BY165" s="791">
        <v>581.49163564788921</v>
      </c>
      <c r="BZ165" s="791">
        <v>581.49163564788921</v>
      </c>
      <c r="CA165" s="791">
        <v>581.49163564788921</v>
      </c>
      <c r="CB165" s="791">
        <v>581.49163564788921</v>
      </c>
      <c r="CC165" s="791">
        <v>581.49163564788921</v>
      </c>
      <c r="CD165" s="791">
        <v>581.49163564788921</v>
      </c>
      <c r="CE165" s="791">
        <v>581.49163564788921</v>
      </c>
      <c r="CF165" s="791">
        <v>581.49163564788921</v>
      </c>
      <c r="CG165" s="791">
        <v>581.49163564788921</v>
      </c>
      <c r="CH165" s="791">
        <v>581.49163564788921</v>
      </c>
      <c r="CI165" s="791">
        <v>581.49163564788921</v>
      </c>
      <c r="CJ165" s="791">
        <v>581.49163564788921</v>
      </c>
      <c r="CK165" s="791">
        <v>581.49163564788921</v>
      </c>
      <c r="CL165" s="791">
        <v>581.49163564788921</v>
      </c>
      <c r="CM165" s="791">
        <v>581.49163564788921</v>
      </c>
      <c r="CN165" s="791">
        <v>581.49163564788921</v>
      </c>
      <c r="CO165" s="708"/>
      <c r="CP165" s="708"/>
      <c r="CQ165" s="708"/>
      <c r="CR165" s="708"/>
    </row>
    <row r="166" spans="1:96">
      <c r="A166" s="743" t="s">
        <v>3</v>
      </c>
      <c r="B166" s="752">
        <v>41858</v>
      </c>
      <c r="C166" s="743">
        <v>2014</v>
      </c>
      <c r="D166" s="746" t="s">
        <v>15</v>
      </c>
      <c r="E166" s="746" t="s">
        <v>25</v>
      </c>
      <c r="F166" s="746" t="s">
        <v>17</v>
      </c>
      <c r="G166" s="746" t="s">
        <v>58</v>
      </c>
      <c r="H166" s="694" t="s">
        <v>959</v>
      </c>
      <c r="I166" s="746" t="s">
        <v>5</v>
      </c>
      <c r="J166" s="746" t="s">
        <v>376</v>
      </c>
      <c r="K166" s="706">
        <v>1</v>
      </c>
      <c r="L166" s="745" t="s">
        <v>58</v>
      </c>
      <c r="M166" s="743" t="s">
        <v>931</v>
      </c>
      <c r="N166" s="743">
        <v>19</v>
      </c>
      <c r="O166" s="706"/>
      <c r="P166" s="706"/>
      <c r="Q166" s="706"/>
      <c r="R166" s="706"/>
      <c r="S166" s="706"/>
      <c r="T166" s="706"/>
      <c r="U166" s="738">
        <v>0.62806842093767556</v>
      </c>
      <c r="V166" s="738">
        <v>1227.8974155200376</v>
      </c>
      <c r="W166" s="793">
        <v>0.62806842093767556</v>
      </c>
      <c r="X166" s="708">
        <v>1227.8974155200376</v>
      </c>
      <c r="Y166" s="719">
        <v>23330.050894880715</v>
      </c>
      <c r="Z166" s="719">
        <v>11048.341077309895</v>
      </c>
      <c r="AA166" s="719">
        <v>581.49163564788921</v>
      </c>
      <c r="AB166" s="738">
        <v>0.29743244734753344</v>
      </c>
      <c r="AC166" s="792">
        <v>1</v>
      </c>
      <c r="AD166" s="792">
        <v>1</v>
      </c>
      <c r="AE166" s="717">
        <v>0.56884057971014501</v>
      </c>
      <c r="AF166" s="714">
        <v>4.2407531067898789E-2</v>
      </c>
      <c r="AG166" s="706"/>
      <c r="AH166" s="792">
        <v>0.47356695135775378</v>
      </c>
      <c r="AI166" s="748">
        <v>0.56884057971014501</v>
      </c>
      <c r="AJ166" s="748">
        <v>4.2407531067898789E-2</v>
      </c>
      <c r="AK166" s="748"/>
      <c r="AL166" s="714">
        <v>0.47356695135775378</v>
      </c>
      <c r="AM166" s="706"/>
      <c r="AN166" s="706"/>
      <c r="AO166" s="706"/>
      <c r="AP166" s="747"/>
      <c r="AQ166" s="733"/>
      <c r="AR166" s="706" t="s">
        <v>957</v>
      </c>
      <c r="AS166" s="706"/>
      <c r="AT166" s="706"/>
      <c r="AU166" s="710"/>
      <c r="AV166" s="706">
        <v>0.29743244734753344</v>
      </c>
      <c r="AW166" s="706">
        <v>0.29743244734753344</v>
      </c>
      <c r="AX166" s="706">
        <v>0.29743244734753344</v>
      </c>
      <c r="AY166" s="706">
        <v>0.29743244734753344</v>
      </c>
      <c r="AZ166" s="706">
        <v>0.29743244734753344</v>
      </c>
      <c r="BA166" s="706">
        <v>0.29743244734753344</v>
      </c>
      <c r="BB166" s="706">
        <v>0.29743244734753344</v>
      </c>
      <c r="BC166" s="706">
        <v>0.29743244734753344</v>
      </c>
      <c r="BD166" s="706">
        <v>0.29743244734753344</v>
      </c>
      <c r="BE166" s="706">
        <v>0.29743244734753344</v>
      </c>
      <c r="BF166" s="706">
        <v>0.29743244734753344</v>
      </c>
      <c r="BG166" s="706">
        <v>0.29743244734753344</v>
      </c>
      <c r="BH166" s="706">
        <v>0.29743244734753344</v>
      </c>
      <c r="BI166" s="706">
        <v>0.29743244734753344</v>
      </c>
      <c r="BJ166" s="706">
        <v>0.29743244734753344</v>
      </c>
      <c r="BK166" s="706">
        <v>0.29743244734753344</v>
      </c>
      <c r="BL166" s="706">
        <v>0.29743244734753344</v>
      </c>
      <c r="BM166" s="706">
        <v>0.29743244734753344</v>
      </c>
      <c r="BN166" s="706">
        <v>0.29743244734753344</v>
      </c>
      <c r="BO166" s="710"/>
      <c r="BP166" s="710"/>
      <c r="BQ166" s="710"/>
      <c r="BR166" s="710"/>
      <c r="BS166" s="706"/>
      <c r="BT166" s="706"/>
      <c r="BU166" s="708"/>
      <c r="BV166" s="791">
        <v>581.49163564788921</v>
      </c>
      <c r="BW166" s="791">
        <v>581.49163564788921</v>
      </c>
      <c r="BX166" s="791">
        <v>581.49163564788921</v>
      </c>
      <c r="BY166" s="791">
        <v>581.49163564788921</v>
      </c>
      <c r="BZ166" s="791">
        <v>581.49163564788921</v>
      </c>
      <c r="CA166" s="791">
        <v>581.49163564788921</v>
      </c>
      <c r="CB166" s="791">
        <v>581.49163564788921</v>
      </c>
      <c r="CC166" s="791">
        <v>581.49163564788921</v>
      </c>
      <c r="CD166" s="791">
        <v>581.49163564788921</v>
      </c>
      <c r="CE166" s="791">
        <v>581.49163564788921</v>
      </c>
      <c r="CF166" s="791">
        <v>581.49163564788921</v>
      </c>
      <c r="CG166" s="791">
        <v>581.49163564788921</v>
      </c>
      <c r="CH166" s="791">
        <v>581.49163564788921</v>
      </c>
      <c r="CI166" s="791">
        <v>581.49163564788921</v>
      </c>
      <c r="CJ166" s="791">
        <v>581.49163564788921</v>
      </c>
      <c r="CK166" s="791">
        <v>581.49163564788921</v>
      </c>
      <c r="CL166" s="791">
        <v>581.49163564788921</v>
      </c>
      <c r="CM166" s="791">
        <v>581.49163564788921</v>
      </c>
      <c r="CN166" s="791">
        <v>581.49163564788921</v>
      </c>
      <c r="CO166" s="708"/>
      <c r="CP166" s="708"/>
      <c r="CQ166" s="708"/>
      <c r="CR166" s="708"/>
    </row>
    <row r="167" spans="1:96">
      <c r="A167" s="743" t="s">
        <v>3</v>
      </c>
      <c r="B167" s="752">
        <v>41894</v>
      </c>
      <c r="C167" s="743">
        <v>2014</v>
      </c>
      <c r="D167" s="746" t="s">
        <v>15</v>
      </c>
      <c r="E167" s="746" t="s">
        <v>25</v>
      </c>
      <c r="F167" s="746" t="s">
        <v>17</v>
      </c>
      <c r="G167" s="746" t="s">
        <v>58</v>
      </c>
      <c r="H167" s="694" t="s">
        <v>959</v>
      </c>
      <c r="I167" s="746" t="s">
        <v>5</v>
      </c>
      <c r="J167" s="746" t="s">
        <v>376</v>
      </c>
      <c r="K167" s="706">
        <v>1</v>
      </c>
      <c r="L167" s="745" t="s">
        <v>58</v>
      </c>
      <c r="M167" s="743" t="s">
        <v>930</v>
      </c>
      <c r="N167" s="743">
        <v>19</v>
      </c>
      <c r="O167" s="706"/>
      <c r="P167" s="706"/>
      <c r="Q167" s="706"/>
      <c r="R167" s="706"/>
      <c r="S167" s="706"/>
      <c r="T167" s="706"/>
      <c r="U167" s="738">
        <v>0.62806842093767556</v>
      </c>
      <c r="V167" s="738">
        <v>1227.8974155200376</v>
      </c>
      <c r="W167" s="793">
        <v>0.62806842093767556</v>
      </c>
      <c r="X167" s="708">
        <v>1227.8974155200376</v>
      </c>
      <c r="Y167" s="719">
        <v>23330.050894880715</v>
      </c>
      <c r="Z167" s="719">
        <v>11048.341077309895</v>
      </c>
      <c r="AA167" s="719">
        <v>581.49163564788921</v>
      </c>
      <c r="AB167" s="738">
        <v>0.29743244734753344</v>
      </c>
      <c r="AC167" s="792">
        <v>1</v>
      </c>
      <c r="AD167" s="792">
        <v>1</v>
      </c>
      <c r="AE167" s="717">
        <v>0.56884057971014501</v>
      </c>
      <c r="AF167" s="714">
        <v>4.2407531067898789E-2</v>
      </c>
      <c r="AG167" s="706"/>
      <c r="AH167" s="792">
        <v>0.47356695135775378</v>
      </c>
      <c r="AI167" s="748">
        <v>0.56884057971014501</v>
      </c>
      <c r="AJ167" s="748">
        <v>4.2407531067898789E-2</v>
      </c>
      <c r="AK167" s="748"/>
      <c r="AL167" s="714">
        <v>0.47356695135775378</v>
      </c>
      <c r="AM167" s="706"/>
      <c r="AN167" s="706"/>
      <c r="AO167" s="706"/>
      <c r="AP167" s="747"/>
      <c r="AQ167" s="733"/>
      <c r="AR167" s="706" t="s">
        <v>957</v>
      </c>
      <c r="AS167" s="706"/>
      <c r="AT167" s="706"/>
      <c r="AU167" s="710"/>
      <c r="AV167" s="706">
        <v>0.29743244734753344</v>
      </c>
      <c r="AW167" s="706">
        <v>0.29743244734753344</v>
      </c>
      <c r="AX167" s="706">
        <v>0.29743244734753344</v>
      </c>
      <c r="AY167" s="706">
        <v>0.29743244734753344</v>
      </c>
      <c r="AZ167" s="706">
        <v>0.29743244734753344</v>
      </c>
      <c r="BA167" s="706">
        <v>0.29743244734753344</v>
      </c>
      <c r="BB167" s="706">
        <v>0.29743244734753344</v>
      </c>
      <c r="BC167" s="706">
        <v>0.29743244734753344</v>
      </c>
      <c r="BD167" s="706">
        <v>0.29743244734753344</v>
      </c>
      <c r="BE167" s="706">
        <v>0.29743244734753344</v>
      </c>
      <c r="BF167" s="706">
        <v>0.29743244734753344</v>
      </c>
      <c r="BG167" s="706">
        <v>0.29743244734753344</v>
      </c>
      <c r="BH167" s="706">
        <v>0.29743244734753344</v>
      </c>
      <c r="BI167" s="706">
        <v>0.29743244734753344</v>
      </c>
      <c r="BJ167" s="706">
        <v>0.29743244734753344</v>
      </c>
      <c r="BK167" s="706">
        <v>0.29743244734753344</v>
      </c>
      <c r="BL167" s="706">
        <v>0.29743244734753344</v>
      </c>
      <c r="BM167" s="706">
        <v>0.29743244734753344</v>
      </c>
      <c r="BN167" s="706">
        <v>0.29743244734753344</v>
      </c>
      <c r="BO167" s="710"/>
      <c r="BP167" s="710"/>
      <c r="BQ167" s="710"/>
      <c r="BR167" s="710"/>
      <c r="BS167" s="706"/>
      <c r="BT167" s="706"/>
      <c r="BU167" s="708"/>
      <c r="BV167" s="791">
        <v>581.49163564788921</v>
      </c>
      <c r="BW167" s="791">
        <v>581.49163564788921</v>
      </c>
      <c r="BX167" s="791">
        <v>581.49163564788921</v>
      </c>
      <c r="BY167" s="791">
        <v>581.49163564788921</v>
      </c>
      <c r="BZ167" s="791">
        <v>581.49163564788921</v>
      </c>
      <c r="CA167" s="791">
        <v>581.49163564788921</v>
      </c>
      <c r="CB167" s="791">
        <v>581.49163564788921</v>
      </c>
      <c r="CC167" s="791">
        <v>581.49163564788921</v>
      </c>
      <c r="CD167" s="791">
        <v>581.49163564788921</v>
      </c>
      <c r="CE167" s="791">
        <v>581.49163564788921</v>
      </c>
      <c r="CF167" s="791">
        <v>581.49163564788921</v>
      </c>
      <c r="CG167" s="791">
        <v>581.49163564788921</v>
      </c>
      <c r="CH167" s="791">
        <v>581.49163564788921</v>
      </c>
      <c r="CI167" s="791">
        <v>581.49163564788921</v>
      </c>
      <c r="CJ167" s="791">
        <v>581.49163564788921</v>
      </c>
      <c r="CK167" s="791">
        <v>581.49163564788921</v>
      </c>
      <c r="CL167" s="791">
        <v>581.49163564788921</v>
      </c>
      <c r="CM167" s="791">
        <v>581.49163564788921</v>
      </c>
      <c r="CN167" s="791">
        <v>581.49163564788921</v>
      </c>
      <c r="CO167" s="708"/>
      <c r="CP167" s="708"/>
      <c r="CQ167" s="708"/>
      <c r="CR167" s="708"/>
    </row>
    <row r="168" spans="1:96">
      <c r="A168" s="743" t="s">
        <v>3</v>
      </c>
      <c r="B168" s="752">
        <v>41789</v>
      </c>
      <c r="C168" s="743">
        <v>2014</v>
      </c>
      <c r="D168" s="746" t="s">
        <v>15</v>
      </c>
      <c r="E168" s="746" t="s">
        <v>25</v>
      </c>
      <c r="F168" s="746" t="s">
        <v>17</v>
      </c>
      <c r="G168" s="746" t="s">
        <v>58</v>
      </c>
      <c r="H168" s="694" t="s">
        <v>959</v>
      </c>
      <c r="I168" s="746" t="s">
        <v>5</v>
      </c>
      <c r="J168" s="746" t="s">
        <v>376</v>
      </c>
      <c r="K168" s="706">
        <v>1</v>
      </c>
      <c r="L168" s="745" t="s">
        <v>58</v>
      </c>
      <c r="M168" s="743" t="s">
        <v>929</v>
      </c>
      <c r="N168" s="743">
        <v>19</v>
      </c>
      <c r="O168" s="706"/>
      <c r="P168" s="706"/>
      <c r="Q168" s="706"/>
      <c r="R168" s="706"/>
      <c r="S168" s="706"/>
      <c r="T168" s="706"/>
      <c r="U168" s="738">
        <v>0.62806842093767556</v>
      </c>
      <c r="V168" s="738">
        <v>1227.8974155200376</v>
      </c>
      <c r="W168" s="793">
        <v>0.62806842093767556</v>
      </c>
      <c r="X168" s="708">
        <v>1227.8974155200376</v>
      </c>
      <c r="Y168" s="719">
        <v>23330.050894880715</v>
      </c>
      <c r="Z168" s="719">
        <v>11048.341077309895</v>
      </c>
      <c r="AA168" s="719">
        <v>581.49163564788921</v>
      </c>
      <c r="AB168" s="738">
        <v>0.29743244734753344</v>
      </c>
      <c r="AC168" s="792">
        <v>1</v>
      </c>
      <c r="AD168" s="792">
        <v>1</v>
      </c>
      <c r="AE168" s="717">
        <v>0.56884057971014501</v>
      </c>
      <c r="AF168" s="714">
        <v>4.2407531067898789E-2</v>
      </c>
      <c r="AG168" s="706"/>
      <c r="AH168" s="792">
        <v>0.47356695135775378</v>
      </c>
      <c r="AI168" s="748">
        <v>0.56884057971014501</v>
      </c>
      <c r="AJ168" s="748">
        <v>4.2407531067898789E-2</v>
      </c>
      <c r="AK168" s="748"/>
      <c r="AL168" s="714">
        <v>0.47356695135775378</v>
      </c>
      <c r="AM168" s="706"/>
      <c r="AN168" s="706"/>
      <c r="AO168" s="706"/>
      <c r="AP168" s="747"/>
      <c r="AQ168" s="733"/>
      <c r="AR168" s="706" t="s">
        <v>957</v>
      </c>
      <c r="AS168" s="706"/>
      <c r="AT168" s="706"/>
      <c r="AU168" s="710"/>
      <c r="AV168" s="706">
        <v>0.29743244734753344</v>
      </c>
      <c r="AW168" s="706">
        <v>0.29743244734753344</v>
      </c>
      <c r="AX168" s="706">
        <v>0.29743244734753344</v>
      </c>
      <c r="AY168" s="706">
        <v>0.29743244734753344</v>
      </c>
      <c r="AZ168" s="706">
        <v>0.29743244734753344</v>
      </c>
      <c r="BA168" s="706">
        <v>0.29743244734753344</v>
      </c>
      <c r="BB168" s="706">
        <v>0.29743244734753344</v>
      </c>
      <c r="BC168" s="706">
        <v>0.29743244734753344</v>
      </c>
      <c r="BD168" s="706">
        <v>0.29743244734753344</v>
      </c>
      <c r="BE168" s="706">
        <v>0.29743244734753344</v>
      </c>
      <c r="BF168" s="706">
        <v>0.29743244734753344</v>
      </c>
      <c r="BG168" s="706">
        <v>0.29743244734753344</v>
      </c>
      <c r="BH168" s="706">
        <v>0.29743244734753344</v>
      </c>
      <c r="BI168" s="706">
        <v>0.29743244734753344</v>
      </c>
      <c r="BJ168" s="706">
        <v>0.29743244734753344</v>
      </c>
      <c r="BK168" s="706">
        <v>0.29743244734753344</v>
      </c>
      <c r="BL168" s="706">
        <v>0.29743244734753344</v>
      </c>
      <c r="BM168" s="706">
        <v>0.29743244734753344</v>
      </c>
      <c r="BN168" s="706">
        <v>0.29743244734753344</v>
      </c>
      <c r="BO168" s="710"/>
      <c r="BP168" s="710"/>
      <c r="BQ168" s="710"/>
      <c r="BR168" s="710"/>
      <c r="BS168" s="706"/>
      <c r="BT168" s="706"/>
      <c r="BU168" s="708"/>
      <c r="BV168" s="791">
        <v>581.49163564788921</v>
      </c>
      <c r="BW168" s="791">
        <v>581.49163564788921</v>
      </c>
      <c r="BX168" s="791">
        <v>581.49163564788921</v>
      </c>
      <c r="BY168" s="791">
        <v>581.49163564788921</v>
      </c>
      <c r="BZ168" s="791">
        <v>581.49163564788921</v>
      </c>
      <c r="CA168" s="791">
        <v>581.49163564788921</v>
      </c>
      <c r="CB168" s="791">
        <v>581.49163564788921</v>
      </c>
      <c r="CC168" s="791">
        <v>581.49163564788921</v>
      </c>
      <c r="CD168" s="791">
        <v>581.49163564788921</v>
      </c>
      <c r="CE168" s="791">
        <v>581.49163564788921</v>
      </c>
      <c r="CF168" s="791">
        <v>581.49163564788921</v>
      </c>
      <c r="CG168" s="791">
        <v>581.49163564788921</v>
      </c>
      <c r="CH168" s="791">
        <v>581.49163564788921</v>
      </c>
      <c r="CI168" s="791">
        <v>581.49163564788921</v>
      </c>
      <c r="CJ168" s="791">
        <v>581.49163564788921</v>
      </c>
      <c r="CK168" s="791">
        <v>581.49163564788921</v>
      </c>
      <c r="CL168" s="791">
        <v>581.49163564788921</v>
      </c>
      <c r="CM168" s="791">
        <v>581.49163564788921</v>
      </c>
      <c r="CN168" s="791">
        <v>581.49163564788921</v>
      </c>
      <c r="CO168" s="708"/>
      <c r="CP168" s="708"/>
      <c r="CQ168" s="708"/>
      <c r="CR168" s="708"/>
    </row>
    <row r="169" spans="1:96">
      <c r="A169" s="743" t="s">
        <v>3</v>
      </c>
      <c r="B169" s="752">
        <v>41922</v>
      </c>
      <c r="C169" s="743">
        <v>2014</v>
      </c>
      <c r="D169" s="746" t="s">
        <v>15</v>
      </c>
      <c r="E169" s="746" t="s">
        <v>25</v>
      </c>
      <c r="F169" s="746" t="s">
        <v>17</v>
      </c>
      <c r="G169" s="746" t="s">
        <v>58</v>
      </c>
      <c r="H169" s="694" t="s">
        <v>959</v>
      </c>
      <c r="I169" s="746" t="s">
        <v>5</v>
      </c>
      <c r="J169" s="746" t="s">
        <v>376</v>
      </c>
      <c r="K169" s="706">
        <v>1</v>
      </c>
      <c r="L169" s="745" t="s">
        <v>58</v>
      </c>
      <c r="M169" s="743" t="s">
        <v>928</v>
      </c>
      <c r="N169" s="743">
        <v>19</v>
      </c>
      <c r="O169" s="706"/>
      <c r="P169" s="706"/>
      <c r="Q169" s="706"/>
      <c r="R169" s="706"/>
      <c r="S169" s="706"/>
      <c r="T169" s="706"/>
      <c r="U169" s="738">
        <v>0.62806842093767556</v>
      </c>
      <c r="V169" s="738">
        <v>1227.8974155200376</v>
      </c>
      <c r="W169" s="793">
        <v>0.62806842093767556</v>
      </c>
      <c r="X169" s="708">
        <v>1227.8974155200376</v>
      </c>
      <c r="Y169" s="719">
        <v>23330.050894880715</v>
      </c>
      <c r="Z169" s="719">
        <v>11048.341077309895</v>
      </c>
      <c r="AA169" s="719">
        <v>581.49163564788921</v>
      </c>
      <c r="AB169" s="738">
        <v>0.29743244734753344</v>
      </c>
      <c r="AC169" s="792">
        <v>1</v>
      </c>
      <c r="AD169" s="792">
        <v>1</v>
      </c>
      <c r="AE169" s="717">
        <v>0.56884057971014501</v>
      </c>
      <c r="AF169" s="714">
        <v>4.2407531067898789E-2</v>
      </c>
      <c r="AG169" s="706"/>
      <c r="AH169" s="792">
        <v>0.47356695135775378</v>
      </c>
      <c r="AI169" s="748">
        <v>0.56884057971014501</v>
      </c>
      <c r="AJ169" s="748">
        <v>4.2407531067898789E-2</v>
      </c>
      <c r="AK169" s="748"/>
      <c r="AL169" s="714">
        <v>0.47356695135775378</v>
      </c>
      <c r="AM169" s="706"/>
      <c r="AN169" s="706"/>
      <c r="AO169" s="706"/>
      <c r="AP169" s="747"/>
      <c r="AQ169" s="733"/>
      <c r="AR169" s="706" t="s">
        <v>957</v>
      </c>
      <c r="AS169" s="706"/>
      <c r="AT169" s="706"/>
      <c r="AU169" s="710"/>
      <c r="AV169" s="706">
        <v>0.29743244734753344</v>
      </c>
      <c r="AW169" s="706">
        <v>0.29743244734753344</v>
      </c>
      <c r="AX169" s="706">
        <v>0.29743244734753344</v>
      </c>
      <c r="AY169" s="706">
        <v>0.29743244734753344</v>
      </c>
      <c r="AZ169" s="706">
        <v>0.29743244734753344</v>
      </c>
      <c r="BA169" s="706">
        <v>0.29743244734753344</v>
      </c>
      <c r="BB169" s="706">
        <v>0.29743244734753344</v>
      </c>
      <c r="BC169" s="706">
        <v>0.29743244734753344</v>
      </c>
      <c r="BD169" s="706">
        <v>0.29743244734753344</v>
      </c>
      <c r="BE169" s="706">
        <v>0.29743244734753344</v>
      </c>
      <c r="BF169" s="706">
        <v>0.29743244734753344</v>
      </c>
      <c r="BG169" s="706">
        <v>0.29743244734753344</v>
      </c>
      <c r="BH169" s="706">
        <v>0.29743244734753344</v>
      </c>
      <c r="BI169" s="706">
        <v>0.29743244734753344</v>
      </c>
      <c r="BJ169" s="706">
        <v>0.29743244734753344</v>
      </c>
      <c r="BK169" s="706">
        <v>0.29743244734753344</v>
      </c>
      <c r="BL169" s="706">
        <v>0.29743244734753344</v>
      </c>
      <c r="BM169" s="706">
        <v>0.29743244734753344</v>
      </c>
      <c r="BN169" s="706">
        <v>0.29743244734753344</v>
      </c>
      <c r="BO169" s="710"/>
      <c r="BP169" s="710"/>
      <c r="BQ169" s="710"/>
      <c r="BR169" s="710"/>
      <c r="BS169" s="706"/>
      <c r="BT169" s="706"/>
      <c r="BU169" s="708"/>
      <c r="BV169" s="791">
        <v>581.49163564788921</v>
      </c>
      <c r="BW169" s="791">
        <v>581.49163564788921</v>
      </c>
      <c r="BX169" s="791">
        <v>581.49163564788921</v>
      </c>
      <c r="BY169" s="791">
        <v>581.49163564788921</v>
      </c>
      <c r="BZ169" s="791">
        <v>581.49163564788921</v>
      </c>
      <c r="CA169" s="791">
        <v>581.49163564788921</v>
      </c>
      <c r="CB169" s="791">
        <v>581.49163564788921</v>
      </c>
      <c r="CC169" s="791">
        <v>581.49163564788921</v>
      </c>
      <c r="CD169" s="791">
        <v>581.49163564788921</v>
      </c>
      <c r="CE169" s="791">
        <v>581.49163564788921</v>
      </c>
      <c r="CF169" s="791">
        <v>581.49163564788921</v>
      </c>
      <c r="CG169" s="791">
        <v>581.49163564788921</v>
      </c>
      <c r="CH169" s="791">
        <v>581.49163564788921</v>
      </c>
      <c r="CI169" s="791">
        <v>581.49163564788921</v>
      </c>
      <c r="CJ169" s="791">
        <v>581.49163564788921</v>
      </c>
      <c r="CK169" s="791">
        <v>581.49163564788921</v>
      </c>
      <c r="CL169" s="791">
        <v>581.49163564788921</v>
      </c>
      <c r="CM169" s="791">
        <v>581.49163564788921</v>
      </c>
      <c r="CN169" s="791">
        <v>581.49163564788921</v>
      </c>
      <c r="CO169" s="708"/>
      <c r="CP169" s="708"/>
      <c r="CQ169" s="708"/>
      <c r="CR169" s="708"/>
    </row>
    <row r="170" spans="1:96">
      <c r="A170" s="743" t="s">
        <v>3</v>
      </c>
      <c r="B170" s="752">
        <v>41929</v>
      </c>
      <c r="C170" s="743">
        <v>2014</v>
      </c>
      <c r="D170" s="746" t="s">
        <v>15</v>
      </c>
      <c r="E170" s="746" t="s">
        <v>25</v>
      </c>
      <c r="F170" s="746" t="s">
        <v>17</v>
      </c>
      <c r="G170" s="746" t="s">
        <v>58</v>
      </c>
      <c r="H170" s="694" t="s">
        <v>959</v>
      </c>
      <c r="I170" s="746" t="s">
        <v>5</v>
      </c>
      <c r="J170" s="746" t="s">
        <v>376</v>
      </c>
      <c r="K170" s="706">
        <v>1</v>
      </c>
      <c r="L170" s="745" t="s">
        <v>58</v>
      </c>
      <c r="M170" s="743" t="s">
        <v>927</v>
      </c>
      <c r="N170" s="743">
        <v>19</v>
      </c>
      <c r="O170" s="706"/>
      <c r="P170" s="706"/>
      <c r="Q170" s="706"/>
      <c r="R170" s="706"/>
      <c r="S170" s="706"/>
      <c r="T170" s="706"/>
      <c r="U170" s="738">
        <v>0.62806842093767556</v>
      </c>
      <c r="V170" s="738">
        <v>1227.8974155200376</v>
      </c>
      <c r="W170" s="793">
        <v>0.62806842093767556</v>
      </c>
      <c r="X170" s="708">
        <v>1227.8974155200376</v>
      </c>
      <c r="Y170" s="719">
        <v>23330.050894880715</v>
      </c>
      <c r="Z170" s="719">
        <v>11048.341077309895</v>
      </c>
      <c r="AA170" s="719">
        <v>581.49163564788921</v>
      </c>
      <c r="AB170" s="738">
        <v>0.29743244734753344</v>
      </c>
      <c r="AC170" s="792">
        <v>1</v>
      </c>
      <c r="AD170" s="792">
        <v>1</v>
      </c>
      <c r="AE170" s="717">
        <v>0.56884057971014501</v>
      </c>
      <c r="AF170" s="714">
        <v>4.2407531067898789E-2</v>
      </c>
      <c r="AG170" s="706"/>
      <c r="AH170" s="792">
        <v>0.47356695135775378</v>
      </c>
      <c r="AI170" s="748">
        <v>0.56884057971014501</v>
      </c>
      <c r="AJ170" s="748">
        <v>4.2407531067898789E-2</v>
      </c>
      <c r="AK170" s="748"/>
      <c r="AL170" s="714">
        <v>0.47356695135775378</v>
      </c>
      <c r="AM170" s="706"/>
      <c r="AN170" s="706"/>
      <c r="AO170" s="706"/>
      <c r="AP170" s="747"/>
      <c r="AQ170" s="733"/>
      <c r="AR170" s="706" t="s">
        <v>957</v>
      </c>
      <c r="AS170" s="706"/>
      <c r="AT170" s="706"/>
      <c r="AU170" s="710"/>
      <c r="AV170" s="706">
        <v>0.29743244734753344</v>
      </c>
      <c r="AW170" s="706">
        <v>0.29743244734753344</v>
      </c>
      <c r="AX170" s="706">
        <v>0.29743244734753344</v>
      </c>
      <c r="AY170" s="706">
        <v>0.29743244734753344</v>
      </c>
      <c r="AZ170" s="706">
        <v>0.29743244734753344</v>
      </c>
      <c r="BA170" s="706">
        <v>0.29743244734753344</v>
      </c>
      <c r="BB170" s="706">
        <v>0.29743244734753344</v>
      </c>
      <c r="BC170" s="706">
        <v>0.29743244734753344</v>
      </c>
      <c r="BD170" s="706">
        <v>0.29743244734753344</v>
      </c>
      <c r="BE170" s="706">
        <v>0.29743244734753344</v>
      </c>
      <c r="BF170" s="706">
        <v>0.29743244734753344</v>
      </c>
      <c r="BG170" s="706">
        <v>0.29743244734753344</v>
      </c>
      <c r="BH170" s="706">
        <v>0.29743244734753344</v>
      </c>
      <c r="BI170" s="706">
        <v>0.29743244734753344</v>
      </c>
      <c r="BJ170" s="706">
        <v>0.29743244734753344</v>
      </c>
      <c r="BK170" s="706">
        <v>0.29743244734753344</v>
      </c>
      <c r="BL170" s="706">
        <v>0.29743244734753344</v>
      </c>
      <c r="BM170" s="706">
        <v>0.29743244734753344</v>
      </c>
      <c r="BN170" s="706">
        <v>0.29743244734753344</v>
      </c>
      <c r="BO170" s="710"/>
      <c r="BP170" s="710"/>
      <c r="BQ170" s="710"/>
      <c r="BR170" s="710"/>
      <c r="BS170" s="706"/>
      <c r="BT170" s="706"/>
      <c r="BU170" s="708"/>
      <c r="BV170" s="791">
        <v>581.49163564788921</v>
      </c>
      <c r="BW170" s="791">
        <v>581.49163564788921</v>
      </c>
      <c r="BX170" s="791">
        <v>581.49163564788921</v>
      </c>
      <c r="BY170" s="791">
        <v>581.49163564788921</v>
      </c>
      <c r="BZ170" s="791">
        <v>581.49163564788921</v>
      </c>
      <c r="CA170" s="791">
        <v>581.49163564788921</v>
      </c>
      <c r="CB170" s="791">
        <v>581.49163564788921</v>
      </c>
      <c r="CC170" s="791">
        <v>581.49163564788921</v>
      </c>
      <c r="CD170" s="791">
        <v>581.49163564788921</v>
      </c>
      <c r="CE170" s="791">
        <v>581.49163564788921</v>
      </c>
      <c r="CF170" s="791">
        <v>581.49163564788921</v>
      </c>
      <c r="CG170" s="791">
        <v>581.49163564788921</v>
      </c>
      <c r="CH170" s="791">
        <v>581.49163564788921</v>
      </c>
      <c r="CI170" s="791">
        <v>581.49163564788921</v>
      </c>
      <c r="CJ170" s="791">
        <v>581.49163564788921</v>
      </c>
      <c r="CK170" s="791">
        <v>581.49163564788921</v>
      </c>
      <c r="CL170" s="791">
        <v>581.49163564788921</v>
      </c>
      <c r="CM170" s="791">
        <v>581.49163564788921</v>
      </c>
      <c r="CN170" s="791">
        <v>581.49163564788921</v>
      </c>
      <c r="CO170" s="708"/>
      <c r="CP170" s="708"/>
      <c r="CQ170" s="708"/>
      <c r="CR170" s="708"/>
    </row>
    <row r="171" spans="1:96">
      <c r="A171" s="694" t="s">
        <v>3</v>
      </c>
      <c r="B171" s="794">
        <v>41928</v>
      </c>
      <c r="C171" s="743">
        <v>2014</v>
      </c>
      <c r="D171" s="746" t="s">
        <v>15</v>
      </c>
      <c r="E171" s="746" t="s">
        <v>25</v>
      </c>
      <c r="F171" s="746" t="s">
        <v>17</v>
      </c>
      <c r="G171" s="746" t="s">
        <v>58</v>
      </c>
      <c r="H171" s="694" t="s">
        <v>959</v>
      </c>
      <c r="I171" s="746" t="s">
        <v>5</v>
      </c>
      <c r="J171" s="746" t="s">
        <v>376</v>
      </c>
      <c r="K171" s="706">
        <v>1</v>
      </c>
      <c r="L171" s="745" t="s">
        <v>58</v>
      </c>
      <c r="M171" s="706" t="s">
        <v>955</v>
      </c>
      <c r="N171" s="706">
        <v>19</v>
      </c>
      <c r="O171" s="706"/>
      <c r="P171" s="706"/>
      <c r="Q171" s="706"/>
      <c r="R171" s="706"/>
      <c r="S171" s="706"/>
      <c r="T171" s="706"/>
      <c r="U171" s="738">
        <v>0.62806842093767556</v>
      </c>
      <c r="V171" s="738">
        <v>1227.8974155200376</v>
      </c>
      <c r="W171" s="793">
        <v>0.62806842093767556</v>
      </c>
      <c r="X171" s="708">
        <v>1227.8974155200376</v>
      </c>
      <c r="Y171" s="719">
        <v>23330.050894880715</v>
      </c>
      <c r="Z171" s="719">
        <v>11048.341077309895</v>
      </c>
      <c r="AA171" s="719">
        <v>581.49163564788921</v>
      </c>
      <c r="AB171" s="738">
        <v>0.29743244734753344</v>
      </c>
      <c r="AC171" s="792">
        <v>1</v>
      </c>
      <c r="AD171" s="792">
        <v>1</v>
      </c>
      <c r="AE171" s="717">
        <v>0.56884057971014501</v>
      </c>
      <c r="AF171" s="714">
        <v>4.2407531067898789E-2</v>
      </c>
      <c r="AG171" s="706"/>
      <c r="AH171" s="792">
        <v>0.47356695135775378</v>
      </c>
      <c r="AI171" s="748">
        <v>0.56884057971014501</v>
      </c>
      <c r="AJ171" s="748">
        <v>4.2407531067898789E-2</v>
      </c>
      <c r="AK171" s="748"/>
      <c r="AL171" s="714">
        <v>0.47356695135775378</v>
      </c>
      <c r="AM171" s="706"/>
      <c r="AN171" s="706"/>
      <c r="AO171" s="706"/>
      <c r="AP171" s="706"/>
      <c r="AQ171" s="706"/>
      <c r="AR171" s="706" t="s">
        <v>957</v>
      </c>
      <c r="AS171" s="706"/>
      <c r="AT171" s="706"/>
      <c r="AU171" s="706"/>
      <c r="AV171" s="706">
        <v>0.29743244734753344</v>
      </c>
      <c r="AW171" s="706">
        <v>0.29743244734753344</v>
      </c>
      <c r="AX171" s="706">
        <v>0.29743244734753344</v>
      </c>
      <c r="AY171" s="706">
        <v>0.29743244734753344</v>
      </c>
      <c r="AZ171" s="706">
        <v>0.29743244734753344</v>
      </c>
      <c r="BA171" s="706">
        <v>0.29743244734753344</v>
      </c>
      <c r="BB171" s="706">
        <v>0.29743244734753344</v>
      </c>
      <c r="BC171" s="706">
        <v>0.29743244734753344</v>
      </c>
      <c r="BD171" s="706">
        <v>0.29743244734753344</v>
      </c>
      <c r="BE171" s="706">
        <v>0.29743244734753344</v>
      </c>
      <c r="BF171" s="706">
        <v>0.29743244734753344</v>
      </c>
      <c r="BG171" s="706">
        <v>0.29743244734753344</v>
      </c>
      <c r="BH171" s="706">
        <v>0.29743244734753344</v>
      </c>
      <c r="BI171" s="706">
        <v>0.29743244734753344</v>
      </c>
      <c r="BJ171" s="706">
        <v>0.29743244734753344</v>
      </c>
      <c r="BK171" s="706">
        <v>0.29743244734753344</v>
      </c>
      <c r="BL171" s="706">
        <v>0.29743244734753344</v>
      </c>
      <c r="BM171" s="706">
        <v>0.29743244734753344</v>
      </c>
      <c r="BN171" s="706">
        <v>0.29743244734753344</v>
      </c>
      <c r="BO171" s="706"/>
      <c r="BP171" s="706"/>
      <c r="BQ171" s="706"/>
      <c r="BR171" s="706"/>
      <c r="BS171" s="706"/>
      <c r="BT171" s="706"/>
      <c r="BU171" s="706"/>
      <c r="BV171" s="791">
        <v>581.49163564788921</v>
      </c>
      <c r="BW171" s="791">
        <v>581.49163564788921</v>
      </c>
      <c r="BX171" s="791">
        <v>581.49163564788921</v>
      </c>
      <c r="BY171" s="791">
        <v>581.49163564788921</v>
      </c>
      <c r="BZ171" s="791">
        <v>581.49163564788921</v>
      </c>
      <c r="CA171" s="791">
        <v>581.49163564788921</v>
      </c>
      <c r="CB171" s="791">
        <v>581.49163564788921</v>
      </c>
      <c r="CC171" s="791">
        <v>581.49163564788921</v>
      </c>
      <c r="CD171" s="791">
        <v>581.49163564788921</v>
      </c>
      <c r="CE171" s="791">
        <v>581.49163564788921</v>
      </c>
      <c r="CF171" s="791">
        <v>581.49163564788921</v>
      </c>
      <c r="CG171" s="791">
        <v>581.49163564788921</v>
      </c>
      <c r="CH171" s="791">
        <v>581.49163564788921</v>
      </c>
      <c r="CI171" s="791">
        <v>581.49163564788921</v>
      </c>
      <c r="CJ171" s="791">
        <v>581.49163564788921</v>
      </c>
      <c r="CK171" s="791">
        <v>581.49163564788921</v>
      </c>
      <c r="CL171" s="791">
        <v>581.49163564788921</v>
      </c>
      <c r="CM171" s="791">
        <v>581.49163564788921</v>
      </c>
      <c r="CN171" s="791">
        <v>581.49163564788921</v>
      </c>
      <c r="CO171" s="706"/>
      <c r="CP171" s="706"/>
      <c r="CQ171" s="706"/>
      <c r="CR171" s="706"/>
    </row>
    <row r="172" spans="1:96">
      <c r="A172" s="694" t="s">
        <v>3</v>
      </c>
      <c r="B172" s="794">
        <v>41767</v>
      </c>
      <c r="C172" s="743">
        <v>2014</v>
      </c>
      <c r="D172" s="746" t="s">
        <v>15</v>
      </c>
      <c r="E172" s="746" t="s">
        <v>25</v>
      </c>
      <c r="F172" s="746" t="s">
        <v>17</v>
      </c>
      <c r="G172" s="746" t="s">
        <v>58</v>
      </c>
      <c r="H172" s="694" t="s">
        <v>959</v>
      </c>
      <c r="I172" s="746" t="s">
        <v>5</v>
      </c>
      <c r="J172" s="746" t="s">
        <v>376</v>
      </c>
      <c r="K172" s="706">
        <v>1</v>
      </c>
      <c r="L172" s="745" t="s">
        <v>58</v>
      </c>
      <c r="M172" s="706" t="s">
        <v>1050</v>
      </c>
      <c r="N172" s="706">
        <v>19</v>
      </c>
      <c r="O172" s="706"/>
      <c r="P172" s="706"/>
      <c r="Q172" s="706"/>
      <c r="R172" s="706"/>
      <c r="S172" s="706"/>
      <c r="T172" s="706"/>
      <c r="U172" s="738">
        <v>0.62806842093767556</v>
      </c>
      <c r="V172" s="738">
        <v>1227.8974155200376</v>
      </c>
      <c r="W172" s="793">
        <v>0.62806842093767556</v>
      </c>
      <c r="X172" s="708">
        <v>1227.8974155200376</v>
      </c>
      <c r="Y172" s="719">
        <v>23330.050894880715</v>
      </c>
      <c r="Z172" s="719">
        <v>11048.341077309895</v>
      </c>
      <c r="AA172" s="719">
        <v>581.49163564788921</v>
      </c>
      <c r="AB172" s="738">
        <v>0.29743244734753344</v>
      </c>
      <c r="AC172" s="792">
        <v>1</v>
      </c>
      <c r="AD172" s="792">
        <v>1</v>
      </c>
      <c r="AE172" s="717">
        <v>0.56884057971014501</v>
      </c>
      <c r="AF172" s="714">
        <v>4.2407531067898789E-2</v>
      </c>
      <c r="AG172" s="706"/>
      <c r="AH172" s="792">
        <v>0.47356695135775378</v>
      </c>
      <c r="AI172" s="748">
        <v>0.56884057971014501</v>
      </c>
      <c r="AJ172" s="748">
        <v>4.2407531067898789E-2</v>
      </c>
      <c r="AK172" s="748"/>
      <c r="AL172" s="714">
        <v>0.47356695135775378</v>
      </c>
      <c r="AM172" s="706"/>
      <c r="AN172" s="706"/>
      <c r="AO172" s="706"/>
      <c r="AP172" s="706"/>
      <c r="AQ172" s="706"/>
      <c r="AR172" s="706" t="s">
        <v>957</v>
      </c>
      <c r="AS172" s="706"/>
      <c r="AT172" s="706"/>
      <c r="AU172" s="706"/>
      <c r="AV172" s="706">
        <v>0.29743244734753344</v>
      </c>
      <c r="AW172" s="706">
        <v>0.29743244734753344</v>
      </c>
      <c r="AX172" s="706">
        <v>0.29743244734753344</v>
      </c>
      <c r="AY172" s="706">
        <v>0.29743244734753344</v>
      </c>
      <c r="AZ172" s="706">
        <v>0.29743244734753344</v>
      </c>
      <c r="BA172" s="706">
        <v>0.29743244734753344</v>
      </c>
      <c r="BB172" s="706">
        <v>0.29743244734753344</v>
      </c>
      <c r="BC172" s="706">
        <v>0.29743244734753344</v>
      </c>
      <c r="BD172" s="706">
        <v>0.29743244734753344</v>
      </c>
      <c r="BE172" s="706">
        <v>0.29743244734753344</v>
      </c>
      <c r="BF172" s="706">
        <v>0.29743244734753344</v>
      </c>
      <c r="BG172" s="706">
        <v>0.29743244734753344</v>
      </c>
      <c r="BH172" s="706">
        <v>0.29743244734753344</v>
      </c>
      <c r="BI172" s="706">
        <v>0.29743244734753344</v>
      </c>
      <c r="BJ172" s="706">
        <v>0.29743244734753344</v>
      </c>
      <c r="BK172" s="706">
        <v>0.29743244734753344</v>
      </c>
      <c r="BL172" s="706">
        <v>0.29743244734753344</v>
      </c>
      <c r="BM172" s="706">
        <v>0.29743244734753344</v>
      </c>
      <c r="BN172" s="706">
        <v>0.29743244734753344</v>
      </c>
      <c r="BO172" s="706"/>
      <c r="BP172" s="706"/>
      <c r="BQ172" s="706"/>
      <c r="BR172" s="706"/>
      <c r="BS172" s="706"/>
      <c r="BT172" s="706"/>
      <c r="BU172" s="706"/>
      <c r="BV172" s="791">
        <v>581.49163564788921</v>
      </c>
      <c r="BW172" s="791">
        <v>581.49163564788921</v>
      </c>
      <c r="BX172" s="791">
        <v>581.49163564788921</v>
      </c>
      <c r="BY172" s="791">
        <v>581.49163564788921</v>
      </c>
      <c r="BZ172" s="791">
        <v>581.49163564788921</v>
      </c>
      <c r="CA172" s="791">
        <v>581.49163564788921</v>
      </c>
      <c r="CB172" s="791">
        <v>581.49163564788921</v>
      </c>
      <c r="CC172" s="791">
        <v>581.49163564788921</v>
      </c>
      <c r="CD172" s="791">
        <v>581.49163564788921</v>
      </c>
      <c r="CE172" s="791">
        <v>581.49163564788921</v>
      </c>
      <c r="CF172" s="791">
        <v>581.49163564788921</v>
      </c>
      <c r="CG172" s="791">
        <v>581.49163564788921</v>
      </c>
      <c r="CH172" s="791">
        <v>581.49163564788921</v>
      </c>
      <c r="CI172" s="791">
        <v>581.49163564788921</v>
      </c>
      <c r="CJ172" s="791">
        <v>581.49163564788921</v>
      </c>
      <c r="CK172" s="791">
        <v>581.49163564788921</v>
      </c>
      <c r="CL172" s="791">
        <v>581.49163564788921</v>
      </c>
      <c r="CM172" s="791">
        <v>581.49163564788921</v>
      </c>
      <c r="CN172" s="791">
        <v>581.49163564788921</v>
      </c>
      <c r="CO172" s="706"/>
      <c r="CP172" s="706"/>
      <c r="CQ172" s="706"/>
      <c r="CR172" s="706"/>
    </row>
    <row r="173" spans="1:96">
      <c r="A173" s="694" t="s">
        <v>3</v>
      </c>
      <c r="B173" s="794">
        <v>41764</v>
      </c>
      <c r="C173" s="743">
        <v>2014</v>
      </c>
      <c r="D173" s="746" t="s">
        <v>15</v>
      </c>
      <c r="E173" s="746" t="s">
        <v>25</v>
      </c>
      <c r="F173" s="746" t="s">
        <v>17</v>
      </c>
      <c r="G173" s="746" t="s">
        <v>58</v>
      </c>
      <c r="H173" s="694" t="s">
        <v>959</v>
      </c>
      <c r="I173" s="746" t="s">
        <v>5</v>
      </c>
      <c r="J173" s="746" t="s">
        <v>376</v>
      </c>
      <c r="K173" s="706">
        <v>1</v>
      </c>
      <c r="L173" s="745" t="s">
        <v>58</v>
      </c>
      <c r="M173" s="706" t="s">
        <v>1049</v>
      </c>
      <c r="N173" s="706">
        <v>19</v>
      </c>
      <c r="O173" s="706"/>
      <c r="P173" s="706"/>
      <c r="Q173" s="706"/>
      <c r="R173" s="706"/>
      <c r="S173" s="706"/>
      <c r="T173" s="706"/>
      <c r="U173" s="738">
        <v>0.62806842093767556</v>
      </c>
      <c r="V173" s="738">
        <v>1227.8974155200376</v>
      </c>
      <c r="W173" s="793">
        <v>0.62806842093767556</v>
      </c>
      <c r="X173" s="708">
        <v>1227.8974155200376</v>
      </c>
      <c r="Y173" s="719">
        <v>23330.050894880715</v>
      </c>
      <c r="Z173" s="719">
        <v>11048.341077309895</v>
      </c>
      <c r="AA173" s="719">
        <v>581.49163564788921</v>
      </c>
      <c r="AB173" s="738">
        <v>0.29743244734753344</v>
      </c>
      <c r="AC173" s="792">
        <v>1</v>
      </c>
      <c r="AD173" s="792">
        <v>1</v>
      </c>
      <c r="AE173" s="717">
        <v>0.56884057971014501</v>
      </c>
      <c r="AF173" s="714">
        <v>4.2407531067898789E-2</v>
      </c>
      <c r="AG173" s="706"/>
      <c r="AH173" s="792">
        <v>0.47356695135775378</v>
      </c>
      <c r="AI173" s="748">
        <v>0.56884057971014501</v>
      </c>
      <c r="AJ173" s="748">
        <v>4.2407531067898789E-2</v>
      </c>
      <c r="AK173" s="748"/>
      <c r="AL173" s="714">
        <v>0.47356695135775378</v>
      </c>
      <c r="AM173" s="706"/>
      <c r="AN173" s="706"/>
      <c r="AO173" s="706"/>
      <c r="AP173" s="706"/>
      <c r="AQ173" s="706"/>
      <c r="AR173" s="706" t="s">
        <v>957</v>
      </c>
      <c r="AS173" s="706"/>
      <c r="AT173" s="706"/>
      <c r="AU173" s="706"/>
      <c r="AV173" s="706">
        <v>0.29743244734753344</v>
      </c>
      <c r="AW173" s="706">
        <v>0.29743244734753344</v>
      </c>
      <c r="AX173" s="706">
        <v>0.29743244734753344</v>
      </c>
      <c r="AY173" s="706">
        <v>0.29743244734753344</v>
      </c>
      <c r="AZ173" s="706">
        <v>0.29743244734753344</v>
      </c>
      <c r="BA173" s="706">
        <v>0.29743244734753344</v>
      </c>
      <c r="BB173" s="706">
        <v>0.29743244734753344</v>
      </c>
      <c r="BC173" s="706">
        <v>0.29743244734753344</v>
      </c>
      <c r="BD173" s="706">
        <v>0.29743244734753344</v>
      </c>
      <c r="BE173" s="706">
        <v>0.29743244734753344</v>
      </c>
      <c r="BF173" s="706">
        <v>0.29743244734753344</v>
      </c>
      <c r="BG173" s="706">
        <v>0.29743244734753344</v>
      </c>
      <c r="BH173" s="706">
        <v>0.29743244734753344</v>
      </c>
      <c r="BI173" s="706">
        <v>0.29743244734753344</v>
      </c>
      <c r="BJ173" s="706">
        <v>0.29743244734753344</v>
      </c>
      <c r="BK173" s="706">
        <v>0.29743244734753344</v>
      </c>
      <c r="BL173" s="706">
        <v>0.29743244734753344</v>
      </c>
      <c r="BM173" s="706">
        <v>0.29743244734753344</v>
      </c>
      <c r="BN173" s="706">
        <v>0.29743244734753344</v>
      </c>
      <c r="BO173" s="706"/>
      <c r="BP173" s="706"/>
      <c r="BQ173" s="706"/>
      <c r="BR173" s="706"/>
      <c r="BS173" s="706"/>
      <c r="BT173" s="706"/>
      <c r="BU173" s="706"/>
      <c r="BV173" s="791">
        <v>581.49163564788921</v>
      </c>
      <c r="BW173" s="791">
        <v>581.49163564788921</v>
      </c>
      <c r="BX173" s="791">
        <v>581.49163564788921</v>
      </c>
      <c r="BY173" s="791">
        <v>581.49163564788921</v>
      </c>
      <c r="BZ173" s="791">
        <v>581.49163564788921</v>
      </c>
      <c r="CA173" s="791">
        <v>581.49163564788921</v>
      </c>
      <c r="CB173" s="791">
        <v>581.49163564788921</v>
      </c>
      <c r="CC173" s="791">
        <v>581.49163564788921</v>
      </c>
      <c r="CD173" s="791">
        <v>581.49163564788921</v>
      </c>
      <c r="CE173" s="791">
        <v>581.49163564788921</v>
      </c>
      <c r="CF173" s="791">
        <v>581.49163564788921</v>
      </c>
      <c r="CG173" s="791">
        <v>581.49163564788921</v>
      </c>
      <c r="CH173" s="791">
        <v>581.49163564788921</v>
      </c>
      <c r="CI173" s="791">
        <v>581.49163564788921</v>
      </c>
      <c r="CJ173" s="791">
        <v>581.49163564788921</v>
      </c>
      <c r="CK173" s="791">
        <v>581.49163564788921</v>
      </c>
      <c r="CL173" s="791">
        <v>581.49163564788921</v>
      </c>
      <c r="CM173" s="791">
        <v>581.49163564788921</v>
      </c>
      <c r="CN173" s="791">
        <v>581.49163564788921</v>
      </c>
      <c r="CO173" s="706"/>
      <c r="CP173" s="706"/>
      <c r="CQ173" s="706"/>
      <c r="CR173" s="706"/>
    </row>
    <row r="174" spans="1:96">
      <c r="A174" s="694" t="s">
        <v>3</v>
      </c>
      <c r="B174" s="794">
        <v>41760</v>
      </c>
      <c r="C174" s="743">
        <v>2014</v>
      </c>
      <c r="D174" s="746" t="s">
        <v>15</v>
      </c>
      <c r="E174" s="746" t="s">
        <v>25</v>
      </c>
      <c r="F174" s="746" t="s">
        <v>17</v>
      </c>
      <c r="G174" s="746" t="s">
        <v>58</v>
      </c>
      <c r="H174" s="694" t="s">
        <v>959</v>
      </c>
      <c r="I174" s="746" t="s">
        <v>5</v>
      </c>
      <c r="J174" s="746" t="s">
        <v>376</v>
      </c>
      <c r="K174" s="706">
        <v>1</v>
      </c>
      <c r="L174" s="745" t="s">
        <v>58</v>
      </c>
      <c r="M174" s="706" t="s">
        <v>1048</v>
      </c>
      <c r="N174" s="706">
        <v>19</v>
      </c>
      <c r="O174" s="706"/>
      <c r="P174" s="706"/>
      <c r="Q174" s="706"/>
      <c r="R174" s="706"/>
      <c r="S174" s="706"/>
      <c r="T174" s="706"/>
      <c r="U174" s="738">
        <v>0.62806842093767556</v>
      </c>
      <c r="V174" s="738">
        <v>1227.8974155200376</v>
      </c>
      <c r="W174" s="793">
        <v>0.62806842093767556</v>
      </c>
      <c r="X174" s="708">
        <v>1227.8974155200376</v>
      </c>
      <c r="Y174" s="719">
        <v>23330.050894880715</v>
      </c>
      <c r="Z174" s="719">
        <v>11048.341077309895</v>
      </c>
      <c r="AA174" s="719">
        <v>581.49163564788921</v>
      </c>
      <c r="AB174" s="738">
        <v>0.29743244734753344</v>
      </c>
      <c r="AC174" s="792">
        <v>1</v>
      </c>
      <c r="AD174" s="792">
        <v>1</v>
      </c>
      <c r="AE174" s="717">
        <v>0.56884057971014501</v>
      </c>
      <c r="AF174" s="714">
        <v>4.2407531067898789E-2</v>
      </c>
      <c r="AG174" s="706"/>
      <c r="AH174" s="792">
        <v>0.47356695135775378</v>
      </c>
      <c r="AI174" s="748">
        <v>0.56884057971014501</v>
      </c>
      <c r="AJ174" s="748">
        <v>4.2407531067898789E-2</v>
      </c>
      <c r="AK174" s="748"/>
      <c r="AL174" s="714">
        <v>0.47356695135775378</v>
      </c>
      <c r="AM174" s="706"/>
      <c r="AN174" s="706"/>
      <c r="AO174" s="706"/>
      <c r="AP174" s="706"/>
      <c r="AQ174" s="706"/>
      <c r="AR174" s="706" t="s">
        <v>957</v>
      </c>
      <c r="AS174" s="706"/>
      <c r="AT174" s="706"/>
      <c r="AU174" s="706"/>
      <c r="AV174" s="706">
        <v>0.29743244734753344</v>
      </c>
      <c r="AW174" s="706">
        <v>0.29743244734753344</v>
      </c>
      <c r="AX174" s="706">
        <v>0.29743244734753344</v>
      </c>
      <c r="AY174" s="706">
        <v>0.29743244734753344</v>
      </c>
      <c r="AZ174" s="706">
        <v>0.29743244734753344</v>
      </c>
      <c r="BA174" s="706">
        <v>0.29743244734753344</v>
      </c>
      <c r="BB174" s="706">
        <v>0.29743244734753344</v>
      </c>
      <c r="BC174" s="706">
        <v>0.29743244734753344</v>
      </c>
      <c r="BD174" s="706">
        <v>0.29743244734753344</v>
      </c>
      <c r="BE174" s="706">
        <v>0.29743244734753344</v>
      </c>
      <c r="BF174" s="706">
        <v>0.29743244734753344</v>
      </c>
      <c r="BG174" s="706">
        <v>0.29743244734753344</v>
      </c>
      <c r="BH174" s="706">
        <v>0.29743244734753344</v>
      </c>
      <c r="BI174" s="706">
        <v>0.29743244734753344</v>
      </c>
      <c r="BJ174" s="706">
        <v>0.29743244734753344</v>
      </c>
      <c r="BK174" s="706">
        <v>0.29743244734753344</v>
      </c>
      <c r="BL174" s="706">
        <v>0.29743244734753344</v>
      </c>
      <c r="BM174" s="706">
        <v>0.29743244734753344</v>
      </c>
      <c r="BN174" s="706">
        <v>0.29743244734753344</v>
      </c>
      <c r="BO174" s="706"/>
      <c r="BP174" s="706"/>
      <c r="BQ174" s="706"/>
      <c r="BR174" s="706"/>
      <c r="BS174" s="706"/>
      <c r="BT174" s="706"/>
      <c r="BU174" s="706"/>
      <c r="BV174" s="791">
        <v>581.49163564788921</v>
      </c>
      <c r="BW174" s="791">
        <v>581.49163564788921</v>
      </c>
      <c r="BX174" s="791">
        <v>581.49163564788921</v>
      </c>
      <c r="BY174" s="791">
        <v>581.49163564788921</v>
      </c>
      <c r="BZ174" s="791">
        <v>581.49163564788921</v>
      </c>
      <c r="CA174" s="791">
        <v>581.49163564788921</v>
      </c>
      <c r="CB174" s="791">
        <v>581.49163564788921</v>
      </c>
      <c r="CC174" s="791">
        <v>581.49163564788921</v>
      </c>
      <c r="CD174" s="791">
        <v>581.49163564788921</v>
      </c>
      <c r="CE174" s="791">
        <v>581.49163564788921</v>
      </c>
      <c r="CF174" s="791">
        <v>581.49163564788921</v>
      </c>
      <c r="CG174" s="791">
        <v>581.49163564788921</v>
      </c>
      <c r="CH174" s="791">
        <v>581.49163564788921</v>
      </c>
      <c r="CI174" s="791">
        <v>581.49163564788921</v>
      </c>
      <c r="CJ174" s="791">
        <v>581.49163564788921</v>
      </c>
      <c r="CK174" s="791">
        <v>581.49163564788921</v>
      </c>
      <c r="CL174" s="791">
        <v>581.49163564788921</v>
      </c>
      <c r="CM174" s="791">
        <v>581.49163564788921</v>
      </c>
      <c r="CN174" s="791">
        <v>581.49163564788921</v>
      </c>
      <c r="CO174" s="706"/>
      <c r="CP174" s="706"/>
      <c r="CQ174" s="706"/>
      <c r="CR174" s="706"/>
    </row>
    <row r="175" spans="1:96">
      <c r="A175" s="694" t="s">
        <v>3</v>
      </c>
      <c r="B175" s="794">
        <v>41793</v>
      </c>
      <c r="C175" s="743">
        <v>2014</v>
      </c>
      <c r="D175" s="746" t="s">
        <v>15</v>
      </c>
      <c r="E175" s="746" t="s">
        <v>25</v>
      </c>
      <c r="F175" s="746" t="s">
        <v>17</v>
      </c>
      <c r="G175" s="746" t="s">
        <v>58</v>
      </c>
      <c r="H175" s="694" t="s">
        <v>959</v>
      </c>
      <c r="I175" s="746" t="s">
        <v>5</v>
      </c>
      <c r="J175" s="746" t="s">
        <v>376</v>
      </c>
      <c r="K175" s="706">
        <v>1</v>
      </c>
      <c r="L175" s="745" t="s">
        <v>58</v>
      </c>
      <c r="M175" s="706" t="s">
        <v>1047</v>
      </c>
      <c r="N175" s="706">
        <v>19</v>
      </c>
      <c r="O175" s="706"/>
      <c r="P175" s="706"/>
      <c r="Q175" s="706"/>
      <c r="R175" s="706"/>
      <c r="S175" s="706"/>
      <c r="T175" s="706"/>
      <c r="U175" s="738">
        <v>0.62806842093767556</v>
      </c>
      <c r="V175" s="738">
        <v>1227.8974155200376</v>
      </c>
      <c r="W175" s="793">
        <v>0.62806842093767556</v>
      </c>
      <c r="X175" s="708">
        <v>1227.8974155200376</v>
      </c>
      <c r="Y175" s="719">
        <v>23330.050894880715</v>
      </c>
      <c r="Z175" s="719">
        <v>11048.341077309895</v>
      </c>
      <c r="AA175" s="719">
        <v>581.49163564788921</v>
      </c>
      <c r="AB175" s="738">
        <v>0.29743244734753344</v>
      </c>
      <c r="AC175" s="792">
        <v>1</v>
      </c>
      <c r="AD175" s="792">
        <v>1</v>
      </c>
      <c r="AE175" s="717">
        <v>0.56884057971014501</v>
      </c>
      <c r="AF175" s="714">
        <v>4.2407531067898789E-2</v>
      </c>
      <c r="AG175" s="706"/>
      <c r="AH175" s="792">
        <v>0.47356695135775378</v>
      </c>
      <c r="AI175" s="748">
        <v>0.56884057971014501</v>
      </c>
      <c r="AJ175" s="748">
        <v>4.2407531067898789E-2</v>
      </c>
      <c r="AK175" s="748"/>
      <c r="AL175" s="714">
        <v>0.47356695135775378</v>
      </c>
      <c r="AM175" s="706"/>
      <c r="AN175" s="706"/>
      <c r="AO175" s="706"/>
      <c r="AP175" s="706"/>
      <c r="AQ175" s="706"/>
      <c r="AR175" s="706" t="s">
        <v>957</v>
      </c>
      <c r="AS175" s="706"/>
      <c r="AT175" s="706"/>
      <c r="AU175" s="706"/>
      <c r="AV175" s="706">
        <v>0.29743244734753344</v>
      </c>
      <c r="AW175" s="706">
        <v>0.29743244734753344</v>
      </c>
      <c r="AX175" s="706">
        <v>0.29743244734753344</v>
      </c>
      <c r="AY175" s="706">
        <v>0.29743244734753344</v>
      </c>
      <c r="AZ175" s="706">
        <v>0.29743244734753344</v>
      </c>
      <c r="BA175" s="706">
        <v>0.29743244734753344</v>
      </c>
      <c r="BB175" s="706">
        <v>0.29743244734753344</v>
      </c>
      <c r="BC175" s="706">
        <v>0.29743244734753344</v>
      </c>
      <c r="BD175" s="706">
        <v>0.29743244734753344</v>
      </c>
      <c r="BE175" s="706">
        <v>0.29743244734753344</v>
      </c>
      <c r="BF175" s="706">
        <v>0.29743244734753344</v>
      </c>
      <c r="BG175" s="706">
        <v>0.29743244734753344</v>
      </c>
      <c r="BH175" s="706">
        <v>0.29743244734753344</v>
      </c>
      <c r="BI175" s="706">
        <v>0.29743244734753344</v>
      </c>
      <c r="BJ175" s="706">
        <v>0.29743244734753344</v>
      </c>
      <c r="BK175" s="706">
        <v>0.29743244734753344</v>
      </c>
      <c r="BL175" s="706">
        <v>0.29743244734753344</v>
      </c>
      <c r="BM175" s="706">
        <v>0.29743244734753344</v>
      </c>
      <c r="BN175" s="706">
        <v>0.29743244734753344</v>
      </c>
      <c r="BO175" s="706"/>
      <c r="BP175" s="706"/>
      <c r="BQ175" s="706"/>
      <c r="BR175" s="706"/>
      <c r="BS175" s="706"/>
      <c r="BT175" s="706"/>
      <c r="BU175" s="706"/>
      <c r="BV175" s="791">
        <v>581.49163564788921</v>
      </c>
      <c r="BW175" s="791">
        <v>581.49163564788921</v>
      </c>
      <c r="BX175" s="791">
        <v>581.49163564788921</v>
      </c>
      <c r="BY175" s="791">
        <v>581.49163564788921</v>
      </c>
      <c r="BZ175" s="791">
        <v>581.49163564788921</v>
      </c>
      <c r="CA175" s="791">
        <v>581.49163564788921</v>
      </c>
      <c r="CB175" s="791">
        <v>581.49163564788921</v>
      </c>
      <c r="CC175" s="791">
        <v>581.49163564788921</v>
      </c>
      <c r="CD175" s="791">
        <v>581.49163564788921</v>
      </c>
      <c r="CE175" s="791">
        <v>581.49163564788921</v>
      </c>
      <c r="CF175" s="791">
        <v>581.49163564788921</v>
      </c>
      <c r="CG175" s="791">
        <v>581.49163564788921</v>
      </c>
      <c r="CH175" s="791">
        <v>581.49163564788921</v>
      </c>
      <c r="CI175" s="791">
        <v>581.49163564788921</v>
      </c>
      <c r="CJ175" s="791">
        <v>581.49163564788921</v>
      </c>
      <c r="CK175" s="791">
        <v>581.49163564788921</v>
      </c>
      <c r="CL175" s="791">
        <v>581.49163564788921</v>
      </c>
      <c r="CM175" s="791">
        <v>581.49163564788921</v>
      </c>
      <c r="CN175" s="791">
        <v>581.49163564788921</v>
      </c>
      <c r="CO175" s="706"/>
      <c r="CP175" s="706"/>
      <c r="CQ175" s="706"/>
      <c r="CR175" s="706"/>
    </row>
    <row r="176" spans="1:96">
      <c r="A176" s="694" t="s">
        <v>3</v>
      </c>
      <c r="B176" s="794">
        <v>41815</v>
      </c>
      <c r="C176" s="743">
        <v>2014</v>
      </c>
      <c r="D176" s="746" t="s">
        <v>15</v>
      </c>
      <c r="E176" s="746" t="s">
        <v>25</v>
      </c>
      <c r="F176" s="746" t="s">
        <v>17</v>
      </c>
      <c r="G176" s="746" t="s">
        <v>58</v>
      </c>
      <c r="H176" s="694" t="s">
        <v>959</v>
      </c>
      <c r="I176" s="746" t="s">
        <v>5</v>
      </c>
      <c r="J176" s="746" t="s">
        <v>376</v>
      </c>
      <c r="K176" s="706">
        <v>1</v>
      </c>
      <c r="L176" s="745" t="s">
        <v>58</v>
      </c>
      <c r="M176" s="706" t="s">
        <v>925</v>
      </c>
      <c r="N176" s="706">
        <v>19</v>
      </c>
      <c r="O176" s="706"/>
      <c r="P176" s="706"/>
      <c r="Q176" s="706"/>
      <c r="R176" s="706"/>
      <c r="S176" s="706"/>
      <c r="T176" s="706"/>
      <c r="U176" s="738">
        <v>0.62806842093767556</v>
      </c>
      <c r="V176" s="738">
        <v>1227.8974155200376</v>
      </c>
      <c r="W176" s="793">
        <v>0.62806842093767556</v>
      </c>
      <c r="X176" s="708">
        <v>1227.8974155200376</v>
      </c>
      <c r="Y176" s="719">
        <v>23330.050894880715</v>
      </c>
      <c r="Z176" s="719">
        <v>11048.341077309895</v>
      </c>
      <c r="AA176" s="719">
        <v>581.49163564788921</v>
      </c>
      <c r="AB176" s="738">
        <v>0.29743244734753344</v>
      </c>
      <c r="AC176" s="792">
        <v>1</v>
      </c>
      <c r="AD176" s="792">
        <v>1</v>
      </c>
      <c r="AE176" s="717">
        <v>0.56884057971014501</v>
      </c>
      <c r="AF176" s="714">
        <v>4.2407531067898789E-2</v>
      </c>
      <c r="AG176" s="706"/>
      <c r="AH176" s="792">
        <v>0.47356695135775378</v>
      </c>
      <c r="AI176" s="748">
        <v>0.56884057971014501</v>
      </c>
      <c r="AJ176" s="748">
        <v>4.2407531067898789E-2</v>
      </c>
      <c r="AK176" s="748"/>
      <c r="AL176" s="714">
        <v>0.47356695135775378</v>
      </c>
      <c r="AM176" s="706"/>
      <c r="AN176" s="706"/>
      <c r="AO176" s="706"/>
      <c r="AP176" s="706"/>
      <c r="AQ176" s="706"/>
      <c r="AR176" s="706" t="s">
        <v>957</v>
      </c>
      <c r="AS176" s="706"/>
      <c r="AT176" s="706"/>
      <c r="AU176" s="706"/>
      <c r="AV176" s="706">
        <v>0.29743244734753344</v>
      </c>
      <c r="AW176" s="706">
        <v>0.29743244734753344</v>
      </c>
      <c r="AX176" s="706">
        <v>0.29743244734753344</v>
      </c>
      <c r="AY176" s="706">
        <v>0.29743244734753344</v>
      </c>
      <c r="AZ176" s="706">
        <v>0.29743244734753344</v>
      </c>
      <c r="BA176" s="706">
        <v>0.29743244734753344</v>
      </c>
      <c r="BB176" s="706">
        <v>0.29743244734753344</v>
      </c>
      <c r="BC176" s="706">
        <v>0.29743244734753344</v>
      </c>
      <c r="BD176" s="706">
        <v>0.29743244734753344</v>
      </c>
      <c r="BE176" s="706">
        <v>0.29743244734753344</v>
      </c>
      <c r="BF176" s="706">
        <v>0.29743244734753344</v>
      </c>
      <c r="BG176" s="706">
        <v>0.29743244734753344</v>
      </c>
      <c r="BH176" s="706">
        <v>0.29743244734753344</v>
      </c>
      <c r="BI176" s="706">
        <v>0.29743244734753344</v>
      </c>
      <c r="BJ176" s="706">
        <v>0.29743244734753344</v>
      </c>
      <c r="BK176" s="706">
        <v>0.29743244734753344</v>
      </c>
      <c r="BL176" s="706">
        <v>0.29743244734753344</v>
      </c>
      <c r="BM176" s="706">
        <v>0.29743244734753344</v>
      </c>
      <c r="BN176" s="706">
        <v>0.29743244734753344</v>
      </c>
      <c r="BO176" s="706"/>
      <c r="BP176" s="706"/>
      <c r="BQ176" s="706"/>
      <c r="BR176" s="706"/>
      <c r="BS176" s="706"/>
      <c r="BT176" s="706"/>
      <c r="BU176" s="706"/>
      <c r="BV176" s="791">
        <v>581.49163564788921</v>
      </c>
      <c r="BW176" s="791">
        <v>581.49163564788921</v>
      </c>
      <c r="BX176" s="791">
        <v>581.49163564788921</v>
      </c>
      <c r="BY176" s="791">
        <v>581.49163564788921</v>
      </c>
      <c r="BZ176" s="791">
        <v>581.49163564788921</v>
      </c>
      <c r="CA176" s="791">
        <v>581.49163564788921</v>
      </c>
      <c r="CB176" s="791">
        <v>581.49163564788921</v>
      </c>
      <c r="CC176" s="791">
        <v>581.49163564788921</v>
      </c>
      <c r="CD176" s="791">
        <v>581.49163564788921</v>
      </c>
      <c r="CE176" s="791">
        <v>581.49163564788921</v>
      </c>
      <c r="CF176" s="791">
        <v>581.49163564788921</v>
      </c>
      <c r="CG176" s="791">
        <v>581.49163564788921</v>
      </c>
      <c r="CH176" s="791">
        <v>581.49163564788921</v>
      </c>
      <c r="CI176" s="791">
        <v>581.49163564788921</v>
      </c>
      <c r="CJ176" s="791">
        <v>581.49163564788921</v>
      </c>
      <c r="CK176" s="791">
        <v>581.49163564788921</v>
      </c>
      <c r="CL176" s="791">
        <v>581.49163564788921</v>
      </c>
      <c r="CM176" s="791">
        <v>581.49163564788921</v>
      </c>
      <c r="CN176" s="791">
        <v>581.49163564788921</v>
      </c>
      <c r="CO176" s="706"/>
      <c r="CP176" s="706"/>
      <c r="CQ176" s="706"/>
      <c r="CR176" s="706"/>
    </row>
    <row r="177" spans="1:96">
      <c r="A177" s="694" t="s">
        <v>3</v>
      </c>
      <c r="B177" s="794">
        <v>41799</v>
      </c>
      <c r="C177" s="743">
        <v>2014</v>
      </c>
      <c r="D177" s="746" t="s">
        <v>15</v>
      </c>
      <c r="E177" s="746" t="s">
        <v>25</v>
      </c>
      <c r="F177" s="746" t="s">
        <v>17</v>
      </c>
      <c r="G177" s="746" t="s">
        <v>58</v>
      </c>
      <c r="H177" s="694" t="s">
        <v>959</v>
      </c>
      <c r="I177" s="746" t="s">
        <v>5</v>
      </c>
      <c r="J177" s="746" t="s">
        <v>376</v>
      </c>
      <c r="K177" s="706">
        <v>1</v>
      </c>
      <c r="L177" s="745" t="s">
        <v>58</v>
      </c>
      <c r="M177" s="706" t="s">
        <v>1046</v>
      </c>
      <c r="N177" s="706">
        <v>19</v>
      </c>
      <c r="O177" s="706"/>
      <c r="P177" s="706"/>
      <c r="Q177" s="706"/>
      <c r="R177" s="706"/>
      <c r="S177" s="706"/>
      <c r="T177" s="706"/>
      <c r="U177" s="738">
        <v>0.62806842093767556</v>
      </c>
      <c r="V177" s="738">
        <v>1227.8974155200376</v>
      </c>
      <c r="W177" s="793">
        <v>0.62806842093767556</v>
      </c>
      <c r="X177" s="708">
        <v>1227.8974155200376</v>
      </c>
      <c r="Y177" s="719">
        <v>23330.050894880715</v>
      </c>
      <c r="Z177" s="719">
        <v>11048.341077309895</v>
      </c>
      <c r="AA177" s="719">
        <v>581.49163564788921</v>
      </c>
      <c r="AB177" s="738">
        <v>0.29743244734753344</v>
      </c>
      <c r="AC177" s="792">
        <v>1</v>
      </c>
      <c r="AD177" s="792">
        <v>1</v>
      </c>
      <c r="AE177" s="717">
        <v>0.56884057971014501</v>
      </c>
      <c r="AF177" s="714">
        <v>4.2407531067898789E-2</v>
      </c>
      <c r="AG177" s="706"/>
      <c r="AH177" s="792">
        <v>0.47356695135775378</v>
      </c>
      <c r="AI177" s="748">
        <v>0.56884057971014501</v>
      </c>
      <c r="AJ177" s="748">
        <v>4.2407531067898789E-2</v>
      </c>
      <c r="AK177" s="748"/>
      <c r="AL177" s="714">
        <v>0.47356695135775378</v>
      </c>
      <c r="AM177" s="706"/>
      <c r="AN177" s="706"/>
      <c r="AO177" s="706"/>
      <c r="AP177" s="706"/>
      <c r="AQ177" s="706"/>
      <c r="AR177" s="706" t="s">
        <v>957</v>
      </c>
      <c r="AS177" s="706"/>
      <c r="AT177" s="706"/>
      <c r="AU177" s="706"/>
      <c r="AV177" s="706">
        <v>0.29743244734753344</v>
      </c>
      <c r="AW177" s="706">
        <v>0.29743244734753344</v>
      </c>
      <c r="AX177" s="706">
        <v>0.29743244734753344</v>
      </c>
      <c r="AY177" s="706">
        <v>0.29743244734753344</v>
      </c>
      <c r="AZ177" s="706">
        <v>0.29743244734753344</v>
      </c>
      <c r="BA177" s="706">
        <v>0.29743244734753344</v>
      </c>
      <c r="BB177" s="706">
        <v>0.29743244734753344</v>
      </c>
      <c r="BC177" s="706">
        <v>0.29743244734753344</v>
      </c>
      <c r="BD177" s="706">
        <v>0.29743244734753344</v>
      </c>
      <c r="BE177" s="706">
        <v>0.29743244734753344</v>
      </c>
      <c r="BF177" s="706">
        <v>0.29743244734753344</v>
      </c>
      <c r="BG177" s="706">
        <v>0.29743244734753344</v>
      </c>
      <c r="BH177" s="706">
        <v>0.29743244734753344</v>
      </c>
      <c r="BI177" s="706">
        <v>0.29743244734753344</v>
      </c>
      <c r="BJ177" s="706">
        <v>0.29743244734753344</v>
      </c>
      <c r="BK177" s="706">
        <v>0.29743244734753344</v>
      </c>
      <c r="BL177" s="706">
        <v>0.29743244734753344</v>
      </c>
      <c r="BM177" s="706">
        <v>0.29743244734753344</v>
      </c>
      <c r="BN177" s="706">
        <v>0.29743244734753344</v>
      </c>
      <c r="BO177" s="706"/>
      <c r="BP177" s="706"/>
      <c r="BQ177" s="706"/>
      <c r="BR177" s="706"/>
      <c r="BS177" s="706"/>
      <c r="BT177" s="706"/>
      <c r="BU177" s="706"/>
      <c r="BV177" s="791">
        <v>581.49163564788921</v>
      </c>
      <c r="BW177" s="791">
        <v>581.49163564788921</v>
      </c>
      <c r="BX177" s="791">
        <v>581.49163564788921</v>
      </c>
      <c r="BY177" s="791">
        <v>581.49163564788921</v>
      </c>
      <c r="BZ177" s="791">
        <v>581.49163564788921</v>
      </c>
      <c r="CA177" s="791">
        <v>581.49163564788921</v>
      </c>
      <c r="CB177" s="791">
        <v>581.49163564788921</v>
      </c>
      <c r="CC177" s="791">
        <v>581.49163564788921</v>
      </c>
      <c r="CD177" s="791">
        <v>581.49163564788921</v>
      </c>
      <c r="CE177" s="791">
        <v>581.49163564788921</v>
      </c>
      <c r="CF177" s="791">
        <v>581.49163564788921</v>
      </c>
      <c r="CG177" s="791">
        <v>581.49163564788921</v>
      </c>
      <c r="CH177" s="791">
        <v>581.49163564788921</v>
      </c>
      <c r="CI177" s="791">
        <v>581.49163564788921</v>
      </c>
      <c r="CJ177" s="791">
        <v>581.49163564788921</v>
      </c>
      <c r="CK177" s="791">
        <v>581.49163564788921</v>
      </c>
      <c r="CL177" s="791">
        <v>581.49163564788921</v>
      </c>
      <c r="CM177" s="791">
        <v>581.49163564788921</v>
      </c>
      <c r="CN177" s="791">
        <v>581.49163564788921</v>
      </c>
      <c r="CO177" s="706"/>
      <c r="CP177" s="706"/>
      <c r="CQ177" s="706"/>
      <c r="CR177" s="706"/>
    </row>
    <row r="178" spans="1:96">
      <c r="A178" s="694" t="s">
        <v>3</v>
      </c>
      <c r="B178" s="794">
        <v>41929</v>
      </c>
      <c r="C178" s="743">
        <v>2014</v>
      </c>
      <c r="D178" s="746" t="s">
        <v>15</v>
      </c>
      <c r="E178" s="746" t="s">
        <v>25</v>
      </c>
      <c r="F178" s="746" t="s">
        <v>17</v>
      </c>
      <c r="G178" s="746" t="s">
        <v>58</v>
      </c>
      <c r="H178" s="694" t="s">
        <v>959</v>
      </c>
      <c r="I178" s="746" t="s">
        <v>5</v>
      </c>
      <c r="J178" s="746" t="s">
        <v>376</v>
      </c>
      <c r="K178" s="706">
        <v>1</v>
      </c>
      <c r="L178" s="745" t="s">
        <v>58</v>
      </c>
      <c r="M178" s="706" t="s">
        <v>924</v>
      </c>
      <c r="N178" s="706">
        <v>19</v>
      </c>
      <c r="O178" s="706"/>
      <c r="P178" s="706"/>
      <c r="Q178" s="706"/>
      <c r="R178" s="706"/>
      <c r="S178" s="706"/>
      <c r="T178" s="706"/>
      <c r="U178" s="738">
        <v>0.62806842093767556</v>
      </c>
      <c r="V178" s="738">
        <v>1227.8974155200376</v>
      </c>
      <c r="W178" s="793">
        <v>0.62806842093767556</v>
      </c>
      <c r="X178" s="708">
        <v>1227.8974155200376</v>
      </c>
      <c r="Y178" s="719">
        <v>23330.050894880715</v>
      </c>
      <c r="Z178" s="719">
        <v>11048.341077309895</v>
      </c>
      <c r="AA178" s="719">
        <v>581.49163564788921</v>
      </c>
      <c r="AB178" s="738">
        <v>0.29743244734753344</v>
      </c>
      <c r="AC178" s="792">
        <v>1</v>
      </c>
      <c r="AD178" s="792">
        <v>1</v>
      </c>
      <c r="AE178" s="717">
        <v>0.56884057971014501</v>
      </c>
      <c r="AF178" s="714">
        <v>4.2407531067898789E-2</v>
      </c>
      <c r="AG178" s="706"/>
      <c r="AH178" s="792">
        <v>0.47356695135775378</v>
      </c>
      <c r="AI178" s="748">
        <v>0.56884057971014501</v>
      </c>
      <c r="AJ178" s="748">
        <v>4.2407531067898789E-2</v>
      </c>
      <c r="AK178" s="748"/>
      <c r="AL178" s="714">
        <v>0.47356695135775378</v>
      </c>
      <c r="AM178" s="706"/>
      <c r="AN178" s="706"/>
      <c r="AO178" s="706"/>
      <c r="AP178" s="706"/>
      <c r="AQ178" s="706"/>
      <c r="AR178" s="706" t="s">
        <v>957</v>
      </c>
      <c r="AS178" s="706"/>
      <c r="AT178" s="706"/>
      <c r="AU178" s="706"/>
      <c r="AV178" s="706">
        <v>0.29743244734753344</v>
      </c>
      <c r="AW178" s="706">
        <v>0.29743244734753344</v>
      </c>
      <c r="AX178" s="706">
        <v>0.29743244734753344</v>
      </c>
      <c r="AY178" s="706">
        <v>0.29743244734753344</v>
      </c>
      <c r="AZ178" s="706">
        <v>0.29743244734753344</v>
      </c>
      <c r="BA178" s="706">
        <v>0.29743244734753344</v>
      </c>
      <c r="BB178" s="706">
        <v>0.29743244734753344</v>
      </c>
      <c r="BC178" s="706">
        <v>0.29743244734753344</v>
      </c>
      <c r="BD178" s="706">
        <v>0.29743244734753344</v>
      </c>
      <c r="BE178" s="706">
        <v>0.29743244734753344</v>
      </c>
      <c r="BF178" s="706">
        <v>0.29743244734753344</v>
      </c>
      <c r="BG178" s="706">
        <v>0.29743244734753344</v>
      </c>
      <c r="BH178" s="706">
        <v>0.29743244734753344</v>
      </c>
      <c r="BI178" s="706">
        <v>0.29743244734753344</v>
      </c>
      <c r="BJ178" s="706">
        <v>0.29743244734753344</v>
      </c>
      <c r="BK178" s="706">
        <v>0.29743244734753344</v>
      </c>
      <c r="BL178" s="706">
        <v>0.29743244734753344</v>
      </c>
      <c r="BM178" s="706">
        <v>0.29743244734753344</v>
      </c>
      <c r="BN178" s="706">
        <v>0.29743244734753344</v>
      </c>
      <c r="BO178" s="706"/>
      <c r="BP178" s="706"/>
      <c r="BQ178" s="706"/>
      <c r="BR178" s="706"/>
      <c r="BS178" s="706"/>
      <c r="BT178" s="706"/>
      <c r="BU178" s="706"/>
      <c r="BV178" s="791">
        <v>581.49163564788921</v>
      </c>
      <c r="BW178" s="791">
        <v>581.49163564788921</v>
      </c>
      <c r="BX178" s="791">
        <v>581.49163564788921</v>
      </c>
      <c r="BY178" s="791">
        <v>581.49163564788921</v>
      </c>
      <c r="BZ178" s="791">
        <v>581.49163564788921</v>
      </c>
      <c r="CA178" s="791">
        <v>581.49163564788921</v>
      </c>
      <c r="CB178" s="791">
        <v>581.49163564788921</v>
      </c>
      <c r="CC178" s="791">
        <v>581.49163564788921</v>
      </c>
      <c r="CD178" s="791">
        <v>581.49163564788921</v>
      </c>
      <c r="CE178" s="791">
        <v>581.49163564788921</v>
      </c>
      <c r="CF178" s="791">
        <v>581.49163564788921</v>
      </c>
      <c r="CG178" s="791">
        <v>581.49163564788921</v>
      </c>
      <c r="CH178" s="791">
        <v>581.49163564788921</v>
      </c>
      <c r="CI178" s="791">
        <v>581.49163564788921</v>
      </c>
      <c r="CJ178" s="791">
        <v>581.49163564788921</v>
      </c>
      <c r="CK178" s="791">
        <v>581.49163564788921</v>
      </c>
      <c r="CL178" s="791">
        <v>581.49163564788921</v>
      </c>
      <c r="CM178" s="791">
        <v>581.49163564788921</v>
      </c>
      <c r="CN178" s="791">
        <v>581.49163564788921</v>
      </c>
      <c r="CO178" s="706"/>
      <c r="CP178" s="706"/>
      <c r="CQ178" s="706"/>
      <c r="CR178" s="706"/>
    </row>
    <row r="179" spans="1:96">
      <c r="A179" s="694" t="s">
        <v>3</v>
      </c>
      <c r="B179" s="794">
        <v>41975</v>
      </c>
      <c r="C179" s="743">
        <v>2014</v>
      </c>
      <c r="D179" s="746" t="s">
        <v>15</v>
      </c>
      <c r="E179" s="746" t="s">
        <v>25</v>
      </c>
      <c r="F179" s="746" t="s">
        <v>17</v>
      </c>
      <c r="G179" s="746" t="s">
        <v>58</v>
      </c>
      <c r="H179" s="694" t="s">
        <v>959</v>
      </c>
      <c r="I179" s="746" t="s">
        <v>5</v>
      </c>
      <c r="J179" s="746" t="s">
        <v>376</v>
      </c>
      <c r="K179" s="706">
        <v>1</v>
      </c>
      <c r="L179" s="745" t="s">
        <v>58</v>
      </c>
      <c r="M179" s="706" t="s">
        <v>923</v>
      </c>
      <c r="N179" s="706">
        <v>19</v>
      </c>
      <c r="O179" s="706"/>
      <c r="P179" s="706"/>
      <c r="Q179" s="706"/>
      <c r="R179" s="706"/>
      <c r="S179" s="706"/>
      <c r="T179" s="706"/>
      <c r="U179" s="738">
        <v>0.62806842093767556</v>
      </c>
      <c r="V179" s="738">
        <v>1227.8974155200376</v>
      </c>
      <c r="W179" s="793">
        <v>0.62806842093767556</v>
      </c>
      <c r="X179" s="708">
        <v>1227.8974155200376</v>
      </c>
      <c r="Y179" s="719">
        <v>23330.050894880715</v>
      </c>
      <c r="Z179" s="719">
        <v>11048.341077309895</v>
      </c>
      <c r="AA179" s="719">
        <v>581.49163564788921</v>
      </c>
      <c r="AB179" s="738">
        <v>0.29743244734753344</v>
      </c>
      <c r="AC179" s="792">
        <v>1</v>
      </c>
      <c r="AD179" s="792">
        <v>1</v>
      </c>
      <c r="AE179" s="717">
        <v>0.56884057971014501</v>
      </c>
      <c r="AF179" s="714">
        <v>4.2407531067898789E-2</v>
      </c>
      <c r="AG179" s="706"/>
      <c r="AH179" s="792">
        <v>0.47356695135775378</v>
      </c>
      <c r="AI179" s="748">
        <v>0.56884057971014501</v>
      </c>
      <c r="AJ179" s="748">
        <v>4.2407531067898789E-2</v>
      </c>
      <c r="AK179" s="748"/>
      <c r="AL179" s="714">
        <v>0.47356695135775378</v>
      </c>
      <c r="AM179" s="706"/>
      <c r="AN179" s="706"/>
      <c r="AO179" s="706"/>
      <c r="AP179" s="706"/>
      <c r="AQ179" s="706"/>
      <c r="AR179" s="706" t="s">
        <v>957</v>
      </c>
      <c r="AS179" s="706"/>
      <c r="AT179" s="706"/>
      <c r="AU179" s="706"/>
      <c r="AV179" s="706">
        <v>0.29743244734753344</v>
      </c>
      <c r="AW179" s="706">
        <v>0.29743244734753344</v>
      </c>
      <c r="AX179" s="706">
        <v>0.29743244734753344</v>
      </c>
      <c r="AY179" s="706">
        <v>0.29743244734753344</v>
      </c>
      <c r="AZ179" s="706">
        <v>0.29743244734753344</v>
      </c>
      <c r="BA179" s="706">
        <v>0.29743244734753344</v>
      </c>
      <c r="BB179" s="706">
        <v>0.29743244734753344</v>
      </c>
      <c r="BC179" s="706">
        <v>0.29743244734753344</v>
      </c>
      <c r="BD179" s="706">
        <v>0.29743244734753344</v>
      </c>
      <c r="BE179" s="706">
        <v>0.29743244734753344</v>
      </c>
      <c r="BF179" s="706">
        <v>0.29743244734753344</v>
      </c>
      <c r="BG179" s="706">
        <v>0.29743244734753344</v>
      </c>
      <c r="BH179" s="706">
        <v>0.29743244734753344</v>
      </c>
      <c r="BI179" s="706">
        <v>0.29743244734753344</v>
      </c>
      <c r="BJ179" s="706">
        <v>0.29743244734753344</v>
      </c>
      <c r="BK179" s="706">
        <v>0.29743244734753344</v>
      </c>
      <c r="BL179" s="706">
        <v>0.29743244734753344</v>
      </c>
      <c r="BM179" s="706">
        <v>0.29743244734753344</v>
      </c>
      <c r="BN179" s="706">
        <v>0.29743244734753344</v>
      </c>
      <c r="BO179" s="706"/>
      <c r="BP179" s="706"/>
      <c r="BQ179" s="706"/>
      <c r="BR179" s="706"/>
      <c r="BS179" s="706"/>
      <c r="BT179" s="706"/>
      <c r="BU179" s="706"/>
      <c r="BV179" s="791">
        <v>581.49163564788921</v>
      </c>
      <c r="BW179" s="791">
        <v>581.49163564788921</v>
      </c>
      <c r="BX179" s="791">
        <v>581.49163564788921</v>
      </c>
      <c r="BY179" s="791">
        <v>581.49163564788921</v>
      </c>
      <c r="BZ179" s="791">
        <v>581.49163564788921</v>
      </c>
      <c r="CA179" s="791">
        <v>581.49163564788921</v>
      </c>
      <c r="CB179" s="791">
        <v>581.49163564788921</v>
      </c>
      <c r="CC179" s="791">
        <v>581.49163564788921</v>
      </c>
      <c r="CD179" s="791">
        <v>581.49163564788921</v>
      </c>
      <c r="CE179" s="791">
        <v>581.49163564788921</v>
      </c>
      <c r="CF179" s="791">
        <v>581.49163564788921</v>
      </c>
      <c r="CG179" s="791">
        <v>581.49163564788921</v>
      </c>
      <c r="CH179" s="791">
        <v>581.49163564788921</v>
      </c>
      <c r="CI179" s="791">
        <v>581.49163564788921</v>
      </c>
      <c r="CJ179" s="791">
        <v>581.49163564788921</v>
      </c>
      <c r="CK179" s="791">
        <v>581.49163564788921</v>
      </c>
      <c r="CL179" s="791">
        <v>581.49163564788921</v>
      </c>
      <c r="CM179" s="791">
        <v>581.49163564788921</v>
      </c>
      <c r="CN179" s="791">
        <v>581.49163564788921</v>
      </c>
      <c r="CO179" s="706"/>
      <c r="CP179" s="706"/>
      <c r="CQ179" s="706"/>
      <c r="CR179" s="706"/>
    </row>
    <row r="180" spans="1:96">
      <c r="A180" s="694" t="s">
        <v>3</v>
      </c>
      <c r="B180" s="794">
        <v>41801</v>
      </c>
      <c r="C180" s="743">
        <v>2014</v>
      </c>
      <c r="D180" s="746" t="s">
        <v>15</v>
      </c>
      <c r="E180" s="746" t="s">
        <v>25</v>
      </c>
      <c r="F180" s="746" t="s">
        <v>17</v>
      </c>
      <c r="G180" s="746" t="s">
        <v>58</v>
      </c>
      <c r="H180" s="694" t="s">
        <v>959</v>
      </c>
      <c r="I180" s="746" t="s">
        <v>5</v>
      </c>
      <c r="J180" s="746" t="s">
        <v>376</v>
      </c>
      <c r="K180" s="706">
        <v>1</v>
      </c>
      <c r="L180" s="745" t="s">
        <v>58</v>
      </c>
      <c r="M180" s="706" t="s">
        <v>880</v>
      </c>
      <c r="N180" s="706">
        <v>19</v>
      </c>
      <c r="O180" s="706"/>
      <c r="P180" s="706"/>
      <c r="Q180" s="706"/>
      <c r="R180" s="706"/>
      <c r="S180" s="706"/>
      <c r="T180" s="706"/>
      <c r="U180" s="738">
        <v>0.62806842093767556</v>
      </c>
      <c r="V180" s="738">
        <v>1227.8974155200376</v>
      </c>
      <c r="W180" s="793">
        <v>0.62806842093767556</v>
      </c>
      <c r="X180" s="708">
        <v>1227.8974155200376</v>
      </c>
      <c r="Y180" s="719">
        <v>23330.050894880715</v>
      </c>
      <c r="Z180" s="719">
        <v>11048.341077309895</v>
      </c>
      <c r="AA180" s="719">
        <v>581.49163564788921</v>
      </c>
      <c r="AB180" s="738">
        <v>0.29743244734753344</v>
      </c>
      <c r="AC180" s="792">
        <v>1</v>
      </c>
      <c r="AD180" s="792">
        <v>1</v>
      </c>
      <c r="AE180" s="717">
        <v>0.56884057971014501</v>
      </c>
      <c r="AF180" s="714">
        <v>4.2407531067898789E-2</v>
      </c>
      <c r="AG180" s="706"/>
      <c r="AH180" s="792">
        <v>0.47356695135775378</v>
      </c>
      <c r="AI180" s="748">
        <v>0.56884057971014501</v>
      </c>
      <c r="AJ180" s="748">
        <v>4.2407531067898789E-2</v>
      </c>
      <c r="AK180" s="748"/>
      <c r="AL180" s="714">
        <v>0.47356695135775378</v>
      </c>
      <c r="AM180" s="706"/>
      <c r="AN180" s="706"/>
      <c r="AO180" s="706"/>
      <c r="AP180" s="706"/>
      <c r="AQ180" s="706"/>
      <c r="AR180" s="706" t="s">
        <v>957</v>
      </c>
      <c r="AS180" s="706"/>
      <c r="AT180" s="706"/>
      <c r="AU180" s="706"/>
      <c r="AV180" s="706">
        <v>0.29743244734753344</v>
      </c>
      <c r="AW180" s="706">
        <v>0.29743244734753344</v>
      </c>
      <c r="AX180" s="706">
        <v>0.29743244734753344</v>
      </c>
      <c r="AY180" s="706">
        <v>0.29743244734753344</v>
      </c>
      <c r="AZ180" s="706">
        <v>0.29743244734753344</v>
      </c>
      <c r="BA180" s="706">
        <v>0.29743244734753344</v>
      </c>
      <c r="BB180" s="706">
        <v>0.29743244734753344</v>
      </c>
      <c r="BC180" s="706">
        <v>0.29743244734753344</v>
      </c>
      <c r="BD180" s="706">
        <v>0.29743244734753344</v>
      </c>
      <c r="BE180" s="706">
        <v>0.29743244734753344</v>
      </c>
      <c r="BF180" s="706">
        <v>0.29743244734753344</v>
      </c>
      <c r="BG180" s="706">
        <v>0.29743244734753344</v>
      </c>
      <c r="BH180" s="706">
        <v>0.29743244734753344</v>
      </c>
      <c r="BI180" s="706">
        <v>0.29743244734753344</v>
      </c>
      <c r="BJ180" s="706">
        <v>0.29743244734753344</v>
      </c>
      <c r="BK180" s="706">
        <v>0.29743244734753344</v>
      </c>
      <c r="BL180" s="706">
        <v>0.29743244734753344</v>
      </c>
      <c r="BM180" s="706">
        <v>0.29743244734753344</v>
      </c>
      <c r="BN180" s="706">
        <v>0.29743244734753344</v>
      </c>
      <c r="BO180" s="706"/>
      <c r="BP180" s="706"/>
      <c r="BQ180" s="706"/>
      <c r="BR180" s="706"/>
      <c r="BS180" s="706"/>
      <c r="BT180" s="706"/>
      <c r="BU180" s="706"/>
      <c r="BV180" s="791">
        <v>581.49163564788921</v>
      </c>
      <c r="BW180" s="791">
        <v>581.49163564788921</v>
      </c>
      <c r="BX180" s="791">
        <v>581.49163564788921</v>
      </c>
      <c r="BY180" s="791">
        <v>581.49163564788921</v>
      </c>
      <c r="BZ180" s="791">
        <v>581.49163564788921</v>
      </c>
      <c r="CA180" s="791">
        <v>581.49163564788921</v>
      </c>
      <c r="CB180" s="791">
        <v>581.49163564788921</v>
      </c>
      <c r="CC180" s="791">
        <v>581.49163564788921</v>
      </c>
      <c r="CD180" s="791">
        <v>581.49163564788921</v>
      </c>
      <c r="CE180" s="791">
        <v>581.49163564788921</v>
      </c>
      <c r="CF180" s="791">
        <v>581.49163564788921</v>
      </c>
      <c r="CG180" s="791">
        <v>581.49163564788921</v>
      </c>
      <c r="CH180" s="791">
        <v>581.49163564788921</v>
      </c>
      <c r="CI180" s="791">
        <v>581.49163564788921</v>
      </c>
      <c r="CJ180" s="791">
        <v>581.49163564788921</v>
      </c>
      <c r="CK180" s="791">
        <v>581.49163564788921</v>
      </c>
      <c r="CL180" s="791">
        <v>581.49163564788921</v>
      </c>
      <c r="CM180" s="791">
        <v>581.49163564788921</v>
      </c>
      <c r="CN180" s="791">
        <v>581.49163564788921</v>
      </c>
      <c r="CO180" s="706"/>
      <c r="CP180" s="706"/>
      <c r="CQ180" s="706"/>
      <c r="CR180" s="706"/>
    </row>
    <row r="181" spans="1:96">
      <c r="A181" s="694" t="s">
        <v>3</v>
      </c>
      <c r="B181" s="794">
        <v>41967</v>
      </c>
      <c r="C181" s="743">
        <v>2014</v>
      </c>
      <c r="D181" s="746" t="s">
        <v>15</v>
      </c>
      <c r="E181" s="746" t="s">
        <v>25</v>
      </c>
      <c r="F181" s="746" t="s">
        <v>17</v>
      </c>
      <c r="G181" s="746" t="s">
        <v>58</v>
      </c>
      <c r="H181" s="694" t="s">
        <v>959</v>
      </c>
      <c r="I181" s="746" t="s">
        <v>5</v>
      </c>
      <c r="J181" s="746" t="s">
        <v>376</v>
      </c>
      <c r="K181" s="706">
        <v>1</v>
      </c>
      <c r="L181" s="745" t="s">
        <v>58</v>
      </c>
      <c r="M181" s="706" t="s">
        <v>921</v>
      </c>
      <c r="N181" s="706">
        <v>19</v>
      </c>
      <c r="O181" s="706"/>
      <c r="P181" s="706"/>
      <c r="Q181" s="706"/>
      <c r="R181" s="706"/>
      <c r="S181" s="706"/>
      <c r="T181" s="706"/>
      <c r="U181" s="738">
        <v>0.62806842093767556</v>
      </c>
      <c r="V181" s="738">
        <v>1227.8974155200376</v>
      </c>
      <c r="W181" s="793">
        <v>0.62806842093767556</v>
      </c>
      <c r="X181" s="708">
        <v>1227.8974155200376</v>
      </c>
      <c r="Y181" s="719">
        <v>23330.050894880715</v>
      </c>
      <c r="Z181" s="719">
        <v>11048.341077309895</v>
      </c>
      <c r="AA181" s="719">
        <v>581.49163564788921</v>
      </c>
      <c r="AB181" s="738">
        <v>0.29743244734753344</v>
      </c>
      <c r="AC181" s="792">
        <v>1</v>
      </c>
      <c r="AD181" s="792">
        <v>1</v>
      </c>
      <c r="AE181" s="717">
        <v>0.56884057971014501</v>
      </c>
      <c r="AF181" s="714">
        <v>4.2407531067898789E-2</v>
      </c>
      <c r="AG181" s="706"/>
      <c r="AH181" s="792">
        <v>0.47356695135775378</v>
      </c>
      <c r="AI181" s="748">
        <v>0.56884057971014501</v>
      </c>
      <c r="AJ181" s="748">
        <v>4.2407531067898789E-2</v>
      </c>
      <c r="AK181" s="748"/>
      <c r="AL181" s="714">
        <v>0.47356695135775378</v>
      </c>
      <c r="AM181" s="706"/>
      <c r="AN181" s="706"/>
      <c r="AO181" s="706"/>
      <c r="AP181" s="706"/>
      <c r="AQ181" s="706"/>
      <c r="AR181" s="706" t="s">
        <v>957</v>
      </c>
      <c r="AS181" s="706"/>
      <c r="AT181" s="706"/>
      <c r="AU181" s="706"/>
      <c r="AV181" s="706">
        <v>0.29743244734753344</v>
      </c>
      <c r="AW181" s="706">
        <v>0.29743244734753344</v>
      </c>
      <c r="AX181" s="706">
        <v>0.29743244734753344</v>
      </c>
      <c r="AY181" s="706">
        <v>0.29743244734753344</v>
      </c>
      <c r="AZ181" s="706">
        <v>0.29743244734753344</v>
      </c>
      <c r="BA181" s="706">
        <v>0.29743244734753344</v>
      </c>
      <c r="BB181" s="706">
        <v>0.29743244734753344</v>
      </c>
      <c r="BC181" s="706">
        <v>0.29743244734753344</v>
      </c>
      <c r="BD181" s="706">
        <v>0.29743244734753344</v>
      </c>
      <c r="BE181" s="706">
        <v>0.29743244734753344</v>
      </c>
      <c r="BF181" s="706">
        <v>0.29743244734753344</v>
      </c>
      <c r="BG181" s="706">
        <v>0.29743244734753344</v>
      </c>
      <c r="BH181" s="706">
        <v>0.29743244734753344</v>
      </c>
      <c r="BI181" s="706">
        <v>0.29743244734753344</v>
      </c>
      <c r="BJ181" s="706">
        <v>0.29743244734753344</v>
      </c>
      <c r="BK181" s="706">
        <v>0.29743244734753344</v>
      </c>
      <c r="BL181" s="706">
        <v>0.29743244734753344</v>
      </c>
      <c r="BM181" s="706">
        <v>0.29743244734753344</v>
      </c>
      <c r="BN181" s="706">
        <v>0.29743244734753344</v>
      </c>
      <c r="BO181" s="706"/>
      <c r="BP181" s="706"/>
      <c r="BQ181" s="706"/>
      <c r="BR181" s="706"/>
      <c r="BS181" s="706"/>
      <c r="BT181" s="706"/>
      <c r="BU181" s="706"/>
      <c r="BV181" s="791">
        <v>581.49163564788921</v>
      </c>
      <c r="BW181" s="791">
        <v>581.49163564788921</v>
      </c>
      <c r="BX181" s="791">
        <v>581.49163564788921</v>
      </c>
      <c r="BY181" s="791">
        <v>581.49163564788921</v>
      </c>
      <c r="BZ181" s="791">
        <v>581.49163564788921</v>
      </c>
      <c r="CA181" s="791">
        <v>581.49163564788921</v>
      </c>
      <c r="CB181" s="791">
        <v>581.49163564788921</v>
      </c>
      <c r="CC181" s="791">
        <v>581.49163564788921</v>
      </c>
      <c r="CD181" s="791">
        <v>581.49163564788921</v>
      </c>
      <c r="CE181" s="791">
        <v>581.49163564788921</v>
      </c>
      <c r="CF181" s="791">
        <v>581.49163564788921</v>
      </c>
      <c r="CG181" s="791">
        <v>581.49163564788921</v>
      </c>
      <c r="CH181" s="791">
        <v>581.49163564788921</v>
      </c>
      <c r="CI181" s="791">
        <v>581.49163564788921</v>
      </c>
      <c r="CJ181" s="791">
        <v>581.49163564788921</v>
      </c>
      <c r="CK181" s="791">
        <v>581.49163564788921</v>
      </c>
      <c r="CL181" s="791">
        <v>581.49163564788921</v>
      </c>
      <c r="CM181" s="791">
        <v>581.49163564788921</v>
      </c>
      <c r="CN181" s="791">
        <v>581.49163564788921</v>
      </c>
      <c r="CO181" s="706"/>
      <c r="CP181" s="706"/>
      <c r="CQ181" s="706"/>
      <c r="CR181" s="706"/>
    </row>
    <row r="182" spans="1:96">
      <c r="A182" s="694" t="s">
        <v>3</v>
      </c>
      <c r="B182" s="794">
        <v>41806</v>
      </c>
      <c r="C182" s="743">
        <v>2014</v>
      </c>
      <c r="D182" s="746" t="s">
        <v>15</v>
      </c>
      <c r="E182" s="746" t="s">
        <v>25</v>
      </c>
      <c r="F182" s="746" t="s">
        <v>17</v>
      </c>
      <c r="G182" s="746" t="s">
        <v>58</v>
      </c>
      <c r="H182" s="694" t="s">
        <v>959</v>
      </c>
      <c r="I182" s="746" t="s">
        <v>5</v>
      </c>
      <c r="J182" s="746" t="s">
        <v>376</v>
      </c>
      <c r="K182" s="706">
        <v>1</v>
      </c>
      <c r="L182" s="745" t="s">
        <v>58</v>
      </c>
      <c r="M182" s="706" t="s">
        <v>1045</v>
      </c>
      <c r="N182" s="706">
        <v>19</v>
      </c>
      <c r="O182" s="706"/>
      <c r="P182" s="706"/>
      <c r="Q182" s="706"/>
      <c r="R182" s="706"/>
      <c r="S182" s="706"/>
      <c r="T182" s="706"/>
      <c r="U182" s="738">
        <v>0.62806842093767556</v>
      </c>
      <c r="V182" s="738">
        <v>1227.8974155200376</v>
      </c>
      <c r="W182" s="793">
        <v>0.62806842093767556</v>
      </c>
      <c r="X182" s="708">
        <v>1227.8974155200376</v>
      </c>
      <c r="Y182" s="719">
        <v>23330.050894880715</v>
      </c>
      <c r="Z182" s="719">
        <v>11048.341077309895</v>
      </c>
      <c r="AA182" s="719">
        <v>581.49163564788921</v>
      </c>
      <c r="AB182" s="738">
        <v>0.29743244734753344</v>
      </c>
      <c r="AC182" s="792">
        <v>1</v>
      </c>
      <c r="AD182" s="792">
        <v>1</v>
      </c>
      <c r="AE182" s="717">
        <v>0.56884057971014501</v>
      </c>
      <c r="AF182" s="714">
        <v>4.2407531067898789E-2</v>
      </c>
      <c r="AG182" s="706"/>
      <c r="AH182" s="792">
        <v>0.47356695135775378</v>
      </c>
      <c r="AI182" s="748">
        <v>0.56884057971014501</v>
      </c>
      <c r="AJ182" s="748">
        <v>4.2407531067898789E-2</v>
      </c>
      <c r="AK182" s="748"/>
      <c r="AL182" s="714">
        <v>0.47356695135775378</v>
      </c>
      <c r="AM182" s="706"/>
      <c r="AN182" s="706"/>
      <c r="AO182" s="706"/>
      <c r="AP182" s="706"/>
      <c r="AQ182" s="706"/>
      <c r="AR182" s="706" t="s">
        <v>957</v>
      </c>
      <c r="AS182" s="706"/>
      <c r="AT182" s="706"/>
      <c r="AU182" s="706"/>
      <c r="AV182" s="706">
        <v>0.29743244734753344</v>
      </c>
      <c r="AW182" s="706">
        <v>0.29743244734753344</v>
      </c>
      <c r="AX182" s="706">
        <v>0.29743244734753344</v>
      </c>
      <c r="AY182" s="706">
        <v>0.29743244734753344</v>
      </c>
      <c r="AZ182" s="706">
        <v>0.29743244734753344</v>
      </c>
      <c r="BA182" s="706">
        <v>0.29743244734753344</v>
      </c>
      <c r="BB182" s="706">
        <v>0.29743244734753344</v>
      </c>
      <c r="BC182" s="706">
        <v>0.29743244734753344</v>
      </c>
      <c r="BD182" s="706">
        <v>0.29743244734753344</v>
      </c>
      <c r="BE182" s="706">
        <v>0.29743244734753344</v>
      </c>
      <c r="BF182" s="706">
        <v>0.29743244734753344</v>
      </c>
      <c r="BG182" s="706">
        <v>0.29743244734753344</v>
      </c>
      <c r="BH182" s="706">
        <v>0.29743244734753344</v>
      </c>
      <c r="BI182" s="706">
        <v>0.29743244734753344</v>
      </c>
      <c r="BJ182" s="706">
        <v>0.29743244734753344</v>
      </c>
      <c r="BK182" s="706">
        <v>0.29743244734753344</v>
      </c>
      <c r="BL182" s="706">
        <v>0.29743244734753344</v>
      </c>
      <c r="BM182" s="706">
        <v>0.29743244734753344</v>
      </c>
      <c r="BN182" s="706">
        <v>0.29743244734753344</v>
      </c>
      <c r="BO182" s="706"/>
      <c r="BP182" s="706"/>
      <c r="BQ182" s="706"/>
      <c r="BR182" s="706"/>
      <c r="BS182" s="706"/>
      <c r="BT182" s="706"/>
      <c r="BU182" s="706"/>
      <c r="BV182" s="791">
        <v>581.49163564788921</v>
      </c>
      <c r="BW182" s="791">
        <v>581.49163564788921</v>
      </c>
      <c r="BX182" s="791">
        <v>581.49163564788921</v>
      </c>
      <c r="BY182" s="791">
        <v>581.49163564788921</v>
      </c>
      <c r="BZ182" s="791">
        <v>581.49163564788921</v>
      </c>
      <c r="CA182" s="791">
        <v>581.49163564788921</v>
      </c>
      <c r="CB182" s="791">
        <v>581.49163564788921</v>
      </c>
      <c r="CC182" s="791">
        <v>581.49163564788921</v>
      </c>
      <c r="CD182" s="791">
        <v>581.49163564788921</v>
      </c>
      <c r="CE182" s="791">
        <v>581.49163564788921</v>
      </c>
      <c r="CF182" s="791">
        <v>581.49163564788921</v>
      </c>
      <c r="CG182" s="791">
        <v>581.49163564788921</v>
      </c>
      <c r="CH182" s="791">
        <v>581.49163564788921</v>
      </c>
      <c r="CI182" s="791">
        <v>581.49163564788921</v>
      </c>
      <c r="CJ182" s="791">
        <v>581.49163564788921</v>
      </c>
      <c r="CK182" s="791">
        <v>581.49163564788921</v>
      </c>
      <c r="CL182" s="791">
        <v>581.49163564788921</v>
      </c>
      <c r="CM182" s="791">
        <v>581.49163564788921</v>
      </c>
      <c r="CN182" s="791">
        <v>581.49163564788921</v>
      </c>
      <c r="CO182" s="706"/>
      <c r="CP182" s="706"/>
      <c r="CQ182" s="706"/>
      <c r="CR182" s="706"/>
    </row>
    <row r="183" spans="1:96">
      <c r="A183" s="694" t="s">
        <v>3</v>
      </c>
      <c r="B183" s="794">
        <v>41773</v>
      </c>
      <c r="C183" s="743">
        <v>2014</v>
      </c>
      <c r="D183" s="746" t="s">
        <v>15</v>
      </c>
      <c r="E183" s="746" t="s">
        <v>25</v>
      </c>
      <c r="F183" s="746" t="s">
        <v>17</v>
      </c>
      <c r="G183" s="746" t="s">
        <v>58</v>
      </c>
      <c r="H183" s="694" t="s">
        <v>959</v>
      </c>
      <c r="I183" s="746" t="s">
        <v>5</v>
      </c>
      <c r="J183" s="746" t="s">
        <v>376</v>
      </c>
      <c r="K183" s="706">
        <v>1</v>
      </c>
      <c r="L183" s="745" t="s">
        <v>58</v>
      </c>
      <c r="M183" s="706" t="s">
        <v>920</v>
      </c>
      <c r="N183" s="706">
        <v>19</v>
      </c>
      <c r="O183" s="706"/>
      <c r="P183" s="706"/>
      <c r="Q183" s="706"/>
      <c r="R183" s="706"/>
      <c r="S183" s="706"/>
      <c r="T183" s="706"/>
      <c r="U183" s="738">
        <v>0.62806842093767556</v>
      </c>
      <c r="V183" s="738">
        <v>1227.8974155200376</v>
      </c>
      <c r="W183" s="793">
        <v>0.62806842093767556</v>
      </c>
      <c r="X183" s="708">
        <v>1227.8974155200376</v>
      </c>
      <c r="Y183" s="719">
        <v>23330.050894880715</v>
      </c>
      <c r="Z183" s="719">
        <v>11048.341077309895</v>
      </c>
      <c r="AA183" s="719">
        <v>581.49163564788921</v>
      </c>
      <c r="AB183" s="738">
        <v>0.29743244734753344</v>
      </c>
      <c r="AC183" s="792">
        <v>1</v>
      </c>
      <c r="AD183" s="792">
        <v>1</v>
      </c>
      <c r="AE183" s="717">
        <v>0.56884057971014501</v>
      </c>
      <c r="AF183" s="714">
        <v>4.2407531067898789E-2</v>
      </c>
      <c r="AG183" s="706"/>
      <c r="AH183" s="792">
        <v>0.47356695135775378</v>
      </c>
      <c r="AI183" s="748">
        <v>0.56884057971014501</v>
      </c>
      <c r="AJ183" s="748">
        <v>4.2407531067898789E-2</v>
      </c>
      <c r="AK183" s="748"/>
      <c r="AL183" s="714">
        <v>0.47356695135775378</v>
      </c>
      <c r="AM183" s="706"/>
      <c r="AN183" s="706"/>
      <c r="AO183" s="706"/>
      <c r="AP183" s="706"/>
      <c r="AQ183" s="706"/>
      <c r="AR183" s="706" t="s">
        <v>957</v>
      </c>
      <c r="AS183" s="706"/>
      <c r="AT183" s="706"/>
      <c r="AU183" s="706"/>
      <c r="AV183" s="706">
        <v>0.29743244734753344</v>
      </c>
      <c r="AW183" s="706">
        <v>0.29743244734753344</v>
      </c>
      <c r="AX183" s="706">
        <v>0.29743244734753344</v>
      </c>
      <c r="AY183" s="706">
        <v>0.29743244734753344</v>
      </c>
      <c r="AZ183" s="706">
        <v>0.29743244734753344</v>
      </c>
      <c r="BA183" s="706">
        <v>0.29743244734753344</v>
      </c>
      <c r="BB183" s="706">
        <v>0.29743244734753344</v>
      </c>
      <c r="BC183" s="706">
        <v>0.29743244734753344</v>
      </c>
      <c r="BD183" s="706">
        <v>0.29743244734753344</v>
      </c>
      <c r="BE183" s="706">
        <v>0.29743244734753344</v>
      </c>
      <c r="BF183" s="706">
        <v>0.29743244734753344</v>
      </c>
      <c r="BG183" s="706">
        <v>0.29743244734753344</v>
      </c>
      <c r="BH183" s="706">
        <v>0.29743244734753344</v>
      </c>
      <c r="BI183" s="706">
        <v>0.29743244734753344</v>
      </c>
      <c r="BJ183" s="706">
        <v>0.29743244734753344</v>
      </c>
      <c r="BK183" s="706">
        <v>0.29743244734753344</v>
      </c>
      <c r="BL183" s="706">
        <v>0.29743244734753344</v>
      </c>
      <c r="BM183" s="706">
        <v>0.29743244734753344</v>
      </c>
      <c r="BN183" s="706">
        <v>0.29743244734753344</v>
      </c>
      <c r="BO183" s="706"/>
      <c r="BP183" s="706"/>
      <c r="BQ183" s="706"/>
      <c r="BR183" s="706"/>
      <c r="BS183" s="706"/>
      <c r="BT183" s="706"/>
      <c r="BU183" s="706"/>
      <c r="BV183" s="791">
        <v>581.49163564788921</v>
      </c>
      <c r="BW183" s="791">
        <v>581.49163564788921</v>
      </c>
      <c r="BX183" s="791">
        <v>581.49163564788921</v>
      </c>
      <c r="BY183" s="791">
        <v>581.49163564788921</v>
      </c>
      <c r="BZ183" s="791">
        <v>581.49163564788921</v>
      </c>
      <c r="CA183" s="791">
        <v>581.49163564788921</v>
      </c>
      <c r="CB183" s="791">
        <v>581.49163564788921</v>
      </c>
      <c r="CC183" s="791">
        <v>581.49163564788921</v>
      </c>
      <c r="CD183" s="791">
        <v>581.49163564788921</v>
      </c>
      <c r="CE183" s="791">
        <v>581.49163564788921</v>
      </c>
      <c r="CF183" s="791">
        <v>581.49163564788921</v>
      </c>
      <c r="CG183" s="791">
        <v>581.49163564788921</v>
      </c>
      <c r="CH183" s="791">
        <v>581.49163564788921</v>
      </c>
      <c r="CI183" s="791">
        <v>581.49163564788921</v>
      </c>
      <c r="CJ183" s="791">
        <v>581.49163564788921</v>
      </c>
      <c r="CK183" s="791">
        <v>581.49163564788921</v>
      </c>
      <c r="CL183" s="791">
        <v>581.49163564788921</v>
      </c>
      <c r="CM183" s="791">
        <v>581.49163564788921</v>
      </c>
      <c r="CN183" s="791">
        <v>581.49163564788921</v>
      </c>
      <c r="CO183" s="706"/>
      <c r="CP183" s="706"/>
      <c r="CQ183" s="706"/>
      <c r="CR183" s="706"/>
    </row>
    <row r="184" spans="1:96">
      <c r="A184" s="694" t="s">
        <v>3</v>
      </c>
      <c r="B184" s="794">
        <v>41801</v>
      </c>
      <c r="C184" s="743">
        <v>2014</v>
      </c>
      <c r="D184" s="746" t="s">
        <v>15</v>
      </c>
      <c r="E184" s="746" t="s">
        <v>25</v>
      </c>
      <c r="F184" s="746" t="s">
        <v>17</v>
      </c>
      <c r="G184" s="746" t="s">
        <v>58</v>
      </c>
      <c r="H184" s="694" t="s">
        <v>959</v>
      </c>
      <c r="I184" s="746" t="s">
        <v>5</v>
      </c>
      <c r="J184" s="746" t="s">
        <v>376</v>
      </c>
      <c r="K184" s="706">
        <v>1</v>
      </c>
      <c r="L184" s="745" t="s">
        <v>58</v>
      </c>
      <c r="M184" s="706" t="s">
        <v>1044</v>
      </c>
      <c r="N184" s="706">
        <v>19</v>
      </c>
      <c r="O184" s="706"/>
      <c r="P184" s="706"/>
      <c r="Q184" s="706"/>
      <c r="R184" s="706"/>
      <c r="S184" s="706"/>
      <c r="T184" s="706"/>
      <c r="U184" s="738">
        <v>0.62806842093767556</v>
      </c>
      <c r="V184" s="738">
        <v>1227.8974155200376</v>
      </c>
      <c r="W184" s="793">
        <v>0.62806842093767556</v>
      </c>
      <c r="X184" s="708">
        <v>1227.8974155200376</v>
      </c>
      <c r="Y184" s="719">
        <v>23330.050894880715</v>
      </c>
      <c r="Z184" s="719">
        <v>11048.341077309895</v>
      </c>
      <c r="AA184" s="719">
        <v>581.49163564788921</v>
      </c>
      <c r="AB184" s="738">
        <v>0.29743244734753344</v>
      </c>
      <c r="AC184" s="792">
        <v>1</v>
      </c>
      <c r="AD184" s="792">
        <v>1</v>
      </c>
      <c r="AE184" s="717">
        <v>0.56884057971014501</v>
      </c>
      <c r="AF184" s="714">
        <v>4.2407531067898789E-2</v>
      </c>
      <c r="AG184" s="706"/>
      <c r="AH184" s="792">
        <v>0.47356695135775378</v>
      </c>
      <c r="AI184" s="748">
        <v>0.56884057971014501</v>
      </c>
      <c r="AJ184" s="748">
        <v>4.2407531067898789E-2</v>
      </c>
      <c r="AK184" s="748"/>
      <c r="AL184" s="714">
        <v>0.47356695135775378</v>
      </c>
      <c r="AM184" s="706"/>
      <c r="AN184" s="706"/>
      <c r="AO184" s="706"/>
      <c r="AP184" s="706"/>
      <c r="AQ184" s="706"/>
      <c r="AR184" s="706" t="s">
        <v>957</v>
      </c>
      <c r="AS184" s="706"/>
      <c r="AT184" s="706"/>
      <c r="AU184" s="706"/>
      <c r="AV184" s="706">
        <v>0.29743244734753344</v>
      </c>
      <c r="AW184" s="706">
        <v>0.29743244734753344</v>
      </c>
      <c r="AX184" s="706">
        <v>0.29743244734753344</v>
      </c>
      <c r="AY184" s="706">
        <v>0.29743244734753344</v>
      </c>
      <c r="AZ184" s="706">
        <v>0.29743244734753344</v>
      </c>
      <c r="BA184" s="706">
        <v>0.29743244734753344</v>
      </c>
      <c r="BB184" s="706">
        <v>0.29743244734753344</v>
      </c>
      <c r="BC184" s="706">
        <v>0.29743244734753344</v>
      </c>
      <c r="BD184" s="706">
        <v>0.29743244734753344</v>
      </c>
      <c r="BE184" s="706">
        <v>0.29743244734753344</v>
      </c>
      <c r="BF184" s="706">
        <v>0.29743244734753344</v>
      </c>
      <c r="BG184" s="706">
        <v>0.29743244734753344</v>
      </c>
      <c r="BH184" s="706">
        <v>0.29743244734753344</v>
      </c>
      <c r="BI184" s="706">
        <v>0.29743244734753344</v>
      </c>
      <c r="BJ184" s="706">
        <v>0.29743244734753344</v>
      </c>
      <c r="BK184" s="706">
        <v>0.29743244734753344</v>
      </c>
      <c r="BL184" s="706">
        <v>0.29743244734753344</v>
      </c>
      <c r="BM184" s="706">
        <v>0.29743244734753344</v>
      </c>
      <c r="BN184" s="706">
        <v>0.29743244734753344</v>
      </c>
      <c r="BO184" s="706"/>
      <c r="BP184" s="706"/>
      <c r="BQ184" s="706"/>
      <c r="BR184" s="706"/>
      <c r="BS184" s="706"/>
      <c r="BT184" s="706"/>
      <c r="BU184" s="706"/>
      <c r="BV184" s="791">
        <v>581.49163564788921</v>
      </c>
      <c r="BW184" s="791">
        <v>581.49163564788921</v>
      </c>
      <c r="BX184" s="791">
        <v>581.49163564788921</v>
      </c>
      <c r="BY184" s="791">
        <v>581.49163564788921</v>
      </c>
      <c r="BZ184" s="791">
        <v>581.49163564788921</v>
      </c>
      <c r="CA184" s="791">
        <v>581.49163564788921</v>
      </c>
      <c r="CB184" s="791">
        <v>581.49163564788921</v>
      </c>
      <c r="CC184" s="791">
        <v>581.49163564788921</v>
      </c>
      <c r="CD184" s="791">
        <v>581.49163564788921</v>
      </c>
      <c r="CE184" s="791">
        <v>581.49163564788921</v>
      </c>
      <c r="CF184" s="791">
        <v>581.49163564788921</v>
      </c>
      <c r="CG184" s="791">
        <v>581.49163564788921</v>
      </c>
      <c r="CH184" s="791">
        <v>581.49163564788921</v>
      </c>
      <c r="CI184" s="791">
        <v>581.49163564788921</v>
      </c>
      <c r="CJ184" s="791">
        <v>581.49163564788921</v>
      </c>
      <c r="CK184" s="791">
        <v>581.49163564788921</v>
      </c>
      <c r="CL184" s="791">
        <v>581.49163564788921</v>
      </c>
      <c r="CM184" s="791">
        <v>581.49163564788921</v>
      </c>
      <c r="CN184" s="791">
        <v>581.49163564788921</v>
      </c>
      <c r="CO184" s="706"/>
      <c r="CP184" s="706"/>
      <c r="CQ184" s="706"/>
      <c r="CR184" s="706"/>
    </row>
    <row r="185" spans="1:96">
      <c r="A185" s="694" t="s">
        <v>3</v>
      </c>
      <c r="B185" s="794">
        <v>41963</v>
      </c>
      <c r="C185" s="743">
        <v>2014</v>
      </c>
      <c r="D185" s="746" t="s">
        <v>15</v>
      </c>
      <c r="E185" s="746" t="s">
        <v>25</v>
      </c>
      <c r="F185" s="746" t="s">
        <v>17</v>
      </c>
      <c r="G185" s="746" t="s">
        <v>58</v>
      </c>
      <c r="H185" s="694" t="s">
        <v>959</v>
      </c>
      <c r="I185" s="746" t="s">
        <v>5</v>
      </c>
      <c r="J185" s="746" t="s">
        <v>376</v>
      </c>
      <c r="K185" s="706">
        <v>1</v>
      </c>
      <c r="L185" s="745" t="s">
        <v>58</v>
      </c>
      <c r="M185" s="706" t="s">
        <v>919</v>
      </c>
      <c r="N185" s="706">
        <v>19</v>
      </c>
      <c r="O185" s="706"/>
      <c r="P185" s="706"/>
      <c r="Q185" s="706"/>
      <c r="R185" s="706"/>
      <c r="S185" s="706"/>
      <c r="T185" s="706"/>
      <c r="U185" s="738">
        <v>0.62806842093767556</v>
      </c>
      <c r="V185" s="738">
        <v>1227.8974155200376</v>
      </c>
      <c r="W185" s="793">
        <v>0.62806842093767556</v>
      </c>
      <c r="X185" s="708">
        <v>1227.8974155200376</v>
      </c>
      <c r="Y185" s="719">
        <v>23330.050894880715</v>
      </c>
      <c r="Z185" s="719">
        <v>11048.341077309895</v>
      </c>
      <c r="AA185" s="719">
        <v>581.49163564788921</v>
      </c>
      <c r="AB185" s="738">
        <v>0.29743244734753344</v>
      </c>
      <c r="AC185" s="792">
        <v>1</v>
      </c>
      <c r="AD185" s="792">
        <v>1</v>
      </c>
      <c r="AE185" s="717">
        <v>0.56884057971014501</v>
      </c>
      <c r="AF185" s="714">
        <v>4.2407531067898789E-2</v>
      </c>
      <c r="AG185" s="706"/>
      <c r="AH185" s="792">
        <v>0.47356695135775378</v>
      </c>
      <c r="AI185" s="748">
        <v>0.56884057971014501</v>
      </c>
      <c r="AJ185" s="748">
        <v>4.2407531067898789E-2</v>
      </c>
      <c r="AK185" s="748"/>
      <c r="AL185" s="714">
        <v>0.47356695135775378</v>
      </c>
      <c r="AM185" s="706"/>
      <c r="AN185" s="706"/>
      <c r="AO185" s="706"/>
      <c r="AP185" s="706"/>
      <c r="AQ185" s="706"/>
      <c r="AR185" s="706" t="s">
        <v>957</v>
      </c>
      <c r="AS185" s="706"/>
      <c r="AT185" s="706"/>
      <c r="AU185" s="706"/>
      <c r="AV185" s="706">
        <v>0.29743244734753344</v>
      </c>
      <c r="AW185" s="706">
        <v>0.29743244734753344</v>
      </c>
      <c r="AX185" s="706">
        <v>0.29743244734753344</v>
      </c>
      <c r="AY185" s="706">
        <v>0.29743244734753344</v>
      </c>
      <c r="AZ185" s="706">
        <v>0.29743244734753344</v>
      </c>
      <c r="BA185" s="706">
        <v>0.29743244734753344</v>
      </c>
      <c r="BB185" s="706">
        <v>0.29743244734753344</v>
      </c>
      <c r="BC185" s="706">
        <v>0.29743244734753344</v>
      </c>
      <c r="BD185" s="706">
        <v>0.29743244734753344</v>
      </c>
      <c r="BE185" s="706">
        <v>0.29743244734753344</v>
      </c>
      <c r="BF185" s="706">
        <v>0.29743244734753344</v>
      </c>
      <c r="BG185" s="706">
        <v>0.29743244734753344</v>
      </c>
      <c r="BH185" s="706">
        <v>0.29743244734753344</v>
      </c>
      <c r="BI185" s="706">
        <v>0.29743244734753344</v>
      </c>
      <c r="BJ185" s="706">
        <v>0.29743244734753344</v>
      </c>
      <c r="BK185" s="706">
        <v>0.29743244734753344</v>
      </c>
      <c r="BL185" s="706">
        <v>0.29743244734753344</v>
      </c>
      <c r="BM185" s="706">
        <v>0.29743244734753344</v>
      </c>
      <c r="BN185" s="706">
        <v>0.29743244734753344</v>
      </c>
      <c r="BO185" s="706"/>
      <c r="BP185" s="706"/>
      <c r="BQ185" s="706"/>
      <c r="BR185" s="706"/>
      <c r="BS185" s="706"/>
      <c r="BT185" s="706"/>
      <c r="BU185" s="706"/>
      <c r="BV185" s="791">
        <v>581.49163564788921</v>
      </c>
      <c r="BW185" s="791">
        <v>581.49163564788921</v>
      </c>
      <c r="BX185" s="791">
        <v>581.49163564788921</v>
      </c>
      <c r="BY185" s="791">
        <v>581.49163564788921</v>
      </c>
      <c r="BZ185" s="791">
        <v>581.49163564788921</v>
      </c>
      <c r="CA185" s="791">
        <v>581.49163564788921</v>
      </c>
      <c r="CB185" s="791">
        <v>581.49163564788921</v>
      </c>
      <c r="CC185" s="791">
        <v>581.49163564788921</v>
      </c>
      <c r="CD185" s="791">
        <v>581.49163564788921</v>
      </c>
      <c r="CE185" s="791">
        <v>581.49163564788921</v>
      </c>
      <c r="CF185" s="791">
        <v>581.49163564788921</v>
      </c>
      <c r="CG185" s="791">
        <v>581.49163564788921</v>
      </c>
      <c r="CH185" s="791">
        <v>581.49163564788921</v>
      </c>
      <c r="CI185" s="791">
        <v>581.49163564788921</v>
      </c>
      <c r="CJ185" s="791">
        <v>581.49163564788921</v>
      </c>
      <c r="CK185" s="791">
        <v>581.49163564788921</v>
      </c>
      <c r="CL185" s="791">
        <v>581.49163564788921</v>
      </c>
      <c r="CM185" s="791">
        <v>581.49163564788921</v>
      </c>
      <c r="CN185" s="791">
        <v>581.49163564788921</v>
      </c>
      <c r="CO185" s="706"/>
      <c r="CP185" s="706"/>
      <c r="CQ185" s="706"/>
      <c r="CR185" s="706"/>
    </row>
    <row r="186" spans="1:96">
      <c r="A186" s="694" t="s">
        <v>3</v>
      </c>
      <c r="B186" s="794">
        <v>41869</v>
      </c>
      <c r="C186" s="743">
        <v>2014</v>
      </c>
      <c r="D186" s="746" t="s">
        <v>15</v>
      </c>
      <c r="E186" s="746" t="s">
        <v>25</v>
      </c>
      <c r="F186" s="746" t="s">
        <v>17</v>
      </c>
      <c r="G186" s="746" t="s">
        <v>58</v>
      </c>
      <c r="H186" s="694" t="s">
        <v>959</v>
      </c>
      <c r="I186" s="746" t="s">
        <v>5</v>
      </c>
      <c r="J186" s="746" t="s">
        <v>376</v>
      </c>
      <c r="K186" s="706">
        <v>1</v>
      </c>
      <c r="L186" s="745" t="s">
        <v>58</v>
      </c>
      <c r="M186" s="706" t="s">
        <v>918</v>
      </c>
      <c r="N186" s="706">
        <v>19</v>
      </c>
      <c r="O186" s="706"/>
      <c r="P186" s="706"/>
      <c r="Q186" s="706"/>
      <c r="R186" s="706"/>
      <c r="S186" s="706"/>
      <c r="T186" s="706"/>
      <c r="U186" s="738">
        <v>0.62806842093767556</v>
      </c>
      <c r="V186" s="738">
        <v>1227.8974155200376</v>
      </c>
      <c r="W186" s="793">
        <v>0.62806842093767556</v>
      </c>
      <c r="X186" s="708">
        <v>1227.8974155200376</v>
      </c>
      <c r="Y186" s="719">
        <v>23330.050894880715</v>
      </c>
      <c r="Z186" s="719">
        <v>11048.341077309895</v>
      </c>
      <c r="AA186" s="719">
        <v>581.49163564788921</v>
      </c>
      <c r="AB186" s="738">
        <v>0.29743244734753344</v>
      </c>
      <c r="AC186" s="792">
        <v>1</v>
      </c>
      <c r="AD186" s="792">
        <v>1</v>
      </c>
      <c r="AE186" s="717">
        <v>0.56884057971014501</v>
      </c>
      <c r="AF186" s="714">
        <v>4.2407531067898789E-2</v>
      </c>
      <c r="AG186" s="706"/>
      <c r="AH186" s="792">
        <v>0.47356695135775378</v>
      </c>
      <c r="AI186" s="748">
        <v>0.56884057971014501</v>
      </c>
      <c r="AJ186" s="748">
        <v>4.2407531067898789E-2</v>
      </c>
      <c r="AK186" s="748"/>
      <c r="AL186" s="714">
        <v>0.47356695135775378</v>
      </c>
      <c r="AM186" s="706"/>
      <c r="AN186" s="706"/>
      <c r="AO186" s="706"/>
      <c r="AP186" s="706"/>
      <c r="AQ186" s="706"/>
      <c r="AR186" s="706" t="s">
        <v>957</v>
      </c>
      <c r="AS186" s="706"/>
      <c r="AT186" s="706"/>
      <c r="AU186" s="706"/>
      <c r="AV186" s="706">
        <v>0.29743244734753344</v>
      </c>
      <c r="AW186" s="706">
        <v>0.29743244734753344</v>
      </c>
      <c r="AX186" s="706">
        <v>0.29743244734753344</v>
      </c>
      <c r="AY186" s="706">
        <v>0.29743244734753344</v>
      </c>
      <c r="AZ186" s="706">
        <v>0.29743244734753344</v>
      </c>
      <c r="BA186" s="706">
        <v>0.29743244734753344</v>
      </c>
      <c r="BB186" s="706">
        <v>0.29743244734753344</v>
      </c>
      <c r="BC186" s="706">
        <v>0.29743244734753344</v>
      </c>
      <c r="BD186" s="706">
        <v>0.29743244734753344</v>
      </c>
      <c r="BE186" s="706">
        <v>0.29743244734753344</v>
      </c>
      <c r="BF186" s="706">
        <v>0.29743244734753344</v>
      </c>
      <c r="BG186" s="706">
        <v>0.29743244734753344</v>
      </c>
      <c r="BH186" s="706">
        <v>0.29743244734753344</v>
      </c>
      <c r="BI186" s="706">
        <v>0.29743244734753344</v>
      </c>
      <c r="BJ186" s="706">
        <v>0.29743244734753344</v>
      </c>
      <c r="BK186" s="706">
        <v>0.29743244734753344</v>
      </c>
      <c r="BL186" s="706">
        <v>0.29743244734753344</v>
      </c>
      <c r="BM186" s="706">
        <v>0.29743244734753344</v>
      </c>
      <c r="BN186" s="706">
        <v>0.29743244734753344</v>
      </c>
      <c r="BO186" s="706"/>
      <c r="BP186" s="706"/>
      <c r="BQ186" s="706"/>
      <c r="BR186" s="706"/>
      <c r="BS186" s="706"/>
      <c r="BT186" s="706"/>
      <c r="BU186" s="706"/>
      <c r="BV186" s="791">
        <v>581.49163564788921</v>
      </c>
      <c r="BW186" s="791">
        <v>581.49163564788921</v>
      </c>
      <c r="BX186" s="791">
        <v>581.49163564788921</v>
      </c>
      <c r="BY186" s="791">
        <v>581.49163564788921</v>
      </c>
      <c r="BZ186" s="791">
        <v>581.49163564788921</v>
      </c>
      <c r="CA186" s="791">
        <v>581.49163564788921</v>
      </c>
      <c r="CB186" s="791">
        <v>581.49163564788921</v>
      </c>
      <c r="CC186" s="791">
        <v>581.49163564788921</v>
      </c>
      <c r="CD186" s="791">
        <v>581.49163564788921</v>
      </c>
      <c r="CE186" s="791">
        <v>581.49163564788921</v>
      </c>
      <c r="CF186" s="791">
        <v>581.49163564788921</v>
      </c>
      <c r="CG186" s="791">
        <v>581.49163564788921</v>
      </c>
      <c r="CH186" s="791">
        <v>581.49163564788921</v>
      </c>
      <c r="CI186" s="791">
        <v>581.49163564788921</v>
      </c>
      <c r="CJ186" s="791">
        <v>581.49163564788921</v>
      </c>
      <c r="CK186" s="791">
        <v>581.49163564788921</v>
      </c>
      <c r="CL186" s="791">
        <v>581.49163564788921</v>
      </c>
      <c r="CM186" s="791">
        <v>581.49163564788921</v>
      </c>
      <c r="CN186" s="791">
        <v>581.49163564788921</v>
      </c>
      <c r="CO186" s="706"/>
      <c r="CP186" s="706"/>
      <c r="CQ186" s="706"/>
      <c r="CR186" s="706"/>
    </row>
    <row r="187" spans="1:96">
      <c r="A187" s="694" t="s">
        <v>3</v>
      </c>
      <c r="B187" s="794">
        <v>41779</v>
      </c>
      <c r="C187" s="743">
        <v>2014</v>
      </c>
      <c r="D187" s="746" t="s">
        <v>15</v>
      </c>
      <c r="E187" s="746" t="s">
        <v>25</v>
      </c>
      <c r="F187" s="746" t="s">
        <v>17</v>
      </c>
      <c r="G187" s="746" t="s">
        <v>58</v>
      </c>
      <c r="H187" s="694" t="s">
        <v>959</v>
      </c>
      <c r="I187" s="746" t="s">
        <v>5</v>
      </c>
      <c r="J187" s="746" t="s">
        <v>376</v>
      </c>
      <c r="K187" s="706">
        <v>1</v>
      </c>
      <c r="L187" s="745" t="s">
        <v>58</v>
      </c>
      <c r="M187" s="706" t="s">
        <v>1043</v>
      </c>
      <c r="N187" s="706">
        <v>19</v>
      </c>
      <c r="O187" s="706"/>
      <c r="P187" s="706"/>
      <c r="Q187" s="706"/>
      <c r="R187" s="706"/>
      <c r="S187" s="706"/>
      <c r="T187" s="706"/>
      <c r="U187" s="738">
        <v>0.62806842093767556</v>
      </c>
      <c r="V187" s="738">
        <v>1227.8974155200376</v>
      </c>
      <c r="W187" s="793">
        <v>0.62806842093767556</v>
      </c>
      <c r="X187" s="708">
        <v>1227.8974155200376</v>
      </c>
      <c r="Y187" s="719">
        <v>23330.050894880715</v>
      </c>
      <c r="Z187" s="719">
        <v>11048.341077309895</v>
      </c>
      <c r="AA187" s="719">
        <v>581.49163564788921</v>
      </c>
      <c r="AB187" s="738">
        <v>0.29743244734753344</v>
      </c>
      <c r="AC187" s="792">
        <v>1</v>
      </c>
      <c r="AD187" s="792">
        <v>1</v>
      </c>
      <c r="AE187" s="717">
        <v>0.56884057971014501</v>
      </c>
      <c r="AF187" s="714">
        <v>4.2407531067898789E-2</v>
      </c>
      <c r="AG187" s="706"/>
      <c r="AH187" s="792">
        <v>0.47356695135775378</v>
      </c>
      <c r="AI187" s="748">
        <v>0.56884057971014501</v>
      </c>
      <c r="AJ187" s="748">
        <v>4.2407531067898789E-2</v>
      </c>
      <c r="AK187" s="748"/>
      <c r="AL187" s="714">
        <v>0.47356695135775378</v>
      </c>
      <c r="AM187" s="706"/>
      <c r="AN187" s="706"/>
      <c r="AO187" s="706"/>
      <c r="AP187" s="706"/>
      <c r="AQ187" s="706"/>
      <c r="AR187" s="706" t="s">
        <v>957</v>
      </c>
      <c r="AS187" s="706"/>
      <c r="AT187" s="706"/>
      <c r="AU187" s="706"/>
      <c r="AV187" s="706">
        <v>0.29743244734753344</v>
      </c>
      <c r="AW187" s="706">
        <v>0.29743244734753344</v>
      </c>
      <c r="AX187" s="706">
        <v>0.29743244734753344</v>
      </c>
      <c r="AY187" s="706">
        <v>0.29743244734753344</v>
      </c>
      <c r="AZ187" s="706">
        <v>0.29743244734753344</v>
      </c>
      <c r="BA187" s="706">
        <v>0.29743244734753344</v>
      </c>
      <c r="BB187" s="706">
        <v>0.29743244734753344</v>
      </c>
      <c r="BC187" s="706">
        <v>0.29743244734753344</v>
      </c>
      <c r="BD187" s="706">
        <v>0.29743244734753344</v>
      </c>
      <c r="BE187" s="706">
        <v>0.29743244734753344</v>
      </c>
      <c r="BF187" s="706">
        <v>0.29743244734753344</v>
      </c>
      <c r="BG187" s="706">
        <v>0.29743244734753344</v>
      </c>
      <c r="BH187" s="706">
        <v>0.29743244734753344</v>
      </c>
      <c r="BI187" s="706">
        <v>0.29743244734753344</v>
      </c>
      <c r="BJ187" s="706">
        <v>0.29743244734753344</v>
      </c>
      <c r="BK187" s="706">
        <v>0.29743244734753344</v>
      </c>
      <c r="BL187" s="706">
        <v>0.29743244734753344</v>
      </c>
      <c r="BM187" s="706">
        <v>0.29743244734753344</v>
      </c>
      <c r="BN187" s="706">
        <v>0.29743244734753344</v>
      </c>
      <c r="BO187" s="706"/>
      <c r="BP187" s="706"/>
      <c r="BQ187" s="706"/>
      <c r="BR187" s="706"/>
      <c r="BS187" s="706"/>
      <c r="BT187" s="706"/>
      <c r="BU187" s="706"/>
      <c r="BV187" s="791">
        <v>581.49163564788921</v>
      </c>
      <c r="BW187" s="791">
        <v>581.49163564788921</v>
      </c>
      <c r="BX187" s="791">
        <v>581.49163564788921</v>
      </c>
      <c r="BY187" s="791">
        <v>581.49163564788921</v>
      </c>
      <c r="BZ187" s="791">
        <v>581.49163564788921</v>
      </c>
      <c r="CA187" s="791">
        <v>581.49163564788921</v>
      </c>
      <c r="CB187" s="791">
        <v>581.49163564788921</v>
      </c>
      <c r="CC187" s="791">
        <v>581.49163564788921</v>
      </c>
      <c r="CD187" s="791">
        <v>581.49163564788921</v>
      </c>
      <c r="CE187" s="791">
        <v>581.49163564788921</v>
      </c>
      <c r="CF187" s="791">
        <v>581.49163564788921</v>
      </c>
      <c r="CG187" s="791">
        <v>581.49163564788921</v>
      </c>
      <c r="CH187" s="791">
        <v>581.49163564788921</v>
      </c>
      <c r="CI187" s="791">
        <v>581.49163564788921</v>
      </c>
      <c r="CJ187" s="791">
        <v>581.49163564788921</v>
      </c>
      <c r="CK187" s="791">
        <v>581.49163564788921</v>
      </c>
      <c r="CL187" s="791">
        <v>581.49163564788921</v>
      </c>
      <c r="CM187" s="791">
        <v>581.49163564788921</v>
      </c>
      <c r="CN187" s="791">
        <v>581.49163564788921</v>
      </c>
      <c r="CO187" s="706"/>
      <c r="CP187" s="706"/>
      <c r="CQ187" s="706"/>
      <c r="CR187" s="706"/>
    </row>
    <row r="188" spans="1:96">
      <c r="A188" s="694" t="s">
        <v>3</v>
      </c>
      <c r="B188" s="794">
        <v>41870</v>
      </c>
      <c r="C188" s="743">
        <v>2014</v>
      </c>
      <c r="D188" s="746" t="s">
        <v>15</v>
      </c>
      <c r="E188" s="746" t="s">
        <v>25</v>
      </c>
      <c r="F188" s="746" t="s">
        <v>17</v>
      </c>
      <c r="G188" s="746" t="s">
        <v>58</v>
      </c>
      <c r="H188" s="694" t="s">
        <v>959</v>
      </c>
      <c r="I188" s="746" t="s">
        <v>5</v>
      </c>
      <c r="J188" s="746" t="s">
        <v>376</v>
      </c>
      <c r="K188" s="706">
        <v>1</v>
      </c>
      <c r="L188" s="745" t="s">
        <v>58</v>
      </c>
      <c r="M188" s="706" t="s">
        <v>917</v>
      </c>
      <c r="N188" s="706">
        <v>19</v>
      </c>
      <c r="O188" s="706"/>
      <c r="P188" s="706"/>
      <c r="Q188" s="706"/>
      <c r="R188" s="706"/>
      <c r="S188" s="706"/>
      <c r="T188" s="706"/>
      <c r="U188" s="738">
        <v>0.62806842093767556</v>
      </c>
      <c r="V188" s="738">
        <v>1227.8974155200376</v>
      </c>
      <c r="W188" s="793">
        <v>0.62806842093767556</v>
      </c>
      <c r="X188" s="708">
        <v>1227.8974155200376</v>
      </c>
      <c r="Y188" s="719">
        <v>23330.050894880715</v>
      </c>
      <c r="Z188" s="719">
        <v>11048.341077309895</v>
      </c>
      <c r="AA188" s="719">
        <v>581.49163564788921</v>
      </c>
      <c r="AB188" s="738">
        <v>0.29743244734753344</v>
      </c>
      <c r="AC188" s="792">
        <v>1</v>
      </c>
      <c r="AD188" s="792">
        <v>1</v>
      </c>
      <c r="AE188" s="717">
        <v>0.56884057971014501</v>
      </c>
      <c r="AF188" s="714">
        <v>4.2407531067898789E-2</v>
      </c>
      <c r="AG188" s="706"/>
      <c r="AH188" s="792">
        <v>0.47356695135775378</v>
      </c>
      <c r="AI188" s="748">
        <v>0.56884057971014501</v>
      </c>
      <c r="AJ188" s="748">
        <v>4.2407531067898789E-2</v>
      </c>
      <c r="AK188" s="748"/>
      <c r="AL188" s="714">
        <v>0.47356695135775378</v>
      </c>
      <c r="AM188" s="706"/>
      <c r="AN188" s="706"/>
      <c r="AO188" s="706"/>
      <c r="AP188" s="706"/>
      <c r="AQ188" s="706"/>
      <c r="AR188" s="706" t="s">
        <v>957</v>
      </c>
      <c r="AS188" s="706"/>
      <c r="AT188" s="706"/>
      <c r="AU188" s="706"/>
      <c r="AV188" s="706">
        <v>0.29743244734753344</v>
      </c>
      <c r="AW188" s="706">
        <v>0.29743244734753344</v>
      </c>
      <c r="AX188" s="706">
        <v>0.29743244734753344</v>
      </c>
      <c r="AY188" s="706">
        <v>0.29743244734753344</v>
      </c>
      <c r="AZ188" s="706">
        <v>0.29743244734753344</v>
      </c>
      <c r="BA188" s="706">
        <v>0.29743244734753344</v>
      </c>
      <c r="BB188" s="706">
        <v>0.29743244734753344</v>
      </c>
      <c r="BC188" s="706">
        <v>0.29743244734753344</v>
      </c>
      <c r="BD188" s="706">
        <v>0.29743244734753344</v>
      </c>
      <c r="BE188" s="706">
        <v>0.29743244734753344</v>
      </c>
      <c r="BF188" s="706">
        <v>0.29743244734753344</v>
      </c>
      <c r="BG188" s="706">
        <v>0.29743244734753344</v>
      </c>
      <c r="BH188" s="706">
        <v>0.29743244734753344</v>
      </c>
      <c r="BI188" s="706">
        <v>0.29743244734753344</v>
      </c>
      <c r="BJ188" s="706">
        <v>0.29743244734753344</v>
      </c>
      <c r="BK188" s="706">
        <v>0.29743244734753344</v>
      </c>
      <c r="BL188" s="706">
        <v>0.29743244734753344</v>
      </c>
      <c r="BM188" s="706">
        <v>0.29743244734753344</v>
      </c>
      <c r="BN188" s="706">
        <v>0.29743244734753344</v>
      </c>
      <c r="BO188" s="706"/>
      <c r="BP188" s="706"/>
      <c r="BQ188" s="706"/>
      <c r="BR188" s="706"/>
      <c r="BS188" s="706"/>
      <c r="BT188" s="706"/>
      <c r="BU188" s="706"/>
      <c r="BV188" s="791">
        <v>581.49163564788921</v>
      </c>
      <c r="BW188" s="791">
        <v>581.49163564788921</v>
      </c>
      <c r="BX188" s="791">
        <v>581.49163564788921</v>
      </c>
      <c r="BY188" s="791">
        <v>581.49163564788921</v>
      </c>
      <c r="BZ188" s="791">
        <v>581.49163564788921</v>
      </c>
      <c r="CA188" s="791">
        <v>581.49163564788921</v>
      </c>
      <c r="CB188" s="791">
        <v>581.49163564788921</v>
      </c>
      <c r="CC188" s="791">
        <v>581.49163564788921</v>
      </c>
      <c r="CD188" s="791">
        <v>581.49163564788921</v>
      </c>
      <c r="CE188" s="791">
        <v>581.49163564788921</v>
      </c>
      <c r="CF188" s="791">
        <v>581.49163564788921</v>
      </c>
      <c r="CG188" s="791">
        <v>581.49163564788921</v>
      </c>
      <c r="CH188" s="791">
        <v>581.49163564788921</v>
      </c>
      <c r="CI188" s="791">
        <v>581.49163564788921</v>
      </c>
      <c r="CJ188" s="791">
        <v>581.49163564788921</v>
      </c>
      <c r="CK188" s="791">
        <v>581.49163564788921</v>
      </c>
      <c r="CL188" s="791">
        <v>581.49163564788921</v>
      </c>
      <c r="CM188" s="791">
        <v>581.49163564788921</v>
      </c>
      <c r="CN188" s="791">
        <v>581.49163564788921</v>
      </c>
      <c r="CO188" s="706"/>
      <c r="CP188" s="706"/>
      <c r="CQ188" s="706"/>
      <c r="CR188" s="706"/>
    </row>
    <row r="189" spans="1:96">
      <c r="A189" s="694" t="s">
        <v>3</v>
      </c>
      <c r="B189" s="794">
        <v>41782</v>
      </c>
      <c r="C189" s="743">
        <v>2014</v>
      </c>
      <c r="D189" s="746" t="s">
        <v>15</v>
      </c>
      <c r="E189" s="746" t="s">
        <v>25</v>
      </c>
      <c r="F189" s="746" t="s">
        <v>17</v>
      </c>
      <c r="G189" s="746" t="s">
        <v>58</v>
      </c>
      <c r="H189" s="694" t="s">
        <v>959</v>
      </c>
      <c r="I189" s="746" t="s">
        <v>5</v>
      </c>
      <c r="J189" s="746" t="s">
        <v>376</v>
      </c>
      <c r="K189" s="706">
        <v>1</v>
      </c>
      <c r="L189" s="745" t="s">
        <v>58</v>
      </c>
      <c r="M189" s="706" t="s">
        <v>1042</v>
      </c>
      <c r="N189" s="706">
        <v>19</v>
      </c>
      <c r="O189" s="706"/>
      <c r="P189" s="706"/>
      <c r="Q189" s="706"/>
      <c r="R189" s="706"/>
      <c r="S189" s="706"/>
      <c r="T189" s="706"/>
      <c r="U189" s="738">
        <v>0.62806842093767556</v>
      </c>
      <c r="V189" s="738">
        <v>1227.8974155200376</v>
      </c>
      <c r="W189" s="793">
        <v>0.62806842093767556</v>
      </c>
      <c r="X189" s="708">
        <v>1227.8974155200376</v>
      </c>
      <c r="Y189" s="719">
        <v>23330.050894880715</v>
      </c>
      <c r="Z189" s="719">
        <v>11048.341077309895</v>
      </c>
      <c r="AA189" s="719">
        <v>581.49163564788921</v>
      </c>
      <c r="AB189" s="738">
        <v>0.29743244734753344</v>
      </c>
      <c r="AC189" s="792">
        <v>1</v>
      </c>
      <c r="AD189" s="792">
        <v>1</v>
      </c>
      <c r="AE189" s="717">
        <v>0.56884057971014501</v>
      </c>
      <c r="AF189" s="714">
        <v>4.2407531067898789E-2</v>
      </c>
      <c r="AG189" s="706"/>
      <c r="AH189" s="792">
        <v>0.47356695135775378</v>
      </c>
      <c r="AI189" s="748">
        <v>0.56884057971014501</v>
      </c>
      <c r="AJ189" s="748">
        <v>4.2407531067898789E-2</v>
      </c>
      <c r="AK189" s="748"/>
      <c r="AL189" s="714">
        <v>0.47356695135775378</v>
      </c>
      <c r="AM189" s="706"/>
      <c r="AN189" s="706"/>
      <c r="AO189" s="706"/>
      <c r="AP189" s="706"/>
      <c r="AQ189" s="706"/>
      <c r="AR189" s="706" t="s">
        <v>957</v>
      </c>
      <c r="AS189" s="706"/>
      <c r="AT189" s="706"/>
      <c r="AU189" s="706"/>
      <c r="AV189" s="706">
        <v>0.29743244734753344</v>
      </c>
      <c r="AW189" s="706">
        <v>0.29743244734753344</v>
      </c>
      <c r="AX189" s="706">
        <v>0.29743244734753344</v>
      </c>
      <c r="AY189" s="706">
        <v>0.29743244734753344</v>
      </c>
      <c r="AZ189" s="706">
        <v>0.29743244734753344</v>
      </c>
      <c r="BA189" s="706">
        <v>0.29743244734753344</v>
      </c>
      <c r="BB189" s="706">
        <v>0.29743244734753344</v>
      </c>
      <c r="BC189" s="706">
        <v>0.29743244734753344</v>
      </c>
      <c r="BD189" s="706">
        <v>0.29743244734753344</v>
      </c>
      <c r="BE189" s="706">
        <v>0.29743244734753344</v>
      </c>
      <c r="BF189" s="706">
        <v>0.29743244734753344</v>
      </c>
      <c r="BG189" s="706">
        <v>0.29743244734753344</v>
      </c>
      <c r="BH189" s="706">
        <v>0.29743244734753344</v>
      </c>
      <c r="BI189" s="706">
        <v>0.29743244734753344</v>
      </c>
      <c r="BJ189" s="706">
        <v>0.29743244734753344</v>
      </c>
      <c r="BK189" s="706">
        <v>0.29743244734753344</v>
      </c>
      <c r="BL189" s="706">
        <v>0.29743244734753344</v>
      </c>
      <c r="BM189" s="706">
        <v>0.29743244734753344</v>
      </c>
      <c r="BN189" s="706">
        <v>0.29743244734753344</v>
      </c>
      <c r="BO189" s="706"/>
      <c r="BP189" s="706"/>
      <c r="BQ189" s="706"/>
      <c r="BR189" s="706"/>
      <c r="BS189" s="706"/>
      <c r="BT189" s="706"/>
      <c r="BU189" s="706"/>
      <c r="BV189" s="791">
        <v>581.49163564788921</v>
      </c>
      <c r="BW189" s="791">
        <v>581.49163564788921</v>
      </c>
      <c r="BX189" s="791">
        <v>581.49163564788921</v>
      </c>
      <c r="BY189" s="791">
        <v>581.49163564788921</v>
      </c>
      <c r="BZ189" s="791">
        <v>581.49163564788921</v>
      </c>
      <c r="CA189" s="791">
        <v>581.49163564788921</v>
      </c>
      <c r="CB189" s="791">
        <v>581.49163564788921</v>
      </c>
      <c r="CC189" s="791">
        <v>581.49163564788921</v>
      </c>
      <c r="CD189" s="791">
        <v>581.49163564788921</v>
      </c>
      <c r="CE189" s="791">
        <v>581.49163564788921</v>
      </c>
      <c r="CF189" s="791">
        <v>581.49163564788921</v>
      </c>
      <c r="CG189" s="791">
        <v>581.49163564788921</v>
      </c>
      <c r="CH189" s="791">
        <v>581.49163564788921</v>
      </c>
      <c r="CI189" s="791">
        <v>581.49163564788921</v>
      </c>
      <c r="CJ189" s="791">
        <v>581.49163564788921</v>
      </c>
      <c r="CK189" s="791">
        <v>581.49163564788921</v>
      </c>
      <c r="CL189" s="791">
        <v>581.49163564788921</v>
      </c>
      <c r="CM189" s="791">
        <v>581.49163564788921</v>
      </c>
      <c r="CN189" s="791">
        <v>581.49163564788921</v>
      </c>
      <c r="CO189" s="706"/>
      <c r="CP189" s="706"/>
      <c r="CQ189" s="706"/>
      <c r="CR189" s="706"/>
    </row>
    <row r="190" spans="1:96">
      <c r="A190" s="694" t="s">
        <v>3</v>
      </c>
      <c r="B190" s="794">
        <v>41766</v>
      </c>
      <c r="C190" s="743">
        <v>2014</v>
      </c>
      <c r="D190" s="746" t="s">
        <v>15</v>
      </c>
      <c r="E190" s="746" t="s">
        <v>25</v>
      </c>
      <c r="F190" s="746" t="s">
        <v>17</v>
      </c>
      <c r="G190" s="746" t="s">
        <v>58</v>
      </c>
      <c r="H190" s="694" t="s">
        <v>959</v>
      </c>
      <c r="I190" s="746" t="s">
        <v>5</v>
      </c>
      <c r="J190" s="746" t="s">
        <v>376</v>
      </c>
      <c r="K190" s="706">
        <v>1</v>
      </c>
      <c r="L190" s="745" t="s">
        <v>58</v>
      </c>
      <c r="M190" s="706" t="s">
        <v>954</v>
      </c>
      <c r="N190" s="706">
        <v>19</v>
      </c>
      <c r="O190" s="706"/>
      <c r="P190" s="706"/>
      <c r="Q190" s="706"/>
      <c r="R190" s="706"/>
      <c r="S190" s="706"/>
      <c r="T190" s="706"/>
      <c r="U190" s="738">
        <v>0.62806842093767556</v>
      </c>
      <c r="V190" s="738">
        <v>1227.8974155200376</v>
      </c>
      <c r="W190" s="793">
        <v>0.62806842093767556</v>
      </c>
      <c r="X190" s="708">
        <v>1227.8974155200376</v>
      </c>
      <c r="Y190" s="719">
        <v>23330.050894880715</v>
      </c>
      <c r="Z190" s="719">
        <v>11048.341077309895</v>
      </c>
      <c r="AA190" s="719">
        <v>581.49163564788921</v>
      </c>
      <c r="AB190" s="738">
        <v>0.29743244734753344</v>
      </c>
      <c r="AC190" s="792">
        <v>1</v>
      </c>
      <c r="AD190" s="792">
        <v>1</v>
      </c>
      <c r="AE190" s="717">
        <v>0.56884057971014501</v>
      </c>
      <c r="AF190" s="714">
        <v>4.2407531067898789E-2</v>
      </c>
      <c r="AG190" s="706"/>
      <c r="AH190" s="792">
        <v>0.47356695135775378</v>
      </c>
      <c r="AI190" s="748">
        <v>0.56884057971014501</v>
      </c>
      <c r="AJ190" s="748">
        <v>4.2407531067898789E-2</v>
      </c>
      <c r="AK190" s="748"/>
      <c r="AL190" s="714">
        <v>0.47356695135775378</v>
      </c>
      <c r="AM190" s="706"/>
      <c r="AN190" s="706"/>
      <c r="AO190" s="706"/>
      <c r="AP190" s="706"/>
      <c r="AQ190" s="706"/>
      <c r="AR190" s="706" t="s">
        <v>957</v>
      </c>
      <c r="AS190" s="706"/>
      <c r="AT190" s="706"/>
      <c r="AU190" s="706"/>
      <c r="AV190" s="706">
        <v>0.29743244734753344</v>
      </c>
      <c r="AW190" s="706">
        <v>0.29743244734753344</v>
      </c>
      <c r="AX190" s="706">
        <v>0.29743244734753344</v>
      </c>
      <c r="AY190" s="706">
        <v>0.29743244734753344</v>
      </c>
      <c r="AZ190" s="706">
        <v>0.29743244734753344</v>
      </c>
      <c r="BA190" s="706">
        <v>0.29743244734753344</v>
      </c>
      <c r="BB190" s="706">
        <v>0.29743244734753344</v>
      </c>
      <c r="BC190" s="706">
        <v>0.29743244734753344</v>
      </c>
      <c r="BD190" s="706">
        <v>0.29743244734753344</v>
      </c>
      <c r="BE190" s="706">
        <v>0.29743244734753344</v>
      </c>
      <c r="BF190" s="706">
        <v>0.29743244734753344</v>
      </c>
      <c r="BG190" s="706">
        <v>0.29743244734753344</v>
      </c>
      <c r="BH190" s="706">
        <v>0.29743244734753344</v>
      </c>
      <c r="BI190" s="706">
        <v>0.29743244734753344</v>
      </c>
      <c r="BJ190" s="706">
        <v>0.29743244734753344</v>
      </c>
      <c r="BK190" s="706">
        <v>0.29743244734753344</v>
      </c>
      <c r="BL190" s="706">
        <v>0.29743244734753344</v>
      </c>
      <c r="BM190" s="706">
        <v>0.29743244734753344</v>
      </c>
      <c r="BN190" s="706">
        <v>0.29743244734753344</v>
      </c>
      <c r="BO190" s="706"/>
      <c r="BP190" s="706"/>
      <c r="BQ190" s="706"/>
      <c r="BR190" s="706"/>
      <c r="BS190" s="706"/>
      <c r="BT190" s="706"/>
      <c r="BU190" s="706"/>
      <c r="BV190" s="791">
        <v>581.49163564788921</v>
      </c>
      <c r="BW190" s="791">
        <v>581.49163564788921</v>
      </c>
      <c r="BX190" s="791">
        <v>581.49163564788921</v>
      </c>
      <c r="BY190" s="791">
        <v>581.49163564788921</v>
      </c>
      <c r="BZ190" s="791">
        <v>581.49163564788921</v>
      </c>
      <c r="CA190" s="791">
        <v>581.49163564788921</v>
      </c>
      <c r="CB190" s="791">
        <v>581.49163564788921</v>
      </c>
      <c r="CC190" s="791">
        <v>581.49163564788921</v>
      </c>
      <c r="CD190" s="791">
        <v>581.49163564788921</v>
      </c>
      <c r="CE190" s="791">
        <v>581.49163564788921</v>
      </c>
      <c r="CF190" s="791">
        <v>581.49163564788921</v>
      </c>
      <c r="CG190" s="791">
        <v>581.49163564788921</v>
      </c>
      <c r="CH190" s="791">
        <v>581.49163564788921</v>
      </c>
      <c r="CI190" s="791">
        <v>581.49163564788921</v>
      </c>
      <c r="CJ190" s="791">
        <v>581.49163564788921</v>
      </c>
      <c r="CK190" s="791">
        <v>581.49163564788921</v>
      </c>
      <c r="CL190" s="791">
        <v>581.49163564788921</v>
      </c>
      <c r="CM190" s="791">
        <v>581.49163564788921</v>
      </c>
      <c r="CN190" s="791">
        <v>581.49163564788921</v>
      </c>
      <c r="CO190" s="706"/>
      <c r="CP190" s="706"/>
      <c r="CQ190" s="706"/>
      <c r="CR190" s="706"/>
    </row>
    <row r="191" spans="1:96">
      <c r="A191" s="694" t="s">
        <v>3</v>
      </c>
      <c r="B191" s="794">
        <v>41813</v>
      </c>
      <c r="C191" s="743">
        <v>2014</v>
      </c>
      <c r="D191" s="746" t="s">
        <v>15</v>
      </c>
      <c r="E191" s="746" t="s">
        <v>25</v>
      </c>
      <c r="F191" s="746" t="s">
        <v>17</v>
      </c>
      <c r="G191" s="746" t="s">
        <v>58</v>
      </c>
      <c r="H191" s="694" t="s">
        <v>959</v>
      </c>
      <c r="I191" s="746" t="s">
        <v>5</v>
      </c>
      <c r="J191" s="746" t="s">
        <v>376</v>
      </c>
      <c r="K191" s="706">
        <v>1</v>
      </c>
      <c r="L191" s="745" t="s">
        <v>58</v>
      </c>
      <c r="M191" s="706" t="s">
        <v>938</v>
      </c>
      <c r="N191" s="706">
        <v>19</v>
      </c>
      <c r="O191" s="706"/>
      <c r="P191" s="706"/>
      <c r="Q191" s="706"/>
      <c r="R191" s="706"/>
      <c r="S191" s="706"/>
      <c r="T191" s="706"/>
      <c r="U191" s="738">
        <v>0.62806842093767556</v>
      </c>
      <c r="V191" s="738">
        <v>1227.8974155200376</v>
      </c>
      <c r="W191" s="793">
        <v>0.62806842093767556</v>
      </c>
      <c r="X191" s="708">
        <v>1227.8974155200376</v>
      </c>
      <c r="Y191" s="719">
        <v>23330.050894880715</v>
      </c>
      <c r="Z191" s="719">
        <v>11048.341077309895</v>
      </c>
      <c r="AA191" s="719">
        <v>581.49163564788921</v>
      </c>
      <c r="AB191" s="738">
        <v>0.29743244734753344</v>
      </c>
      <c r="AC191" s="792">
        <v>1</v>
      </c>
      <c r="AD191" s="792">
        <v>1</v>
      </c>
      <c r="AE191" s="717">
        <v>0.56884057971014501</v>
      </c>
      <c r="AF191" s="714">
        <v>4.2407531067898789E-2</v>
      </c>
      <c r="AG191" s="706"/>
      <c r="AH191" s="792">
        <v>0.47356695135775378</v>
      </c>
      <c r="AI191" s="748">
        <v>0.56884057971014501</v>
      </c>
      <c r="AJ191" s="748">
        <v>4.2407531067898789E-2</v>
      </c>
      <c r="AK191" s="748"/>
      <c r="AL191" s="714">
        <v>0.47356695135775378</v>
      </c>
      <c r="AM191" s="706"/>
      <c r="AN191" s="706"/>
      <c r="AO191" s="706"/>
      <c r="AP191" s="706"/>
      <c r="AQ191" s="706"/>
      <c r="AR191" s="706" t="s">
        <v>957</v>
      </c>
      <c r="AS191" s="706"/>
      <c r="AT191" s="706"/>
      <c r="AU191" s="706"/>
      <c r="AV191" s="706">
        <v>0.29743244734753344</v>
      </c>
      <c r="AW191" s="706">
        <v>0.29743244734753344</v>
      </c>
      <c r="AX191" s="706">
        <v>0.29743244734753344</v>
      </c>
      <c r="AY191" s="706">
        <v>0.29743244734753344</v>
      </c>
      <c r="AZ191" s="706">
        <v>0.29743244734753344</v>
      </c>
      <c r="BA191" s="706">
        <v>0.29743244734753344</v>
      </c>
      <c r="BB191" s="706">
        <v>0.29743244734753344</v>
      </c>
      <c r="BC191" s="706">
        <v>0.29743244734753344</v>
      </c>
      <c r="BD191" s="706">
        <v>0.29743244734753344</v>
      </c>
      <c r="BE191" s="706">
        <v>0.29743244734753344</v>
      </c>
      <c r="BF191" s="706">
        <v>0.29743244734753344</v>
      </c>
      <c r="BG191" s="706">
        <v>0.29743244734753344</v>
      </c>
      <c r="BH191" s="706">
        <v>0.29743244734753344</v>
      </c>
      <c r="BI191" s="706">
        <v>0.29743244734753344</v>
      </c>
      <c r="BJ191" s="706">
        <v>0.29743244734753344</v>
      </c>
      <c r="BK191" s="706">
        <v>0.29743244734753344</v>
      </c>
      <c r="BL191" s="706">
        <v>0.29743244734753344</v>
      </c>
      <c r="BM191" s="706">
        <v>0.29743244734753344</v>
      </c>
      <c r="BN191" s="706">
        <v>0.29743244734753344</v>
      </c>
      <c r="BO191" s="706"/>
      <c r="BP191" s="706"/>
      <c r="BQ191" s="706"/>
      <c r="BR191" s="706"/>
      <c r="BS191" s="706"/>
      <c r="BT191" s="706"/>
      <c r="BU191" s="706"/>
      <c r="BV191" s="791">
        <v>581.49163564788921</v>
      </c>
      <c r="BW191" s="791">
        <v>581.49163564788921</v>
      </c>
      <c r="BX191" s="791">
        <v>581.49163564788921</v>
      </c>
      <c r="BY191" s="791">
        <v>581.49163564788921</v>
      </c>
      <c r="BZ191" s="791">
        <v>581.49163564788921</v>
      </c>
      <c r="CA191" s="791">
        <v>581.49163564788921</v>
      </c>
      <c r="CB191" s="791">
        <v>581.49163564788921</v>
      </c>
      <c r="CC191" s="791">
        <v>581.49163564788921</v>
      </c>
      <c r="CD191" s="791">
        <v>581.49163564788921</v>
      </c>
      <c r="CE191" s="791">
        <v>581.49163564788921</v>
      </c>
      <c r="CF191" s="791">
        <v>581.49163564788921</v>
      </c>
      <c r="CG191" s="791">
        <v>581.49163564788921</v>
      </c>
      <c r="CH191" s="791">
        <v>581.49163564788921</v>
      </c>
      <c r="CI191" s="791">
        <v>581.49163564788921</v>
      </c>
      <c r="CJ191" s="791">
        <v>581.49163564788921</v>
      </c>
      <c r="CK191" s="791">
        <v>581.49163564788921</v>
      </c>
      <c r="CL191" s="791">
        <v>581.49163564788921</v>
      </c>
      <c r="CM191" s="791">
        <v>581.49163564788921</v>
      </c>
      <c r="CN191" s="791">
        <v>581.49163564788921</v>
      </c>
      <c r="CO191" s="706"/>
      <c r="CP191" s="706"/>
      <c r="CQ191" s="706"/>
      <c r="CR191" s="706"/>
    </row>
    <row r="192" spans="1:96">
      <c r="A192" s="694" t="s">
        <v>3</v>
      </c>
      <c r="B192" s="794">
        <v>41813</v>
      </c>
      <c r="C192" s="743">
        <v>2014</v>
      </c>
      <c r="D192" s="746" t="s">
        <v>15</v>
      </c>
      <c r="E192" s="746" t="s">
        <v>25</v>
      </c>
      <c r="F192" s="746" t="s">
        <v>17</v>
      </c>
      <c r="G192" s="746" t="s">
        <v>58</v>
      </c>
      <c r="H192" s="694" t="s">
        <v>959</v>
      </c>
      <c r="I192" s="746" t="s">
        <v>5</v>
      </c>
      <c r="J192" s="746" t="s">
        <v>376</v>
      </c>
      <c r="K192" s="706">
        <v>1</v>
      </c>
      <c r="L192" s="745" t="s">
        <v>58</v>
      </c>
      <c r="M192" s="706" t="s">
        <v>1041</v>
      </c>
      <c r="N192" s="706">
        <v>19</v>
      </c>
      <c r="O192" s="706"/>
      <c r="P192" s="706"/>
      <c r="Q192" s="706"/>
      <c r="R192" s="706"/>
      <c r="S192" s="706"/>
      <c r="T192" s="706"/>
      <c r="U192" s="738">
        <v>0.62806842093767556</v>
      </c>
      <c r="V192" s="738">
        <v>1227.8974155200376</v>
      </c>
      <c r="W192" s="793">
        <v>0.62806842093767556</v>
      </c>
      <c r="X192" s="708">
        <v>1227.8974155200376</v>
      </c>
      <c r="Y192" s="719">
        <v>23330.050894880715</v>
      </c>
      <c r="Z192" s="719">
        <v>11048.341077309895</v>
      </c>
      <c r="AA192" s="719">
        <v>581.49163564788921</v>
      </c>
      <c r="AB192" s="738">
        <v>0.29743244734753344</v>
      </c>
      <c r="AC192" s="792">
        <v>1</v>
      </c>
      <c r="AD192" s="792">
        <v>1</v>
      </c>
      <c r="AE192" s="717">
        <v>0.56884057971014501</v>
      </c>
      <c r="AF192" s="714">
        <v>4.2407531067898789E-2</v>
      </c>
      <c r="AG192" s="706"/>
      <c r="AH192" s="792">
        <v>0.47356695135775378</v>
      </c>
      <c r="AI192" s="748">
        <v>0.56884057971014501</v>
      </c>
      <c r="AJ192" s="748">
        <v>4.2407531067898789E-2</v>
      </c>
      <c r="AK192" s="748"/>
      <c r="AL192" s="714">
        <v>0.47356695135775378</v>
      </c>
      <c r="AM192" s="706"/>
      <c r="AN192" s="706"/>
      <c r="AO192" s="706"/>
      <c r="AP192" s="706"/>
      <c r="AQ192" s="706"/>
      <c r="AR192" s="706" t="s">
        <v>957</v>
      </c>
      <c r="AS192" s="706"/>
      <c r="AT192" s="706"/>
      <c r="AU192" s="706"/>
      <c r="AV192" s="706">
        <v>0.29743244734753344</v>
      </c>
      <c r="AW192" s="706">
        <v>0.29743244734753344</v>
      </c>
      <c r="AX192" s="706">
        <v>0.29743244734753344</v>
      </c>
      <c r="AY192" s="706">
        <v>0.29743244734753344</v>
      </c>
      <c r="AZ192" s="706">
        <v>0.29743244734753344</v>
      </c>
      <c r="BA192" s="706">
        <v>0.29743244734753344</v>
      </c>
      <c r="BB192" s="706">
        <v>0.29743244734753344</v>
      </c>
      <c r="BC192" s="706">
        <v>0.29743244734753344</v>
      </c>
      <c r="BD192" s="706">
        <v>0.29743244734753344</v>
      </c>
      <c r="BE192" s="706">
        <v>0.29743244734753344</v>
      </c>
      <c r="BF192" s="706">
        <v>0.29743244734753344</v>
      </c>
      <c r="BG192" s="706">
        <v>0.29743244734753344</v>
      </c>
      <c r="BH192" s="706">
        <v>0.29743244734753344</v>
      </c>
      <c r="BI192" s="706">
        <v>0.29743244734753344</v>
      </c>
      <c r="BJ192" s="706">
        <v>0.29743244734753344</v>
      </c>
      <c r="BK192" s="706">
        <v>0.29743244734753344</v>
      </c>
      <c r="BL192" s="706">
        <v>0.29743244734753344</v>
      </c>
      <c r="BM192" s="706">
        <v>0.29743244734753344</v>
      </c>
      <c r="BN192" s="706">
        <v>0.29743244734753344</v>
      </c>
      <c r="BO192" s="706"/>
      <c r="BP192" s="706"/>
      <c r="BQ192" s="706"/>
      <c r="BR192" s="706"/>
      <c r="BS192" s="706"/>
      <c r="BT192" s="706"/>
      <c r="BU192" s="706"/>
      <c r="BV192" s="791">
        <v>581.49163564788921</v>
      </c>
      <c r="BW192" s="791">
        <v>581.49163564788921</v>
      </c>
      <c r="BX192" s="791">
        <v>581.49163564788921</v>
      </c>
      <c r="BY192" s="791">
        <v>581.49163564788921</v>
      </c>
      <c r="BZ192" s="791">
        <v>581.49163564788921</v>
      </c>
      <c r="CA192" s="791">
        <v>581.49163564788921</v>
      </c>
      <c r="CB192" s="791">
        <v>581.49163564788921</v>
      </c>
      <c r="CC192" s="791">
        <v>581.49163564788921</v>
      </c>
      <c r="CD192" s="791">
        <v>581.49163564788921</v>
      </c>
      <c r="CE192" s="791">
        <v>581.49163564788921</v>
      </c>
      <c r="CF192" s="791">
        <v>581.49163564788921</v>
      </c>
      <c r="CG192" s="791">
        <v>581.49163564788921</v>
      </c>
      <c r="CH192" s="791">
        <v>581.49163564788921</v>
      </c>
      <c r="CI192" s="791">
        <v>581.49163564788921</v>
      </c>
      <c r="CJ192" s="791">
        <v>581.49163564788921</v>
      </c>
      <c r="CK192" s="791">
        <v>581.49163564788921</v>
      </c>
      <c r="CL192" s="791">
        <v>581.49163564788921</v>
      </c>
      <c r="CM192" s="791">
        <v>581.49163564788921</v>
      </c>
      <c r="CN192" s="791">
        <v>581.49163564788921</v>
      </c>
      <c r="CO192" s="706"/>
      <c r="CP192" s="706"/>
      <c r="CQ192" s="706"/>
      <c r="CR192" s="706"/>
    </row>
    <row r="193" spans="1:96">
      <c r="A193" s="694" t="s">
        <v>3</v>
      </c>
      <c r="B193" s="794">
        <v>41878</v>
      </c>
      <c r="C193" s="743">
        <v>2014</v>
      </c>
      <c r="D193" s="746" t="s">
        <v>15</v>
      </c>
      <c r="E193" s="746" t="s">
        <v>25</v>
      </c>
      <c r="F193" s="746" t="s">
        <v>17</v>
      </c>
      <c r="G193" s="746" t="s">
        <v>58</v>
      </c>
      <c r="H193" s="694" t="s">
        <v>959</v>
      </c>
      <c r="I193" s="746" t="s">
        <v>5</v>
      </c>
      <c r="J193" s="746" t="s">
        <v>376</v>
      </c>
      <c r="K193" s="706">
        <v>1</v>
      </c>
      <c r="L193" s="745" t="s">
        <v>58</v>
      </c>
      <c r="M193" s="706" t="s">
        <v>914</v>
      </c>
      <c r="N193" s="706">
        <v>19</v>
      </c>
      <c r="O193" s="706"/>
      <c r="P193" s="706"/>
      <c r="Q193" s="706"/>
      <c r="R193" s="706"/>
      <c r="S193" s="706"/>
      <c r="T193" s="706"/>
      <c r="U193" s="738">
        <v>0.62806842093767556</v>
      </c>
      <c r="V193" s="738">
        <v>1227.8974155200376</v>
      </c>
      <c r="W193" s="793">
        <v>0.62806842093767556</v>
      </c>
      <c r="X193" s="708">
        <v>1227.8974155200376</v>
      </c>
      <c r="Y193" s="719">
        <v>23330.050894880715</v>
      </c>
      <c r="Z193" s="719">
        <v>11048.341077309895</v>
      </c>
      <c r="AA193" s="719">
        <v>581.49163564788921</v>
      </c>
      <c r="AB193" s="738">
        <v>0.29743244734753344</v>
      </c>
      <c r="AC193" s="792">
        <v>1</v>
      </c>
      <c r="AD193" s="792">
        <v>1</v>
      </c>
      <c r="AE193" s="717">
        <v>0.56884057971014501</v>
      </c>
      <c r="AF193" s="714">
        <v>4.2407531067898789E-2</v>
      </c>
      <c r="AG193" s="706"/>
      <c r="AH193" s="792">
        <v>0.47356695135775378</v>
      </c>
      <c r="AI193" s="748">
        <v>0.56884057971014501</v>
      </c>
      <c r="AJ193" s="748">
        <v>4.2407531067898789E-2</v>
      </c>
      <c r="AK193" s="748"/>
      <c r="AL193" s="714">
        <v>0.47356695135775378</v>
      </c>
      <c r="AM193" s="706"/>
      <c r="AN193" s="706"/>
      <c r="AO193" s="706"/>
      <c r="AP193" s="706"/>
      <c r="AQ193" s="706"/>
      <c r="AR193" s="706" t="s">
        <v>957</v>
      </c>
      <c r="AS193" s="706"/>
      <c r="AT193" s="706"/>
      <c r="AU193" s="706"/>
      <c r="AV193" s="706">
        <v>0.29743244734753344</v>
      </c>
      <c r="AW193" s="706">
        <v>0.29743244734753344</v>
      </c>
      <c r="AX193" s="706">
        <v>0.29743244734753344</v>
      </c>
      <c r="AY193" s="706">
        <v>0.29743244734753344</v>
      </c>
      <c r="AZ193" s="706">
        <v>0.29743244734753344</v>
      </c>
      <c r="BA193" s="706">
        <v>0.29743244734753344</v>
      </c>
      <c r="BB193" s="706">
        <v>0.29743244734753344</v>
      </c>
      <c r="BC193" s="706">
        <v>0.29743244734753344</v>
      </c>
      <c r="BD193" s="706">
        <v>0.29743244734753344</v>
      </c>
      <c r="BE193" s="706">
        <v>0.29743244734753344</v>
      </c>
      <c r="BF193" s="706">
        <v>0.29743244734753344</v>
      </c>
      <c r="BG193" s="706">
        <v>0.29743244734753344</v>
      </c>
      <c r="BH193" s="706">
        <v>0.29743244734753344</v>
      </c>
      <c r="BI193" s="706">
        <v>0.29743244734753344</v>
      </c>
      <c r="BJ193" s="706">
        <v>0.29743244734753344</v>
      </c>
      <c r="BK193" s="706">
        <v>0.29743244734753344</v>
      </c>
      <c r="BL193" s="706">
        <v>0.29743244734753344</v>
      </c>
      <c r="BM193" s="706">
        <v>0.29743244734753344</v>
      </c>
      <c r="BN193" s="706">
        <v>0.29743244734753344</v>
      </c>
      <c r="BO193" s="706"/>
      <c r="BP193" s="706"/>
      <c r="BQ193" s="706"/>
      <c r="BR193" s="706"/>
      <c r="BS193" s="706"/>
      <c r="BT193" s="706"/>
      <c r="BU193" s="706"/>
      <c r="BV193" s="791">
        <v>581.49163564788921</v>
      </c>
      <c r="BW193" s="791">
        <v>581.49163564788921</v>
      </c>
      <c r="BX193" s="791">
        <v>581.49163564788921</v>
      </c>
      <c r="BY193" s="791">
        <v>581.49163564788921</v>
      </c>
      <c r="BZ193" s="791">
        <v>581.49163564788921</v>
      </c>
      <c r="CA193" s="791">
        <v>581.49163564788921</v>
      </c>
      <c r="CB193" s="791">
        <v>581.49163564788921</v>
      </c>
      <c r="CC193" s="791">
        <v>581.49163564788921</v>
      </c>
      <c r="CD193" s="791">
        <v>581.49163564788921</v>
      </c>
      <c r="CE193" s="791">
        <v>581.49163564788921</v>
      </c>
      <c r="CF193" s="791">
        <v>581.49163564788921</v>
      </c>
      <c r="CG193" s="791">
        <v>581.49163564788921</v>
      </c>
      <c r="CH193" s="791">
        <v>581.49163564788921</v>
      </c>
      <c r="CI193" s="791">
        <v>581.49163564788921</v>
      </c>
      <c r="CJ193" s="791">
        <v>581.49163564788921</v>
      </c>
      <c r="CK193" s="791">
        <v>581.49163564788921</v>
      </c>
      <c r="CL193" s="791">
        <v>581.49163564788921</v>
      </c>
      <c r="CM193" s="791">
        <v>581.49163564788921</v>
      </c>
      <c r="CN193" s="791">
        <v>581.49163564788921</v>
      </c>
      <c r="CO193" s="706"/>
      <c r="CP193" s="706"/>
      <c r="CQ193" s="706"/>
      <c r="CR193" s="706"/>
    </row>
    <row r="194" spans="1:96">
      <c r="A194" s="694" t="s">
        <v>3</v>
      </c>
      <c r="B194" s="794">
        <v>41810</v>
      </c>
      <c r="C194" s="743">
        <v>2014</v>
      </c>
      <c r="D194" s="746" t="s">
        <v>15</v>
      </c>
      <c r="E194" s="746" t="s">
        <v>25</v>
      </c>
      <c r="F194" s="746" t="s">
        <v>17</v>
      </c>
      <c r="G194" s="746" t="s">
        <v>58</v>
      </c>
      <c r="H194" s="694" t="s">
        <v>959</v>
      </c>
      <c r="I194" s="746" t="s">
        <v>5</v>
      </c>
      <c r="J194" s="746" t="s">
        <v>376</v>
      </c>
      <c r="K194" s="706">
        <v>1</v>
      </c>
      <c r="L194" s="745" t="s">
        <v>58</v>
      </c>
      <c r="M194" s="706" t="s">
        <v>1040</v>
      </c>
      <c r="N194" s="706">
        <v>19</v>
      </c>
      <c r="O194" s="706"/>
      <c r="P194" s="706"/>
      <c r="Q194" s="706"/>
      <c r="R194" s="706"/>
      <c r="S194" s="706"/>
      <c r="T194" s="706"/>
      <c r="U194" s="738">
        <v>0.62806842093767556</v>
      </c>
      <c r="V194" s="738">
        <v>1227.8974155200376</v>
      </c>
      <c r="W194" s="793">
        <v>0.62806842093767556</v>
      </c>
      <c r="X194" s="708">
        <v>1227.8974155200376</v>
      </c>
      <c r="Y194" s="719">
        <v>23330.050894880715</v>
      </c>
      <c r="Z194" s="719">
        <v>11048.341077309895</v>
      </c>
      <c r="AA194" s="719">
        <v>581.49163564788921</v>
      </c>
      <c r="AB194" s="738">
        <v>0.29743244734753344</v>
      </c>
      <c r="AC194" s="792">
        <v>1</v>
      </c>
      <c r="AD194" s="792">
        <v>1</v>
      </c>
      <c r="AE194" s="717">
        <v>0.56884057971014501</v>
      </c>
      <c r="AF194" s="714">
        <v>4.2407531067898789E-2</v>
      </c>
      <c r="AG194" s="706"/>
      <c r="AH194" s="792">
        <v>0.47356695135775378</v>
      </c>
      <c r="AI194" s="748">
        <v>0.56884057971014501</v>
      </c>
      <c r="AJ194" s="748">
        <v>4.2407531067898789E-2</v>
      </c>
      <c r="AK194" s="748"/>
      <c r="AL194" s="714">
        <v>0.47356695135775378</v>
      </c>
      <c r="AM194" s="706"/>
      <c r="AN194" s="706"/>
      <c r="AO194" s="706"/>
      <c r="AP194" s="706"/>
      <c r="AQ194" s="706"/>
      <c r="AR194" s="706" t="s">
        <v>957</v>
      </c>
      <c r="AS194" s="706"/>
      <c r="AT194" s="706"/>
      <c r="AU194" s="706"/>
      <c r="AV194" s="706">
        <v>0.29743244734753344</v>
      </c>
      <c r="AW194" s="706">
        <v>0.29743244734753344</v>
      </c>
      <c r="AX194" s="706">
        <v>0.29743244734753344</v>
      </c>
      <c r="AY194" s="706">
        <v>0.29743244734753344</v>
      </c>
      <c r="AZ194" s="706">
        <v>0.29743244734753344</v>
      </c>
      <c r="BA194" s="706">
        <v>0.29743244734753344</v>
      </c>
      <c r="BB194" s="706">
        <v>0.29743244734753344</v>
      </c>
      <c r="BC194" s="706">
        <v>0.29743244734753344</v>
      </c>
      <c r="BD194" s="706">
        <v>0.29743244734753344</v>
      </c>
      <c r="BE194" s="706">
        <v>0.29743244734753344</v>
      </c>
      <c r="BF194" s="706">
        <v>0.29743244734753344</v>
      </c>
      <c r="BG194" s="706">
        <v>0.29743244734753344</v>
      </c>
      <c r="BH194" s="706">
        <v>0.29743244734753344</v>
      </c>
      <c r="BI194" s="706">
        <v>0.29743244734753344</v>
      </c>
      <c r="BJ194" s="706">
        <v>0.29743244734753344</v>
      </c>
      <c r="BK194" s="706">
        <v>0.29743244734753344</v>
      </c>
      <c r="BL194" s="706">
        <v>0.29743244734753344</v>
      </c>
      <c r="BM194" s="706">
        <v>0.29743244734753344</v>
      </c>
      <c r="BN194" s="706">
        <v>0.29743244734753344</v>
      </c>
      <c r="BO194" s="706"/>
      <c r="BP194" s="706"/>
      <c r="BQ194" s="706"/>
      <c r="BR194" s="706"/>
      <c r="BS194" s="706"/>
      <c r="BT194" s="706"/>
      <c r="BU194" s="706"/>
      <c r="BV194" s="791">
        <v>581.49163564788921</v>
      </c>
      <c r="BW194" s="791">
        <v>581.49163564788921</v>
      </c>
      <c r="BX194" s="791">
        <v>581.49163564788921</v>
      </c>
      <c r="BY194" s="791">
        <v>581.49163564788921</v>
      </c>
      <c r="BZ194" s="791">
        <v>581.49163564788921</v>
      </c>
      <c r="CA194" s="791">
        <v>581.49163564788921</v>
      </c>
      <c r="CB194" s="791">
        <v>581.49163564788921</v>
      </c>
      <c r="CC194" s="791">
        <v>581.49163564788921</v>
      </c>
      <c r="CD194" s="791">
        <v>581.49163564788921</v>
      </c>
      <c r="CE194" s="791">
        <v>581.49163564788921</v>
      </c>
      <c r="CF194" s="791">
        <v>581.49163564788921</v>
      </c>
      <c r="CG194" s="791">
        <v>581.49163564788921</v>
      </c>
      <c r="CH194" s="791">
        <v>581.49163564788921</v>
      </c>
      <c r="CI194" s="791">
        <v>581.49163564788921</v>
      </c>
      <c r="CJ194" s="791">
        <v>581.49163564788921</v>
      </c>
      <c r="CK194" s="791">
        <v>581.49163564788921</v>
      </c>
      <c r="CL194" s="791">
        <v>581.49163564788921</v>
      </c>
      <c r="CM194" s="791">
        <v>581.49163564788921</v>
      </c>
      <c r="CN194" s="791">
        <v>581.49163564788921</v>
      </c>
      <c r="CO194" s="706"/>
      <c r="CP194" s="706"/>
      <c r="CQ194" s="706"/>
      <c r="CR194" s="706"/>
    </row>
    <row r="195" spans="1:96">
      <c r="A195" s="694" t="s">
        <v>3</v>
      </c>
      <c r="B195" s="794">
        <v>41786</v>
      </c>
      <c r="C195" s="743">
        <v>2014</v>
      </c>
      <c r="D195" s="746" t="s">
        <v>15</v>
      </c>
      <c r="E195" s="746" t="s">
        <v>25</v>
      </c>
      <c r="F195" s="746" t="s">
        <v>17</v>
      </c>
      <c r="G195" s="746" t="s">
        <v>58</v>
      </c>
      <c r="H195" s="694" t="s">
        <v>959</v>
      </c>
      <c r="I195" s="746" t="s">
        <v>5</v>
      </c>
      <c r="J195" s="746" t="s">
        <v>376</v>
      </c>
      <c r="K195" s="706">
        <v>1</v>
      </c>
      <c r="L195" s="745" t="s">
        <v>58</v>
      </c>
      <c r="M195" s="706" t="s">
        <v>1039</v>
      </c>
      <c r="N195" s="706">
        <v>19</v>
      </c>
      <c r="O195" s="706"/>
      <c r="P195" s="706"/>
      <c r="Q195" s="706"/>
      <c r="R195" s="706"/>
      <c r="S195" s="706"/>
      <c r="T195" s="706"/>
      <c r="U195" s="738">
        <v>0.62806842093767556</v>
      </c>
      <c r="V195" s="738">
        <v>1227.8974155200376</v>
      </c>
      <c r="W195" s="793">
        <v>0.62806842093767556</v>
      </c>
      <c r="X195" s="708">
        <v>1227.8974155200376</v>
      </c>
      <c r="Y195" s="719">
        <v>23330.050894880715</v>
      </c>
      <c r="Z195" s="719">
        <v>11048.341077309895</v>
      </c>
      <c r="AA195" s="719">
        <v>581.49163564788921</v>
      </c>
      <c r="AB195" s="738">
        <v>0.29743244734753344</v>
      </c>
      <c r="AC195" s="792">
        <v>1</v>
      </c>
      <c r="AD195" s="792">
        <v>1</v>
      </c>
      <c r="AE195" s="717">
        <v>0.56884057971014501</v>
      </c>
      <c r="AF195" s="714">
        <v>4.2407531067898789E-2</v>
      </c>
      <c r="AG195" s="706"/>
      <c r="AH195" s="792">
        <v>0.47356695135775378</v>
      </c>
      <c r="AI195" s="748">
        <v>0.56884057971014501</v>
      </c>
      <c r="AJ195" s="748">
        <v>4.2407531067898789E-2</v>
      </c>
      <c r="AK195" s="748"/>
      <c r="AL195" s="714">
        <v>0.47356695135775378</v>
      </c>
      <c r="AM195" s="706"/>
      <c r="AN195" s="706"/>
      <c r="AO195" s="706"/>
      <c r="AP195" s="706"/>
      <c r="AQ195" s="706"/>
      <c r="AR195" s="706" t="s">
        <v>957</v>
      </c>
      <c r="AS195" s="706"/>
      <c r="AT195" s="706"/>
      <c r="AU195" s="706"/>
      <c r="AV195" s="706">
        <v>0.29743244734753344</v>
      </c>
      <c r="AW195" s="706">
        <v>0.29743244734753344</v>
      </c>
      <c r="AX195" s="706">
        <v>0.29743244734753344</v>
      </c>
      <c r="AY195" s="706">
        <v>0.29743244734753344</v>
      </c>
      <c r="AZ195" s="706">
        <v>0.29743244734753344</v>
      </c>
      <c r="BA195" s="706">
        <v>0.29743244734753344</v>
      </c>
      <c r="BB195" s="706">
        <v>0.29743244734753344</v>
      </c>
      <c r="BC195" s="706">
        <v>0.29743244734753344</v>
      </c>
      <c r="BD195" s="706">
        <v>0.29743244734753344</v>
      </c>
      <c r="BE195" s="706">
        <v>0.29743244734753344</v>
      </c>
      <c r="BF195" s="706">
        <v>0.29743244734753344</v>
      </c>
      <c r="BG195" s="706">
        <v>0.29743244734753344</v>
      </c>
      <c r="BH195" s="706">
        <v>0.29743244734753344</v>
      </c>
      <c r="BI195" s="706">
        <v>0.29743244734753344</v>
      </c>
      <c r="BJ195" s="706">
        <v>0.29743244734753344</v>
      </c>
      <c r="BK195" s="706">
        <v>0.29743244734753344</v>
      </c>
      <c r="BL195" s="706">
        <v>0.29743244734753344</v>
      </c>
      <c r="BM195" s="706">
        <v>0.29743244734753344</v>
      </c>
      <c r="BN195" s="706">
        <v>0.29743244734753344</v>
      </c>
      <c r="BO195" s="706"/>
      <c r="BP195" s="706"/>
      <c r="BQ195" s="706"/>
      <c r="BR195" s="706"/>
      <c r="BS195" s="706"/>
      <c r="BT195" s="706"/>
      <c r="BU195" s="706"/>
      <c r="BV195" s="791">
        <v>581.49163564788921</v>
      </c>
      <c r="BW195" s="791">
        <v>581.49163564788921</v>
      </c>
      <c r="BX195" s="791">
        <v>581.49163564788921</v>
      </c>
      <c r="BY195" s="791">
        <v>581.49163564788921</v>
      </c>
      <c r="BZ195" s="791">
        <v>581.49163564788921</v>
      </c>
      <c r="CA195" s="791">
        <v>581.49163564788921</v>
      </c>
      <c r="CB195" s="791">
        <v>581.49163564788921</v>
      </c>
      <c r="CC195" s="791">
        <v>581.49163564788921</v>
      </c>
      <c r="CD195" s="791">
        <v>581.49163564788921</v>
      </c>
      <c r="CE195" s="791">
        <v>581.49163564788921</v>
      </c>
      <c r="CF195" s="791">
        <v>581.49163564788921</v>
      </c>
      <c r="CG195" s="791">
        <v>581.49163564788921</v>
      </c>
      <c r="CH195" s="791">
        <v>581.49163564788921</v>
      </c>
      <c r="CI195" s="791">
        <v>581.49163564788921</v>
      </c>
      <c r="CJ195" s="791">
        <v>581.49163564788921</v>
      </c>
      <c r="CK195" s="791">
        <v>581.49163564788921</v>
      </c>
      <c r="CL195" s="791">
        <v>581.49163564788921</v>
      </c>
      <c r="CM195" s="791">
        <v>581.49163564788921</v>
      </c>
      <c r="CN195" s="791">
        <v>581.49163564788921</v>
      </c>
      <c r="CO195" s="706"/>
      <c r="CP195" s="706"/>
      <c r="CQ195" s="706"/>
      <c r="CR195" s="706"/>
    </row>
    <row r="196" spans="1:96">
      <c r="A196" s="694" t="s">
        <v>3</v>
      </c>
      <c r="B196" s="794">
        <v>41822</v>
      </c>
      <c r="C196" s="743">
        <v>2014</v>
      </c>
      <c r="D196" s="746" t="s">
        <v>15</v>
      </c>
      <c r="E196" s="746" t="s">
        <v>25</v>
      </c>
      <c r="F196" s="746" t="s">
        <v>17</v>
      </c>
      <c r="G196" s="746" t="s">
        <v>58</v>
      </c>
      <c r="H196" s="694" t="s">
        <v>959</v>
      </c>
      <c r="I196" s="746" t="s">
        <v>5</v>
      </c>
      <c r="J196" s="746" t="s">
        <v>376</v>
      </c>
      <c r="K196" s="706">
        <v>1</v>
      </c>
      <c r="L196" s="745" t="s">
        <v>58</v>
      </c>
      <c r="M196" s="706" t="s">
        <v>1038</v>
      </c>
      <c r="N196" s="706">
        <v>19</v>
      </c>
      <c r="O196" s="706"/>
      <c r="P196" s="706"/>
      <c r="Q196" s="706"/>
      <c r="R196" s="706"/>
      <c r="S196" s="706"/>
      <c r="T196" s="706"/>
      <c r="U196" s="738">
        <v>0.62806842093767556</v>
      </c>
      <c r="V196" s="738">
        <v>1227.8974155200376</v>
      </c>
      <c r="W196" s="793">
        <v>0.62806842093767556</v>
      </c>
      <c r="X196" s="708">
        <v>1227.8974155200376</v>
      </c>
      <c r="Y196" s="719">
        <v>23330.050894880715</v>
      </c>
      <c r="Z196" s="719">
        <v>11048.341077309895</v>
      </c>
      <c r="AA196" s="719">
        <v>581.49163564788921</v>
      </c>
      <c r="AB196" s="738">
        <v>0.29743244734753344</v>
      </c>
      <c r="AC196" s="792">
        <v>1</v>
      </c>
      <c r="AD196" s="792">
        <v>1</v>
      </c>
      <c r="AE196" s="717">
        <v>0.56884057971014501</v>
      </c>
      <c r="AF196" s="714">
        <v>4.2407531067898789E-2</v>
      </c>
      <c r="AG196" s="706"/>
      <c r="AH196" s="792">
        <v>0.47356695135775378</v>
      </c>
      <c r="AI196" s="748">
        <v>0.56884057971014501</v>
      </c>
      <c r="AJ196" s="748">
        <v>4.2407531067898789E-2</v>
      </c>
      <c r="AK196" s="748"/>
      <c r="AL196" s="714">
        <v>0.47356695135775378</v>
      </c>
      <c r="AM196" s="706"/>
      <c r="AN196" s="706"/>
      <c r="AO196" s="706"/>
      <c r="AP196" s="706"/>
      <c r="AQ196" s="706"/>
      <c r="AR196" s="706" t="s">
        <v>957</v>
      </c>
      <c r="AS196" s="706"/>
      <c r="AT196" s="706"/>
      <c r="AU196" s="706"/>
      <c r="AV196" s="706">
        <v>0.29743244734753344</v>
      </c>
      <c r="AW196" s="706">
        <v>0.29743244734753344</v>
      </c>
      <c r="AX196" s="706">
        <v>0.29743244734753344</v>
      </c>
      <c r="AY196" s="706">
        <v>0.29743244734753344</v>
      </c>
      <c r="AZ196" s="706">
        <v>0.29743244734753344</v>
      </c>
      <c r="BA196" s="706">
        <v>0.29743244734753344</v>
      </c>
      <c r="BB196" s="706">
        <v>0.29743244734753344</v>
      </c>
      <c r="BC196" s="706">
        <v>0.29743244734753344</v>
      </c>
      <c r="BD196" s="706">
        <v>0.29743244734753344</v>
      </c>
      <c r="BE196" s="706">
        <v>0.29743244734753344</v>
      </c>
      <c r="BF196" s="706">
        <v>0.29743244734753344</v>
      </c>
      <c r="BG196" s="706">
        <v>0.29743244734753344</v>
      </c>
      <c r="BH196" s="706">
        <v>0.29743244734753344</v>
      </c>
      <c r="BI196" s="706">
        <v>0.29743244734753344</v>
      </c>
      <c r="BJ196" s="706">
        <v>0.29743244734753344</v>
      </c>
      <c r="BK196" s="706">
        <v>0.29743244734753344</v>
      </c>
      <c r="BL196" s="706">
        <v>0.29743244734753344</v>
      </c>
      <c r="BM196" s="706">
        <v>0.29743244734753344</v>
      </c>
      <c r="BN196" s="706">
        <v>0.29743244734753344</v>
      </c>
      <c r="BO196" s="706"/>
      <c r="BP196" s="706"/>
      <c r="BQ196" s="706"/>
      <c r="BR196" s="706"/>
      <c r="BS196" s="706"/>
      <c r="BT196" s="706"/>
      <c r="BU196" s="706"/>
      <c r="BV196" s="791">
        <v>581.49163564788921</v>
      </c>
      <c r="BW196" s="791">
        <v>581.49163564788921</v>
      </c>
      <c r="BX196" s="791">
        <v>581.49163564788921</v>
      </c>
      <c r="BY196" s="791">
        <v>581.49163564788921</v>
      </c>
      <c r="BZ196" s="791">
        <v>581.49163564788921</v>
      </c>
      <c r="CA196" s="791">
        <v>581.49163564788921</v>
      </c>
      <c r="CB196" s="791">
        <v>581.49163564788921</v>
      </c>
      <c r="CC196" s="791">
        <v>581.49163564788921</v>
      </c>
      <c r="CD196" s="791">
        <v>581.49163564788921</v>
      </c>
      <c r="CE196" s="791">
        <v>581.49163564788921</v>
      </c>
      <c r="CF196" s="791">
        <v>581.49163564788921</v>
      </c>
      <c r="CG196" s="791">
        <v>581.49163564788921</v>
      </c>
      <c r="CH196" s="791">
        <v>581.49163564788921</v>
      </c>
      <c r="CI196" s="791">
        <v>581.49163564788921</v>
      </c>
      <c r="CJ196" s="791">
        <v>581.49163564788921</v>
      </c>
      <c r="CK196" s="791">
        <v>581.49163564788921</v>
      </c>
      <c r="CL196" s="791">
        <v>581.49163564788921</v>
      </c>
      <c r="CM196" s="791">
        <v>581.49163564788921</v>
      </c>
      <c r="CN196" s="791">
        <v>581.49163564788921</v>
      </c>
      <c r="CO196" s="706"/>
      <c r="CP196" s="706"/>
      <c r="CQ196" s="706"/>
      <c r="CR196" s="706"/>
    </row>
    <row r="197" spans="1:96">
      <c r="A197" s="694" t="s">
        <v>3</v>
      </c>
      <c r="B197" s="794">
        <v>41912</v>
      </c>
      <c r="C197" s="743">
        <v>2014</v>
      </c>
      <c r="D197" s="746" t="s">
        <v>15</v>
      </c>
      <c r="E197" s="746" t="s">
        <v>25</v>
      </c>
      <c r="F197" s="746" t="s">
        <v>17</v>
      </c>
      <c r="G197" s="746" t="s">
        <v>58</v>
      </c>
      <c r="H197" s="694" t="s">
        <v>959</v>
      </c>
      <c r="I197" s="746" t="s">
        <v>5</v>
      </c>
      <c r="J197" s="746" t="s">
        <v>376</v>
      </c>
      <c r="K197" s="706">
        <v>1</v>
      </c>
      <c r="L197" s="745" t="s">
        <v>58</v>
      </c>
      <c r="M197" s="706" t="s">
        <v>912</v>
      </c>
      <c r="N197" s="706">
        <v>19</v>
      </c>
      <c r="O197" s="706"/>
      <c r="P197" s="706"/>
      <c r="Q197" s="706"/>
      <c r="R197" s="706"/>
      <c r="S197" s="706"/>
      <c r="T197" s="706"/>
      <c r="U197" s="738">
        <v>0.62806842093767556</v>
      </c>
      <c r="V197" s="738">
        <v>1227.8974155200376</v>
      </c>
      <c r="W197" s="793">
        <v>0.62806842093767556</v>
      </c>
      <c r="X197" s="708">
        <v>1227.8974155200376</v>
      </c>
      <c r="Y197" s="719">
        <v>23330.050894880715</v>
      </c>
      <c r="Z197" s="719">
        <v>11048.341077309895</v>
      </c>
      <c r="AA197" s="719">
        <v>581.49163564788921</v>
      </c>
      <c r="AB197" s="738">
        <v>0.29743244734753344</v>
      </c>
      <c r="AC197" s="792">
        <v>1</v>
      </c>
      <c r="AD197" s="792">
        <v>1</v>
      </c>
      <c r="AE197" s="717">
        <v>0.56884057971014501</v>
      </c>
      <c r="AF197" s="714">
        <v>4.2407531067898789E-2</v>
      </c>
      <c r="AG197" s="706"/>
      <c r="AH197" s="792">
        <v>0.47356695135775378</v>
      </c>
      <c r="AI197" s="748">
        <v>0.56884057971014501</v>
      </c>
      <c r="AJ197" s="748">
        <v>4.2407531067898789E-2</v>
      </c>
      <c r="AK197" s="748"/>
      <c r="AL197" s="714">
        <v>0.47356695135775378</v>
      </c>
      <c r="AM197" s="706"/>
      <c r="AN197" s="706"/>
      <c r="AO197" s="706"/>
      <c r="AP197" s="706"/>
      <c r="AQ197" s="706"/>
      <c r="AR197" s="706" t="s">
        <v>957</v>
      </c>
      <c r="AS197" s="706"/>
      <c r="AT197" s="706"/>
      <c r="AU197" s="706"/>
      <c r="AV197" s="706">
        <v>0.29743244734753344</v>
      </c>
      <c r="AW197" s="706">
        <v>0.29743244734753344</v>
      </c>
      <c r="AX197" s="706">
        <v>0.29743244734753344</v>
      </c>
      <c r="AY197" s="706">
        <v>0.29743244734753344</v>
      </c>
      <c r="AZ197" s="706">
        <v>0.29743244734753344</v>
      </c>
      <c r="BA197" s="706">
        <v>0.29743244734753344</v>
      </c>
      <c r="BB197" s="706">
        <v>0.29743244734753344</v>
      </c>
      <c r="BC197" s="706">
        <v>0.29743244734753344</v>
      </c>
      <c r="BD197" s="706">
        <v>0.29743244734753344</v>
      </c>
      <c r="BE197" s="706">
        <v>0.29743244734753344</v>
      </c>
      <c r="BF197" s="706">
        <v>0.29743244734753344</v>
      </c>
      <c r="BG197" s="706">
        <v>0.29743244734753344</v>
      </c>
      <c r="BH197" s="706">
        <v>0.29743244734753344</v>
      </c>
      <c r="BI197" s="706">
        <v>0.29743244734753344</v>
      </c>
      <c r="BJ197" s="706">
        <v>0.29743244734753344</v>
      </c>
      <c r="BK197" s="706">
        <v>0.29743244734753344</v>
      </c>
      <c r="BL197" s="706">
        <v>0.29743244734753344</v>
      </c>
      <c r="BM197" s="706">
        <v>0.29743244734753344</v>
      </c>
      <c r="BN197" s="706">
        <v>0.29743244734753344</v>
      </c>
      <c r="BO197" s="706"/>
      <c r="BP197" s="706"/>
      <c r="BQ197" s="706"/>
      <c r="BR197" s="706"/>
      <c r="BS197" s="706"/>
      <c r="BT197" s="706"/>
      <c r="BU197" s="706"/>
      <c r="BV197" s="791">
        <v>581.49163564788921</v>
      </c>
      <c r="BW197" s="791">
        <v>581.49163564788921</v>
      </c>
      <c r="BX197" s="791">
        <v>581.49163564788921</v>
      </c>
      <c r="BY197" s="791">
        <v>581.49163564788921</v>
      </c>
      <c r="BZ197" s="791">
        <v>581.49163564788921</v>
      </c>
      <c r="CA197" s="791">
        <v>581.49163564788921</v>
      </c>
      <c r="CB197" s="791">
        <v>581.49163564788921</v>
      </c>
      <c r="CC197" s="791">
        <v>581.49163564788921</v>
      </c>
      <c r="CD197" s="791">
        <v>581.49163564788921</v>
      </c>
      <c r="CE197" s="791">
        <v>581.49163564788921</v>
      </c>
      <c r="CF197" s="791">
        <v>581.49163564788921</v>
      </c>
      <c r="CG197" s="791">
        <v>581.49163564788921</v>
      </c>
      <c r="CH197" s="791">
        <v>581.49163564788921</v>
      </c>
      <c r="CI197" s="791">
        <v>581.49163564788921</v>
      </c>
      <c r="CJ197" s="791">
        <v>581.49163564788921</v>
      </c>
      <c r="CK197" s="791">
        <v>581.49163564788921</v>
      </c>
      <c r="CL197" s="791">
        <v>581.49163564788921</v>
      </c>
      <c r="CM197" s="791">
        <v>581.49163564788921</v>
      </c>
      <c r="CN197" s="791">
        <v>581.49163564788921</v>
      </c>
      <c r="CO197" s="706"/>
      <c r="CP197" s="706"/>
      <c r="CQ197" s="706"/>
      <c r="CR197" s="706"/>
    </row>
    <row r="198" spans="1:96">
      <c r="A198" s="694" t="s">
        <v>3</v>
      </c>
      <c r="B198" s="794">
        <v>41752</v>
      </c>
      <c r="C198" s="743">
        <v>2014</v>
      </c>
      <c r="D198" s="746" t="s">
        <v>15</v>
      </c>
      <c r="E198" s="746" t="s">
        <v>25</v>
      </c>
      <c r="F198" s="746" t="s">
        <v>17</v>
      </c>
      <c r="G198" s="746" t="s">
        <v>58</v>
      </c>
      <c r="H198" s="694" t="s">
        <v>959</v>
      </c>
      <c r="I198" s="746" t="s">
        <v>5</v>
      </c>
      <c r="J198" s="746" t="s">
        <v>376</v>
      </c>
      <c r="K198" s="706">
        <v>1</v>
      </c>
      <c r="L198" s="745" t="s">
        <v>58</v>
      </c>
      <c r="M198" s="706" t="s">
        <v>911</v>
      </c>
      <c r="N198" s="706">
        <v>19</v>
      </c>
      <c r="O198" s="706"/>
      <c r="P198" s="706"/>
      <c r="Q198" s="706"/>
      <c r="R198" s="706"/>
      <c r="S198" s="706"/>
      <c r="T198" s="706"/>
      <c r="U198" s="738">
        <v>0.62806842093767556</v>
      </c>
      <c r="V198" s="738">
        <v>1227.8974155200376</v>
      </c>
      <c r="W198" s="793">
        <v>0.62806842093767556</v>
      </c>
      <c r="X198" s="708">
        <v>1227.8974155200376</v>
      </c>
      <c r="Y198" s="719">
        <v>23330.050894880715</v>
      </c>
      <c r="Z198" s="719">
        <v>11048.341077309895</v>
      </c>
      <c r="AA198" s="719">
        <v>581.49163564788921</v>
      </c>
      <c r="AB198" s="738">
        <v>0.29743244734753344</v>
      </c>
      <c r="AC198" s="792">
        <v>1</v>
      </c>
      <c r="AD198" s="792">
        <v>1</v>
      </c>
      <c r="AE198" s="717">
        <v>0.56884057971014501</v>
      </c>
      <c r="AF198" s="714">
        <v>4.2407531067898789E-2</v>
      </c>
      <c r="AG198" s="706"/>
      <c r="AH198" s="792">
        <v>0.47356695135775378</v>
      </c>
      <c r="AI198" s="748">
        <v>0.56884057971014501</v>
      </c>
      <c r="AJ198" s="748">
        <v>4.2407531067898789E-2</v>
      </c>
      <c r="AK198" s="748"/>
      <c r="AL198" s="714">
        <v>0.47356695135775378</v>
      </c>
      <c r="AM198" s="706"/>
      <c r="AN198" s="706"/>
      <c r="AO198" s="706"/>
      <c r="AP198" s="706"/>
      <c r="AQ198" s="706"/>
      <c r="AR198" s="706" t="s">
        <v>957</v>
      </c>
      <c r="AS198" s="706"/>
      <c r="AT198" s="706"/>
      <c r="AU198" s="706"/>
      <c r="AV198" s="706">
        <v>0.29743244734753344</v>
      </c>
      <c r="AW198" s="706">
        <v>0.29743244734753344</v>
      </c>
      <c r="AX198" s="706">
        <v>0.29743244734753344</v>
      </c>
      <c r="AY198" s="706">
        <v>0.29743244734753344</v>
      </c>
      <c r="AZ198" s="706">
        <v>0.29743244734753344</v>
      </c>
      <c r="BA198" s="706">
        <v>0.29743244734753344</v>
      </c>
      <c r="BB198" s="706">
        <v>0.29743244734753344</v>
      </c>
      <c r="BC198" s="706">
        <v>0.29743244734753344</v>
      </c>
      <c r="BD198" s="706">
        <v>0.29743244734753344</v>
      </c>
      <c r="BE198" s="706">
        <v>0.29743244734753344</v>
      </c>
      <c r="BF198" s="706">
        <v>0.29743244734753344</v>
      </c>
      <c r="BG198" s="706">
        <v>0.29743244734753344</v>
      </c>
      <c r="BH198" s="706">
        <v>0.29743244734753344</v>
      </c>
      <c r="BI198" s="706">
        <v>0.29743244734753344</v>
      </c>
      <c r="BJ198" s="706">
        <v>0.29743244734753344</v>
      </c>
      <c r="BK198" s="706">
        <v>0.29743244734753344</v>
      </c>
      <c r="BL198" s="706">
        <v>0.29743244734753344</v>
      </c>
      <c r="BM198" s="706">
        <v>0.29743244734753344</v>
      </c>
      <c r="BN198" s="706">
        <v>0.29743244734753344</v>
      </c>
      <c r="BO198" s="706"/>
      <c r="BP198" s="706"/>
      <c r="BQ198" s="706"/>
      <c r="BR198" s="706"/>
      <c r="BS198" s="706"/>
      <c r="BT198" s="706"/>
      <c r="BU198" s="706"/>
      <c r="BV198" s="791">
        <v>581.49163564788921</v>
      </c>
      <c r="BW198" s="791">
        <v>581.49163564788921</v>
      </c>
      <c r="BX198" s="791">
        <v>581.49163564788921</v>
      </c>
      <c r="BY198" s="791">
        <v>581.49163564788921</v>
      </c>
      <c r="BZ198" s="791">
        <v>581.49163564788921</v>
      </c>
      <c r="CA198" s="791">
        <v>581.49163564788921</v>
      </c>
      <c r="CB198" s="791">
        <v>581.49163564788921</v>
      </c>
      <c r="CC198" s="791">
        <v>581.49163564788921</v>
      </c>
      <c r="CD198" s="791">
        <v>581.49163564788921</v>
      </c>
      <c r="CE198" s="791">
        <v>581.49163564788921</v>
      </c>
      <c r="CF198" s="791">
        <v>581.49163564788921</v>
      </c>
      <c r="CG198" s="791">
        <v>581.49163564788921</v>
      </c>
      <c r="CH198" s="791">
        <v>581.49163564788921</v>
      </c>
      <c r="CI198" s="791">
        <v>581.49163564788921</v>
      </c>
      <c r="CJ198" s="791">
        <v>581.49163564788921</v>
      </c>
      <c r="CK198" s="791">
        <v>581.49163564788921</v>
      </c>
      <c r="CL198" s="791">
        <v>581.49163564788921</v>
      </c>
      <c r="CM198" s="791">
        <v>581.49163564788921</v>
      </c>
      <c r="CN198" s="791">
        <v>581.49163564788921</v>
      </c>
      <c r="CO198" s="706"/>
      <c r="CP198" s="706"/>
      <c r="CQ198" s="706"/>
      <c r="CR198" s="706"/>
    </row>
    <row r="199" spans="1:96">
      <c r="A199" s="694" t="s">
        <v>3</v>
      </c>
      <c r="B199" s="794">
        <v>41842</v>
      </c>
      <c r="C199" s="743">
        <v>2014</v>
      </c>
      <c r="D199" s="746" t="s">
        <v>15</v>
      </c>
      <c r="E199" s="746" t="s">
        <v>25</v>
      </c>
      <c r="F199" s="746" t="s">
        <v>17</v>
      </c>
      <c r="G199" s="746" t="s">
        <v>58</v>
      </c>
      <c r="H199" s="694" t="s">
        <v>959</v>
      </c>
      <c r="I199" s="746" t="s">
        <v>5</v>
      </c>
      <c r="J199" s="746" t="s">
        <v>376</v>
      </c>
      <c r="K199" s="706">
        <v>1</v>
      </c>
      <c r="L199" s="745" t="s">
        <v>58</v>
      </c>
      <c r="M199" s="706" t="s">
        <v>910</v>
      </c>
      <c r="N199" s="706">
        <v>19</v>
      </c>
      <c r="O199" s="706"/>
      <c r="P199" s="706"/>
      <c r="Q199" s="706"/>
      <c r="R199" s="706"/>
      <c r="S199" s="706"/>
      <c r="T199" s="706"/>
      <c r="U199" s="738">
        <v>0.62806842093767556</v>
      </c>
      <c r="V199" s="738">
        <v>1227.8974155200376</v>
      </c>
      <c r="W199" s="793">
        <v>0.62806842093767556</v>
      </c>
      <c r="X199" s="708">
        <v>1227.8974155200376</v>
      </c>
      <c r="Y199" s="719">
        <v>23330.050894880715</v>
      </c>
      <c r="Z199" s="719">
        <v>11048.341077309895</v>
      </c>
      <c r="AA199" s="719">
        <v>581.49163564788921</v>
      </c>
      <c r="AB199" s="738">
        <v>0.29743244734753344</v>
      </c>
      <c r="AC199" s="792">
        <v>1</v>
      </c>
      <c r="AD199" s="792">
        <v>1</v>
      </c>
      <c r="AE199" s="717">
        <v>0.56884057971014501</v>
      </c>
      <c r="AF199" s="714">
        <v>4.2407531067898789E-2</v>
      </c>
      <c r="AG199" s="706"/>
      <c r="AH199" s="792">
        <v>0.47356695135775378</v>
      </c>
      <c r="AI199" s="748">
        <v>0.56884057971014501</v>
      </c>
      <c r="AJ199" s="748">
        <v>4.2407531067898789E-2</v>
      </c>
      <c r="AK199" s="748"/>
      <c r="AL199" s="714">
        <v>0.47356695135775378</v>
      </c>
      <c r="AM199" s="706"/>
      <c r="AN199" s="706"/>
      <c r="AO199" s="706"/>
      <c r="AP199" s="706"/>
      <c r="AQ199" s="706"/>
      <c r="AR199" s="706" t="s">
        <v>957</v>
      </c>
      <c r="AS199" s="706"/>
      <c r="AT199" s="706"/>
      <c r="AU199" s="706"/>
      <c r="AV199" s="706">
        <v>0.29743244734753344</v>
      </c>
      <c r="AW199" s="706">
        <v>0.29743244734753344</v>
      </c>
      <c r="AX199" s="706">
        <v>0.29743244734753344</v>
      </c>
      <c r="AY199" s="706">
        <v>0.29743244734753344</v>
      </c>
      <c r="AZ199" s="706">
        <v>0.29743244734753344</v>
      </c>
      <c r="BA199" s="706">
        <v>0.29743244734753344</v>
      </c>
      <c r="BB199" s="706">
        <v>0.29743244734753344</v>
      </c>
      <c r="BC199" s="706">
        <v>0.29743244734753344</v>
      </c>
      <c r="BD199" s="706">
        <v>0.29743244734753344</v>
      </c>
      <c r="BE199" s="706">
        <v>0.29743244734753344</v>
      </c>
      <c r="BF199" s="706">
        <v>0.29743244734753344</v>
      </c>
      <c r="BG199" s="706">
        <v>0.29743244734753344</v>
      </c>
      <c r="BH199" s="706">
        <v>0.29743244734753344</v>
      </c>
      <c r="BI199" s="706">
        <v>0.29743244734753344</v>
      </c>
      <c r="BJ199" s="706">
        <v>0.29743244734753344</v>
      </c>
      <c r="BK199" s="706">
        <v>0.29743244734753344</v>
      </c>
      <c r="BL199" s="706">
        <v>0.29743244734753344</v>
      </c>
      <c r="BM199" s="706">
        <v>0.29743244734753344</v>
      </c>
      <c r="BN199" s="706">
        <v>0.29743244734753344</v>
      </c>
      <c r="BO199" s="706"/>
      <c r="BP199" s="706"/>
      <c r="BQ199" s="706"/>
      <c r="BR199" s="706"/>
      <c r="BS199" s="706"/>
      <c r="BT199" s="706"/>
      <c r="BU199" s="706"/>
      <c r="BV199" s="791">
        <v>581.49163564788921</v>
      </c>
      <c r="BW199" s="791">
        <v>581.49163564788921</v>
      </c>
      <c r="BX199" s="791">
        <v>581.49163564788921</v>
      </c>
      <c r="BY199" s="791">
        <v>581.49163564788921</v>
      </c>
      <c r="BZ199" s="791">
        <v>581.49163564788921</v>
      </c>
      <c r="CA199" s="791">
        <v>581.49163564788921</v>
      </c>
      <c r="CB199" s="791">
        <v>581.49163564788921</v>
      </c>
      <c r="CC199" s="791">
        <v>581.49163564788921</v>
      </c>
      <c r="CD199" s="791">
        <v>581.49163564788921</v>
      </c>
      <c r="CE199" s="791">
        <v>581.49163564788921</v>
      </c>
      <c r="CF199" s="791">
        <v>581.49163564788921</v>
      </c>
      <c r="CG199" s="791">
        <v>581.49163564788921</v>
      </c>
      <c r="CH199" s="791">
        <v>581.49163564788921</v>
      </c>
      <c r="CI199" s="791">
        <v>581.49163564788921</v>
      </c>
      <c r="CJ199" s="791">
        <v>581.49163564788921</v>
      </c>
      <c r="CK199" s="791">
        <v>581.49163564788921</v>
      </c>
      <c r="CL199" s="791">
        <v>581.49163564788921</v>
      </c>
      <c r="CM199" s="791">
        <v>581.49163564788921</v>
      </c>
      <c r="CN199" s="791">
        <v>581.49163564788921</v>
      </c>
      <c r="CO199" s="706"/>
      <c r="CP199" s="706"/>
      <c r="CQ199" s="706"/>
      <c r="CR199" s="706"/>
    </row>
    <row r="200" spans="1:96">
      <c r="A200" s="694" t="s">
        <v>3</v>
      </c>
      <c r="B200" s="794">
        <v>41774</v>
      </c>
      <c r="C200" s="743">
        <v>2014</v>
      </c>
      <c r="D200" s="746" t="s">
        <v>15</v>
      </c>
      <c r="E200" s="746" t="s">
        <v>25</v>
      </c>
      <c r="F200" s="746" t="s">
        <v>17</v>
      </c>
      <c r="G200" s="746" t="s">
        <v>58</v>
      </c>
      <c r="H200" s="694" t="s">
        <v>959</v>
      </c>
      <c r="I200" s="746" t="s">
        <v>5</v>
      </c>
      <c r="J200" s="746" t="s">
        <v>376</v>
      </c>
      <c r="K200" s="706">
        <v>1</v>
      </c>
      <c r="L200" s="745" t="s">
        <v>58</v>
      </c>
      <c r="M200" s="706" t="s">
        <v>905</v>
      </c>
      <c r="N200" s="706">
        <v>19</v>
      </c>
      <c r="O200" s="706"/>
      <c r="P200" s="706"/>
      <c r="Q200" s="706"/>
      <c r="R200" s="706"/>
      <c r="S200" s="706"/>
      <c r="T200" s="706"/>
      <c r="U200" s="738">
        <v>0.62806842093767556</v>
      </c>
      <c r="V200" s="738">
        <v>1227.8974155200376</v>
      </c>
      <c r="W200" s="793">
        <v>0.62806842093767556</v>
      </c>
      <c r="X200" s="708">
        <v>1227.8974155200376</v>
      </c>
      <c r="Y200" s="719">
        <v>23330.050894880715</v>
      </c>
      <c r="Z200" s="719">
        <v>11048.341077309895</v>
      </c>
      <c r="AA200" s="719">
        <v>581.49163564788921</v>
      </c>
      <c r="AB200" s="738">
        <v>0.29743244734753344</v>
      </c>
      <c r="AC200" s="792">
        <v>1</v>
      </c>
      <c r="AD200" s="792">
        <v>1</v>
      </c>
      <c r="AE200" s="717">
        <v>0.56884057971014501</v>
      </c>
      <c r="AF200" s="714">
        <v>4.2407531067898789E-2</v>
      </c>
      <c r="AG200" s="706"/>
      <c r="AH200" s="792">
        <v>0.47356695135775378</v>
      </c>
      <c r="AI200" s="748">
        <v>0.56884057971014501</v>
      </c>
      <c r="AJ200" s="748">
        <v>4.2407531067898789E-2</v>
      </c>
      <c r="AK200" s="748"/>
      <c r="AL200" s="714">
        <v>0.47356695135775378</v>
      </c>
      <c r="AM200" s="706"/>
      <c r="AN200" s="706"/>
      <c r="AO200" s="706"/>
      <c r="AP200" s="706"/>
      <c r="AQ200" s="706"/>
      <c r="AR200" s="706" t="s">
        <v>957</v>
      </c>
      <c r="AS200" s="706"/>
      <c r="AT200" s="706"/>
      <c r="AU200" s="706"/>
      <c r="AV200" s="706">
        <v>0.29743244734753344</v>
      </c>
      <c r="AW200" s="706">
        <v>0.29743244734753344</v>
      </c>
      <c r="AX200" s="706">
        <v>0.29743244734753344</v>
      </c>
      <c r="AY200" s="706">
        <v>0.29743244734753344</v>
      </c>
      <c r="AZ200" s="706">
        <v>0.29743244734753344</v>
      </c>
      <c r="BA200" s="706">
        <v>0.29743244734753344</v>
      </c>
      <c r="BB200" s="706">
        <v>0.29743244734753344</v>
      </c>
      <c r="BC200" s="706">
        <v>0.29743244734753344</v>
      </c>
      <c r="BD200" s="706">
        <v>0.29743244734753344</v>
      </c>
      <c r="BE200" s="706">
        <v>0.29743244734753344</v>
      </c>
      <c r="BF200" s="706">
        <v>0.29743244734753344</v>
      </c>
      <c r="BG200" s="706">
        <v>0.29743244734753344</v>
      </c>
      <c r="BH200" s="706">
        <v>0.29743244734753344</v>
      </c>
      <c r="BI200" s="706">
        <v>0.29743244734753344</v>
      </c>
      <c r="BJ200" s="706">
        <v>0.29743244734753344</v>
      </c>
      <c r="BK200" s="706">
        <v>0.29743244734753344</v>
      </c>
      <c r="BL200" s="706">
        <v>0.29743244734753344</v>
      </c>
      <c r="BM200" s="706">
        <v>0.29743244734753344</v>
      </c>
      <c r="BN200" s="706">
        <v>0.29743244734753344</v>
      </c>
      <c r="BO200" s="706"/>
      <c r="BP200" s="706"/>
      <c r="BQ200" s="706"/>
      <c r="BR200" s="706"/>
      <c r="BS200" s="706"/>
      <c r="BT200" s="706"/>
      <c r="BU200" s="706"/>
      <c r="BV200" s="791">
        <v>581.49163564788921</v>
      </c>
      <c r="BW200" s="791">
        <v>581.49163564788921</v>
      </c>
      <c r="BX200" s="791">
        <v>581.49163564788921</v>
      </c>
      <c r="BY200" s="791">
        <v>581.49163564788921</v>
      </c>
      <c r="BZ200" s="791">
        <v>581.49163564788921</v>
      </c>
      <c r="CA200" s="791">
        <v>581.49163564788921</v>
      </c>
      <c r="CB200" s="791">
        <v>581.49163564788921</v>
      </c>
      <c r="CC200" s="791">
        <v>581.49163564788921</v>
      </c>
      <c r="CD200" s="791">
        <v>581.49163564788921</v>
      </c>
      <c r="CE200" s="791">
        <v>581.49163564788921</v>
      </c>
      <c r="CF200" s="791">
        <v>581.49163564788921</v>
      </c>
      <c r="CG200" s="791">
        <v>581.49163564788921</v>
      </c>
      <c r="CH200" s="791">
        <v>581.49163564788921</v>
      </c>
      <c r="CI200" s="791">
        <v>581.49163564788921</v>
      </c>
      <c r="CJ200" s="791">
        <v>581.49163564788921</v>
      </c>
      <c r="CK200" s="791">
        <v>581.49163564788921</v>
      </c>
      <c r="CL200" s="791">
        <v>581.49163564788921</v>
      </c>
      <c r="CM200" s="791">
        <v>581.49163564788921</v>
      </c>
      <c r="CN200" s="791">
        <v>581.49163564788921</v>
      </c>
      <c r="CO200" s="706"/>
      <c r="CP200" s="706"/>
      <c r="CQ200" s="706"/>
      <c r="CR200" s="706"/>
    </row>
    <row r="201" spans="1:96">
      <c r="A201" s="694" t="s">
        <v>3</v>
      </c>
      <c r="B201" s="794">
        <v>41865</v>
      </c>
      <c r="C201" s="743">
        <v>2014</v>
      </c>
      <c r="D201" s="746" t="s">
        <v>15</v>
      </c>
      <c r="E201" s="746" t="s">
        <v>25</v>
      </c>
      <c r="F201" s="746" t="s">
        <v>17</v>
      </c>
      <c r="G201" s="746" t="s">
        <v>58</v>
      </c>
      <c r="H201" s="694" t="s">
        <v>959</v>
      </c>
      <c r="I201" s="746" t="s">
        <v>5</v>
      </c>
      <c r="J201" s="746" t="s">
        <v>376</v>
      </c>
      <c r="K201" s="706">
        <v>1</v>
      </c>
      <c r="L201" s="745" t="s">
        <v>58</v>
      </c>
      <c r="M201" s="706" t="s">
        <v>909</v>
      </c>
      <c r="N201" s="706">
        <v>19</v>
      </c>
      <c r="O201" s="706"/>
      <c r="P201" s="706"/>
      <c r="Q201" s="706"/>
      <c r="R201" s="706"/>
      <c r="S201" s="706"/>
      <c r="T201" s="706"/>
      <c r="U201" s="738">
        <v>0.62806842093767556</v>
      </c>
      <c r="V201" s="738">
        <v>1227.8974155200376</v>
      </c>
      <c r="W201" s="793">
        <v>0.62806842093767556</v>
      </c>
      <c r="X201" s="708">
        <v>1227.8974155200376</v>
      </c>
      <c r="Y201" s="719">
        <v>23330.050894880715</v>
      </c>
      <c r="Z201" s="719">
        <v>11048.341077309895</v>
      </c>
      <c r="AA201" s="719">
        <v>581.49163564788921</v>
      </c>
      <c r="AB201" s="738">
        <v>0.29743244734753344</v>
      </c>
      <c r="AC201" s="792">
        <v>1</v>
      </c>
      <c r="AD201" s="792">
        <v>1</v>
      </c>
      <c r="AE201" s="717">
        <v>0.56884057971014501</v>
      </c>
      <c r="AF201" s="714">
        <v>4.2407531067898789E-2</v>
      </c>
      <c r="AG201" s="706"/>
      <c r="AH201" s="792">
        <v>0.47356695135775378</v>
      </c>
      <c r="AI201" s="748">
        <v>0.56884057971014501</v>
      </c>
      <c r="AJ201" s="748">
        <v>4.2407531067898789E-2</v>
      </c>
      <c r="AK201" s="748"/>
      <c r="AL201" s="714">
        <v>0.47356695135775378</v>
      </c>
      <c r="AM201" s="706"/>
      <c r="AN201" s="706"/>
      <c r="AO201" s="706"/>
      <c r="AP201" s="706"/>
      <c r="AQ201" s="706"/>
      <c r="AR201" s="706" t="s">
        <v>957</v>
      </c>
      <c r="AS201" s="706"/>
      <c r="AT201" s="706"/>
      <c r="AU201" s="706"/>
      <c r="AV201" s="706">
        <v>0.29743244734753344</v>
      </c>
      <c r="AW201" s="706">
        <v>0.29743244734753344</v>
      </c>
      <c r="AX201" s="706">
        <v>0.29743244734753344</v>
      </c>
      <c r="AY201" s="706">
        <v>0.29743244734753344</v>
      </c>
      <c r="AZ201" s="706">
        <v>0.29743244734753344</v>
      </c>
      <c r="BA201" s="706">
        <v>0.29743244734753344</v>
      </c>
      <c r="BB201" s="706">
        <v>0.29743244734753344</v>
      </c>
      <c r="BC201" s="706">
        <v>0.29743244734753344</v>
      </c>
      <c r="BD201" s="706">
        <v>0.29743244734753344</v>
      </c>
      <c r="BE201" s="706">
        <v>0.29743244734753344</v>
      </c>
      <c r="BF201" s="706">
        <v>0.29743244734753344</v>
      </c>
      <c r="BG201" s="706">
        <v>0.29743244734753344</v>
      </c>
      <c r="BH201" s="706">
        <v>0.29743244734753344</v>
      </c>
      <c r="BI201" s="706">
        <v>0.29743244734753344</v>
      </c>
      <c r="BJ201" s="706">
        <v>0.29743244734753344</v>
      </c>
      <c r="BK201" s="706">
        <v>0.29743244734753344</v>
      </c>
      <c r="BL201" s="706">
        <v>0.29743244734753344</v>
      </c>
      <c r="BM201" s="706">
        <v>0.29743244734753344</v>
      </c>
      <c r="BN201" s="706">
        <v>0.29743244734753344</v>
      </c>
      <c r="BO201" s="706"/>
      <c r="BP201" s="706"/>
      <c r="BQ201" s="706"/>
      <c r="BR201" s="706"/>
      <c r="BS201" s="706"/>
      <c r="BT201" s="706"/>
      <c r="BU201" s="706"/>
      <c r="BV201" s="791">
        <v>581.49163564788921</v>
      </c>
      <c r="BW201" s="791">
        <v>581.49163564788921</v>
      </c>
      <c r="BX201" s="791">
        <v>581.49163564788921</v>
      </c>
      <c r="BY201" s="791">
        <v>581.49163564788921</v>
      </c>
      <c r="BZ201" s="791">
        <v>581.49163564788921</v>
      </c>
      <c r="CA201" s="791">
        <v>581.49163564788921</v>
      </c>
      <c r="CB201" s="791">
        <v>581.49163564788921</v>
      </c>
      <c r="CC201" s="791">
        <v>581.49163564788921</v>
      </c>
      <c r="CD201" s="791">
        <v>581.49163564788921</v>
      </c>
      <c r="CE201" s="791">
        <v>581.49163564788921</v>
      </c>
      <c r="CF201" s="791">
        <v>581.49163564788921</v>
      </c>
      <c r="CG201" s="791">
        <v>581.49163564788921</v>
      </c>
      <c r="CH201" s="791">
        <v>581.49163564788921</v>
      </c>
      <c r="CI201" s="791">
        <v>581.49163564788921</v>
      </c>
      <c r="CJ201" s="791">
        <v>581.49163564788921</v>
      </c>
      <c r="CK201" s="791">
        <v>581.49163564788921</v>
      </c>
      <c r="CL201" s="791">
        <v>581.49163564788921</v>
      </c>
      <c r="CM201" s="791">
        <v>581.49163564788921</v>
      </c>
      <c r="CN201" s="791">
        <v>581.49163564788921</v>
      </c>
      <c r="CO201" s="706"/>
      <c r="CP201" s="706"/>
      <c r="CQ201" s="706"/>
      <c r="CR201" s="706"/>
    </row>
    <row r="202" spans="1:96">
      <c r="A202" s="694" t="s">
        <v>3</v>
      </c>
      <c r="B202" s="794">
        <v>41802</v>
      </c>
      <c r="C202" s="743">
        <v>2014</v>
      </c>
      <c r="D202" s="746" t="s">
        <v>15</v>
      </c>
      <c r="E202" s="746" t="s">
        <v>25</v>
      </c>
      <c r="F202" s="746" t="s">
        <v>17</v>
      </c>
      <c r="G202" s="746" t="s">
        <v>58</v>
      </c>
      <c r="H202" s="694" t="s">
        <v>959</v>
      </c>
      <c r="I202" s="746" t="s">
        <v>5</v>
      </c>
      <c r="J202" s="746" t="s">
        <v>376</v>
      </c>
      <c r="K202" s="706">
        <v>1</v>
      </c>
      <c r="L202" s="745" t="s">
        <v>58</v>
      </c>
      <c r="M202" s="706" t="s">
        <v>908</v>
      </c>
      <c r="N202" s="706">
        <v>19</v>
      </c>
      <c r="O202" s="706"/>
      <c r="P202" s="706"/>
      <c r="Q202" s="706"/>
      <c r="R202" s="706"/>
      <c r="S202" s="706"/>
      <c r="T202" s="706"/>
      <c r="U202" s="738">
        <v>0.62806842093767556</v>
      </c>
      <c r="V202" s="738">
        <v>1227.8974155200376</v>
      </c>
      <c r="W202" s="793">
        <v>0.62806842093767556</v>
      </c>
      <c r="X202" s="708">
        <v>1227.8974155200376</v>
      </c>
      <c r="Y202" s="719">
        <v>23330.050894880715</v>
      </c>
      <c r="Z202" s="719">
        <v>11048.341077309895</v>
      </c>
      <c r="AA202" s="719">
        <v>581.49163564788921</v>
      </c>
      <c r="AB202" s="738">
        <v>0.29743244734753344</v>
      </c>
      <c r="AC202" s="792">
        <v>1</v>
      </c>
      <c r="AD202" s="792">
        <v>1</v>
      </c>
      <c r="AE202" s="717">
        <v>0.56884057971014501</v>
      </c>
      <c r="AF202" s="714">
        <v>4.2407531067898789E-2</v>
      </c>
      <c r="AG202" s="706"/>
      <c r="AH202" s="792">
        <v>0.47356695135775378</v>
      </c>
      <c r="AI202" s="748">
        <v>0.56884057971014501</v>
      </c>
      <c r="AJ202" s="748">
        <v>4.2407531067898789E-2</v>
      </c>
      <c r="AK202" s="748"/>
      <c r="AL202" s="714">
        <v>0.47356695135775378</v>
      </c>
      <c r="AM202" s="706"/>
      <c r="AN202" s="706"/>
      <c r="AO202" s="706"/>
      <c r="AP202" s="706"/>
      <c r="AQ202" s="706"/>
      <c r="AR202" s="706" t="s">
        <v>957</v>
      </c>
      <c r="AS202" s="706"/>
      <c r="AT202" s="706"/>
      <c r="AU202" s="706"/>
      <c r="AV202" s="706">
        <v>0.29743244734753344</v>
      </c>
      <c r="AW202" s="706">
        <v>0.29743244734753344</v>
      </c>
      <c r="AX202" s="706">
        <v>0.29743244734753344</v>
      </c>
      <c r="AY202" s="706">
        <v>0.29743244734753344</v>
      </c>
      <c r="AZ202" s="706">
        <v>0.29743244734753344</v>
      </c>
      <c r="BA202" s="706">
        <v>0.29743244734753344</v>
      </c>
      <c r="BB202" s="706">
        <v>0.29743244734753344</v>
      </c>
      <c r="BC202" s="706">
        <v>0.29743244734753344</v>
      </c>
      <c r="BD202" s="706">
        <v>0.29743244734753344</v>
      </c>
      <c r="BE202" s="706">
        <v>0.29743244734753344</v>
      </c>
      <c r="BF202" s="706">
        <v>0.29743244734753344</v>
      </c>
      <c r="BG202" s="706">
        <v>0.29743244734753344</v>
      </c>
      <c r="BH202" s="706">
        <v>0.29743244734753344</v>
      </c>
      <c r="BI202" s="706">
        <v>0.29743244734753344</v>
      </c>
      <c r="BJ202" s="706">
        <v>0.29743244734753344</v>
      </c>
      <c r="BK202" s="706">
        <v>0.29743244734753344</v>
      </c>
      <c r="BL202" s="706">
        <v>0.29743244734753344</v>
      </c>
      <c r="BM202" s="706">
        <v>0.29743244734753344</v>
      </c>
      <c r="BN202" s="706">
        <v>0.29743244734753344</v>
      </c>
      <c r="BO202" s="706"/>
      <c r="BP202" s="706"/>
      <c r="BQ202" s="706"/>
      <c r="BR202" s="706"/>
      <c r="BS202" s="706"/>
      <c r="BT202" s="706"/>
      <c r="BU202" s="706"/>
      <c r="BV202" s="791">
        <v>581.49163564788921</v>
      </c>
      <c r="BW202" s="791">
        <v>581.49163564788921</v>
      </c>
      <c r="BX202" s="791">
        <v>581.49163564788921</v>
      </c>
      <c r="BY202" s="791">
        <v>581.49163564788921</v>
      </c>
      <c r="BZ202" s="791">
        <v>581.49163564788921</v>
      </c>
      <c r="CA202" s="791">
        <v>581.49163564788921</v>
      </c>
      <c r="CB202" s="791">
        <v>581.49163564788921</v>
      </c>
      <c r="CC202" s="791">
        <v>581.49163564788921</v>
      </c>
      <c r="CD202" s="791">
        <v>581.49163564788921</v>
      </c>
      <c r="CE202" s="791">
        <v>581.49163564788921</v>
      </c>
      <c r="CF202" s="791">
        <v>581.49163564788921</v>
      </c>
      <c r="CG202" s="791">
        <v>581.49163564788921</v>
      </c>
      <c r="CH202" s="791">
        <v>581.49163564788921</v>
      </c>
      <c r="CI202" s="791">
        <v>581.49163564788921</v>
      </c>
      <c r="CJ202" s="791">
        <v>581.49163564788921</v>
      </c>
      <c r="CK202" s="791">
        <v>581.49163564788921</v>
      </c>
      <c r="CL202" s="791">
        <v>581.49163564788921</v>
      </c>
      <c r="CM202" s="791">
        <v>581.49163564788921</v>
      </c>
      <c r="CN202" s="791">
        <v>581.49163564788921</v>
      </c>
      <c r="CO202" s="706"/>
      <c r="CP202" s="706"/>
      <c r="CQ202" s="706"/>
      <c r="CR202" s="706"/>
    </row>
    <row r="203" spans="1:96">
      <c r="A203" s="694" t="s">
        <v>3</v>
      </c>
      <c r="B203" s="794">
        <v>41827</v>
      </c>
      <c r="C203" s="743">
        <v>2014</v>
      </c>
      <c r="D203" s="746" t="s">
        <v>15</v>
      </c>
      <c r="E203" s="746" t="s">
        <v>25</v>
      </c>
      <c r="F203" s="746" t="s">
        <v>17</v>
      </c>
      <c r="G203" s="746" t="s">
        <v>58</v>
      </c>
      <c r="H203" s="694" t="s">
        <v>959</v>
      </c>
      <c r="I203" s="746" t="s">
        <v>5</v>
      </c>
      <c r="J203" s="746" t="s">
        <v>376</v>
      </c>
      <c r="K203" s="706">
        <v>1</v>
      </c>
      <c r="L203" s="745" t="s">
        <v>58</v>
      </c>
      <c r="M203" s="706" t="s">
        <v>1037</v>
      </c>
      <c r="N203" s="706">
        <v>19</v>
      </c>
      <c r="O203" s="706"/>
      <c r="P203" s="706"/>
      <c r="Q203" s="706"/>
      <c r="R203" s="706"/>
      <c r="S203" s="706"/>
      <c r="T203" s="706"/>
      <c r="U203" s="738">
        <v>0.62806842093767556</v>
      </c>
      <c r="V203" s="738">
        <v>1227.8974155200376</v>
      </c>
      <c r="W203" s="793">
        <v>0.62806842093767556</v>
      </c>
      <c r="X203" s="708">
        <v>1227.8974155200376</v>
      </c>
      <c r="Y203" s="719">
        <v>23330.050894880715</v>
      </c>
      <c r="Z203" s="719">
        <v>11048.341077309895</v>
      </c>
      <c r="AA203" s="719">
        <v>581.49163564788921</v>
      </c>
      <c r="AB203" s="738">
        <v>0.29743244734753344</v>
      </c>
      <c r="AC203" s="792">
        <v>1</v>
      </c>
      <c r="AD203" s="792">
        <v>1</v>
      </c>
      <c r="AE203" s="717">
        <v>0.56884057971014501</v>
      </c>
      <c r="AF203" s="714">
        <v>4.2407531067898789E-2</v>
      </c>
      <c r="AG203" s="706"/>
      <c r="AH203" s="792">
        <v>0.47356695135775378</v>
      </c>
      <c r="AI203" s="748">
        <v>0.56884057971014501</v>
      </c>
      <c r="AJ203" s="748">
        <v>4.2407531067898789E-2</v>
      </c>
      <c r="AK203" s="748"/>
      <c r="AL203" s="714">
        <v>0.47356695135775378</v>
      </c>
      <c r="AM203" s="706"/>
      <c r="AN203" s="706"/>
      <c r="AO203" s="706"/>
      <c r="AP203" s="706"/>
      <c r="AQ203" s="706"/>
      <c r="AR203" s="706" t="s">
        <v>957</v>
      </c>
      <c r="AS203" s="706"/>
      <c r="AT203" s="706"/>
      <c r="AU203" s="706"/>
      <c r="AV203" s="706">
        <v>0.29743244734753344</v>
      </c>
      <c r="AW203" s="706">
        <v>0.29743244734753344</v>
      </c>
      <c r="AX203" s="706">
        <v>0.29743244734753344</v>
      </c>
      <c r="AY203" s="706">
        <v>0.29743244734753344</v>
      </c>
      <c r="AZ203" s="706">
        <v>0.29743244734753344</v>
      </c>
      <c r="BA203" s="706">
        <v>0.29743244734753344</v>
      </c>
      <c r="BB203" s="706">
        <v>0.29743244734753344</v>
      </c>
      <c r="BC203" s="706">
        <v>0.29743244734753344</v>
      </c>
      <c r="BD203" s="706">
        <v>0.29743244734753344</v>
      </c>
      <c r="BE203" s="706">
        <v>0.29743244734753344</v>
      </c>
      <c r="BF203" s="706">
        <v>0.29743244734753344</v>
      </c>
      <c r="BG203" s="706">
        <v>0.29743244734753344</v>
      </c>
      <c r="BH203" s="706">
        <v>0.29743244734753344</v>
      </c>
      <c r="BI203" s="706">
        <v>0.29743244734753344</v>
      </c>
      <c r="BJ203" s="706">
        <v>0.29743244734753344</v>
      </c>
      <c r="BK203" s="706">
        <v>0.29743244734753344</v>
      </c>
      <c r="BL203" s="706">
        <v>0.29743244734753344</v>
      </c>
      <c r="BM203" s="706">
        <v>0.29743244734753344</v>
      </c>
      <c r="BN203" s="706">
        <v>0.29743244734753344</v>
      </c>
      <c r="BO203" s="706"/>
      <c r="BP203" s="706"/>
      <c r="BQ203" s="706"/>
      <c r="BR203" s="706"/>
      <c r="BS203" s="706"/>
      <c r="BT203" s="706"/>
      <c r="BU203" s="706"/>
      <c r="BV203" s="791">
        <v>581.49163564788921</v>
      </c>
      <c r="BW203" s="791">
        <v>581.49163564788921</v>
      </c>
      <c r="BX203" s="791">
        <v>581.49163564788921</v>
      </c>
      <c r="BY203" s="791">
        <v>581.49163564788921</v>
      </c>
      <c r="BZ203" s="791">
        <v>581.49163564788921</v>
      </c>
      <c r="CA203" s="791">
        <v>581.49163564788921</v>
      </c>
      <c r="CB203" s="791">
        <v>581.49163564788921</v>
      </c>
      <c r="CC203" s="791">
        <v>581.49163564788921</v>
      </c>
      <c r="CD203" s="791">
        <v>581.49163564788921</v>
      </c>
      <c r="CE203" s="791">
        <v>581.49163564788921</v>
      </c>
      <c r="CF203" s="791">
        <v>581.49163564788921</v>
      </c>
      <c r="CG203" s="791">
        <v>581.49163564788921</v>
      </c>
      <c r="CH203" s="791">
        <v>581.49163564788921</v>
      </c>
      <c r="CI203" s="791">
        <v>581.49163564788921</v>
      </c>
      <c r="CJ203" s="791">
        <v>581.49163564788921</v>
      </c>
      <c r="CK203" s="791">
        <v>581.49163564788921</v>
      </c>
      <c r="CL203" s="791">
        <v>581.49163564788921</v>
      </c>
      <c r="CM203" s="791">
        <v>581.49163564788921</v>
      </c>
      <c r="CN203" s="791">
        <v>581.49163564788921</v>
      </c>
      <c r="CO203" s="706"/>
      <c r="CP203" s="706"/>
      <c r="CQ203" s="706"/>
      <c r="CR203" s="706"/>
    </row>
    <row r="204" spans="1:96">
      <c r="A204" s="694" t="s">
        <v>3</v>
      </c>
      <c r="B204" s="794">
        <v>41829</v>
      </c>
      <c r="C204" s="743">
        <v>2014</v>
      </c>
      <c r="D204" s="746" t="s">
        <v>15</v>
      </c>
      <c r="E204" s="746" t="s">
        <v>25</v>
      </c>
      <c r="F204" s="746" t="s">
        <v>17</v>
      </c>
      <c r="G204" s="746" t="s">
        <v>58</v>
      </c>
      <c r="H204" s="694" t="s">
        <v>959</v>
      </c>
      <c r="I204" s="746" t="s">
        <v>5</v>
      </c>
      <c r="J204" s="746" t="s">
        <v>376</v>
      </c>
      <c r="K204" s="706">
        <v>1</v>
      </c>
      <c r="L204" s="745" t="s">
        <v>58</v>
      </c>
      <c r="M204" s="706" t="s">
        <v>907</v>
      </c>
      <c r="N204" s="706">
        <v>19</v>
      </c>
      <c r="O204" s="706"/>
      <c r="P204" s="706"/>
      <c r="Q204" s="706"/>
      <c r="R204" s="706"/>
      <c r="S204" s="706"/>
      <c r="T204" s="706"/>
      <c r="U204" s="738">
        <v>0.62806842093767556</v>
      </c>
      <c r="V204" s="738">
        <v>1227.8974155200376</v>
      </c>
      <c r="W204" s="793">
        <v>0.62806842093767556</v>
      </c>
      <c r="X204" s="708">
        <v>1227.8974155200376</v>
      </c>
      <c r="Y204" s="719">
        <v>23330.050894880715</v>
      </c>
      <c r="Z204" s="719">
        <v>11048.341077309895</v>
      </c>
      <c r="AA204" s="719">
        <v>581.49163564788921</v>
      </c>
      <c r="AB204" s="738">
        <v>0.29743244734753344</v>
      </c>
      <c r="AC204" s="792">
        <v>1</v>
      </c>
      <c r="AD204" s="792">
        <v>1</v>
      </c>
      <c r="AE204" s="717">
        <v>0.56884057971014501</v>
      </c>
      <c r="AF204" s="714">
        <v>4.2407531067898789E-2</v>
      </c>
      <c r="AG204" s="706"/>
      <c r="AH204" s="792">
        <v>0.47356695135775378</v>
      </c>
      <c r="AI204" s="748">
        <v>0.56884057971014501</v>
      </c>
      <c r="AJ204" s="748">
        <v>4.2407531067898789E-2</v>
      </c>
      <c r="AK204" s="748"/>
      <c r="AL204" s="714">
        <v>0.47356695135775378</v>
      </c>
      <c r="AM204" s="706"/>
      <c r="AN204" s="706"/>
      <c r="AO204" s="706"/>
      <c r="AP204" s="706"/>
      <c r="AQ204" s="706"/>
      <c r="AR204" s="706" t="s">
        <v>957</v>
      </c>
      <c r="AS204" s="706"/>
      <c r="AT204" s="706"/>
      <c r="AU204" s="706"/>
      <c r="AV204" s="706">
        <v>0.29743244734753344</v>
      </c>
      <c r="AW204" s="706">
        <v>0.29743244734753344</v>
      </c>
      <c r="AX204" s="706">
        <v>0.29743244734753344</v>
      </c>
      <c r="AY204" s="706">
        <v>0.29743244734753344</v>
      </c>
      <c r="AZ204" s="706">
        <v>0.29743244734753344</v>
      </c>
      <c r="BA204" s="706">
        <v>0.29743244734753344</v>
      </c>
      <c r="BB204" s="706">
        <v>0.29743244734753344</v>
      </c>
      <c r="BC204" s="706">
        <v>0.29743244734753344</v>
      </c>
      <c r="BD204" s="706">
        <v>0.29743244734753344</v>
      </c>
      <c r="BE204" s="706">
        <v>0.29743244734753344</v>
      </c>
      <c r="BF204" s="706">
        <v>0.29743244734753344</v>
      </c>
      <c r="BG204" s="706">
        <v>0.29743244734753344</v>
      </c>
      <c r="BH204" s="706">
        <v>0.29743244734753344</v>
      </c>
      <c r="BI204" s="706">
        <v>0.29743244734753344</v>
      </c>
      <c r="BJ204" s="706">
        <v>0.29743244734753344</v>
      </c>
      <c r="BK204" s="706">
        <v>0.29743244734753344</v>
      </c>
      <c r="BL204" s="706">
        <v>0.29743244734753344</v>
      </c>
      <c r="BM204" s="706">
        <v>0.29743244734753344</v>
      </c>
      <c r="BN204" s="706">
        <v>0.29743244734753344</v>
      </c>
      <c r="BO204" s="706"/>
      <c r="BP204" s="706"/>
      <c r="BQ204" s="706"/>
      <c r="BR204" s="706"/>
      <c r="BS204" s="706"/>
      <c r="BT204" s="706"/>
      <c r="BU204" s="706"/>
      <c r="BV204" s="791">
        <v>581.49163564788921</v>
      </c>
      <c r="BW204" s="791">
        <v>581.49163564788921</v>
      </c>
      <c r="BX204" s="791">
        <v>581.49163564788921</v>
      </c>
      <c r="BY204" s="791">
        <v>581.49163564788921</v>
      </c>
      <c r="BZ204" s="791">
        <v>581.49163564788921</v>
      </c>
      <c r="CA204" s="791">
        <v>581.49163564788921</v>
      </c>
      <c r="CB204" s="791">
        <v>581.49163564788921</v>
      </c>
      <c r="CC204" s="791">
        <v>581.49163564788921</v>
      </c>
      <c r="CD204" s="791">
        <v>581.49163564788921</v>
      </c>
      <c r="CE204" s="791">
        <v>581.49163564788921</v>
      </c>
      <c r="CF204" s="791">
        <v>581.49163564788921</v>
      </c>
      <c r="CG204" s="791">
        <v>581.49163564788921</v>
      </c>
      <c r="CH204" s="791">
        <v>581.49163564788921</v>
      </c>
      <c r="CI204" s="791">
        <v>581.49163564788921</v>
      </c>
      <c r="CJ204" s="791">
        <v>581.49163564788921</v>
      </c>
      <c r="CK204" s="791">
        <v>581.49163564788921</v>
      </c>
      <c r="CL204" s="791">
        <v>581.49163564788921</v>
      </c>
      <c r="CM204" s="791">
        <v>581.49163564788921</v>
      </c>
      <c r="CN204" s="791">
        <v>581.49163564788921</v>
      </c>
      <c r="CO204" s="706"/>
      <c r="CP204" s="706"/>
      <c r="CQ204" s="706"/>
      <c r="CR204" s="706"/>
    </row>
    <row r="205" spans="1:96">
      <c r="A205" s="694" t="s">
        <v>3</v>
      </c>
      <c r="B205" s="794">
        <v>41835</v>
      </c>
      <c r="C205" s="743">
        <v>2014</v>
      </c>
      <c r="D205" s="746" t="s">
        <v>15</v>
      </c>
      <c r="E205" s="746" t="s">
        <v>25</v>
      </c>
      <c r="F205" s="746" t="s">
        <v>17</v>
      </c>
      <c r="G205" s="746" t="s">
        <v>58</v>
      </c>
      <c r="H205" s="694" t="s">
        <v>959</v>
      </c>
      <c r="I205" s="746" t="s">
        <v>5</v>
      </c>
      <c r="J205" s="746" t="s">
        <v>376</v>
      </c>
      <c r="K205" s="706">
        <v>1</v>
      </c>
      <c r="L205" s="745" t="s">
        <v>58</v>
      </c>
      <c r="M205" s="706" t="s">
        <v>1036</v>
      </c>
      <c r="N205" s="706">
        <v>19</v>
      </c>
      <c r="O205" s="706"/>
      <c r="P205" s="706"/>
      <c r="Q205" s="706"/>
      <c r="R205" s="706"/>
      <c r="S205" s="706"/>
      <c r="T205" s="706"/>
      <c r="U205" s="738">
        <v>0.62806842093767556</v>
      </c>
      <c r="V205" s="738">
        <v>1227.8974155200376</v>
      </c>
      <c r="W205" s="793">
        <v>0.62806842093767556</v>
      </c>
      <c r="X205" s="708">
        <v>1227.8974155200376</v>
      </c>
      <c r="Y205" s="719">
        <v>23330.050894880715</v>
      </c>
      <c r="Z205" s="719">
        <v>11048.341077309895</v>
      </c>
      <c r="AA205" s="719">
        <v>581.49163564788921</v>
      </c>
      <c r="AB205" s="738">
        <v>0.29743244734753344</v>
      </c>
      <c r="AC205" s="792">
        <v>1</v>
      </c>
      <c r="AD205" s="792">
        <v>1</v>
      </c>
      <c r="AE205" s="717">
        <v>0.56884057971014501</v>
      </c>
      <c r="AF205" s="714">
        <v>4.2407531067898789E-2</v>
      </c>
      <c r="AG205" s="706"/>
      <c r="AH205" s="792">
        <v>0.47356695135775378</v>
      </c>
      <c r="AI205" s="748">
        <v>0.56884057971014501</v>
      </c>
      <c r="AJ205" s="748">
        <v>4.2407531067898789E-2</v>
      </c>
      <c r="AK205" s="748"/>
      <c r="AL205" s="714">
        <v>0.47356695135775378</v>
      </c>
      <c r="AM205" s="706"/>
      <c r="AN205" s="706"/>
      <c r="AO205" s="706"/>
      <c r="AP205" s="706"/>
      <c r="AQ205" s="706"/>
      <c r="AR205" s="706" t="s">
        <v>957</v>
      </c>
      <c r="AS205" s="706"/>
      <c r="AT205" s="706"/>
      <c r="AU205" s="706"/>
      <c r="AV205" s="706">
        <v>0.29743244734753344</v>
      </c>
      <c r="AW205" s="706">
        <v>0.29743244734753344</v>
      </c>
      <c r="AX205" s="706">
        <v>0.29743244734753344</v>
      </c>
      <c r="AY205" s="706">
        <v>0.29743244734753344</v>
      </c>
      <c r="AZ205" s="706">
        <v>0.29743244734753344</v>
      </c>
      <c r="BA205" s="706">
        <v>0.29743244734753344</v>
      </c>
      <c r="BB205" s="706">
        <v>0.29743244734753344</v>
      </c>
      <c r="BC205" s="706">
        <v>0.29743244734753344</v>
      </c>
      <c r="BD205" s="706">
        <v>0.29743244734753344</v>
      </c>
      <c r="BE205" s="706">
        <v>0.29743244734753344</v>
      </c>
      <c r="BF205" s="706">
        <v>0.29743244734753344</v>
      </c>
      <c r="BG205" s="706">
        <v>0.29743244734753344</v>
      </c>
      <c r="BH205" s="706">
        <v>0.29743244734753344</v>
      </c>
      <c r="BI205" s="706">
        <v>0.29743244734753344</v>
      </c>
      <c r="BJ205" s="706">
        <v>0.29743244734753344</v>
      </c>
      <c r="BK205" s="706">
        <v>0.29743244734753344</v>
      </c>
      <c r="BL205" s="706">
        <v>0.29743244734753344</v>
      </c>
      <c r="BM205" s="706">
        <v>0.29743244734753344</v>
      </c>
      <c r="BN205" s="706">
        <v>0.29743244734753344</v>
      </c>
      <c r="BO205" s="706"/>
      <c r="BP205" s="706"/>
      <c r="BQ205" s="706"/>
      <c r="BR205" s="706"/>
      <c r="BS205" s="706"/>
      <c r="BT205" s="706"/>
      <c r="BU205" s="706"/>
      <c r="BV205" s="791">
        <v>581.49163564788921</v>
      </c>
      <c r="BW205" s="791">
        <v>581.49163564788921</v>
      </c>
      <c r="BX205" s="791">
        <v>581.49163564788921</v>
      </c>
      <c r="BY205" s="791">
        <v>581.49163564788921</v>
      </c>
      <c r="BZ205" s="791">
        <v>581.49163564788921</v>
      </c>
      <c r="CA205" s="791">
        <v>581.49163564788921</v>
      </c>
      <c r="CB205" s="791">
        <v>581.49163564788921</v>
      </c>
      <c r="CC205" s="791">
        <v>581.49163564788921</v>
      </c>
      <c r="CD205" s="791">
        <v>581.49163564788921</v>
      </c>
      <c r="CE205" s="791">
        <v>581.49163564788921</v>
      </c>
      <c r="CF205" s="791">
        <v>581.49163564788921</v>
      </c>
      <c r="CG205" s="791">
        <v>581.49163564788921</v>
      </c>
      <c r="CH205" s="791">
        <v>581.49163564788921</v>
      </c>
      <c r="CI205" s="791">
        <v>581.49163564788921</v>
      </c>
      <c r="CJ205" s="791">
        <v>581.49163564788921</v>
      </c>
      <c r="CK205" s="791">
        <v>581.49163564788921</v>
      </c>
      <c r="CL205" s="791">
        <v>581.49163564788921</v>
      </c>
      <c r="CM205" s="791">
        <v>581.49163564788921</v>
      </c>
      <c r="CN205" s="791">
        <v>581.49163564788921</v>
      </c>
      <c r="CO205" s="706"/>
      <c r="CP205" s="706"/>
      <c r="CQ205" s="706"/>
      <c r="CR205" s="706"/>
    </row>
    <row r="206" spans="1:96">
      <c r="A206" s="694" t="s">
        <v>3</v>
      </c>
      <c r="B206" s="794">
        <v>41830</v>
      </c>
      <c r="C206" s="743">
        <v>2014</v>
      </c>
      <c r="D206" s="746" t="s">
        <v>15</v>
      </c>
      <c r="E206" s="746" t="s">
        <v>25</v>
      </c>
      <c r="F206" s="746" t="s">
        <v>17</v>
      </c>
      <c r="G206" s="746" t="s">
        <v>58</v>
      </c>
      <c r="H206" s="694" t="s">
        <v>959</v>
      </c>
      <c r="I206" s="746" t="s">
        <v>5</v>
      </c>
      <c r="J206" s="746" t="s">
        <v>376</v>
      </c>
      <c r="K206" s="706">
        <v>1</v>
      </c>
      <c r="L206" s="745" t="s">
        <v>58</v>
      </c>
      <c r="M206" s="706" t="s">
        <v>945</v>
      </c>
      <c r="N206" s="706">
        <v>19</v>
      </c>
      <c r="O206" s="706"/>
      <c r="P206" s="706"/>
      <c r="Q206" s="706"/>
      <c r="R206" s="706"/>
      <c r="S206" s="706"/>
      <c r="T206" s="706"/>
      <c r="U206" s="738">
        <v>0.62806842093767556</v>
      </c>
      <c r="V206" s="738">
        <v>1227.8974155200376</v>
      </c>
      <c r="W206" s="793">
        <v>0.62806842093767556</v>
      </c>
      <c r="X206" s="708">
        <v>1227.8974155200376</v>
      </c>
      <c r="Y206" s="719">
        <v>23330.050894880715</v>
      </c>
      <c r="Z206" s="719">
        <v>11048.341077309895</v>
      </c>
      <c r="AA206" s="719">
        <v>581.49163564788921</v>
      </c>
      <c r="AB206" s="738">
        <v>0.29743244734753344</v>
      </c>
      <c r="AC206" s="792">
        <v>1</v>
      </c>
      <c r="AD206" s="792">
        <v>1</v>
      </c>
      <c r="AE206" s="717">
        <v>0.56884057971014501</v>
      </c>
      <c r="AF206" s="714">
        <v>4.2407531067898789E-2</v>
      </c>
      <c r="AG206" s="706"/>
      <c r="AH206" s="792">
        <v>0.47356695135775378</v>
      </c>
      <c r="AI206" s="748">
        <v>0.56884057971014501</v>
      </c>
      <c r="AJ206" s="748">
        <v>4.2407531067898789E-2</v>
      </c>
      <c r="AK206" s="748"/>
      <c r="AL206" s="714">
        <v>0.47356695135775378</v>
      </c>
      <c r="AM206" s="706"/>
      <c r="AN206" s="706"/>
      <c r="AO206" s="706"/>
      <c r="AP206" s="706"/>
      <c r="AQ206" s="706"/>
      <c r="AR206" s="706" t="s">
        <v>957</v>
      </c>
      <c r="AS206" s="706"/>
      <c r="AT206" s="706"/>
      <c r="AU206" s="706"/>
      <c r="AV206" s="706">
        <v>0.29743244734753344</v>
      </c>
      <c r="AW206" s="706">
        <v>0.29743244734753344</v>
      </c>
      <c r="AX206" s="706">
        <v>0.29743244734753344</v>
      </c>
      <c r="AY206" s="706">
        <v>0.29743244734753344</v>
      </c>
      <c r="AZ206" s="706">
        <v>0.29743244734753344</v>
      </c>
      <c r="BA206" s="706">
        <v>0.29743244734753344</v>
      </c>
      <c r="BB206" s="706">
        <v>0.29743244734753344</v>
      </c>
      <c r="BC206" s="706">
        <v>0.29743244734753344</v>
      </c>
      <c r="BD206" s="706">
        <v>0.29743244734753344</v>
      </c>
      <c r="BE206" s="706">
        <v>0.29743244734753344</v>
      </c>
      <c r="BF206" s="706">
        <v>0.29743244734753344</v>
      </c>
      <c r="BG206" s="706">
        <v>0.29743244734753344</v>
      </c>
      <c r="BH206" s="706">
        <v>0.29743244734753344</v>
      </c>
      <c r="BI206" s="706">
        <v>0.29743244734753344</v>
      </c>
      <c r="BJ206" s="706">
        <v>0.29743244734753344</v>
      </c>
      <c r="BK206" s="706">
        <v>0.29743244734753344</v>
      </c>
      <c r="BL206" s="706">
        <v>0.29743244734753344</v>
      </c>
      <c r="BM206" s="706">
        <v>0.29743244734753344</v>
      </c>
      <c r="BN206" s="706">
        <v>0.29743244734753344</v>
      </c>
      <c r="BO206" s="706"/>
      <c r="BP206" s="706"/>
      <c r="BQ206" s="706"/>
      <c r="BR206" s="706"/>
      <c r="BS206" s="706"/>
      <c r="BT206" s="706"/>
      <c r="BU206" s="706"/>
      <c r="BV206" s="791">
        <v>581.49163564788921</v>
      </c>
      <c r="BW206" s="791">
        <v>581.49163564788921</v>
      </c>
      <c r="BX206" s="791">
        <v>581.49163564788921</v>
      </c>
      <c r="BY206" s="791">
        <v>581.49163564788921</v>
      </c>
      <c r="BZ206" s="791">
        <v>581.49163564788921</v>
      </c>
      <c r="CA206" s="791">
        <v>581.49163564788921</v>
      </c>
      <c r="CB206" s="791">
        <v>581.49163564788921</v>
      </c>
      <c r="CC206" s="791">
        <v>581.49163564788921</v>
      </c>
      <c r="CD206" s="791">
        <v>581.49163564788921</v>
      </c>
      <c r="CE206" s="791">
        <v>581.49163564788921</v>
      </c>
      <c r="CF206" s="791">
        <v>581.49163564788921</v>
      </c>
      <c r="CG206" s="791">
        <v>581.49163564788921</v>
      </c>
      <c r="CH206" s="791">
        <v>581.49163564788921</v>
      </c>
      <c r="CI206" s="791">
        <v>581.49163564788921</v>
      </c>
      <c r="CJ206" s="791">
        <v>581.49163564788921</v>
      </c>
      <c r="CK206" s="791">
        <v>581.49163564788921</v>
      </c>
      <c r="CL206" s="791">
        <v>581.49163564788921</v>
      </c>
      <c r="CM206" s="791">
        <v>581.49163564788921</v>
      </c>
      <c r="CN206" s="791">
        <v>581.49163564788921</v>
      </c>
      <c r="CO206" s="706"/>
      <c r="CP206" s="706"/>
      <c r="CQ206" s="706"/>
      <c r="CR206" s="706"/>
    </row>
    <row r="207" spans="1:96">
      <c r="A207" s="694" t="s">
        <v>3</v>
      </c>
      <c r="B207" s="794">
        <v>41841</v>
      </c>
      <c r="C207" s="743">
        <v>2014</v>
      </c>
      <c r="D207" s="746" t="s">
        <v>15</v>
      </c>
      <c r="E207" s="746" t="s">
        <v>25</v>
      </c>
      <c r="F207" s="746" t="s">
        <v>17</v>
      </c>
      <c r="G207" s="746" t="s">
        <v>58</v>
      </c>
      <c r="H207" s="694" t="s">
        <v>959</v>
      </c>
      <c r="I207" s="746" t="s">
        <v>5</v>
      </c>
      <c r="J207" s="746" t="s">
        <v>376</v>
      </c>
      <c r="K207" s="706">
        <v>1</v>
      </c>
      <c r="L207" s="745" t="s">
        <v>58</v>
      </c>
      <c r="M207" s="706" t="s">
        <v>952</v>
      </c>
      <c r="N207" s="706">
        <v>19</v>
      </c>
      <c r="O207" s="706"/>
      <c r="P207" s="706"/>
      <c r="Q207" s="706"/>
      <c r="R207" s="706"/>
      <c r="S207" s="706"/>
      <c r="T207" s="706"/>
      <c r="U207" s="738">
        <v>0.62806842093767556</v>
      </c>
      <c r="V207" s="738">
        <v>1227.8974155200376</v>
      </c>
      <c r="W207" s="793">
        <v>0.62806842093767556</v>
      </c>
      <c r="X207" s="708">
        <v>1227.8974155200376</v>
      </c>
      <c r="Y207" s="719">
        <v>23330.050894880715</v>
      </c>
      <c r="Z207" s="719">
        <v>11048.341077309895</v>
      </c>
      <c r="AA207" s="719">
        <v>581.49163564788921</v>
      </c>
      <c r="AB207" s="738">
        <v>0.29743244734753344</v>
      </c>
      <c r="AC207" s="792">
        <v>1</v>
      </c>
      <c r="AD207" s="792">
        <v>1</v>
      </c>
      <c r="AE207" s="717">
        <v>0.56884057971014501</v>
      </c>
      <c r="AF207" s="714">
        <v>4.2407531067898789E-2</v>
      </c>
      <c r="AG207" s="706"/>
      <c r="AH207" s="792">
        <v>0.47356695135775378</v>
      </c>
      <c r="AI207" s="748">
        <v>0.56884057971014501</v>
      </c>
      <c r="AJ207" s="748">
        <v>4.2407531067898789E-2</v>
      </c>
      <c r="AK207" s="748"/>
      <c r="AL207" s="714">
        <v>0.47356695135775378</v>
      </c>
      <c r="AM207" s="706"/>
      <c r="AN207" s="706"/>
      <c r="AO207" s="706"/>
      <c r="AP207" s="706"/>
      <c r="AQ207" s="706"/>
      <c r="AR207" s="706" t="s">
        <v>957</v>
      </c>
      <c r="AS207" s="706"/>
      <c r="AT207" s="706"/>
      <c r="AU207" s="706"/>
      <c r="AV207" s="706">
        <v>0.29743244734753344</v>
      </c>
      <c r="AW207" s="706">
        <v>0.29743244734753344</v>
      </c>
      <c r="AX207" s="706">
        <v>0.29743244734753344</v>
      </c>
      <c r="AY207" s="706">
        <v>0.29743244734753344</v>
      </c>
      <c r="AZ207" s="706">
        <v>0.29743244734753344</v>
      </c>
      <c r="BA207" s="706">
        <v>0.29743244734753344</v>
      </c>
      <c r="BB207" s="706">
        <v>0.29743244734753344</v>
      </c>
      <c r="BC207" s="706">
        <v>0.29743244734753344</v>
      </c>
      <c r="BD207" s="706">
        <v>0.29743244734753344</v>
      </c>
      <c r="BE207" s="706">
        <v>0.29743244734753344</v>
      </c>
      <c r="BF207" s="706">
        <v>0.29743244734753344</v>
      </c>
      <c r="BG207" s="706">
        <v>0.29743244734753344</v>
      </c>
      <c r="BH207" s="706">
        <v>0.29743244734753344</v>
      </c>
      <c r="BI207" s="706">
        <v>0.29743244734753344</v>
      </c>
      <c r="BJ207" s="706">
        <v>0.29743244734753344</v>
      </c>
      <c r="BK207" s="706">
        <v>0.29743244734753344</v>
      </c>
      <c r="BL207" s="706">
        <v>0.29743244734753344</v>
      </c>
      <c r="BM207" s="706">
        <v>0.29743244734753344</v>
      </c>
      <c r="BN207" s="706">
        <v>0.29743244734753344</v>
      </c>
      <c r="BO207" s="706"/>
      <c r="BP207" s="706"/>
      <c r="BQ207" s="706"/>
      <c r="BR207" s="706"/>
      <c r="BS207" s="706"/>
      <c r="BT207" s="706"/>
      <c r="BU207" s="706"/>
      <c r="BV207" s="791">
        <v>581.49163564788921</v>
      </c>
      <c r="BW207" s="791">
        <v>581.49163564788921</v>
      </c>
      <c r="BX207" s="791">
        <v>581.49163564788921</v>
      </c>
      <c r="BY207" s="791">
        <v>581.49163564788921</v>
      </c>
      <c r="BZ207" s="791">
        <v>581.49163564788921</v>
      </c>
      <c r="CA207" s="791">
        <v>581.49163564788921</v>
      </c>
      <c r="CB207" s="791">
        <v>581.49163564788921</v>
      </c>
      <c r="CC207" s="791">
        <v>581.49163564788921</v>
      </c>
      <c r="CD207" s="791">
        <v>581.49163564788921</v>
      </c>
      <c r="CE207" s="791">
        <v>581.49163564788921</v>
      </c>
      <c r="CF207" s="791">
        <v>581.49163564788921</v>
      </c>
      <c r="CG207" s="791">
        <v>581.49163564788921</v>
      </c>
      <c r="CH207" s="791">
        <v>581.49163564788921</v>
      </c>
      <c r="CI207" s="791">
        <v>581.49163564788921</v>
      </c>
      <c r="CJ207" s="791">
        <v>581.49163564788921</v>
      </c>
      <c r="CK207" s="791">
        <v>581.49163564788921</v>
      </c>
      <c r="CL207" s="791">
        <v>581.49163564788921</v>
      </c>
      <c r="CM207" s="791">
        <v>581.49163564788921</v>
      </c>
      <c r="CN207" s="791">
        <v>581.49163564788921</v>
      </c>
      <c r="CO207" s="706"/>
      <c r="CP207" s="706"/>
      <c r="CQ207" s="706"/>
      <c r="CR207" s="706"/>
    </row>
    <row r="208" spans="1:96">
      <c r="A208" s="694" t="s">
        <v>3</v>
      </c>
      <c r="B208" s="794">
        <v>41815</v>
      </c>
      <c r="C208" s="743">
        <v>2014</v>
      </c>
      <c r="D208" s="746" t="s">
        <v>15</v>
      </c>
      <c r="E208" s="746" t="s">
        <v>25</v>
      </c>
      <c r="F208" s="746" t="s">
        <v>17</v>
      </c>
      <c r="G208" s="746" t="s">
        <v>58</v>
      </c>
      <c r="H208" s="694" t="s">
        <v>959</v>
      </c>
      <c r="I208" s="746" t="s">
        <v>5</v>
      </c>
      <c r="J208" s="746" t="s">
        <v>376</v>
      </c>
      <c r="K208" s="706">
        <v>1</v>
      </c>
      <c r="L208" s="745" t="s">
        <v>58</v>
      </c>
      <c r="M208" s="706" t="s">
        <v>1035</v>
      </c>
      <c r="N208" s="706">
        <v>19</v>
      </c>
      <c r="O208" s="706"/>
      <c r="P208" s="706"/>
      <c r="Q208" s="706"/>
      <c r="R208" s="706"/>
      <c r="S208" s="706"/>
      <c r="T208" s="706"/>
      <c r="U208" s="738">
        <v>0.62806842093767556</v>
      </c>
      <c r="V208" s="738">
        <v>1227.8974155200376</v>
      </c>
      <c r="W208" s="793">
        <v>0.62806842093767556</v>
      </c>
      <c r="X208" s="708">
        <v>1227.8974155200376</v>
      </c>
      <c r="Y208" s="719">
        <v>23330.050894880715</v>
      </c>
      <c r="Z208" s="719">
        <v>11048.341077309895</v>
      </c>
      <c r="AA208" s="719">
        <v>581.49163564788921</v>
      </c>
      <c r="AB208" s="738">
        <v>0.29743244734753344</v>
      </c>
      <c r="AC208" s="792">
        <v>1</v>
      </c>
      <c r="AD208" s="792">
        <v>1</v>
      </c>
      <c r="AE208" s="717">
        <v>0.56884057971014501</v>
      </c>
      <c r="AF208" s="714">
        <v>4.2407531067898789E-2</v>
      </c>
      <c r="AG208" s="706"/>
      <c r="AH208" s="792">
        <v>0.47356695135775378</v>
      </c>
      <c r="AI208" s="748">
        <v>0.56884057971014501</v>
      </c>
      <c r="AJ208" s="748">
        <v>4.2407531067898789E-2</v>
      </c>
      <c r="AK208" s="748"/>
      <c r="AL208" s="714">
        <v>0.47356695135775378</v>
      </c>
      <c r="AM208" s="706"/>
      <c r="AN208" s="706"/>
      <c r="AO208" s="706"/>
      <c r="AP208" s="706"/>
      <c r="AQ208" s="706"/>
      <c r="AR208" s="706" t="s">
        <v>957</v>
      </c>
      <c r="AS208" s="706"/>
      <c r="AT208" s="706"/>
      <c r="AU208" s="706"/>
      <c r="AV208" s="706">
        <v>0.29743244734753344</v>
      </c>
      <c r="AW208" s="706">
        <v>0.29743244734753344</v>
      </c>
      <c r="AX208" s="706">
        <v>0.29743244734753344</v>
      </c>
      <c r="AY208" s="706">
        <v>0.29743244734753344</v>
      </c>
      <c r="AZ208" s="706">
        <v>0.29743244734753344</v>
      </c>
      <c r="BA208" s="706">
        <v>0.29743244734753344</v>
      </c>
      <c r="BB208" s="706">
        <v>0.29743244734753344</v>
      </c>
      <c r="BC208" s="706">
        <v>0.29743244734753344</v>
      </c>
      <c r="BD208" s="706">
        <v>0.29743244734753344</v>
      </c>
      <c r="BE208" s="706">
        <v>0.29743244734753344</v>
      </c>
      <c r="BF208" s="706">
        <v>0.29743244734753344</v>
      </c>
      <c r="BG208" s="706">
        <v>0.29743244734753344</v>
      </c>
      <c r="BH208" s="706">
        <v>0.29743244734753344</v>
      </c>
      <c r="BI208" s="706">
        <v>0.29743244734753344</v>
      </c>
      <c r="BJ208" s="706">
        <v>0.29743244734753344</v>
      </c>
      <c r="BK208" s="706">
        <v>0.29743244734753344</v>
      </c>
      <c r="BL208" s="706">
        <v>0.29743244734753344</v>
      </c>
      <c r="BM208" s="706">
        <v>0.29743244734753344</v>
      </c>
      <c r="BN208" s="706">
        <v>0.29743244734753344</v>
      </c>
      <c r="BO208" s="706"/>
      <c r="BP208" s="706"/>
      <c r="BQ208" s="706"/>
      <c r="BR208" s="706"/>
      <c r="BS208" s="706"/>
      <c r="BT208" s="706"/>
      <c r="BU208" s="706"/>
      <c r="BV208" s="791">
        <v>581.49163564788921</v>
      </c>
      <c r="BW208" s="791">
        <v>581.49163564788921</v>
      </c>
      <c r="BX208" s="791">
        <v>581.49163564788921</v>
      </c>
      <c r="BY208" s="791">
        <v>581.49163564788921</v>
      </c>
      <c r="BZ208" s="791">
        <v>581.49163564788921</v>
      </c>
      <c r="CA208" s="791">
        <v>581.49163564788921</v>
      </c>
      <c r="CB208" s="791">
        <v>581.49163564788921</v>
      </c>
      <c r="CC208" s="791">
        <v>581.49163564788921</v>
      </c>
      <c r="CD208" s="791">
        <v>581.49163564788921</v>
      </c>
      <c r="CE208" s="791">
        <v>581.49163564788921</v>
      </c>
      <c r="CF208" s="791">
        <v>581.49163564788921</v>
      </c>
      <c r="CG208" s="791">
        <v>581.49163564788921</v>
      </c>
      <c r="CH208" s="791">
        <v>581.49163564788921</v>
      </c>
      <c r="CI208" s="791">
        <v>581.49163564788921</v>
      </c>
      <c r="CJ208" s="791">
        <v>581.49163564788921</v>
      </c>
      <c r="CK208" s="791">
        <v>581.49163564788921</v>
      </c>
      <c r="CL208" s="791">
        <v>581.49163564788921</v>
      </c>
      <c r="CM208" s="791">
        <v>581.49163564788921</v>
      </c>
      <c r="CN208" s="791">
        <v>581.49163564788921</v>
      </c>
      <c r="CO208" s="706"/>
      <c r="CP208" s="706"/>
      <c r="CQ208" s="706"/>
      <c r="CR208" s="706"/>
    </row>
    <row r="209" spans="1:96">
      <c r="A209" s="694" t="s">
        <v>3</v>
      </c>
      <c r="B209" s="794">
        <v>41781</v>
      </c>
      <c r="C209" s="743">
        <v>2014</v>
      </c>
      <c r="D209" s="746" t="s">
        <v>15</v>
      </c>
      <c r="E209" s="746" t="s">
        <v>25</v>
      </c>
      <c r="F209" s="746" t="s">
        <v>17</v>
      </c>
      <c r="G209" s="746" t="s">
        <v>58</v>
      </c>
      <c r="H209" s="694" t="s">
        <v>959</v>
      </c>
      <c r="I209" s="746" t="s">
        <v>5</v>
      </c>
      <c r="J209" s="746" t="s">
        <v>376</v>
      </c>
      <c r="K209" s="706">
        <v>1</v>
      </c>
      <c r="L209" s="745" t="s">
        <v>58</v>
      </c>
      <c r="M209" s="706" t="s">
        <v>1034</v>
      </c>
      <c r="N209" s="706">
        <v>19</v>
      </c>
      <c r="O209" s="706"/>
      <c r="P209" s="706"/>
      <c r="Q209" s="706"/>
      <c r="R209" s="706"/>
      <c r="S209" s="706"/>
      <c r="T209" s="706"/>
      <c r="U209" s="738">
        <v>0.62806842093767556</v>
      </c>
      <c r="V209" s="738">
        <v>1227.8974155200376</v>
      </c>
      <c r="W209" s="793">
        <v>0.62806842093767556</v>
      </c>
      <c r="X209" s="708">
        <v>1227.8974155200376</v>
      </c>
      <c r="Y209" s="719">
        <v>23330.050894880715</v>
      </c>
      <c r="Z209" s="719">
        <v>11048.341077309895</v>
      </c>
      <c r="AA209" s="719">
        <v>581.49163564788921</v>
      </c>
      <c r="AB209" s="738">
        <v>0.29743244734753344</v>
      </c>
      <c r="AC209" s="792">
        <v>1</v>
      </c>
      <c r="AD209" s="792">
        <v>1</v>
      </c>
      <c r="AE209" s="717">
        <v>0.56884057971014501</v>
      </c>
      <c r="AF209" s="714">
        <v>4.2407531067898789E-2</v>
      </c>
      <c r="AG209" s="706"/>
      <c r="AH209" s="792">
        <v>0.47356695135775378</v>
      </c>
      <c r="AI209" s="748">
        <v>0.56884057971014501</v>
      </c>
      <c r="AJ209" s="748">
        <v>4.2407531067898789E-2</v>
      </c>
      <c r="AK209" s="748"/>
      <c r="AL209" s="714">
        <v>0.47356695135775378</v>
      </c>
      <c r="AM209" s="706"/>
      <c r="AN209" s="706"/>
      <c r="AO209" s="706"/>
      <c r="AP209" s="706"/>
      <c r="AQ209" s="706"/>
      <c r="AR209" s="706" t="s">
        <v>957</v>
      </c>
      <c r="AS209" s="706"/>
      <c r="AT209" s="706"/>
      <c r="AU209" s="706"/>
      <c r="AV209" s="706">
        <v>0.29743244734753344</v>
      </c>
      <c r="AW209" s="706">
        <v>0.29743244734753344</v>
      </c>
      <c r="AX209" s="706">
        <v>0.29743244734753344</v>
      </c>
      <c r="AY209" s="706">
        <v>0.29743244734753344</v>
      </c>
      <c r="AZ209" s="706">
        <v>0.29743244734753344</v>
      </c>
      <c r="BA209" s="706">
        <v>0.29743244734753344</v>
      </c>
      <c r="BB209" s="706">
        <v>0.29743244734753344</v>
      </c>
      <c r="BC209" s="706">
        <v>0.29743244734753344</v>
      </c>
      <c r="BD209" s="706">
        <v>0.29743244734753344</v>
      </c>
      <c r="BE209" s="706">
        <v>0.29743244734753344</v>
      </c>
      <c r="BF209" s="706">
        <v>0.29743244734753344</v>
      </c>
      <c r="BG209" s="706">
        <v>0.29743244734753344</v>
      </c>
      <c r="BH209" s="706">
        <v>0.29743244734753344</v>
      </c>
      <c r="BI209" s="706">
        <v>0.29743244734753344</v>
      </c>
      <c r="BJ209" s="706">
        <v>0.29743244734753344</v>
      </c>
      <c r="BK209" s="706">
        <v>0.29743244734753344</v>
      </c>
      <c r="BL209" s="706">
        <v>0.29743244734753344</v>
      </c>
      <c r="BM209" s="706">
        <v>0.29743244734753344</v>
      </c>
      <c r="BN209" s="706">
        <v>0.29743244734753344</v>
      </c>
      <c r="BO209" s="706"/>
      <c r="BP209" s="706"/>
      <c r="BQ209" s="706"/>
      <c r="BR209" s="706"/>
      <c r="BS209" s="706"/>
      <c r="BT209" s="706"/>
      <c r="BU209" s="706"/>
      <c r="BV209" s="791">
        <v>581.49163564788921</v>
      </c>
      <c r="BW209" s="791">
        <v>581.49163564788921</v>
      </c>
      <c r="BX209" s="791">
        <v>581.49163564788921</v>
      </c>
      <c r="BY209" s="791">
        <v>581.49163564788921</v>
      </c>
      <c r="BZ209" s="791">
        <v>581.49163564788921</v>
      </c>
      <c r="CA209" s="791">
        <v>581.49163564788921</v>
      </c>
      <c r="CB209" s="791">
        <v>581.49163564788921</v>
      </c>
      <c r="CC209" s="791">
        <v>581.49163564788921</v>
      </c>
      <c r="CD209" s="791">
        <v>581.49163564788921</v>
      </c>
      <c r="CE209" s="791">
        <v>581.49163564788921</v>
      </c>
      <c r="CF209" s="791">
        <v>581.49163564788921</v>
      </c>
      <c r="CG209" s="791">
        <v>581.49163564788921</v>
      </c>
      <c r="CH209" s="791">
        <v>581.49163564788921</v>
      </c>
      <c r="CI209" s="791">
        <v>581.49163564788921</v>
      </c>
      <c r="CJ209" s="791">
        <v>581.49163564788921</v>
      </c>
      <c r="CK209" s="791">
        <v>581.49163564788921</v>
      </c>
      <c r="CL209" s="791">
        <v>581.49163564788921</v>
      </c>
      <c r="CM209" s="791">
        <v>581.49163564788921</v>
      </c>
      <c r="CN209" s="791">
        <v>581.49163564788921</v>
      </c>
      <c r="CO209" s="706"/>
      <c r="CP209" s="706"/>
      <c r="CQ209" s="706"/>
      <c r="CR209" s="706"/>
    </row>
    <row r="210" spans="1:96">
      <c r="A210" s="694" t="s">
        <v>3</v>
      </c>
      <c r="B210" s="794">
        <v>41785</v>
      </c>
      <c r="C210" s="743">
        <v>2014</v>
      </c>
      <c r="D210" s="746" t="s">
        <v>15</v>
      </c>
      <c r="E210" s="746" t="s">
        <v>25</v>
      </c>
      <c r="F210" s="746" t="s">
        <v>17</v>
      </c>
      <c r="G210" s="746" t="s">
        <v>58</v>
      </c>
      <c r="H210" s="694" t="s">
        <v>959</v>
      </c>
      <c r="I210" s="746" t="s">
        <v>5</v>
      </c>
      <c r="J210" s="746" t="s">
        <v>376</v>
      </c>
      <c r="K210" s="706">
        <v>1</v>
      </c>
      <c r="L210" s="745" t="s">
        <v>58</v>
      </c>
      <c r="M210" s="706" t="s">
        <v>1033</v>
      </c>
      <c r="N210" s="706">
        <v>19</v>
      </c>
      <c r="O210" s="706"/>
      <c r="P210" s="706"/>
      <c r="Q210" s="706"/>
      <c r="R210" s="706"/>
      <c r="S210" s="706"/>
      <c r="T210" s="706"/>
      <c r="U210" s="738">
        <v>0.62806842093767556</v>
      </c>
      <c r="V210" s="738">
        <v>1227.8974155200376</v>
      </c>
      <c r="W210" s="793">
        <v>0.62806842093767556</v>
      </c>
      <c r="X210" s="708">
        <v>1227.8974155200376</v>
      </c>
      <c r="Y210" s="719">
        <v>23330.050894880715</v>
      </c>
      <c r="Z210" s="719">
        <v>11048.341077309895</v>
      </c>
      <c r="AA210" s="719">
        <v>581.49163564788921</v>
      </c>
      <c r="AB210" s="738">
        <v>0.29743244734753344</v>
      </c>
      <c r="AC210" s="792">
        <v>1</v>
      </c>
      <c r="AD210" s="792">
        <v>1</v>
      </c>
      <c r="AE210" s="717">
        <v>0.56884057971014501</v>
      </c>
      <c r="AF210" s="714">
        <v>4.2407531067898789E-2</v>
      </c>
      <c r="AG210" s="706"/>
      <c r="AH210" s="792">
        <v>0.47356695135775378</v>
      </c>
      <c r="AI210" s="748">
        <v>0.56884057971014501</v>
      </c>
      <c r="AJ210" s="748">
        <v>4.2407531067898789E-2</v>
      </c>
      <c r="AK210" s="748"/>
      <c r="AL210" s="714">
        <v>0.47356695135775378</v>
      </c>
      <c r="AM210" s="706"/>
      <c r="AN210" s="706"/>
      <c r="AO210" s="706"/>
      <c r="AP210" s="706"/>
      <c r="AQ210" s="706"/>
      <c r="AR210" s="706" t="s">
        <v>957</v>
      </c>
      <c r="AS210" s="706"/>
      <c r="AT210" s="706"/>
      <c r="AU210" s="706"/>
      <c r="AV210" s="706">
        <v>0.29743244734753344</v>
      </c>
      <c r="AW210" s="706">
        <v>0.29743244734753344</v>
      </c>
      <c r="AX210" s="706">
        <v>0.29743244734753344</v>
      </c>
      <c r="AY210" s="706">
        <v>0.29743244734753344</v>
      </c>
      <c r="AZ210" s="706">
        <v>0.29743244734753344</v>
      </c>
      <c r="BA210" s="706">
        <v>0.29743244734753344</v>
      </c>
      <c r="BB210" s="706">
        <v>0.29743244734753344</v>
      </c>
      <c r="BC210" s="706">
        <v>0.29743244734753344</v>
      </c>
      <c r="BD210" s="706">
        <v>0.29743244734753344</v>
      </c>
      <c r="BE210" s="706">
        <v>0.29743244734753344</v>
      </c>
      <c r="BF210" s="706">
        <v>0.29743244734753344</v>
      </c>
      <c r="BG210" s="706">
        <v>0.29743244734753344</v>
      </c>
      <c r="BH210" s="706">
        <v>0.29743244734753344</v>
      </c>
      <c r="BI210" s="706">
        <v>0.29743244734753344</v>
      </c>
      <c r="BJ210" s="706">
        <v>0.29743244734753344</v>
      </c>
      <c r="BK210" s="706">
        <v>0.29743244734753344</v>
      </c>
      <c r="BL210" s="706">
        <v>0.29743244734753344</v>
      </c>
      <c r="BM210" s="706">
        <v>0.29743244734753344</v>
      </c>
      <c r="BN210" s="706">
        <v>0.29743244734753344</v>
      </c>
      <c r="BO210" s="706"/>
      <c r="BP210" s="706"/>
      <c r="BQ210" s="706"/>
      <c r="BR210" s="706"/>
      <c r="BS210" s="706"/>
      <c r="BT210" s="706"/>
      <c r="BU210" s="706"/>
      <c r="BV210" s="791">
        <v>581.49163564788921</v>
      </c>
      <c r="BW210" s="791">
        <v>581.49163564788921</v>
      </c>
      <c r="BX210" s="791">
        <v>581.49163564788921</v>
      </c>
      <c r="BY210" s="791">
        <v>581.49163564788921</v>
      </c>
      <c r="BZ210" s="791">
        <v>581.49163564788921</v>
      </c>
      <c r="CA210" s="791">
        <v>581.49163564788921</v>
      </c>
      <c r="CB210" s="791">
        <v>581.49163564788921</v>
      </c>
      <c r="CC210" s="791">
        <v>581.49163564788921</v>
      </c>
      <c r="CD210" s="791">
        <v>581.49163564788921</v>
      </c>
      <c r="CE210" s="791">
        <v>581.49163564788921</v>
      </c>
      <c r="CF210" s="791">
        <v>581.49163564788921</v>
      </c>
      <c r="CG210" s="791">
        <v>581.49163564788921</v>
      </c>
      <c r="CH210" s="791">
        <v>581.49163564788921</v>
      </c>
      <c r="CI210" s="791">
        <v>581.49163564788921</v>
      </c>
      <c r="CJ210" s="791">
        <v>581.49163564788921</v>
      </c>
      <c r="CK210" s="791">
        <v>581.49163564788921</v>
      </c>
      <c r="CL210" s="791">
        <v>581.49163564788921</v>
      </c>
      <c r="CM210" s="791">
        <v>581.49163564788921</v>
      </c>
      <c r="CN210" s="791">
        <v>581.49163564788921</v>
      </c>
      <c r="CO210" s="706"/>
      <c r="CP210" s="706"/>
      <c r="CQ210" s="706"/>
      <c r="CR210" s="706"/>
    </row>
    <row r="211" spans="1:96">
      <c r="A211" s="694" t="s">
        <v>3</v>
      </c>
      <c r="B211" s="794">
        <v>41836</v>
      </c>
      <c r="C211" s="743">
        <v>2014</v>
      </c>
      <c r="D211" s="746" t="s">
        <v>15</v>
      </c>
      <c r="E211" s="746" t="s">
        <v>25</v>
      </c>
      <c r="F211" s="746" t="s">
        <v>17</v>
      </c>
      <c r="G211" s="746" t="s">
        <v>58</v>
      </c>
      <c r="H211" s="694" t="s">
        <v>959</v>
      </c>
      <c r="I211" s="746" t="s">
        <v>5</v>
      </c>
      <c r="J211" s="746" t="s">
        <v>376</v>
      </c>
      <c r="K211" s="706">
        <v>1</v>
      </c>
      <c r="L211" s="745" t="s">
        <v>58</v>
      </c>
      <c r="M211" s="706" t="s">
        <v>1032</v>
      </c>
      <c r="N211" s="706">
        <v>19</v>
      </c>
      <c r="O211" s="706"/>
      <c r="P211" s="706"/>
      <c r="Q211" s="706"/>
      <c r="R211" s="706"/>
      <c r="S211" s="706"/>
      <c r="T211" s="706"/>
      <c r="U211" s="738">
        <v>0.62806842093767556</v>
      </c>
      <c r="V211" s="738">
        <v>1227.8974155200376</v>
      </c>
      <c r="W211" s="793">
        <v>0.62806842093767556</v>
      </c>
      <c r="X211" s="708">
        <v>1227.8974155200376</v>
      </c>
      <c r="Y211" s="719">
        <v>23330.050894880715</v>
      </c>
      <c r="Z211" s="719">
        <v>11048.341077309895</v>
      </c>
      <c r="AA211" s="719">
        <v>581.49163564788921</v>
      </c>
      <c r="AB211" s="738">
        <v>0.29743244734753344</v>
      </c>
      <c r="AC211" s="792">
        <v>1</v>
      </c>
      <c r="AD211" s="792">
        <v>1</v>
      </c>
      <c r="AE211" s="717">
        <v>0.56884057971014501</v>
      </c>
      <c r="AF211" s="714">
        <v>4.2407531067898789E-2</v>
      </c>
      <c r="AG211" s="706"/>
      <c r="AH211" s="792">
        <v>0.47356695135775378</v>
      </c>
      <c r="AI211" s="748">
        <v>0.56884057971014501</v>
      </c>
      <c r="AJ211" s="748">
        <v>4.2407531067898789E-2</v>
      </c>
      <c r="AK211" s="748"/>
      <c r="AL211" s="714">
        <v>0.47356695135775378</v>
      </c>
      <c r="AM211" s="706"/>
      <c r="AN211" s="706"/>
      <c r="AO211" s="706"/>
      <c r="AP211" s="706"/>
      <c r="AQ211" s="706"/>
      <c r="AR211" s="706" t="s">
        <v>957</v>
      </c>
      <c r="AS211" s="706"/>
      <c r="AT211" s="706"/>
      <c r="AU211" s="706"/>
      <c r="AV211" s="706">
        <v>0.29743244734753344</v>
      </c>
      <c r="AW211" s="706">
        <v>0.29743244734753344</v>
      </c>
      <c r="AX211" s="706">
        <v>0.29743244734753344</v>
      </c>
      <c r="AY211" s="706">
        <v>0.29743244734753344</v>
      </c>
      <c r="AZ211" s="706">
        <v>0.29743244734753344</v>
      </c>
      <c r="BA211" s="706">
        <v>0.29743244734753344</v>
      </c>
      <c r="BB211" s="706">
        <v>0.29743244734753344</v>
      </c>
      <c r="BC211" s="706">
        <v>0.29743244734753344</v>
      </c>
      <c r="BD211" s="706">
        <v>0.29743244734753344</v>
      </c>
      <c r="BE211" s="706">
        <v>0.29743244734753344</v>
      </c>
      <c r="BF211" s="706">
        <v>0.29743244734753344</v>
      </c>
      <c r="BG211" s="706">
        <v>0.29743244734753344</v>
      </c>
      <c r="BH211" s="706">
        <v>0.29743244734753344</v>
      </c>
      <c r="BI211" s="706">
        <v>0.29743244734753344</v>
      </c>
      <c r="BJ211" s="706">
        <v>0.29743244734753344</v>
      </c>
      <c r="BK211" s="706">
        <v>0.29743244734753344</v>
      </c>
      <c r="BL211" s="706">
        <v>0.29743244734753344</v>
      </c>
      <c r="BM211" s="706">
        <v>0.29743244734753344</v>
      </c>
      <c r="BN211" s="706">
        <v>0.29743244734753344</v>
      </c>
      <c r="BO211" s="706"/>
      <c r="BP211" s="706"/>
      <c r="BQ211" s="706"/>
      <c r="BR211" s="706"/>
      <c r="BS211" s="706"/>
      <c r="BT211" s="706"/>
      <c r="BU211" s="706"/>
      <c r="BV211" s="791">
        <v>581.49163564788921</v>
      </c>
      <c r="BW211" s="791">
        <v>581.49163564788921</v>
      </c>
      <c r="BX211" s="791">
        <v>581.49163564788921</v>
      </c>
      <c r="BY211" s="791">
        <v>581.49163564788921</v>
      </c>
      <c r="BZ211" s="791">
        <v>581.49163564788921</v>
      </c>
      <c r="CA211" s="791">
        <v>581.49163564788921</v>
      </c>
      <c r="CB211" s="791">
        <v>581.49163564788921</v>
      </c>
      <c r="CC211" s="791">
        <v>581.49163564788921</v>
      </c>
      <c r="CD211" s="791">
        <v>581.49163564788921</v>
      </c>
      <c r="CE211" s="791">
        <v>581.49163564788921</v>
      </c>
      <c r="CF211" s="791">
        <v>581.49163564788921</v>
      </c>
      <c r="CG211" s="791">
        <v>581.49163564788921</v>
      </c>
      <c r="CH211" s="791">
        <v>581.49163564788921</v>
      </c>
      <c r="CI211" s="791">
        <v>581.49163564788921</v>
      </c>
      <c r="CJ211" s="791">
        <v>581.49163564788921</v>
      </c>
      <c r="CK211" s="791">
        <v>581.49163564788921</v>
      </c>
      <c r="CL211" s="791">
        <v>581.49163564788921</v>
      </c>
      <c r="CM211" s="791">
        <v>581.49163564788921</v>
      </c>
      <c r="CN211" s="791">
        <v>581.49163564788921</v>
      </c>
      <c r="CO211" s="706"/>
      <c r="CP211" s="706"/>
      <c r="CQ211" s="706"/>
      <c r="CR211" s="706"/>
    </row>
    <row r="212" spans="1:96">
      <c r="A212" s="694" t="s">
        <v>3</v>
      </c>
      <c r="B212" s="794">
        <v>41645</v>
      </c>
      <c r="C212" s="743">
        <v>2014</v>
      </c>
      <c r="D212" s="746" t="s">
        <v>15</v>
      </c>
      <c r="E212" s="746" t="s">
        <v>25</v>
      </c>
      <c r="F212" s="746" t="s">
        <v>17</v>
      </c>
      <c r="G212" s="746" t="s">
        <v>58</v>
      </c>
      <c r="H212" s="694" t="s">
        <v>959</v>
      </c>
      <c r="I212" s="746" t="s">
        <v>5</v>
      </c>
      <c r="J212" s="746" t="s">
        <v>376</v>
      </c>
      <c r="K212" s="706">
        <v>1</v>
      </c>
      <c r="L212" s="745" t="s">
        <v>58</v>
      </c>
      <c r="M212" s="706" t="s">
        <v>905</v>
      </c>
      <c r="N212" s="706">
        <v>19</v>
      </c>
      <c r="O212" s="706"/>
      <c r="P212" s="706"/>
      <c r="Q212" s="706"/>
      <c r="R212" s="706"/>
      <c r="S212" s="706"/>
      <c r="T212" s="706"/>
      <c r="U212" s="738">
        <v>0.62806842093767556</v>
      </c>
      <c r="V212" s="738">
        <v>1227.8974155200376</v>
      </c>
      <c r="W212" s="793">
        <v>0.62806842093767556</v>
      </c>
      <c r="X212" s="708">
        <v>1227.8974155200376</v>
      </c>
      <c r="Y212" s="719">
        <v>23330.050894880715</v>
      </c>
      <c r="Z212" s="719">
        <v>11048.341077309895</v>
      </c>
      <c r="AA212" s="719">
        <v>581.49163564788921</v>
      </c>
      <c r="AB212" s="738">
        <v>0.29743244734753344</v>
      </c>
      <c r="AC212" s="792">
        <v>1</v>
      </c>
      <c r="AD212" s="792">
        <v>1</v>
      </c>
      <c r="AE212" s="717">
        <v>0.56884057971014501</v>
      </c>
      <c r="AF212" s="714">
        <v>4.2407531067898789E-2</v>
      </c>
      <c r="AG212" s="706"/>
      <c r="AH212" s="792">
        <v>0.47356695135775378</v>
      </c>
      <c r="AI212" s="748">
        <v>0.56884057971014501</v>
      </c>
      <c r="AJ212" s="748">
        <v>4.2407531067898789E-2</v>
      </c>
      <c r="AK212" s="748"/>
      <c r="AL212" s="714">
        <v>0.47356695135775378</v>
      </c>
      <c r="AM212" s="706"/>
      <c r="AN212" s="706"/>
      <c r="AO212" s="706"/>
      <c r="AP212" s="706"/>
      <c r="AQ212" s="706"/>
      <c r="AR212" s="706" t="s">
        <v>957</v>
      </c>
      <c r="AS212" s="706"/>
      <c r="AT212" s="706"/>
      <c r="AU212" s="706"/>
      <c r="AV212" s="706">
        <v>0.29743244734753344</v>
      </c>
      <c r="AW212" s="706">
        <v>0.29743244734753344</v>
      </c>
      <c r="AX212" s="706">
        <v>0.29743244734753344</v>
      </c>
      <c r="AY212" s="706">
        <v>0.29743244734753344</v>
      </c>
      <c r="AZ212" s="706">
        <v>0.29743244734753344</v>
      </c>
      <c r="BA212" s="706">
        <v>0.29743244734753344</v>
      </c>
      <c r="BB212" s="706">
        <v>0.29743244734753344</v>
      </c>
      <c r="BC212" s="706">
        <v>0.29743244734753344</v>
      </c>
      <c r="BD212" s="706">
        <v>0.29743244734753344</v>
      </c>
      <c r="BE212" s="706">
        <v>0.29743244734753344</v>
      </c>
      <c r="BF212" s="706">
        <v>0.29743244734753344</v>
      </c>
      <c r="BG212" s="706">
        <v>0.29743244734753344</v>
      </c>
      <c r="BH212" s="706">
        <v>0.29743244734753344</v>
      </c>
      <c r="BI212" s="706">
        <v>0.29743244734753344</v>
      </c>
      <c r="BJ212" s="706">
        <v>0.29743244734753344</v>
      </c>
      <c r="BK212" s="706">
        <v>0.29743244734753344</v>
      </c>
      <c r="BL212" s="706">
        <v>0.29743244734753344</v>
      </c>
      <c r="BM212" s="706">
        <v>0.29743244734753344</v>
      </c>
      <c r="BN212" s="706">
        <v>0.29743244734753344</v>
      </c>
      <c r="BO212" s="706"/>
      <c r="BP212" s="706"/>
      <c r="BQ212" s="706"/>
      <c r="BR212" s="706"/>
      <c r="BS212" s="706"/>
      <c r="BT212" s="706"/>
      <c r="BU212" s="706"/>
      <c r="BV212" s="791">
        <v>581.49163564788921</v>
      </c>
      <c r="BW212" s="791">
        <v>581.49163564788921</v>
      </c>
      <c r="BX212" s="791">
        <v>581.49163564788921</v>
      </c>
      <c r="BY212" s="791">
        <v>581.49163564788921</v>
      </c>
      <c r="BZ212" s="791">
        <v>581.49163564788921</v>
      </c>
      <c r="CA212" s="791">
        <v>581.49163564788921</v>
      </c>
      <c r="CB212" s="791">
        <v>581.49163564788921</v>
      </c>
      <c r="CC212" s="791">
        <v>581.49163564788921</v>
      </c>
      <c r="CD212" s="791">
        <v>581.49163564788921</v>
      </c>
      <c r="CE212" s="791">
        <v>581.49163564788921</v>
      </c>
      <c r="CF212" s="791">
        <v>581.49163564788921</v>
      </c>
      <c r="CG212" s="791">
        <v>581.49163564788921</v>
      </c>
      <c r="CH212" s="791">
        <v>581.49163564788921</v>
      </c>
      <c r="CI212" s="791">
        <v>581.49163564788921</v>
      </c>
      <c r="CJ212" s="791">
        <v>581.49163564788921</v>
      </c>
      <c r="CK212" s="791">
        <v>581.49163564788921</v>
      </c>
      <c r="CL212" s="791">
        <v>581.49163564788921</v>
      </c>
      <c r="CM212" s="791">
        <v>581.49163564788921</v>
      </c>
      <c r="CN212" s="791">
        <v>581.49163564788921</v>
      </c>
      <c r="CO212" s="706"/>
      <c r="CP212" s="706"/>
      <c r="CQ212" s="706"/>
      <c r="CR212" s="706"/>
    </row>
    <row r="213" spans="1:96">
      <c r="A213" s="694" t="s">
        <v>3</v>
      </c>
      <c r="B213" s="794">
        <v>41842</v>
      </c>
      <c r="C213" s="743">
        <v>2014</v>
      </c>
      <c r="D213" s="746" t="s">
        <v>15</v>
      </c>
      <c r="E213" s="746" t="s">
        <v>25</v>
      </c>
      <c r="F213" s="746" t="s">
        <v>17</v>
      </c>
      <c r="G213" s="746" t="s">
        <v>58</v>
      </c>
      <c r="H213" s="694" t="s">
        <v>959</v>
      </c>
      <c r="I213" s="746" t="s">
        <v>5</v>
      </c>
      <c r="J213" s="746" t="s">
        <v>376</v>
      </c>
      <c r="K213" s="706">
        <v>1</v>
      </c>
      <c r="L213" s="745" t="s">
        <v>58</v>
      </c>
      <c r="M213" s="706" t="s">
        <v>1031</v>
      </c>
      <c r="N213" s="706">
        <v>19</v>
      </c>
      <c r="O213" s="706"/>
      <c r="P213" s="706"/>
      <c r="Q213" s="706"/>
      <c r="R213" s="706"/>
      <c r="S213" s="706"/>
      <c r="T213" s="706"/>
      <c r="U213" s="738">
        <v>0.62806842093767556</v>
      </c>
      <c r="V213" s="738">
        <v>1227.8974155200376</v>
      </c>
      <c r="W213" s="793">
        <v>0.62806842093767556</v>
      </c>
      <c r="X213" s="708">
        <v>1227.8974155200376</v>
      </c>
      <c r="Y213" s="719">
        <v>23330.050894880715</v>
      </c>
      <c r="Z213" s="719">
        <v>11048.341077309895</v>
      </c>
      <c r="AA213" s="719">
        <v>581.49163564788921</v>
      </c>
      <c r="AB213" s="738">
        <v>0.29743244734753344</v>
      </c>
      <c r="AC213" s="792">
        <v>1</v>
      </c>
      <c r="AD213" s="792">
        <v>1</v>
      </c>
      <c r="AE213" s="717">
        <v>0.56884057971014501</v>
      </c>
      <c r="AF213" s="714">
        <v>4.2407531067898789E-2</v>
      </c>
      <c r="AG213" s="706"/>
      <c r="AH213" s="792">
        <v>0.47356695135775378</v>
      </c>
      <c r="AI213" s="748">
        <v>0.56884057971014501</v>
      </c>
      <c r="AJ213" s="748">
        <v>4.2407531067898789E-2</v>
      </c>
      <c r="AK213" s="748"/>
      <c r="AL213" s="714">
        <v>0.47356695135775378</v>
      </c>
      <c r="AM213" s="706"/>
      <c r="AN213" s="706"/>
      <c r="AO213" s="706"/>
      <c r="AP213" s="706"/>
      <c r="AQ213" s="706"/>
      <c r="AR213" s="706" t="s">
        <v>957</v>
      </c>
      <c r="AS213" s="706"/>
      <c r="AT213" s="706"/>
      <c r="AU213" s="706"/>
      <c r="AV213" s="706">
        <v>0.29743244734753344</v>
      </c>
      <c r="AW213" s="706">
        <v>0.29743244734753344</v>
      </c>
      <c r="AX213" s="706">
        <v>0.29743244734753344</v>
      </c>
      <c r="AY213" s="706">
        <v>0.29743244734753344</v>
      </c>
      <c r="AZ213" s="706">
        <v>0.29743244734753344</v>
      </c>
      <c r="BA213" s="706">
        <v>0.29743244734753344</v>
      </c>
      <c r="BB213" s="706">
        <v>0.29743244734753344</v>
      </c>
      <c r="BC213" s="706">
        <v>0.29743244734753344</v>
      </c>
      <c r="BD213" s="706">
        <v>0.29743244734753344</v>
      </c>
      <c r="BE213" s="706">
        <v>0.29743244734753344</v>
      </c>
      <c r="BF213" s="706">
        <v>0.29743244734753344</v>
      </c>
      <c r="BG213" s="706">
        <v>0.29743244734753344</v>
      </c>
      <c r="BH213" s="706">
        <v>0.29743244734753344</v>
      </c>
      <c r="BI213" s="706">
        <v>0.29743244734753344</v>
      </c>
      <c r="BJ213" s="706">
        <v>0.29743244734753344</v>
      </c>
      <c r="BK213" s="706">
        <v>0.29743244734753344</v>
      </c>
      <c r="BL213" s="706">
        <v>0.29743244734753344</v>
      </c>
      <c r="BM213" s="706">
        <v>0.29743244734753344</v>
      </c>
      <c r="BN213" s="706">
        <v>0.29743244734753344</v>
      </c>
      <c r="BO213" s="706"/>
      <c r="BP213" s="706"/>
      <c r="BQ213" s="706"/>
      <c r="BR213" s="706"/>
      <c r="BS213" s="706"/>
      <c r="BT213" s="706"/>
      <c r="BU213" s="706"/>
      <c r="BV213" s="791">
        <v>581.49163564788921</v>
      </c>
      <c r="BW213" s="791">
        <v>581.49163564788921</v>
      </c>
      <c r="BX213" s="791">
        <v>581.49163564788921</v>
      </c>
      <c r="BY213" s="791">
        <v>581.49163564788921</v>
      </c>
      <c r="BZ213" s="791">
        <v>581.49163564788921</v>
      </c>
      <c r="CA213" s="791">
        <v>581.49163564788921</v>
      </c>
      <c r="CB213" s="791">
        <v>581.49163564788921</v>
      </c>
      <c r="CC213" s="791">
        <v>581.49163564788921</v>
      </c>
      <c r="CD213" s="791">
        <v>581.49163564788921</v>
      </c>
      <c r="CE213" s="791">
        <v>581.49163564788921</v>
      </c>
      <c r="CF213" s="791">
        <v>581.49163564788921</v>
      </c>
      <c r="CG213" s="791">
        <v>581.49163564788921</v>
      </c>
      <c r="CH213" s="791">
        <v>581.49163564788921</v>
      </c>
      <c r="CI213" s="791">
        <v>581.49163564788921</v>
      </c>
      <c r="CJ213" s="791">
        <v>581.49163564788921</v>
      </c>
      <c r="CK213" s="791">
        <v>581.49163564788921</v>
      </c>
      <c r="CL213" s="791">
        <v>581.49163564788921</v>
      </c>
      <c r="CM213" s="791">
        <v>581.49163564788921</v>
      </c>
      <c r="CN213" s="791">
        <v>581.49163564788921</v>
      </c>
      <c r="CO213" s="706"/>
      <c r="CP213" s="706"/>
      <c r="CQ213" s="706"/>
      <c r="CR213" s="706"/>
    </row>
    <row r="214" spans="1:96">
      <c r="A214" s="694" t="s">
        <v>3</v>
      </c>
      <c r="B214" s="794">
        <v>41904</v>
      </c>
      <c r="C214" s="743">
        <v>2014</v>
      </c>
      <c r="D214" s="746" t="s">
        <v>15</v>
      </c>
      <c r="E214" s="746" t="s">
        <v>25</v>
      </c>
      <c r="F214" s="746" t="s">
        <v>17</v>
      </c>
      <c r="G214" s="746" t="s">
        <v>58</v>
      </c>
      <c r="H214" s="694" t="s">
        <v>959</v>
      </c>
      <c r="I214" s="746" t="s">
        <v>5</v>
      </c>
      <c r="J214" s="746" t="s">
        <v>376</v>
      </c>
      <c r="K214" s="706">
        <v>1</v>
      </c>
      <c r="L214" s="745" t="s">
        <v>58</v>
      </c>
      <c r="M214" s="706" t="s">
        <v>894</v>
      </c>
      <c r="N214" s="706">
        <v>19</v>
      </c>
      <c r="O214" s="706"/>
      <c r="P214" s="706"/>
      <c r="Q214" s="706"/>
      <c r="R214" s="706"/>
      <c r="S214" s="706"/>
      <c r="T214" s="706"/>
      <c r="U214" s="738">
        <v>0.62806842093767556</v>
      </c>
      <c r="V214" s="738">
        <v>1227.8974155200376</v>
      </c>
      <c r="W214" s="793">
        <v>0.62806842093767556</v>
      </c>
      <c r="X214" s="708">
        <v>1227.8974155200376</v>
      </c>
      <c r="Y214" s="719">
        <v>23330.050894880715</v>
      </c>
      <c r="Z214" s="719">
        <v>11048.341077309895</v>
      </c>
      <c r="AA214" s="719">
        <v>581.49163564788921</v>
      </c>
      <c r="AB214" s="738">
        <v>0.29743244734753344</v>
      </c>
      <c r="AC214" s="792">
        <v>1</v>
      </c>
      <c r="AD214" s="792">
        <v>1</v>
      </c>
      <c r="AE214" s="717">
        <v>0.56884057971014501</v>
      </c>
      <c r="AF214" s="714">
        <v>4.2407531067898789E-2</v>
      </c>
      <c r="AG214" s="706"/>
      <c r="AH214" s="792">
        <v>0.47356695135775378</v>
      </c>
      <c r="AI214" s="748">
        <v>0.56884057971014501</v>
      </c>
      <c r="AJ214" s="748">
        <v>4.2407531067898789E-2</v>
      </c>
      <c r="AK214" s="748"/>
      <c r="AL214" s="714">
        <v>0.47356695135775378</v>
      </c>
      <c r="AM214" s="706"/>
      <c r="AN214" s="706"/>
      <c r="AO214" s="706"/>
      <c r="AP214" s="706"/>
      <c r="AQ214" s="706"/>
      <c r="AR214" s="706" t="s">
        <v>957</v>
      </c>
      <c r="AS214" s="706"/>
      <c r="AT214" s="706"/>
      <c r="AU214" s="706"/>
      <c r="AV214" s="706">
        <v>0.29743244734753344</v>
      </c>
      <c r="AW214" s="706">
        <v>0.29743244734753344</v>
      </c>
      <c r="AX214" s="706">
        <v>0.29743244734753344</v>
      </c>
      <c r="AY214" s="706">
        <v>0.29743244734753344</v>
      </c>
      <c r="AZ214" s="706">
        <v>0.29743244734753344</v>
      </c>
      <c r="BA214" s="706">
        <v>0.29743244734753344</v>
      </c>
      <c r="BB214" s="706">
        <v>0.29743244734753344</v>
      </c>
      <c r="BC214" s="706">
        <v>0.29743244734753344</v>
      </c>
      <c r="BD214" s="706">
        <v>0.29743244734753344</v>
      </c>
      <c r="BE214" s="706">
        <v>0.29743244734753344</v>
      </c>
      <c r="BF214" s="706">
        <v>0.29743244734753344</v>
      </c>
      <c r="BG214" s="706">
        <v>0.29743244734753344</v>
      </c>
      <c r="BH214" s="706">
        <v>0.29743244734753344</v>
      </c>
      <c r="BI214" s="706">
        <v>0.29743244734753344</v>
      </c>
      <c r="BJ214" s="706">
        <v>0.29743244734753344</v>
      </c>
      <c r="BK214" s="706">
        <v>0.29743244734753344</v>
      </c>
      <c r="BL214" s="706">
        <v>0.29743244734753344</v>
      </c>
      <c r="BM214" s="706">
        <v>0.29743244734753344</v>
      </c>
      <c r="BN214" s="706">
        <v>0.29743244734753344</v>
      </c>
      <c r="BO214" s="706"/>
      <c r="BP214" s="706"/>
      <c r="BQ214" s="706"/>
      <c r="BR214" s="706"/>
      <c r="BS214" s="706"/>
      <c r="BT214" s="706"/>
      <c r="BU214" s="706"/>
      <c r="BV214" s="791">
        <v>581.49163564788921</v>
      </c>
      <c r="BW214" s="791">
        <v>581.49163564788921</v>
      </c>
      <c r="BX214" s="791">
        <v>581.49163564788921</v>
      </c>
      <c r="BY214" s="791">
        <v>581.49163564788921</v>
      </c>
      <c r="BZ214" s="791">
        <v>581.49163564788921</v>
      </c>
      <c r="CA214" s="791">
        <v>581.49163564788921</v>
      </c>
      <c r="CB214" s="791">
        <v>581.49163564788921</v>
      </c>
      <c r="CC214" s="791">
        <v>581.49163564788921</v>
      </c>
      <c r="CD214" s="791">
        <v>581.49163564788921</v>
      </c>
      <c r="CE214" s="791">
        <v>581.49163564788921</v>
      </c>
      <c r="CF214" s="791">
        <v>581.49163564788921</v>
      </c>
      <c r="CG214" s="791">
        <v>581.49163564788921</v>
      </c>
      <c r="CH214" s="791">
        <v>581.49163564788921</v>
      </c>
      <c r="CI214" s="791">
        <v>581.49163564788921</v>
      </c>
      <c r="CJ214" s="791">
        <v>581.49163564788921</v>
      </c>
      <c r="CK214" s="791">
        <v>581.49163564788921</v>
      </c>
      <c r="CL214" s="791">
        <v>581.49163564788921</v>
      </c>
      <c r="CM214" s="791">
        <v>581.49163564788921</v>
      </c>
      <c r="CN214" s="791">
        <v>581.49163564788921</v>
      </c>
      <c r="CO214" s="706"/>
      <c r="CP214" s="706"/>
      <c r="CQ214" s="706"/>
      <c r="CR214" s="706"/>
    </row>
    <row r="215" spans="1:96">
      <c r="A215" s="694" t="s">
        <v>3</v>
      </c>
      <c r="B215" s="794">
        <v>41848</v>
      </c>
      <c r="C215" s="743">
        <v>2014</v>
      </c>
      <c r="D215" s="746" t="s">
        <v>15</v>
      </c>
      <c r="E215" s="746" t="s">
        <v>25</v>
      </c>
      <c r="F215" s="746" t="s">
        <v>17</v>
      </c>
      <c r="G215" s="746" t="s">
        <v>58</v>
      </c>
      <c r="H215" s="694" t="s">
        <v>959</v>
      </c>
      <c r="I215" s="746" t="s">
        <v>5</v>
      </c>
      <c r="J215" s="746" t="s">
        <v>376</v>
      </c>
      <c r="K215" s="706">
        <v>1</v>
      </c>
      <c r="L215" s="745" t="s">
        <v>58</v>
      </c>
      <c r="M215" s="706" t="s">
        <v>888</v>
      </c>
      <c r="N215" s="706">
        <v>19</v>
      </c>
      <c r="O215" s="706"/>
      <c r="P215" s="706"/>
      <c r="Q215" s="706"/>
      <c r="R215" s="706"/>
      <c r="S215" s="706"/>
      <c r="T215" s="706"/>
      <c r="U215" s="738">
        <v>0.62806842093767556</v>
      </c>
      <c r="V215" s="738">
        <v>1227.8974155200376</v>
      </c>
      <c r="W215" s="793">
        <v>0.62806842093767556</v>
      </c>
      <c r="X215" s="708">
        <v>1227.8974155200376</v>
      </c>
      <c r="Y215" s="719">
        <v>23330.050894880715</v>
      </c>
      <c r="Z215" s="719">
        <v>11048.341077309895</v>
      </c>
      <c r="AA215" s="719">
        <v>581.49163564788921</v>
      </c>
      <c r="AB215" s="738">
        <v>0.29743244734753344</v>
      </c>
      <c r="AC215" s="792">
        <v>1</v>
      </c>
      <c r="AD215" s="792">
        <v>1</v>
      </c>
      <c r="AE215" s="717">
        <v>0.56884057971014501</v>
      </c>
      <c r="AF215" s="714">
        <v>4.2407531067898789E-2</v>
      </c>
      <c r="AG215" s="706"/>
      <c r="AH215" s="792">
        <v>0.47356695135775378</v>
      </c>
      <c r="AI215" s="748">
        <v>0.56884057971014501</v>
      </c>
      <c r="AJ215" s="748">
        <v>4.2407531067898789E-2</v>
      </c>
      <c r="AK215" s="748"/>
      <c r="AL215" s="714">
        <v>0.47356695135775378</v>
      </c>
      <c r="AM215" s="706"/>
      <c r="AN215" s="706"/>
      <c r="AO215" s="706"/>
      <c r="AP215" s="706"/>
      <c r="AQ215" s="706"/>
      <c r="AR215" s="706" t="s">
        <v>957</v>
      </c>
      <c r="AS215" s="706"/>
      <c r="AT215" s="706"/>
      <c r="AU215" s="706"/>
      <c r="AV215" s="706">
        <v>0.29743244734753344</v>
      </c>
      <c r="AW215" s="706">
        <v>0.29743244734753344</v>
      </c>
      <c r="AX215" s="706">
        <v>0.29743244734753344</v>
      </c>
      <c r="AY215" s="706">
        <v>0.29743244734753344</v>
      </c>
      <c r="AZ215" s="706">
        <v>0.29743244734753344</v>
      </c>
      <c r="BA215" s="706">
        <v>0.29743244734753344</v>
      </c>
      <c r="BB215" s="706">
        <v>0.29743244734753344</v>
      </c>
      <c r="BC215" s="706">
        <v>0.29743244734753344</v>
      </c>
      <c r="BD215" s="706">
        <v>0.29743244734753344</v>
      </c>
      <c r="BE215" s="706">
        <v>0.29743244734753344</v>
      </c>
      <c r="BF215" s="706">
        <v>0.29743244734753344</v>
      </c>
      <c r="BG215" s="706">
        <v>0.29743244734753344</v>
      </c>
      <c r="BH215" s="706">
        <v>0.29743244734753344</v>
      </c>
      <c r="BI215" s="706">
        <v>0.29743244734753344</v>
      </c>
      <c r="BJ215" s="706">
        <v>0.29743244734753344</v>
      </c>
      <c r="BK215" s="706">
        <v>0.29743244734753344</v>
      </c>
      <c r="BL215" s="706">
        <v>0.29743244734753344</v>
      </c>
      <c r="BM215" s="706">
        <v>0.29743244734753344</v>
      </c>
      <c r="BN215" s="706">
        <v>0.29743244734753344</v>
      </c>
      <c r="BO215" s="706"/>
      <c r="BP215" s="706"/>
      <c r="BQ215" s="706"/>
      <c r="BR215" s="706"/>
      <c r="BS215" s="706"/>
      <c r="BT215" s="706"/>
      <c r="BU215" s="706"/>
      <c r="BV215" s="791">
        <v>581.49163564788921</v>
      </c>
      <c r="BW215" s="791">
        <v>581.49163564788921</v>
      </c>
      <c r="BX215" s="791">
        <v>581.49163564788921</v>
      </c>
      <c r="BY215" s="791">
        <v>581.49163564788921</v>
      </c>
      <c r="BZ215" s="791">
        <v>581.49163564788921</v>
      </c>
      <c r="CA215" s="791">
        <v>581.49163564788921</v>
      </c>
      <c r="CB215" s="791">
        <v>581.49163564788921</v>
      </c>
      <c r="CC215" s="791">
        <v>581.49163564788921</v>
      </c>
      <c r="CD215" s="791">
        <v>581.49163564788921</v>
      </c>
      <c r="CE215" s="791">
        <v>581.49163564788921</v>
      </c>
      <c r="CF215" s="791">
        <v>581.49163564788921</v>
      </c>
      <c r="CG215" s="791">
        <v>581.49163564788921</v>
      </c>
      <c r="CH215" s="791">
        <v>581.49163564788921</v>
      </c>
      <c r="CI215" s="791">
        <v>581.49163564788921</v>
      </c>
      <c r="CJ215" s="791">
        <v>581.49163564788921</v>
      </c>
      <c r="CK215" s="791">
        <v>581.49163564788921</v>
      </c>
      <c r="CL215" s="791">
        <v>581.49163564788921</v>
      </c>
      <c r="CM215" s="791">
        <v>581.49163564788921</v>
      </c>
      <c r="CN215" s="791">
        <v>581.49163564788921</v>
      </c>
      <c r="CO215" s="706"/>
      <c r="CP215" s="706"/>
      <c r="CQ215" s="706"/>
      <c r="CR215" s="706"/>
    </row>
    <row r="216" spans="1:96">
      <c r="A216" s="694" t="s">
        <v>3</v>
      </c>
      <c r="B216" s="794">
        <v>41802</v>
      </c>
      <c r="C216" s="743">
        <v>2014</v>
      </c>
      <c r="D216" s="746" t="s">
        <v>15</v>
      </c>
      <c r="E216" s="746" t="s">
        <v>25</v>
      </c>
      <c r="F216" s="746" t="s">
        <v>17</v>
      </c>
      <c r="G216" s="746" t="s">
        <v>58</v>
      </c>
      <c r="H216" s="694" t="s">
        <v>959</v>
      </c>
      <c r="I216" s="746" t="s">
        <v>5</v>
      </c>
      <c r="J216" s="746" t="s">
        <v>376</v>
      </c>
      <c r="K216" s="706">
        <v>1</v>
      </c>
      <c r="L216" s="745" t="s">
        <v>58</v>
      </c>
      <c r="M216" s="706" t="s">
        <v>904</v>
      </c>
      <c r="N216" s="706">
        <v>19</v>
      </c>
      <c r="O216" s="706"/>
      <c r="P216" s="706"/>
      <c r="Q216" s="706"/>
      <c r="R216" s="706"/>
      <c r="S216" s="706"/>
      <c r="T216" s="706"/>
      <c r="U216" s="738">
        <v>0.62806842093767556</v>
      </c>
      <c r="V216" s="738">
        <v>1227.8974155200376</v>
      </c>
      <c r="W216" s="793">
        <v>0.62806842093767556</v>
      </c>
      <c r="X216" s="708">
        <v>1227.8974155200376</v>
      </c>
      <c r="Y216" s="719">
        <v>23330.050894880715</v>
      </c>
      <c r="Z216" s="719">
        <v>11048.341077309895</v>
      </c>
      <c r="AA216" s="719">
        <v>581.49163564788921</v>
      </c>
      <c r="AB216" s="738">
        <v>0.29743244734753344</v>
      </c>
      <c r="AC216" s="792">
        <v>1</v>
      </c>
      <c r="AD216" s="792">
        <v>1</v>
      </c>
      <c r="AE216" s="717">
        <v>0.56884057971014501</v>
      </c>
      <c r="AF216" s="714">
        <v>4.2407531067898789E-2</v>
      </c>
      <c r="AG216" s="706"/>
      <c r="AH216" s="792">
        <v>0.47356695135775378</v>
      </c>
      <c r="AI216" s="748">
        <v>0.56884057971014501</v>
      </c>
      <c r="AJ216" s="748">
        <v>4.2407531067898789E-2</v>
      </c>
      <c r="AK216" s="748"/>
      <c r="AL216" s="714">
        <v>0.47356695135775378</v>
      </c>
      <c r="AM216" s="706"/>
      <c r="AN216" s="706"/>
      <c r="AO216" s="706"/>
      <c r="AP216" s="706"/>
      <c r="AQ216" s="706"/>
      <c r="AR216" s="706" t="s">
        <v>957</v>
      </c>
      <c r="AS216" s="706"/>
      <c r="AT216" s="706"/>
      <c r="AU216" s="706"/>
      <c r="AV216" s="706">
        <v>0.29743244734753344</v>
      </c>
      <c r="AW216" s="706">
        <v>0.29743244734753344</v>
      </c>
      <c r="AX216" s="706">
        <v>0.29743244734753344</v>
      </c>
      <c r="AY216" s="706">
        <v>0.29743244734753344</v>
      </c>
      <c r="AZ216" s="706">
        <v>0.29743244734753344</v>
      </c>
      <c r="BA216" s="706">
        <v>0.29743244734753344</v>
      </c>
      <c r="BB216" s="706">
        <v>0.29743244734753344</v>
      </c>
      <c r="BC216" s="706">
        <v>0.29743244734753344</v>
      </c>
      <c r="BD216" s="706">
        <v>0.29743244734753344</v>
      </c>
      <c r="BE216" s="706">
        <v>0.29743244734753344</v>
      </c>
      <c r="BF216" s="706">
        <v>0.29743244734753344</v>
      </c>
      <c r="BG216" s="706">
        <v>0.29743244734753344</v>
      </c>
      <c r="BH216" s="706">
        <v>0.29743244734753344</v>
      </c>
      <c r="BI216" s="706">
        <v>0.29743244734753344</v>
      </c>
      <c r="BJ216" s="706">
        <v>0.29743244734753344</v>
      </c>
      <c r="BK216" s="706">
        <v>0.29743244734753344</v>
      </c>
      <c r="BL216" s="706">
        <v>0.29743244734753344</v>
      </c>
      <c r="BM216" s="706">
        <v>0.29743244734753344</v>
      </c>
      <c r="BN216" s="706">
        <v>0.29743244734753344</v>
      </c>
      <c r="BO216" s="706"/>
      <c r="BP216" s="706"/>
      <c r="BQ216" s="706"/>
      <c r="BR216" s="706"/>
      <c r="BS216" s="706"/>
      <c r="BT216" s="706"/>
      <c r="BU216" s="706"/>
      <c r="BV216" s="791">
        <v>581.49163564788921</v>
      </c>
      <c r="BW216" s="791">
        <v>581.49163564788921</v>
      </c>
      <c r="BX216" s="791">
        <v>581.49163564788921</v>
      </c>
      <c r="BY216" s="791">
        <v>581.49163564788921</v>
      </c>
      <c r="BZ216" s="791">
        <v>581.49163564788921</v>
      </c>
      <c r="CA216" s="791">
        <v>581.49163564788921</v>
      </c>
      <c r="CB216" s="791">
        <v>581.49163564788921</v>
      </c>
      <c r="CC216" s="791">
        <v>581.49163564788921</v>
      </c>
      <c r="CD216" s="791">
        <v>581.49163564788921</v>
      </c>
      <c r="CE216" s="791">
        <v>581.49163564788921</v>
      </c>
      <c r="CF216" s="791">
        <v>581.49163564788921</v>
      </c>
      <c r="CG216" s="791">
        <v>581.49163564788921</v>
      </c>
      <c r="CH216" s="791">
        <v>581.49163564788921</v>
      </c>
      <c r="CI216" s="791">
        <v>581.49163564788921</v>
      </c>
      <c r="CJ216" s="791">
        <v>581.49163564788921</v>
      </c>
      <c r="CK216" s="791">
        <v>581.49163564788921</v>
      </c>
      <c r="CL216" s="791">
        <v>581.49163564788921</v>
      </c>
      <c r="CM216" s="791">
        <v>581.49163564788921</v>
      </c>
      <c r="CN216" s="791">
        <v>581.49163564788921</v>
      </c>
      <c r="CO216" s="706"/>
      <c r="CP216" s="706"/>
      <c r="CQ216" s="706"/>
      <c r="CR216" s="706"/>
    </row>
    <row r="217" spans="1:96">
      <c r="A217" s="694" t="s">
        <v>3</v>
      </c>
      <c r="B217" s="794">
        <v>41752</v>
      </c>
      <c r="C217" s="743">
        <v>2014</v>
      </c>
      <c r="D217" s="746" t="s">
        <v>15</v>
      </c>
      <c r="E217" s="746" t="s">
        <v>25</v>
      </c>
      <c r="F217" s="746" t="s">
        <v>17</v>
      </c>
      <c r="G217" s="746" t="s">
        <v>58</v>
      </c>
      <c r="H217" s="694" t="s">
        <v>959</v>
      </c>
      <c r="I217" s="746" t="s">
        <v>5</v>
      </c>
      <c r="J217" s="746" t="s">
        <v>376</v>
      </c>
      <c r="K217" s="706">
        <v>1</v>
      </c>
      <c r="L217" s="745" t="s">
        <v>58</v>
      </c>
      <c r="M217" s="706" t="s">
        <v>1030</v>
      </c>
      <c r="N217" s="706">
        <v>19</v>
      </c>
      <c r="O217" s="706"/>
      <c r="P217" s="706"/>
      <c r="Q217" s="706"/>
      <c r="R217" s="706"/>
      <c r="S217" s="706"/>
      <c r="T217" s="706"/>
      <c r="U217" s="738">
        <v>0.62806842093767556</v>
      </c>
      <c r="V217" s="738">
        <v>1227.8974155200376</v>
      </c>
      <c r="W217" s="793">
        <v>0.62806842093767556</v>
      </c>
      <c r="X217" s="708">
        <v>1227.8974155200376</v>
      </c>
      <c r="Y217" s="719">
        <v>23330.050894880715</v>
      </c>
      <c r="Z217" s="719">
        <v>11048.341077309895</v>
      </c>
      <c r="AA217" s="719">
        <v>581.49163564788921</v>
      </c>
      <c r="AB217" s="738">
        <v>0.29743244734753344</v>
      </c>
      <c r="AC217" s="792">
        <v>1</v>
      </c>
      <c r="AD217" s="792">
        <v>1</v>
      </c>
      <c r="AE217" s="717">
        <v>0.56884057971014501</v>
      </c>
      <c r="AF217" s="714">
        <v>4.2407531067898789E-2</v>
      </c>
      <c r="AG217" s="706"/>
      <c r="AH217" s="792">
        <v>0.47356695135775378</v>
      </c>
      <c r="AI217" s="748">
        <v>0.56884057971014501</v>
      </c>
      <c r="AJ217" s="748">
        <v>4.2407531067898789E-2</v>
      </c>
      <c r="AK217" s="748"/>
      <c r="AL217" s="714">
        <v>0.47356695135775378</v>
      </c>
      <c r="AM217" s="706"/>
      <c r="AN217" s="706"/>
      <c r="AO217" s="706"/>
      <c r="AP217" s="706"/>
      <c r="AQ217" s="706"/>
      <c r="AR217" s="706" t="s">
        <v>957</v>
      </c>
      <c r="AS217" s="706"/>
      <c r="AT217" s="706"/>
      <c r="AU217" s="706"/>
      <c r="AV217" s="706">
        <v>0.29743244734753344</v>
      </c>
      <c r="AW217" s="706">
        <v>0.29743244734753344</v>
      </c>
      <c r="AX217" s="706">
        <v>0.29743244734753344</v>
      </c>
      <c r="AY217" s="706">
        <v>0.29743244734753344</v>
      </c>
      <c r="AZ217" s="706">
        <v>0.29743244734753344</v>
      </c>
      <c r="BA217" s="706">
        <v>0.29743244734753344</v>
      </c>
      <c r="BB217" s="706">
        <v>0.29743244734753344</v>
      </c>
      <c r="BC217" s="706">
        <v>0.29743244734753344</v>
      </c>
      <c r="BD217" s="706">
        <v>0.29743244734753344</v>
      </c>
      <c r="BE217" s="706">
        <v>0.29743244734753344</v>
      </c>
      <c r="BF217" s="706">
        <v>0.29743244734753344</v>
      </c>
      <c r="BG217" s="706">
        <v>0.29743244734753344</v>
      </c>
      <c r="BH217" s="706">
        <v>0.29743244734753344</v>
      </c>
      <c r="BI217" s="706">
        <v>0.29743244734753344</v>
      </c>
      <c r="BJ217" s="706">
        <v>0.29743244734753344</v>
      </c>
      <c r="BK217" s="706">
        <v>0.29743244734753344</v>
      </c>
      <c r="BL217" s="706">
        <v>0.29743244734753344</v>
      </c>
      <c r="BM217" s="706">
        <v>0.29743244734753344</v>
      </c>
      <c r="BN217" s="706">
        <v>0.29743244734753344</v>
      </c>
      <c r="BO217" s="706"/>
      <c r="BP217" s="706"/>
      <c r="BQ217" s="706"/>
      <c r="BR217" s="706"/>
      <c r="BS217" s="706"/>
      <c r="BT217" s="706"/>
      <c r="BU217" s="706"/>
      <c r="BV217" s="791">
        <v>581.49163564788921</v>
      </c>
      <c r="BW217" s="791">
        <v>581.49163564788921</v>
      </c>
      <c r="BX217" s="791">
        <v>581.49163564788921</v>
      </c>
      <c r="BY217" s="791">
        <v>581.49163564788921</v>
      </c>
      <c r="BZ217" s="791">
        <v>581.49163564788921</v>
      </c>
      <c r="CA217" s="791">
        <v>581.49163564788921</v>
      </c>
      <c r="CB217" s="791">
        <v>581.49163564788921</v>
      </c>
      <c r="CC217" s="791">
        <v>581.49163564788921</v>
      </c>
      <c r="CD217" s="791">
        <v>581.49163564788921</v>
      </c>
      <c r="CE217" s="791">
        <v>581.49163564788921</v>
      </c>
      <c r="CF217" s="791">
        <v>581.49163564788921</v>
      </c>
      <c r="CG217" s="791">
        <v>581.49163564788921</v>
      </c>
      <c r="CH217" s="791">
        <v>581.49163564788921</v>
      </c>
      <c r="CI217" s="791">
        <v>581.49163564788921</v>
      </c>
      <c r="CJ217" s="791">
        <v>581.49163564788921</v>
      </c>
      <c r="CK217" s="791">
        <v>581.49163564788921</v>
      </c>
      <c r="CL217" s="791">
        <v>581.49163564788921</v>
      </c>
      <c r="CM217" s="791">
        <v>581.49163564788921</v>
      </c>
      <c r="CN217" s="791">
        <v>581.49163564788921</v>
      </c>
      <c r="CO217" s="706"/>
      <c r="CP217" s="706"/>
      <c r="CQ217" s="706"/>
      <c r="CR217" s="706"/>
    </row>
    <row r="218" spans="1:96">
      <c r="A218" s="694" t="s">
        <v>3</v>
      </c>
      <c r="B218" s="794">
        <v>41750</v>
      </c>
      <c r="C218" s="743">
        <v>2014</v>
      </c>
      <c r="D218" s="746" t="s">
        <v>15</v>
      </c>
      <c r="E218" s="746" t="s">
        <v>25</v>
      </c>
      <c r="F218" s="746" t="s">
        <v>17</v>
      </c>
      <c r="G218" s="746" t="s">
        <v>58</v>
      </c>
      <c r="H218" s="694" t="s">
        <v>959</v>
      </c>
      <c r="I218" s="746" t="s">
        <v>5</v>
      </c>
      <c r="J218" s="746" t="s">
        <v>376</v>
      </c>
      <c r="K218" s="706">
        <v>1</v>
      </c>
      <c r="L218" s="745" t="s">
        <v>58</v>
      </c>
      <c r="M218" s="706" t="s">
        <v>903</v>
      </c>
      <c r="N218" s="706">
        <v>19</v>
      </c>
      <c r="O218" s="706"/>
      <c r="P218" s="706"/>
      <c r="Q218" s="706"/>
      <c r="R218" s="706"/>
      <c r="S218" s="706"/>
      <c r="T218" s="706"/>
      <c r="U218" s="738">
        <v>0.62806842093767556</v>
      </c>
      <c r="V218" s="738">
        <v>1227.8974155200376</v>
      </c>
      <c r="W218" s="793">
        <v>0.62806842093767556</v>
      </c>
      <c r="X218" s="708">
        <v>1227.8974155200376</v>
      </c>
      <c r="Y218" s="719">
        <v>23330.050894880715</v>
      </c>
      <c r="Z218" s="719">
        <v>11048.341077309895</v>
      </c>
      <c r="AA218" s="719">
        <v>581.49163564788921</v>
      </c>
      <c r="AB218" s="738">
        <v>0.29743244734753344</v>
      </c>
      <c r="AC218" s="792">
        <v>1</v>
      </c>
      <c r="AD218" s="792">
        <v>1</v>
      </c>
      <c r="AE218" s="717">
        <v>0.56884057971014501</v>
      </c>
      <c r="AF218" s="714">
        <v>4.2407531067898789E-2</v>
      </c>
      <c r="AG218" s="706"/>
      <c r="AH218" s="792">
        <v>0.47356695135775378</v>
      </c>
      <c r="AI218" s="748">
        <v>0.56884057971014501</v>
      </c>
      <c r="AJ218" s="748">
        <v>4.2407531067898789E-2</v>
      </c>
      <c r="AK218" s="748"/>
      <c r="AL218" s="714">
        <v>0.47356695135775378</v>
      </c>
      <c r="AM218" s="706"/>
      <c r="AN218" s="706"/>
      <c r="AO218" s="706"/>
      <c r="AP218" s="706"/>
      <c r="AQ218" s="706"/>
      <c r="AR218" s="706" t="s">
        <v>957</v>
      </c>
      <c r="AS218" s="706"/>
      <c r="AT218" s="706"/>
      <c r="AU218" s="706"/>
      <c r="AV218" s="706">
        <v>0.29743244734753344</v>
      </c>
      <c r="AW218" s="706">
        <v>0.29743244734753344</v>
      </c>
      <c r="AX218" s="706">
        <v>0.29743244734753344</v>
      </c>
      <c r="AY218" s="706">
        <v>0.29743244734753344</v>
      </c>
      <c r="AZ218" s="706">
        <v>0.29743244734753344</v>
      </c>
      <c r="BA218" s="706">
        <v>0.29743244734753344</v>
      </c>
      <c r="BB218" s="706">
        <v>0.29743244734753344</v>
      </c>
      <c r="BC218" s="706">
        <v>0.29743244734753344</v>
      </c>
      <c r="BD218" s="706">
        <v>0.29743244734753344</v>
      </c>
      <c r="BE218" s="706">
        <v>0.29743244734753344</v>
      </c>
      <c r="BF218" s="706">
        <v>0.29743244734753344</v>
      </c>
      <c r="BG218" s="706">
        <v>0.29743244734753344</v>
      </c>
      <c r="BH218" s="706">
        <v>0.29743244734753344</v>
      </c>
      <c r="BI218" s="706">
        <v>0.29743244734753344</v>
      </c>
      <c r="BJ218" s="706">
        <v>0.29743244734753344</v>
      </c>
      <c r="BK218" s="706">
        <v>0.29743244734753344</v>
      </c>
      <c r="BL218" s="706">
        <v>0.29743244734753344</v>
      </c>
      <c r="BM218" s="706">
        <v>0.29743244734753344</v>
      </c>
      <c r="BN218" s="706">
        <v>0.29743244734753344</v>
      </c>
      <c r="BO218" s="706"/>
      <c r="BP218" s="706"/>
      <c r="BQ218" s="706"/>
      <c r="BR218" s="706"/>
      <c r="BS218" s="706"/>
      <c r="BT218" s="706"/>
      <c r="BU218" s="706"/>
      <c r="BV218" s="791">
        <v>581.49163564788921</v>
      </c>
      <c r="BW218" s="791">
        <v>581.49163564788921</v>
      </c>
      <c r="BX218" s="791">
        <v>581.49163564788921</v>
      </c>
      <c r="BY218" s="791">
        <v>581.49163564788921</v>
      </c>
      <c r="BZ218" s="791">
        <v>581.49163564788921</v>
      </c>
      <c r="CA218" s="791">
        <v>581.49163564788921</v>
      </c>
      <c r="CB218" s="791">
        <v>581.49163564788921</v>
      </c>
      <c r="CC218" s="791">
        <v>581.49163564788921</v>
      </c>
      <c r="CD218" s="791">
        <v>581.49163564788921</v>
      </c>
      <c r="CE218" s="791">
        <v>581.49163564788921</v>
      </c>
      <c r="CF218" s="791">
        <v>581.49163564788921</v>
      </c>
      <c r="CG218" s="791">
        <v>581.49163564788921</v>
      </c>
      <c r="CH218" s="791">
        <v>581.49163564788921</v>
      </c>
      <c r="CI218" s="791">
        <v>581.49163564788921</v>
      </c>
      <c r="CJ218" s="791">
        <v>581.49163564788921</v>
      </c>
      <c r="CK218" s="791">
        <v>581.49163564788921</v>
      </c>
      <c r="CL218" s="791">
        <v>581.49163564788921</v>
      </c>
      <c r="CM218" s="791">
        <v>581.49163564788921</v>
      </c>
      <c r="CN218" s="791">
        <v>581.49163564788921</v>
      </c>
      <c r="CO218" s="706"/>
      <c r="CP218" s="706"/>
      <c r="CQ218" s="706"/>
      <c r="CR218" s="706"/>
    </row>
    <row r="219" spans="1:96">
      <c r="A219" s="694" t="s">
        <v>3</v>
      </c>
      <c r="B219" s="794">
        <v>41857</v>
      </c>
      <c r="C219" s="743">
        <v>2014</v>
      </c>
      <c r="D219" s="746" t="s">
        <v>15</v>
      </c>
      <c r="E219" s="746" t="s">
        <v>25</v>
      </c>
      <c r="F219" s="746" t="s">
        <v>17</v>
      </c>
      <c r="G219" s="746" t="s">
        <v>58</v>
      </c>
      <c r="H219" s="694" t="s">
        <v>959</v>
      </c>
      <c r="I219" s="746" t="s">
        <v>5</v>
      </c>
      <c r="J219" s="746" t="s">
        <v>376</v>
      </c>
      <c r="K219" s="706">
        <v>1</v>
      </c>
      <c r="L219" s="745" t="s">
        <v>58</v>
      </c>
      <c r="M219" s="706" t="s">
        <v>1029</v>
      </c>
      <c r="N219" s="706">
        <v>19</v>
      </c>
      <c r="O219" s="706"/>
      <c r="P219" s="706"/>
      <c r="Q219" s="706"/>
      <c r="R219" s="706"/>
      <c r="S219" s="706"/>
      <c r="T219" s="706"/>
      <c r="U219" s="738">
        <v>0.62806842093767556</v>
      </c>
      <c r="V219" s="738">
        <v>1227.8974155200376</v>
      </c>
      <c r="W219" s="793">
        <v>0.62806842093767556</v>
      </c>
      <c r="X219" s="708">
        <v>1227.8974155200376</v>
      </c>
      <c r="Y219" s="719">
        <v>23330.050894880715</v>
      </c>
      <c r="Z219" s="719">
        <v>11048.341077309895</v>
      </c>
      <c r="AA219" s="719">
        <v>581.49163564788921</v>
      </c>
      <c r="AB219" s="738">
        <v>0.29743244734753344</v>
      </c>
      <c r="AC219" s="792">
        <v>1</v>
      </c>
      <c r="AD219" s="792">
        <v>1</v>
      </c>
      <c r="AE219" s="717">
        <v>0.56884057971014501</v>
      </c>
      <c r="AF219" s="714">
        <v>4.2407531067898789E-2</v>
      </c>
      <c r="AG219" s="706"/>
      <c r="AH219" s="792">
        <v>0.47356695135775378</v>
      </c>
      <c r="AI219" s="748">
        <v>0.56884057971014501</v>
      </c>
      <c r="AJ219" s="748">
        <v>4.2407531067898789E-2</v>
      </c>
      <c r="AK219" s="748"/>
      <c r="AL219" s="714">
        <v>0.47356695135775378</v>
      </c>
      <c r="AM219" s="706"/>
      <c r="AN219" s="706"/>
      <c r="AO219" s="706"/>
      <c r="AP219" s="706"/>
      <c r="AQ219" s="706"/>
      <c r="AR219" s="706" t="s">
        <v>957</v>
      </c>
      <c r="AS219" s="706"/>
      <c r="AT219" s="706"/>
      <c r="AU219" s="706"/>
      <c r="AV219" s="706">
        <v>0.29743244734753344</v>
      </c>
      <c r="AW219" s="706">
        <v>0.29743244734753344</v>
      </c>
      <c r="AX219" s="706">
        <v>0.29743244734753344</v>
      </c>
      <c r="AY219" s="706">
        <v>0.29743244734753344</v>
      </c>
      <c r="AZ219" s="706">
        <v>0.29743244734753344</v>
      </c>
      <c r="BA219" s="706">
        <v>0.29743244734753344</v>
      </c>
      <c r="BB219" s="706">
        <v>0.29743244734753344</v>
      </c>
      <c r="BC219" s="706">
        <v>0.29743244734753344</v>
      </c>
      <c r="BD219" s="706">
        <v>0.29743244734753344</v>
      </c>
      <c r="BE219" s="706">
        <v>0.29743244734753344</v>
      </c>
      <c r="BF219" s="706">
        <v>0.29743244734753344</v>
      </c>
      <c r="BG219" s="706">
        <v>0.29743244734753344</v>
      </c>
      <c r="BH219" s="706">
        <v>0.29743244734753344</v>
      </c>
      <c r="BI219" s="706">
        <v>0.29743244734753344</v>
      </c>
      <c r="BJ219" s="706">
        <v>0.29743244734753344</v>
      </c>
      <c r="BK219" s="706">
        <v>0.29743244734753344</v>
      </c>
      <c r="BL219" s="706">
        <v>0.29743244734753344</v>
      </c>
      <c r="BM219" s="706">
        <v>0.29743244734753344</v>
      </c>
      <c r="BN219" s="706">
        <v>0.29743244734753344</v>
      </c>
      <c r="BO219" s="706"/>
      <c r="BP219" s="706"/>
      <c r="BQ219" s="706"/>
      <c r="BR219" s="706"/>
      <c r="BS219" s="706"/>
      <c r="BT219" s="706"/>
      <c r="BU219" s="706"/>
      <c r="BV219" s="791">
        <v>581.49163564788921</v>
      </c>
      <c r="BW219" s="791">
        <v>581.49163564788921</v>
      </c>
      <c r="BX219" s="791">
        <v>581.49163564788921</v>
      </c>
      <c r="BY219" s="791">
        <v>581.49163564788921</v>
      </c>
      <c r="BZ219" s="791">
        <v>581.49163564788921</v>
      </c>
      <c r="CA219" s="791">
        <v>581.49163564788921</v>
      </c>
      <c r="CB219" s="791">
        <v>581.49163564788921</v>
      </c>
      <c r="CC219" s="791">
        <v>581.49163564788921</v>
      </c>
      <c r="CD219" s="791">
        <v>581.49163564788921</v>
      </c>
      <c r="CE219" s="791">
        <v>581.49163564788921</v>
      </c>
      <c r="CF219" s="791">
        <v>581.49163564788921</v>
      </c>
      <c r="CG219" s="791">
        <v>581.49163564788921</v>
      </c>
      <c r="CH219" s="791">
        <v>581.49163564788921</v>
      </c>
      <c r="CI219" s="791">
        <v>581.49163564788921</v>
      </c>
      <c r="CJ219" s="791">
        <v>581.49163564788921</v>
      </c>
      <c r="CK219" s="791">
        <v>581.49163564788921</v>
      </c>
      <c r="CL219" s="791">
        <v>581.49163564788921</v>
      </c>
      <c r="CM219" s="791">
        <v>581.49163564788921</v>
      </c>
      <c r="CN219" s="791">
        <v>581.49163564788921</v>
      </c>
      <c r="CO219" s="706"/>
      <c r="CP219" s="706"/>
      <c r="CQ219" s="706"/>
      <c r="CR219" s="706"/>
    </row>
    <row r="220" spans="1:96">
      <c r="A220" s="694" t="s">
        <v>3</v>
      </c>
      <c r="B220" s="794">
        <v>41863</v>
      </c>
      <c r="C220" s="743">
        <v>2014</v>
      </c>
      <c r="D220" s="746" t="s">
        <v>15</v>
      </c>
      <c r="E220" s="746" t="s">
        <v>25</v>
      </c>
      <c r="F220" s="746" t="s">
        <v>17</v>
      </c>
      <c r="G220" s="746" t="s">
        <v>58</v>
      </c>
      <c r="H220" s="694" t="s">
        <v>959</v>
      </c>
      <c r="I220" s="746" t="s">
        <v>5</v>
      </c>
      <c r="J220" s="746" t="s">
        <v>376</v>
      </c>
      <c r="K220" s="706">
        <v>1</v>
      </c>
      <c r="L220" s="745" t="s">
        <v>58</v>
      </c>
      <c r="M220" s="706" t="s">
        <v>1028</v>
      </c>
      <c r="N220" s="706">
        <v>19</v>
      </c>
      <c r="O220" s="706"/>
      <c r="P220" s="706"/>
      <c r="Q220" s="706"/>
      <c r="R220" s="706"/>
      <c r="S220" s="706"/>
      <c r="T220" s="706"/>
      <c r="U220" s="738">
        <v>0.62806842093767556</v>
      </c>
      <c r="V220" s="738">
        <v>1227.8974155200376</v>
      </c>
      <c r="W220" s="793">
        <v>0.62806842093767556</v>
      </c>
      <c r="X220" s="708">
        <v>1227.8974155200376</v>
      </c>
      <c r="Y220" s="719">
        <v>23330.050894880715</v>
      </c>
      <c r="Z220" s="719">
        <v>11048.341077309895</v>
      </c>
      <c r="AA220" s="719">
        <v>581.49163564788921</v>
      </c>
      <c r="AB220" s="738">
        <v>0.29743244734753344</v>
      </c>
      <c r="AC220" s="792">
        <v>1</v>
      </c>
      <c r="AD220" s="792">
        <v>1</v>
      </c>
      <c r="AE220" s="717">
        <v>0.56884057971014501</v>
      </c>
      <c r="AF220" s="714">
        <v>4.2407531067898789E-2</v>
      </c>
      <c r="AG220" s="706"/>
      <c r="AH220" s="792">
        <v>0.47356695135775378</v>
      </c>
      <c r="AI220" s="748">
        <v>0.56884057971014501</v>
      </c>
      <c r="AJ220" s="748">
        <v>4.2407531067898789E-2</v>
      </c>
      <c r="AK220" s="748"/>
      <c r="AL220" s="714">
        <v>0.47356695135775378</v>
      </c>
      <c r="AM220" s="706"/>
      <c r="AN220" s="706"/>
      <c r="AO220" s="706"/>
      <c r="AP220" s="706"/>
      <c r="AQ220" s="706"/>
      <c r="AR220" s="706" t="s">
        <v>957</v>
      </c>
      <c r="AS220" s="706"/>
      <c r="AT220" s="706"/>
      <c r="AU220" s="706"/>
      <c r="AV220" s="706">
        <v>0.29743244734753344</v>
      </c>
      <c r="AW220" s="706">
        <v>0.29743244734753344</v>
      </c>
      <c r="AX220" s="706">
        <v>0.29743244734753344</v>
      </c>
      <c r="AY220" s="706">
        <v>0.29743244734753344</v>
      </c>
      <c r="AZ220" s="706">
        <v>0.29743244734753344</v>
      </c>
      <c r="BA220" s="706">
        <v>0.29743244734753344</v>
      </c>
      <c r="BB220" s="706">
        <v>0.29743244734753344</v>
      </c>
      <c r="BC220" s="706">
        <v>0.29743244734753344</v>
      </c>
      <c r="BD220" s="706">
        <v>0.29743244734753344</v>
      </c>
      <c r="BE220" s="706">
        <v>0.29743244734753344</v>
      </c>
      <c r="BF220" s="706">
        <v>0.29743244734753344</v>
      </c>
      <c r="BG220" s="706">
        <v>0.29743244734753344</v>
      </c>
      <c r="BH220" s="706">
        <v>0.29743244734753344</v>
      </c>
      <c r="BI220" s="706">
        <v>0.29743244734753344</v>
      </c>
      <c r="BJ220" s="706">
        <v>0.29743244734753344</v>
      </c>
      <c r="BK220" s="706">
        <v>0.29743244734753344</v>
      </c>
      <c r="BL220" s="706">
        <v>0.29743244734753344</v>
      </c>
      <c r="BM220" s="706">
        <v>0.29743244734753344</v>
      </c>
      <c r="BN220" s="706">
        <v>0.29743244734753344</v>
      </c>
      <c r="BO220" s="706"/>
      <c r="BP220" s="706"/>
      <c r="BQ220" s="706"/>
      <c r="BR220" s="706"/>
      <c r="BS220" s="706"/>
      <c r="BT220" s="706"/>
      <c r="BU220" s="706"/>
      <c r="BV220" s="791">
        <v>581.49163564788921</v>
      </c>
      <c r="BW220" s="791">
        <v>581.49163564788921</v>
      </c>
      <c r="BX220" s="791">
        <v>581.49163564788921</v>
      </c>
      <c r="BY220" s="791">
        <v>581.49163564788921</v>
      </c>
      <c r="BZ220" s="791">
        <v>581.49163564788921</v>
      </c>
      <c r="CA220" s="791">
        <v>581.49163564788921</v>
      </c>
      <c r="CB220" s="791">
        <v>581.49163564788921</v>
      </c>
      <c r="CC220" s="791">
        <v>581.49163564788921</v>
      </c>
      <c r="CD220" s="791">
        <v>581.49163564788921</v>
      </c>
      <c r="CE220" s="791">
        <v>581.49163564788921</v>
      </c>
      <c r="CF220" s="791">
        <v>581.49163564788921</v>
      </c>
      <c r="CG220" s="791">
        <v>581.49163564788921</v>
      </c>
      <c r="CH220" s="791">
        <v>581.49163564788921</v>
      </c>
      <c r="CI220" s="791">
        <v>581.49163564788921</v>
      </c>
      <c r="CJ220" s="791">
        <v>581.49163564788921</v>
      </c>
      <c r="CK220" s="791">
        <v>581.49163564788921</v>
      </c>
      <c r="CL220" s="791">
        <v>581.49163564788921</v>
      </c>
      <c r="CM220" s="791">
        <v>581.49163564788921</v>
      </c>
      <c r="CN220" s="791">
        <v>581.49163564788921</v>
      </c>
      <c r="CO220" s="706"/>
      <c r="CP220" s="706"/>
      <c r="CQ220" s="706"/>
      <c r="CR220" s="706"/>
    </row>
    <row r="221" spans="1:96">
      <c r="A221" s="694" t="s">
        <v>3</v>
      </c>
      <c r="B221" s="794">
        <v>41996</v>
      </c>
      <c r="C221" s="743">
        <v>2014</v>
      </c>
      <c r="D221" s="746" t="s">
        <v>15</v>
      </c>
      <c r="E221" s="746" t="s">
        <v>25</v>
      </c>
      <c r="F221" s="746" t="s">
        <v>17</v>
      </c>
      <c r="G221" s="746" t="s">
        <v>58</v>
      </c>
      <c r="H221" s="694" t="s">
        <v>959</v>
      </c>
      <c r="I221" s="746" t="s">
        <v>5</v>
      </c>
      <c r="J221" s="746" t="s">
        <v>376</v>
      </c>
      <c r="K221" s="706">
        <v>1</v>
      </c>
      <c r="L221" s="745" t="s">
        <v>58</v>
      </c>
      <c r="M221" s="706" t="s">
        <v>894</v>
      </c>
      <c r="N221" s="706">
        <v>19</v>
      </c>
      <c r="O221" s="706"/>
      <c r="P221" s="706"/>
      <c r="Q221" s="706"/>
      <c r="R221" s="706"/>
      <c r="S221" s="706"/>
      <c r="T221" s="706"/>
      <c r="U221" s="738">
        <v>0.62806842093767556</v>
      </c>
      <c r="V221" s="738">
        <v>1227.8974155200376</v>
      </c>
      <c r="W221" s="793">
        <v>0.62806842093767556</v>
      </c>
      <c r="X221" s="708">
        <v>1227.8974155200376</v>
      </c>
      <c r="Y221" s="719">
        <v>23330.050894880715</v>
      </c>
      <c r="Z221" s="719">
        <v>11048.341077309895</v>
      </c>
      <c r="AA221" s="719">
        <v>581.49163564788921</v>
      </c>
      <c r="AB221" s="738">
        <v>0.29743244734753344</v>
      </c>
      <c r="AC221" s="792">
        <v>1</v>
      </c>
      <c r="AD221" s="792">
        <v>1</v>
      </c>
      <c r="AE221" s="717">
        <v>0.56884057971014501</v>
      </c>
      <c r="AF221" s="714">
        <v>4.2407531067898789E-2</v>
      </c>
      <c r="AG221" s="706"/>
      <c r="AH221" s="792">
        <v>0.47356695135775378</v>
      </c>
      <c r="AI221" s="748">
        <v>0.56884057971014501</v>
      </c>
      <c r="AJ221" s="748">
        <v>4.2407531067898789E-2</v>
      </c>
      <c r="AK221" s="748"/>
      <c r="AL221" s="714">
        <v>0.47356695135775378</v>
      </c>
      <c r="AM221" s="706"/>
      <c r="AN221" s="706"/>
      <c r="AO221" s="706"/>
      <c r="AP221" s="706"/>
      <c r="AQ221" s="706"/>
      <c r="AR221" s="706" t="s">
        <v>957</v>
      </c>
      <c r="AS221" s="706"/>
      <c r="AT221" s="706"/>
      <c r="AU221" s="706"/>
      <c r="AV221" s="706">
        <v>0.29743244734753344</v>
      </c>
      <c r="AW221" s="706">
        <v>0.29743244734753344</v>
      </c>
      <c r="AX221" s="706">
        <v>0.29743244734753344</v>
      </c>
      <c r="AY221" s="706">
        <v>0.29743244734753344</v>
      </c>
      <c r="AZ221" s="706">
        <v>0.29743244734753344</v>
      </c>
      <c r="BA221" s="706">
        <v>0.29743244734753344</v>
      </c>
      <c r="BB221" s="706">
        <v>0.29743244734753344</v>
      </c>
      <c r="BC221" s="706">
        <v>0.29743244734753344</v>
      </c>
      <c r="BD221" s="706">
        <v>0.29743244734753344</v>
      </c>
      <c r="BE221" s="706">
        <v>0.29743244734753344</v>
      </c>
      <c r="BF221" s="706">
        <v>0.29743244734753344</v>
      </c>
      <c r="BG221" s="706">
        <v>0.29743244734753344</v>
      </c>
      <c r="BH221" s="706">
        <v>0.29743244734753344</v>
      </c>
      <c r="BI221" s="706">
        <v>0.29743244734753344</v>
      </c>
      <c r="BJ221" s="706">
        <v>0.29743244734753344</v>
      </c>
      <c r="BK221" s="706">
        <v>0.29743244734753344</v>
      </c>
      <c r="BL221" s="706">
        <v>0.29743244734753344</v>
      </c>
      <c r="BM221" s="706">
        <v>0.29743244734753344</v>
      </c>
      <c r="BN221" s="706">
        <v>0.29743244734753344</v>
      </c>
      <c r="BO221" s="706"/>
      <c r="BP221" s="706"/>
      <c r="BQ221" s="706"/>
      <c r="BR221" s="706"/>
      <c r="BS221" s="706"/>
      <c r="BT221" s="706"/>
      <c r="BU221" s="706"/>
      <c r="BV221" s="791">
        <v>581.49163564788921</v>
      </c>
      <c r="BW221" s="791">
        <v>581.49163564788921</v>
      </c>
      <c r="BX221" s="791">
        <v>581.49163564788921</v>
      </c>
      <c r="BY221" s="791">
        <v>581.49163564788921</v>
      </c>
      <c r="BZ221" s="791">
        <v>581.49163564788921</v>
      </c>
      <c r="CA221" s="791">
        <v>581.49163564788921</v>
      </c>
      <c r="CB221" s="791">
        <v>581.49163564788921</v>
      </c>
      <c r="CC221" s="791">
        <v>581.49163564788921</v>
      </c>
      <c r="CD221" s="791">
        <v>581.49163564788921</v>
      </c>
      <c r="CE221" s="791">
        <v>581.49163564788921</v>
      </c>
      <c r="CF221" s="791">
        <v>581.49163564788921</v>
      </c>
      <c r="CG221" s="791">
        <v>581.49163564788921</v>
      </c>
      <c r="CH221" s="791">
        <v>581.49163564788921</v>
      </c>
      <c r="CI221" s="791">
        <v>581.49163564788921</v>
      </c>
      <c r="CJ221" s="791">
        <v>581.49163564788921</v>
      </c>
      <c r="CK221" s="791">
        <v>581.49163564788921</v>
      </c>
      <c r="CL221" s="791">
        <v>581.49163564788921</v>
      </c>
      <c r="CM221" s="791">
        <v>581.49163564788921</v>
      </c>
      <c r="CN221" s="791">
        <v>581.49163564788921</v>
      </c>
      <c r="CO221" s="706"/>
      <c r="CP221" s="706"/>
      <c r="CQ221" s="706"/>
      <c r="CR221" s="706"/>
    </row>
    <row r="222" spans="1:96">
      <c r="A222" s="694" t="s">
        <v>3</v>
      </c>
      <c r="B222" s="794">
        <v>41859</v>
      </c>
      <c r="C222" s="743">
        <v>2014</v>
      </c>
      <c r="D222" s="746" t="s">
        <v>15</v>
      </c>
      <c r="E222" s="746" t="s">
        <v>25</v>
      </c>
      <c r="F222" s="746" t="s">
        <v>17</v>
      </c>
      <c r="G222" s="746" t="s">
        <v>58</v>
      </c>
      <c r="H222" s="694" t="s">
        <v>959</v>
      </c>
      <c r="I222" s="746" t="s">
        <v>5</v>
      </c>
      <c r="J222" s="746" t="s">
        <v>376</v>
      </c>
      <c r="K222" s="706">
        <v>1</v>
      </c>
      <c r="L222" s="745" t="s">
        <v>58</v>
      </c>
      <c r="M222" s="706" t="s">
        <v>901</v>
      </c>
      <c r="N222" s="706">
        <v>19</v>
      </c>
      <c r="O222" s="706"/>
      <c r="P222" s="706"/>
      <c r="Q222" s="706"/>
      <c r="R222" s="706"/>
      <c r="S222" s="706"/>
      <c r="T222" s="706"/>
      <c r="U222" s="738">
        <v>0.62806842093767556</v>
      </c>
      <c r="V222" s="738">
        <v>1227.8974155200376</v>
      </c>
      <c r="W222" s="793">
        <v>0.62806842093767556</v>
      </c>
      <c r="X222" s="708">
        <v>1227.8974155200376</v>
      </c>
      <c r="Y222" s="719">
        <v>23330.050894880715</v>
      </c>
      <c r="Z222" s="719">
        <v>11048.341077309895</v>
      </c>
      <c r="AA222" s="719">
        <v>581.49163564788921</v>
      </c>
      <c r="AB222" s="738">
        <v>0.29743244734753344</v>
      </c>
      <c r="AC222" s="792">
        <v>1</v>
      </c>
      <c r="AD222" s="792">
        <v>1</v>
      </c>
      <c r="AE222" s="717">
        <v>0.56884057971014501</v>
      </c>
      <c r="AF222" s="714">
        <v>4.2407531067898789E-2</v>
      </c>
      <c r="AG222" s="706"/>
      <c r="AH222" s="792">
        <v>0.47356695135775378</v>
      </c>
      <c r="AI222" s="748">
        <v>0.56884057971014501</v>
      </c>
      <c r="AJ222" s="748">
        <v>4.2407531067898789E-2</v>
      </c>
      <c r="AK222" s="748"/>
      <c r="AL222" s="714">
        <v>0.47356695135775378</v>
      </c>
      <c r="AM222" s="706"/>
      <c r="AN222" s="706"/>
      <c r="AO222" s="706"/>
      <c r="AP222" s="706"/>
      <c r="AQ222" s="706"/>
      <c r="AR222" s="706" t="s">
        <v>957</v>
      </c>
      <c r="AS222" s="706"/>
      <c r="AT222" s="706"/>
      <c r="AU222" s="706"/>
      <c r="AV222" s="706">
        <v>0.29743244734753344</v>
      </c>
      <c r="AW222" s="706">
        <v>0.29743244734753344</v>
      </c>
      <c r="AX222" s="706">
        <v>0.29743244734753344</v>
      </c>
      <c r="AY222" s="706">
        <v>0.29743244734753344</v>
      </c>
      <c r="AZ222" s="706">
        <v>0.29743244734753344</v>
      </c>
      <c r="BA222" s="706">
        <v>0.29743244734753344</v>
      </c>
      <c r="BB222" s="706">
        <v>0.29743244734753344</v>
      </c>
      <c r="BC222" s="706">
        <v>0.29743244734753344</v>
      </c>
      <c r="BD222" s="706">
        <v>0.29743244734753344</v>
      </c>
      <c r="BE222" s="706">
        <v>0.29743244734753344</v>
      </c>
      <c r="BF222" s="706">
        <v>0.29743244734753344</v>
      </c>
      <c r="BG222" s="706">
        <v>0.29743244734753344</v>
      </c>
      <c r="BH222" s="706">
        <v>0.29743244734753344</v>
      </c>
      <c r="BI222" s="706">
        <v>0.29743244734753344</v>
      </c>
      <c r="BJ222" s="706">
        <v>0.29743244734753344</v>
      </c>
      <c r="BK222" s="706">
        <v>0.29743244734753344</v>
      </c>
      <c r="BL222" s="706">
        <v>0.29743244734753344</v>
      </c>
      <c r="BM222" s="706">
        <v>0.29743244734753344</v>
      </c>
      <c r="BN222" s="706">
        <v>0.29743244734753344</v>
      </c>
      <c r="BO222" s="706"/>
      <c r="BP222" s="706"/>
      <c r="BQ222" s="706"/>
      <c r="BR222" s="706"/>
      <c r="BS222" s="706"/>
      <c r="BT222" s="706"/>
      <c r="BU222" s="706"/>
      <c r="BV222" s="791">
        <v>581.49163564788921</v>
      </c>
      <c r="BW222" s="791">
        <v>581.49163564788921</v>
      </c>
      <c r="BX222" s="791">
        <v>581.49163564788921</v>
      </c>
      <c r="BY222" s="791">
        <v>581.49163564788921</v>
      </c>
      <c r="BZ222" s="791">
        <v>581.49163564788921</v>
      </c>
      <c r="CA222" s="791">
        <v>581.49163564788921</v>
      </c>
      <c r="CB222" s="791">
        <v>581.49163564788921</v>
      </c>
      <c r="CC222" s="791">
        <v>581.49163564788921</v>
      </c>
      <c r="CD222" s="791">
        <v>581.49163564788921</v>
      </c>
      <c r="CE222" s="791">
        <v>581.49163564788921</v>
      </c>
      <c r="CF222" s="791">
        <v>581.49163564788921</v>
      </c>
      <c r="CG222" s="791">
        <v>581.49163564788921</v>
      </c>
      <c r="CH222" s="791">
        <v>581.49163564788921</v>
      </c>
      <c r="CI222" s="791">
        <v>581.49163564788921</v>
      </c>
      <c r="CJ222" s="791">
        <v>581.49163564788921</v>
      </c>
      <c r="CK222" s="791">
        <v>581.49163564788921</v>
      </c>
      <c r="CL222" s="791">
        <v>581.49163564788921</v>
      </c>
      <c r="CM222" s="791">
        <v>581.49163564788921</v>
      </c>
      <c r="CN222" s="791">
        <v>581.49163564788921</v>
      </c>
      <c r="CO222" s="706"/>
      <c r="CP222" s="706"/>
      <c r="CQ222" s="706"/>
      <c r="CR222" s="706"/>
    </row>
    <row r="223" spans="1:96">
      <c r="A223" s="694" t="s">
        <v>3</v>
      </c>
      <c r="B223" s="794">
        <v>41774</v>
      </c>
      <c r="C223" s="743">
        <v>2014</v>
      </c>
      <c r="D223" s="746" t="s">
        <v>15</v>
      </c>
      <c r="E223" s="746" t="s">
        <v>25</v>
      </c>
      <c r="F223" s="746" t="s">
        <v>17</v>
      </c>
      <c r="G223" s="746" t="s">
        <v>58</v>
      </c>
      <c r="H223" s="694" t="s">
        <v>959</v>
      </c>
      <c r="I223" s="746" t="s">
        <v>5</v>
      </c>
      <c r="J223" s="746" t="s">
        <v>376</v>
      </c>
      <c r="K223" s="706">
        <v>1</v>
      </c>
      <c r="L223" s="745" t="s">
        <v>58</v>
      </c>
      <c r="M223" s="706" t="s">
        <v>900</v>
      </c>
      <c r="N223" s="706">
        <v>19</v>
      </c>
      <c r="O223" s="706"/>
      <c r="P223" s="706"/>
      <c r="Q223" s="706"/>
      <c r="R223" s="706"/>
      <c r="S223" s="706"/>
      <c r="T223" s="706"/>
      <c r="U223" s="738">
        <v>0.62806842093767556</v>
      </c>
      <c r="V223" s="738">
        <v>1227.8974155200376</v>
      </c>
      <c r="W223" s="793">
        <v>0.62806842093767556</v>
      </c>
      <c r="X223" s="708">
        <v>1227.8974155200376</v>
      </c>
      <c r="Y223" s="719">
        <v>23330.050894880715</v>
      </c>
      <c r="Z223" s="719">
        <v>11048.341077309895</v>
      </c>
      <c r="AA223" s="719">
        <v>581.49163564788921</v>
      </c>
      <c r="AB223" s="738">
        <v>0.29743244734753344</v>
      </c>
      <c r="AC223" s="792">
        <v>1</v>
      </c>
      <c r="AD223" s="792">
        <v>1</v>
      </c>
      <c r="AE223" s="717">
        <v>0.56884057971014501</v>
      </c>
      <c r="AF223" s="714">
        <v>4.2407531067898789E-2</v>
      </c>
      <c r="AG223" s="706"/>
      <c r="AH223" s="792">
        <v>0.47356695135775378</v>
      </c>
      <c r="AI223" s="748">
        <v>0.56884057971014501</v>
      </c>
      <c r="AJ223" s="748">
        <v>4.2407531067898789E-2</v>
      </c>
      <c r="AK223" s="748"/>
      <c r="AL223" s="714">
        <v>0.47356695135775378</v>
      </c>
      <c r="AM223" s="706"/>
      <c r="AN223" s="706"/>
      <c r="AO223" s="706"/>
      <c r="AP223" s="706"/>
      <c r="AQ223" s="706"/>
      <c r="AR223" s="706" t="s">
        <v>957</v>
      </c>
      <c r="AS223" s="706"/>
      <c r="AT223" s="706"/>
      <c r="AU223" s="706"/>
      <c r="AV223" s="706">
        <v>0.29743244734753344</v>
      </c>
      <c r="AW223" s="706">
        <v>0.29743244734753344</v>
      </c>
      <c r="AX223" s="706">
        <v>0.29743244734753344</v>
      </c>
      <c r="AY223" s="706">
        <v>0.29743244734753344</v>
      </c>
      <c r="AZ223" s="706">
        <v>0.29743244734753344</v>
      </c>
      <c r="BA223" s="706">
        <v>0.29743244734753344</v>
      </c>
      <c r="BB223" s="706">
        <v>0.29743244734753344</v>
      </c>
      <c r="BC223" s="706">
        <v>0.29743244734753344</v>
      </c>
      <c r="BD223" s="706">
        <v>0.29743244734753344</v>
      </c>
      <c r="BE223" s="706">
        <v>0.29743244734753344</v>
      </c>
      <c r="BF223" s="706">
        <v>0.29743244734753344</v>
      </c>
      <c r="BG223" s="706">
        <v>0.29743244734753344</v>
      </c>
      <c r="BH223" s="706">
        <v>0.29743244734753344</v>
      </c>
      <c r="BI223" s="706">
        <v>0.29743244734753344</v>
      </c>
      <c r="BJ223" s="706">
        <v>0.29743244734753344</v>
      </c>
      <c r="BK223" s="706">
        <v>0.29743244734753344</v>
      </c>
      <c r="BL223" s="706">
        <v>0.29743244734753344</v>
      </c>
      <c r="BM223" s="706">
        <v>0.29743244734753344</v>
      </c>
      <c r="BN223" s="706">
        <v>0.29743244734753344</v>
      </c>
      <c r="BO223" s="706"/>
      <c r="BP223" s="706"/>
      <c r="BQ223" s="706"/>
      <c r="BR223" s="706"/>
      <c r="BS223" s="706"/>
      <c r="BT223" s="706"/>
      <c r="BU223" s="706"/>
      <c r="BV223" s="791">
        <v>581.49163564788921</v>
      </c>
      <c r="BW223" s="791">
        <v>581.49163564788921</v>
      </c>
      <c r="BX223" s="791">
        <v>581.49163564788921</v>
      </c>
      <c r="BY223" s="791">
        <v>581.49163564788921</v>
      </c>
      <c r="BZ223" s="791">
        <v>581.49163564788921</v>
      </c>
      <c r="CA223" s="791">
        <v>581.49163564788921</v>
      </c>
      <c r="CB223" s="791">
        <v>581.49163564788921</v>
      </c>
      <c r="CC223" s="791">
        <v>581.49163564788921</v>
      </c>
      <c r="CD223" s="791">
        <v>581.49163564788921</v>
      </c>
      <c r="CE223" s="791">
        <v>581.49163564788921</v>
      </c>
      <c r="CF223" s="791">
        <v>581.49163564788921</v>
      </c>
      <c r="CG223" s="791">
        <v>581.49163564788921</v>
      </c>
      <c r="CH223" s="791">
        <v>581.49163564788921</v>
      </c>
      <c r="CI223" s="791">
        <v>581.49163564788921</v>
      </c>
      <c r="CJ223" s="791">
        <v>581.49163564788921</v>
      </c>
      <c r="CK223" s="791">
        <v>581.49163564788921</v>
      </c>
      <c r="CL223" s="791">
        <v>581.49163564788921</v>
      </c>
      <c r="CM223" s="791">
        <v>581.49163564788921</v>
      </c>
      <c r="CN223" s="791">
        <v>581.49163564788921</v>
      </c>
      <c r="CO223" s="706"/>
      <c r="CP223" s="706"/>
      <c r="CQ223" s="706"/>
      <c r="CR223" s="706"/>
    </row>
    <row r="224" spans="1:96">
      <c r="A224" s="694" t="s">
        <v>3</v>
      </c>
      <c r="B224" s="794">
        <v>41870</v>
      </c>
      <c r="C224" s="743">
        <v>2014</v>
      </c>
      <c r="D224" s="746" t="s">
        <v>15</v>
      </c>
      <c r="E224" s="746" t="s">
        <v>25</v>
      </c>
      <c r="F224" s="746" t="s">
        <v>17</v>
      </c>
      <c r="G224" s="746" t="s">
        <v>58</v>
      </c>
      <c r="H224" s="694" t="s">
        <v>959</v>
      </c>
      <c r="I224" s="746" t="s">
        <v>5</v>
      </c>
      <c r="J224" s="746" t="s">
        <v>376</v>
      </c>
      <c r="K224" s="706">
        <v>1</v>
      </c>
      <c r="L224" s="745" t="s">
        <v>58</v>
      </c>
      <c r="M224" s="706" t="s">
        <v>1027</v>
      </c>
      <c r="N224" s="706">
        <v>19</v>
      </c>
      <c r="O224" s="706"/>
      <c r="P224" s="706"/>
      <c r="Q224" s="706"/>
      <c r="R224" s="706"/>
      <c r="S224" s="706"/>
      <c r="T224" s="706"/>
      <c r="U224" s="738">
        <v>0.62806842093767556</v>
      </c>
      <c r="V224" s="738">
        <v>1227.8974155200376</v>
      </c>
      <c r="W224" s="793">
        <v>0.62806842093767556</v>
      </c>
      <c r="X224" s="708">
        <v>1227.8974155200376</v>
      </c>
      <c r="Y224" s="719">
        <v>23330.050894880715</v>
      </c>
      <c r="Z224" s="719">
        <v>11048.341077309895</v>
      </c>
      <c r="AA224" s="719">
        <v>581.49163564788921</v>
      </c>
      <c r="AB224" s="738">
        <v>0.29743244734753344</v>
      </c>
      <c r="AC224" s="792">
        <v>1</v>
      </c>
      <c r="AD224" s="792">
        <v>1</v>
      </c>
      <c r="AE224" s="717">
        <v>0.56884057971014501</v>
      </c>
      <c r="AF224" s="714">
        <v>4.2407531067898789E-2</v>
      </c>
      <c r="AG224" s="706"/>
      <c r="AH224" s="792">
        <v>0.47356695135775378</v>
      </c>
      <c r="AI224" s="748">
        <v>0.56884057971014501</v>
      </c>
      <c r="AJ224" s="748">
        <v>4.2407531067898789E-2</v>
      </c>
      <c r="AK224" s="748"/>
      <c r="AL224" s="714">
        <v>0.47356695135775378</v>
      </c>
      <c r="AM224" s="706"/>
      <c r="AN224" s="706"/>
      <c r="AO224" s="706"/>
      <c r="AP224" s="706"/>
      <c r="AQ224" s="706"/>
      <c r="AR224" s="706" t="s">
        <v>957</v>
      </c>
      <c r="AS224" s="706"/>
      <c r="AT224" s="706"/>
      <c r="AU224" s="706"/>
      <c r="AV224" s="706">
        <v>0.29743244734753344</v>
      </c>
      <c r="AW224" s="706">
        <v>0.29743244734753344</v>
      </c>
      <c r="AX224" s="706">
        <v>0.29743244734753344</v>
      </c>
      <c r="AY224" s="706">
        <v>0.29743244734753344</v>
      </c>
      <c r="AZ224" s="706">
        <v>0.29743244734753344</v>
      </c>
      <c r="BA224" s="706">
        <v>0.29743244734753344</v>
      </c>
      <c r="BB224" s="706">
        <v>0.29743244734753344</v>
      </c>
      <c r="BC224" s="706">
        <v>0.29743244734753344</v>
      </c>
      <c r="BD224" s="706">
        <v>0.29743244734753344</v>
      </c>
      <c r="BE224" s="706">
        <v>0.29743244734753344</v>
      </c>
      <c r="BF224" s="706">
        <v>0.29743244734753344</v>
      </c>
      <c r="BG224" s="706">
        <v>0.29743244734753344</v>
      </c>
      <c r="BH224" s="706">
        <v>0.29743244734753344</v>
      </c>
      <c r="BI224" s="706">
        <v>0.29743244734753344</v>
      </c>
      <c r="BJ224" s="706">
        <v>0.29743244734753344</v>
      </c>
      <c r="BK224" s="706">
        <v>0.29743244734753344</v>
      </c>
      <c r="BL224" s="706">
        <v>0.29743244734753344</v>
      </c>
      <c r="BM224" s="706">
        <v>0.29743244734753344</v>
      </c>
      <c r="BN224" s="706">
        <v>0.29743244734753344</v>
      </c>
      <c r="BO224" s="706"/>
      <c r="BP224" s="706"/>
      <c r="BQ224" s="706"/>
      <c r="BR224" s="706"/>
      <c r="BS224" s="706"/>
      <c r="BT224" s="706"/>
      <c r="BU224" s="706"/>
      <c r="BV224" s="791">
        <v>581.49163564788921</v>
      </c>
      <c r="BW224" s="791">
        <v>581.49163564788921</v>
      </c>
      <c r="BX224" s="791">
        <v>581.49163564788921</v>
      </c>
      <c r="BY224" s="791">
        <v>581.49163564788921</v>
      </c>
      <c r="BZ224" s="791">
        <v>581.49163564788921</v>
      </c>
      <c r="CA224" s="791">
        <v>581.49163564788921</v>
      </c>
      <c r="CB224" s="791">
        <v>581.49163564788921</v>
      </c>
      <c r="CC224" s="791">
        <v>581.49163564788921</v>
      </c>
      <c r="CD224" s="791">
        <v>581.49163564788921</v>
      </c>
      <c r="CE224" s="791">
        <v>581.49163564788921</v>
      </c>
      <c r="CF224" s="791">
        <v>581.49163564788921</v>
      </c>
      <c r="CG224" s="791">
        <v>581.49163564788921</v>
      </c>
      <c r="CH224" s="791">
        <v>581.49163564788921</v>
      </c>
      <c r="CI224" s="791">
        <v>581.49163564788921</v>
      </c>
      <c r="CJ224" s="791">
        <v>581.49163564788921</v>
      </c>
      <c r="CK224" s="791">
        <v>581.49163564788921</v>
      </c>
      <c r="CL224" s="791">
        <v>581.49163564788921</v>
      </c>
      <c r="CM224" s="791">
        <v>581.49163564788921</v>
      </c>
      <c r="CN224" s="791">
        <v>581.49163564788921</v>
      </c>
      <c r="CO224" s="706"/>
      <c r="CP224" s="706"/>
      <c r="CQ224" s="706"/>
      <c r="CR224" s="706"/>
    </row>
    <row r="225" spans="1:96">
      <c r="A225" s="694" t="s">
        <v>3</v>
      </c>
      <c r="B225" s="794">
        <v>41873</v>
      </c>
      <c r="C225" s="743">
        <v>2014</v>
      </c>
      <c r="D225" s="746" t="s">
        <v>15</v>
      </c>
      <c r="E225" s="746" t="s">
        <v>25</v>
      </c>
      <c r="F225" s="746" t="s">
        <v>17</v>
      </c>
      <c r="G225" s="746" t="s">
        <v>58</v>
      </c>
      <c r="H225" s="694" t="s">
        <v>959</v>
      </c>
      <c r="I225" s="746" t="s">
        <v>5</v>
      </c>
      <c r="J225" s="746" t="s">
        <v>376</v>
      </c>
      <c r="K225" s="706">
        <v>1</v>
      </c>
      <c r="L225" s="745" t="s">
        <v>58</v>
      </c>
      <c r="M225" s="706" t="s">
        <v>1026</v>
      </c>
      <c r="N225" s="706">
        <v>19</v>
      </c>
      <c r="O225" s="706"/>
      <c r="P225" s="706"/>
      <c r="Q225" s="706"/>
      <c r="R225" s="706"/>
      <c r="S225" s="706"/>
      <c r="T225" s="706"/>
      <c r="U225" s="738">
        <v>0.62806842093767556</v>
      </c>
      <c r="V225" s="738">
        <v>1227.8974155200376</v>
      </c>
      <c r="W225" s="793">
        <v>0.62806842093767556</v>
      </c>
      <c r="X225" s="708">
        <v>1227.8974155200376</v>
      </c>
      <c r="Y225" s="719">
        <v>23330.050894880715</v>
      </c>
      <c r="Z225" s="719">
        <v>11048.341077309895</v>
      </c>
      <c r="AA225" s="719">
        <v>581.49163564788921</v>
      </c>
      <c r="AB225" s="738">
        <v>0.29743244734753344</v>
      </c>
      <c r="AC225" s="792">
        <v>1</v>
      </c>
      <c r="AD225" s="792">
        <v>1</v>
      </c>
      <c r="AE225" s="717">
        <v>0.56884057971014501</v>
      </c>
      <c r="AF225" s="714">
        <v>4.2407531067898789E-2</v>
      </c>
      <c r="AG225" s="706"/>
      <c r="AH225" s="792">
        <v>0.47356695135775378</v>
      </c>
      <c r="AI225" s="748">
        <v>0.56884057971014501</v>
      </c>
      <c r="AJ225" s="748">
        <v>4.2407531067898789E-2</v>
      </c>
      <c r="AK225" s="748"/>
      <c r="AL225" s="714">
        <v>0.47356695135775378</v>
      </c>
      <c r="AM225" s="706"/>
      <c r="AN225" s="706"/>
      <c r="AO225" s="706"/>
      <c r="AP225" s="706"/>
      <c r="AQ225" s="706"/>
      <c r="AR225" s="706" t="s">
        <v>957</v>
      </c>
      <c r="AS225" s="706"/>
      <c r="AT225" s="706"/>
      <c r="AU225" s="706"/>
      <c r="AV225" s="706">
        <v>0.29743244734753344</v>
      </c>
      <c r="AW225" s="706">
        <v>0.29743244734753344</v>
      </c>
      <c r="AX225" s="706">
        <v>0.29743244734753344</v>
      </c>
      <c r="AY225" s="706">
        <v>0.29743244734753344</v>
      </c>
      <c r="AZ225" s="706">
        <v>0.29743244734753344</v>
      </c>
      <c r="BA225" s="706">
        <v>0.29743244734753344</v>
      </c>
      <c r="BB225" s="706">
        <v>0.29743244734753344</v>
      </c>
      <c r="BC225" s="706">
        <v>0.29743244734753344</v>
      </c>
      <c r="BD225" s="706">
        <v>0.29743244734753344</v>
      </c>
      <c r="BE225" s="706">
        <v>0.29743244734753344</v>
      </c>
      <c r="BF225" s="706">
        <v>0.29743244734753344</v>
      </c>
      <c r="BG225" s="706">
        <v>0.29743244734753344</v>
      </c>
      <c r="BH225" s="706">
        <v>0.29743244734753344</v>
      </c>
      <c r="BI225" s="706">
        <v>0.29743244734753344</v>
      </c>
      <c r="BJ225" s="706">
        <v>0.29743244734753344</v>
      </c>
      <c r="BK225" s="706">
        <v>0.29743244734753344</v>
      </c>
      <c r="BL225" s="706">
        <v>0.29743244734753344</v>
      </c>
      <c r="BM225" s="706">
        <v>0.29743244734753344</v>
      </c>
      <c r="BN225" s="706">
        <v>0.29743244734753344</v>
      </c>
      <c r="BO225" s="706"/>
      <c r="BP225" s="706"/>
      <c r="BQ225" s="706"/>
      <c r="BR225" s="706"/>
      <c r="BS225" s="706"/>
      <c r="BT225" s="706"/>
      <c r="BU225" s="706"/>
      <c r="BV225" s="791">
        <v>581.49163564788921</v>
      </c>
      <c r="BW225" s="791">
        <v>581.49163564788921</v>
      </c>
      <c r="BX225" s="791">
        <v>581.49163564788921</v>
      </c>
      <c r="BY225" s="791">
        <v>581.49163564788921</v>
      </c>
      <c r="BZ225" s="791">
        <v>581.49163564788921</v>
      </c>
      <c r="CA225" s="791">
        <v>581.49163564788921</v>
      </c>
      <c r="CB225" s="791">
        <v>581.49163564788921</v>
      </c>
      <c r="CC225" s="791">
        <v>581.49163564788921</v>
      </c>
      <c r="CD225" s="791">
        <v>581.49163564788921</v>
      </c>
      <c r="CE225" s="791">
        <v>581.49163564788921</v>
      </c>
      <c r="CF225" s="791">
        <v>581.49163564788921</v>
      </c>
      <c r="CG225" s="791">
        <v>581.49163564788921</v>
      </c>
      <c r="CH225" s="791">
        <v>581.49163564788921</v>
      </c>
      <c r="CI225" s="791">
        <v>581.49163564788921</v>
      </c>
      <c r="CJ225" s="791">
        <v>581.49163564788921</v>
      </c>
      <c r="CK225" s="791">
        <v>581.49163564788921</v>
      </c>
      <c r="CL225" s="791">
        <v>581.49163564788921</v>
      </c>
      <c r="CM225" s="791">
        <v>581.49163564788921</v>
      </c>
      <c r="CN225" s="791">
        <v>581.49163564788921</v>
      </c>
      <c r="CO225" s="706"/>
      <c r="CP225" s="706"/>
      <c r="CQ225" s="706"/>
      <c r="CR225" s="706"/>
    </row>
    <row r="226" spans="1:96">
      <c r="A226" s="694" t="s">
        <v>3</v>
      </c>
      <c r="B226" s="794">
        <v>41870</v>
      </c>
      <c r="C226" s="743">
        <v>2014</v>
      </c>
      <c r="D226" s="746" t="s">
        <v>15</v>
      </c>
      <c r="E226" s="746" t="s">
        <v>25</v>
      </c>
      <c r="F226" s="746" t="s">
        <v>17</v>
      </c>
      <c r="G226" s="746" t="s">
        <v>58</v>
      </c>
      <c r="H226" s="694" t="s">
        <v>959</v>
      </c>
      <c r="I226" s="746" t="s">
        <v>5</v>
      </c>
      <c r="J226" s="746" t="s">
        <v>376</v>
      </c>
      <c r="K226" s="706">
        <v>1</v>
      </c>
      <c r="L226" s="745" t="s">
        <v>58</v>
      </c>
      <c r="M226" s="706" t="s">
        <v>1025</v>
      </c>
      <c r="N226" s="706">
        <v>19</v>
      </c>
      <c r="O226" s="706"/>
      <c r="P226" s="706"/>
      <c r="Q226" s="706"/>
      <c r="R226" s="706"/>
      <c r="S226" s="706"/>
      <c r="T226" s="706"/>
      <c r="U226" s="738">
        <v>0.62806842093767556</v>
      </c>
      <c r="V226" s="738">
        <v>1227.8974155200376</v>
      </c>
      <c r="W226" s="793">
        <v>0.62806842093767556</v>
      </c>
      <c r="X226" s="708">
        <v>1227.8974155200376</v>
      </c>
      <c r="Y226" s="719">
        <v>23330.050894880715</v>
      </c>
      <c r="Z226" s="719">
        <v>11048.341077309895</v>
      </c>
      <c r="AA226" s="719">
        <v>581.49163564788921</v>
      </c>
      <c r="AB226" s="738">
        <v>0.29743244734753344</v>
      </c>
      <c r="AC226" s="792">
        <v>1</v>
      </c>
      <c r="AD226" s="792">
        <v>1</v>
      </c>
      <c r="AE226" s="717">
        <v>0.56884057971014501</v>
      </c>
      <c r="AF226" s="714">
        <v>4.2407531067898789E-2</v>
      </c>
      <c r="AG226" s="706"/>
      <c r="AH226" s="792">
        <v>0.47356695135775378</v>
      </c>
      <c r="AI226" s="748">
        <v>0.56884057971014501</v>
      </c>
      <c r="AJ226" s="748">
        <v>4.2407531067898789E-2</v>
      </c>
      <c r="AK226" s="748"/>
      <c r="AL226" s="714">
        <v>0.47356695135775378</v>
      </c>
      <c r="AM226" s="706"/>
      <c r="AN226" s="706"/>
      <c r="AO226" s="706"/>
      <c r="AP226" s="706"/>
      <c r="AQ226" s="706"/>
      <c r="AR226" s="706" t="s">
        <v>957</v>
      </c>
      <c r="AS226" s="706"/>
      <c r="AT226" s="706"/>
      <c r="AU226" s="706"/>
      <c r="AV226" s="706">
        <v>0.29743244734753344</v>
      </c>
      <c r="AW226" s="706">
        <v>0.29743244734753344</v>
      </c>
      <c r="AX226" s="706">
        <v>0.29743244734753344</v>
      </c>
      <c r="AY226" s="706">
        <v>0.29743244734753344</v>
      </c>
      <c r="AZ226" s="706">
        <v>0.29743244734753344</v>
      </c>
      <c r="BA226" s="706">
        <v>0.29743244734753344</v>
      </c>
      <c r="BB226" s="706">
        <v>0.29743244734753344</v>
      </c>
      <c r="BC226" s="706">
        <v>0.29743244734753344</v>
      </c>
      <c r="BD226" s="706">
        <v>0.29743244734753344</v>
      </c>
      <c r="BE226" s="706">
        <v>0.29743244734753344</v>
      </c>
      <c r="BF226" s="706">
        <v>0.29743244734753344</v>
      </c>
      <c r="BG226" s="706">
        <v>0.29743244734753344</v>
      </c>
      <c r="BH226" s="706">
        <v>0.29743244734753344</v>
      </c>
      <c r="BI226" s="706">
        <v>0.29743244734753344</v>
      </c>
      <c r="BJ226" s="706">
        <v>0.29743244734753344</v>
      </c>
      <c r="BK226" s="706">
        <v>0.29743244734753344</v>
      </c>
      <c r="BL226" s="706">
        <v>0.29743244734753344</v>
      </c>
      <c r="BM226" s="706">
        <v>0.29743244734753344</v>
      </c>
      <c r="BN226" s="706">
        <v>0.29743244734753344</v>
      </c>
      <c r="BO226" s="706"/>
      <c r="BP226" s="706"/>
      <c r="BQ226" s="706"/>
      <c r="BR226" s="706"/>
      <c r="BS226" s="706"/>
      <c r="BT226" s="706"/>
      <c r="BU226" s="706"/>
      <c r="BV226" s="791">
        <v>581.49163564788921</v>
      </c>
      <c r="BW226" s="791">
        <v>581.49163564788921</v>
      </c>
      <c r="BX226" s="791">
        <v>581.49163564788921</v>
      </c>
      <c r="BY226" s="791">
        <v>581.49163564788921</v>
      </c>
      <c r="BZ226" s="791">
        <v>581.49163564788921</v>
      </c>
      <c r="CA226" s="791">
        <v>581.49163564788921</v>
      </c>
      <c r="CB226" s="791">
        <v>581.49163564788921</v>
      </c>
      <c r="CC226" s="791">
        <v>581.49163564788921</v>
      </c>
      <c r="CD226" s="791">
        <v>581.49163564788921</v>
      </c>
      <c r="CE226" s="791">
        <v>581.49163564788921</v>
      </c>
      <c r="CF226" s="791">
        <v>581.49163564788921</v>
      </c>
      <c r="CG226" s="791">
        <v>581.49163564788921</v>
      </c>
      <c r="CH226" s="791">
        <v>581.49163564788921</v>
      </c>
      <c r="CI226" s="791">
        <v>581.49163564788921</v>
      </c>
      <c r="CJ226" s="791">
        <v>581.49163564788921</v>
      </c>
      <c r="CK226" s="791">
        <v>581.49163564788921</v>
      </c>
      <c r="CL226" s="791">
        <v>581.49163564788921</v>
      </c>
      <c r="CM226" s="791">
        <v>581.49163564788921</v>
      </c>
      <c r="CN226" s="791">
        <v>581.49163564788921</v>
      </c>
      <c r="CO226" s="706"/>
      <c r="CP226" s="706"/>
      <c r="CQ226" s="706"/>
      <c r="CR226" s="706"/>
    </row>
    <row r="227" spans="1:96">
      <c r="A227" s="694" t="s">
        <v>3</v>
      </c>
      <c r="B227" s="794">
        <v>41774</v>
      </c>
      <c r="C227" s="743">
        <v>2014</v>
      </c>
      <c r="D227" s="746" t="s">
        <v>15</v>
      </c>
      <c r="E227" s="746" t="s">
        <v>25</v>
      </c>
      <c r="F227" s="746" t="s">
        <v>17</v>
      </c>
      <c r="G227" s="746" t="s">
        <v>58</v>
      </c>
      <c r="H227" s="694" t="s">
        <v>959</v>
      </c>
      <c r="I227" s="746" t="s">
        <v>5</v>
      </c>
      <c r="J227" s="746" t="s">
        <v>376</v>
      </c>
      <c r="K227" s="706">
        <v>1</v>
      </c>
      <c r="L227" s="745" t="s">
        <v>58</v>
      </c>
      <c r="M227" s="706" t="s">
        <v>899</v>
      </c>
      <c r="N227" s="706">
        <v>19</v>
      </c>
      <c r="O227" s="706"/>
      <c r="P227" s="706"/>
      <c r="Q227" s="706"/>
      <c r="R227" s="706"/>
      <c r="S227" s="706"/>
      <c r="T227" s="706"/>
      <c r="U227" s="738">
        <v>0.62806842093767556</v>
      </c>
      <c r="V227" s="738">
        <v>1227.8974155200376</v>
      </c>
      <c r="W227" s="793">
        <v>0.62806842093767556</v>
      </c>
      <c r="X227" s="708">
        <v>1227.8974155200376</v>
      </c>
      <c r="Y227" s="719">
        <v>23330.050894880715</v>
      </c>
      <c r="Z227" s="719">
        <v>11048.341077309895</v>
      </c>
      <c r="AA227" s="719">
        <v>581.49163564788921</v>
      </c>
      <c r="AB227" s="738">
        <v>0.29743244734753344</v>
      </c>
      <c r="AC227" s="792">
        <v>1</v>
      </c>
      <c r="AD227" s="792">
        <v>1</v>
      </c>
      <c r="AE227" s="717">
        <v>0.56884057971014501</v>
      </c>
      <c r="AF227" s="714">
        <v>4.2407531067898789E-2</v>
      </c>
      <c r="AG227" s="706"/>
      <c r="AH227" s="792">
        <v>0.47356695135775378</v>
      </c>
      <c r="AI227" s="748">
        <v>0.56884057971014501</v>
      </c>
      <c r="AJ227" s="748">
        <v>4.2407531067898789E-2</v>
      </c>
      <c r="AK227" s="748"/>
      <c r="AL227" s="714">
        <v>0.47356695135775378</v>
      </c>
      <c r="AM227" s="706"/>
      <c r="AN227" s="706"/>
      <c r="AO227" s="706"/>
      <c r="AP227" s="706"/>
      <c r="AQ227" s="706"/>
      <c r="AR227" s="706" t="s">
        <v>957</v>
      </c>
      <c r="AS227" s="706"/>
      <c r="AT227" s="706"/>
      <c r="AU227" s="706"/>
      <c r="AV227" s="706">
        <v>0.29743244734753344</v>
      </c>
      <c r="AW227" s="706">
        <v>0.29743244734753344</v>
      </c>
      <c r="AX227" s="706">
        <v>0.29743244734753344</v>
      </c>
      <c r="AY227" s="706">
        <v>0.29743244734753344</v>
      </c>
      <c r="AZ227" s="706">
        <v>0.29743244734753344</v>
      </c>
      <c r="BA227" s="706">
        <v>0.29743244734753344</v>
      </c>
      <c r="BB227" s="706">
        <v>0.29743244734753344</v>
      </c>
      <c r="BC227" s="706">
        <v>0.29743244734753344</v>
      </c>
      <c r="BD227" s="706">
        <v>0.29743244734753344</v>
      </c>
      <c r="BE227" s="706">
        <v>0.29743244734753344</v>
      </c>
      <c r="BF227" s="706">
        <v>0.29743244734753344</v>
      </c>
      <c r="BG227" s="706">
        <v>0.29743244734753344</v>
      </c>
      <c r="BH227" s="706">
        <v>0.29743244734753344</v>
      </c>
      <c r="BI227" s="706">
        <v>0.29743244734753344</v>
      </c>
      <c r="BJ227" s="706">
        <v>0.29743244734753344</v>
      </c>
      <c r="BK227" s="706">
        <v>0.29743244734753344</v>
      </c>
      <c r="BL227" s="706">
        <v>0.29743244734753344</v>
      </c>
      <c r="BM227" s="706">
        <v>0.29743244734753344</v>
      </c>
      <c r="BN227" s="706">
        <v>0.29743244734753344</v>
      </c>
      <c r="BO227" s="706"/>
      <c r="BP227" s="706"/>
      <c r="BQ227" s="706"/>
      <c r="BR227" s="706"/>
      <c r="BS227" s="706"/>
      <c r="BT227" s="706"/>
      <c r="BU227" s="706"/>
      <c r="BV227" s="791">
        <v>581.49163564788921</v>
      </c>
      <c r="BW227" s="791">
        <v>581.49163564788921</v>
      </c>
      <c r="BX227" s="791">
        <v>581.49163564788921</v>
      </c>
      <c r="BY227" s="791">
        <v>581.49163564788921</v>
      </c>
      <c r="BZ227" s="791">
        <v>581.49163564788921</v>
      </c>
      <c r="CA227" s="791">
        <v>581.49163564788921</v>
      </c>
      <c r="CB227" s="791">
        <v>581.49163564788921</v>
      </c>
      <c r="CC227" s="791">
        <v>581.49163564788921</v>
      </c>
      <c r="CD227" s="791">
        <v>581.49163564788921</v>
      </c>
      <c r="CE227" s="791">
        <v>581.49163564788921</v>
      </c>
      <c r="CF227" s="791">
        <v>581.49163564788921</v>
      </c>
      <c r="CG227" s="791">
        <v>581.49163564788921</v>
      </c>
      <c r="CH227" s="791">
        <v>581.49163564788921</v>
      </c>
      <c r="CI227" s="791">
        <v>581.49163564788921</v>
      </c>
      <c r="CJ227" s="791">
        <v>581.49163564788921</v>
      </c>
      <c r="CK227" s="791">
        <v>581.49163564788921</v>
      </c>
      <c r="CL227" s="791">
        <v>581.49163564788921</v>
      </c>
      <c r="CM227" s="791">
        <v>581.49163564788921</v>
      </c>
      <c r="CN227" s="791">
        <v>581.49163564788921</v>
      </c>
      <c r="CO227" s="706"/>
      <c r="CP227" s="706"/>
      <c r="CQ227" s="706"/>
      <c r="CR227" s="706"/>
    </row>
    <row r="228" spans="1:96">
      <c r="A228" s="694" t="s">
        <v>3</v>
      </c>
      <c r="B228" s="794">
        <v>41877</v>
      </c>
      <c r="C228" s="743">
        <v>2014</v>
      </c>
      <c r="D228" s="746" t="s">
        <v>15</v>
      </c>
      <c r="E228" s="746" t="s">
        <v>25</v>
      </c>
      <c r="F228" s="746" t="s">
        <v>17</v>
      </c>
      <c r="G228" s="746" t="s">
        <v>58</v>
      </c>
      <c r="H228" s="694" t="s">
        <v>959</v>
      </c>
      <c r="I228" s="746" t="s">
        <v>5</v>
      </c>
      <c r="J228" s="746" t="s">
        <v>376</v>
      </c>
      <c r="K228" s="706">
        <v>1</v>
      </c>
      <c r="L228" s="745" t="s">
        <v>58</v>
      </c>
      <c r="M228" s="706" t="s">
        <v>830</v>
      </c>
      <c r="N228" s="706">
        <v>19</v>
      </c>
      <c r="O228" s="706"/>
      <c r="P228" s="706"/>
      <c r="Q228" s="706"/>
      <c r="R228" s="706"/>
      <c r="S228" s="706"/>
      <c r="T228" s="706"/>
      <c r="U228" s="738">
        <v>0.62806842093767556</v>
      </c>
      <c r="V228" s="738">
        <v>1227.8974155200376</v>
      </c>
      <c r="W228" s="793">
        <v>0.62806842093767556</v>
      </c>
      <c r="X228" s="708">
        <v>1227.8974155200376</v>
      </c>
      <c r="Y228" s="719">
        <v>23330.050894880715</v>
      </c>
      <c r="Z228" s="719">
        <v>11048.341077309895</v>
      </c>
      <c r="AA228" s="719">
        <v>581.49163564788921</v>
      </c>
      <c r="AB228" s="738">
        <v>0.29743244734753344</v>
      </c>
      <c r="AC228" s="792">
        <v>1</v>
      </c>
      <c r="AD228" s="792">
        <v>1</v>
      </c>
      <c r="AE228" s="717">
        <v>0.56884057971014501</v>
      </c>
      <c r="AF228" s="714">
        <v>4.2407531067898789E-2</v>
      </c>
      <c r="AG228" s="706"/>
      <c r="AH228" s="792">
        <v>0.47356695135775378</v>
      </c>
      <c r="AI228" s="748">
        <v>0.56884057971014501</v>
      </c>
      <c r="AJ228" s="748">
        <v>4.2407531067898789E-2</v>
      </c>
      <c r="AK228" s="748"/>
      <c r="AL228" s="714">
        <v>0.47356695135775378</v>
      </c>
      <c r="AM228" s="706"/>
      <c r="AN228" s="706"/>
      <c r="AO228" s="706"/>
      <c r="AP228" s="706"/>
      <c r="AQ228" s="706"/>
      <c r="AR228" s="706" t="s">
        <v>957</v>
      </c>
      <c r="AS228" s="706"/>
      <c r="AT228" s="706"/>
      <c r="AU228" s="706"/>
      <c r="AV228" s="706">
        <v>0.29743244734753344</v>
      </c>
      <c r="AW228" s="706">
        <v>0.29743244734753344</v>
      </c>
      <c r="AX228" s="706">
        <v>0.29743244734753344</v>
      </c>
      <c r="AY228" s="706">
        <v>0.29743244734753344</v>
      </c>
      <c r="AZ228" s="706">
        <v>0.29743244734753344</v>
      </c>
      <c r="BA228" s="706">
        <v>0.29743244734753344</v>
      </c>
      <c r="BB228" s="706">
        <v>0.29743244734753344</v>
      </c>
      <c r="BC228" s="706">
        <v>0.29743244734753344</v>
      </c>
      <c r="BD228" s="706">
        <v>0.29743244734753344</v>
      </c>
      <c r="BE228" s="706">
        <v>0.29743244734753344</v>
      </c>
      <c r="BF228" s="706">
        <v>0.29743244734753344</v>
      </c>
      <c r="BG228" s="706">
        <v>0.29743244734753344</v>
      </c>
      <c r="BH228" s="706">
        <v>0.29743244734753344</v>
      </c>
      <c r="BI228" s="706">
        <v>0.29743244734753344</v>
      </c>
      <c r="BJ228" s="706">
        <v>0.29743244734753344</v>
      </c>
      <c r="BK228" s="706">
        <v>0.29743244734753344</v>
      </c>
      <c r="BL228" s="706">
        <v>0.29743244734753344</v>
      </c>
      <c r="BM228" s="706">
        <v>0.29743244734753344</v>
      </c>
      <c r="BN228" s="706">
        <v>0.29743244734753344</v>
      </c>
      <c r="BO228" s="706"/>
      <c r="BP228" s="706"/>
      <c r="BQ228" s="706"/>
      <c r="BR228" s="706"/>
      <c r="BS228" s="706"/>
      <c r="BT228" s="706"/>
      <c r="BU228" s="706"/>
      <c r="BV228" s="791">
        <v>581.49163564788921</v>
      </c>
      <c r="BW228" s="791">
        <v>581.49163564788921</v>
      </c>
      <c r="BX228" s="791">
        <v>581.49163564788921</v>
      </c>
      <c r="BY228" s="791">
        <v>581.49163564788921</v>
      </c>
      <c r="BZ228" s="791">
        <v>581.49163564788921</v>
      </c>
      <c r="CA228" s="791">
        <v>581.49163564788921</v>
      </c>
      <c r="CB228" s="791">
        <v>581.49163564788921</v>
      </c>
      <c r="CC228" s="791">
        <v>581.49163564788921</v>
      </c>
      <c r="CD228" s="791">
        <v>581.49163564788921</v>
      </c>
      <c r="CE228" s="791">
        <v>581.49163564788921</v>
      </c>
      <c r="CF228" s="791">
        <v>581.49163564788921</v>
      </c>
      <c r="CG228" s="791">
        <v>581.49163564788921</v>
      </c>
      <c r="CH228" s="791">
        <v>581.49163564788921</v>
      </c>
      <c r="CI228" s="791">
        <v>581.49163564788921</v>
      </c>
      <c r="CJ228" s="791">
        <v>581.49163564788921</v>
      </c>
      <c r="CK228" s="791">
        <v>581.49163564788921</v>
      </c>
      <c r="CL228" s="791">
        <v>581.49163564788921</v>
      </c>
      <c r="CM228" s="791">
        <v>581.49163564788921</v>
      </c>
      <c r="CN228" s="791">
        <v>581.49163564788921</v>
      </c>
      <c r="CO228" s="706"/>
      <c r="CP228" s="706"/>
      <c r="CQ228" s="706"/>
      <c r="CR228" s="706"/>
    </row>
    <row r="229" spans="1:96">
      <c r="A229" s="694" t="s">
        <v>3</v>
      </c>
      <c r="B229" s="794">
        <v>41869</v>
      </c>
      <c r="C229" s="743">
        <v>2014</v>
      </c>
      <c r="D229" s="746" t="s">
        <v>15</v>
      </c>
      <c r="E229" s="746" t="s">
        <v>25</v>
      </c>
      <c r="F229" s="746" t="s">
        <v>17</v>
      </c>
      <c r="G229" s="746" t="s">
        <v>58</v>
      </c>
      <c r="H229" s="694" t="s">
        <v>959</v>
      </c>
      <c r="I229" s="746" t="s">
        <v>5</v>
      </c>
      <c r="J229" s="746" t="s">
        <v>376</v>
      </c>
      <c r="K229" s="706">
        <v>1</v>
      </c>
      <c r="L229" s="745" t="s">
        <v>58</v>
      </c>
      <c r="M229" s="706" t="s">
        <v>898</v>
      </c>
      <c r="N229" s="706">
        <v>19</v>
      </c>
      <c r="O229" s="706"/>
      <c r="P229" s="706"/>
      <c r="Q229" s="706"/>
      <c r="R229" s="706"/>
      <c r="S229" s="706"/>
      <c r="T229" s="706"/>
      <c r="U229" s="738">
        <v>0.62806842093767556</v>
      </c>
      <c r="V229" s="738">
        <v>1227.8974155200376</v>
      </c>
      <c r="W229" s="793">
        <v>0.62806842093767556</v>
      </c>
      <c r="X229" s="708">
        <v>1227.8974155200376</v>
      </c>
      <c r="Y229" s="719">
        <v>23330.050894880715</v>
      </c>
      <c r="Z229" s="719">
        <v>11048.341077309895</v>
      </c>
      <c r="AA229" s="719">
        <v>581.49163564788921</v>
      </c>
      <c r="AB229" s="738">
        <v>0.29743244734753344</v>
      </c>
      <c r="AC229" s="792">
        <v>1</v>
      </c>
      <c r="AD229" s="792">
        <v>1</v>
      </c>
      <c r="AE229" s="717">
        <v>0.56884057971014501</v>
      </c>
      <c r="AF229" s="714">
        <v>4.2407531067898789E-2</v>
      </c>
      <c r="AG229" s="706"/>
      <c r="AH229" s="792">
        <v>0.47356695135775378</v>
      </c>
      <c r="AI229" s="748">
        <v>0.56884057971014501</v>
      </c>
      <c r="AJ229" s="748">
        <v>4.2407531067898789E-2</v>
      </c>
      <c r="AK229" s="748"/>
      <c r="AL229" s="714">
        <v>0.47356695135775378</v>
      </c>
      <c r="AM229" s="706"/>
      <c r="AN229" s="706"/>
      <c r="AO229" s="706"/>
      <c r="AP229" s="706"/>
      <c r="AQ229" s="706"/>
      <c r="AR229" s="706" t="s">
        <v>957</v>
      </c>
      <c r="AS229" s="706"/>
      <c r="AT229" s="706"/>
      <c r="AU229" s="706"/>
      <c r="AV229" s="706">
        <v>0.29743244734753344</v>
      </c>
      <c r="AW229" s="706">
        <v>0.29743244734753344</v>
      </c>
      <c r="AX229" s="706">
        <v>0.29743244734753344</v>
      </c>
      <c r="AY229" s="706">
        <v>0.29743244734753344</v>
      </c>
      <c r="AZ229" s="706">
        <v>0.29743244734753344</v>
      </c>
      <c r="BA229" s="706">
        <v>0.29743244734753344</v>
      </c>
      <c r="BB229" s="706">
        <v>0.29743244734753344</v>
      </c>
      <c r="BC229" s="706">
        <v>0.29743244734753344</v>
      </c>
      <c r="BD229" s="706">
        <v>0.29743244734753344</v>
      </c>
      <c r="BE229" s="706">
        <v>0.29743244734753344</v>
      </c>
      <c r="BF229" s="706">
        <v>0.29743244734753344</v>
      </c>
      <c r="BG229" s="706">
        <v>0.29743244734753344</v>
      </c>
      <c r="BH229" s="706">
        <v>0.29743244734753344</v>
      </c>
      <c r="BI229" s="706">
        <v>0.29743244734753344</v>
      </c>
      <c r="BJ229" s="706">
        <v>0.29743244734753344</v>
      </c>
      <c r="BK229" s="706">
        <v>0.29743244734753344</v>
      </c>
      <c r="BL229" s="706">
        <v>0.29743244734753344</v>
      </c>
      <c r="BM229" s="706">
        <v>0.29743244734753344</v>
      </c>
      <c r="BN229" s="706">
        <v>0.29743244734753344</v>
      </c>
      <c r="BO229" s="706"/>
      <c r="BP229" s="706"/>
      <c r="BQ229" s="706"/>
      <c r="BR229" s="706"/>
      <c r="BS229" s="706"/>
      <c r="BT229" s="706"/>
      <c r="BU229" s="706"/>
      <c r="BV229" s="791">
        <v>581.49163564788921</v>
      </c>
      <c r="BW229" s="791">
        <v>581.49163564788921</v>
      </c>
      <c r="BX229" s="791">
        <v>581.49163564788921</v>
      </c>
      <c r="BY229" s="791">
        <v>581.49163564788921</v>
      </c>
      <c r="BZ229" s="791">
        <v>581.49163564788921</v>
      </c>
      <c r="CA229" s="791">
        <v>581.49163564788921</v>
      </c>
      <c r="CB229" s="791">
        <v>581.49163564788921</v>
      </c>
      <c r="CC229" s="791">
        <v>581.49163564788921</v>
      </c>
      <c r="CD229" s="791">
        <v>581.49163564788921</v>
      </c>
      <c r="CE229" s="791">
        <v>581.49163564788921</v>
      </c>
      <c r="CF229" s="791">
        <v>581.49163564788921</v>
      </c>
      <c r="CG229" s="791">
        <v>581.49163564788921</v>
      </c>
      <c r="CH229" s="791">
        <v>581.49163564788921</v>
      </c>
      <c r="CI229" s="791">
        <v>581.49163564788921</v>
      </c>
      <c r="CJ229" s="791">
        <v>581.49163564788921</v>
      </c>
      <c r="CK229" s="791">
        <v>581.49163564788921</v>
      </c>
      <c r="CL229" s="791">
        <v>581.49163564788921</v>
      </c>
      <c r="CM229" s="791">
        <v>581.49163564788921</v>
      </c>
      <c r="CN229" s="791">
        <v>581.49163564788921</v>
      </c>
      <c r="CO229" s="706"/>
      <c r="CP229" s="706"/>
      <c r="CQ229" s="706"/>
      <c r="CR229" s="706"/>
    </row>
    <row r="230" spans="1:96">
      <c r="A230" s="694" t="s">
        <v>3</v>
      </c>
      <c r="B230" s="794">
        <v>41870</v>
      </c>
      <c r="C230" s="743">
        <v>2014</v>
      </c>
      <c r="D230" s="746" t="s">
        <v>15</v>
      </c>
      <c r="E230" s="746" t="s">
        <v>25</v>
      </c>
      <c r="F230" s="746" t="s">
        <v>17</v>
      </c>
      <c r="G230" s="746" t="s">
        <v>58</v>
      </c>
      <c r="H230" s="694" t="s">
        <v>959</v>
      </c>
      <c r="I230" s="746" t="s">
        <v>5</v>
      </c>
      <c r="J230" s="746" t="s">
        <v>376</v>
      </c>
      <c r="K230" s="706">
        <v>1</v>
      </c>
      <c r="L230" s="745" t="s">
        <v>58</v>
      </c>
      <c r="M230" s="706" t="s">
        <v>888</v>
      </c>
      <c r="N230" s="706">
        <v>19</v>
      </c>
      <c r="O230" s="706"/>
      <c r="P230" s="706"/>
      <c r="Q230" s="706"/>
      <c r="R230" s="706"/>
      <c r="S230" s="706"/>
      <c r="T230" s="706"/>
      <c r="U230" s="738">
        <v>0.62806842093767556</v>
      </c>
      <c r="V230" s="738">
        <v>1227.8974155200376</v>
      </c>
      <c r="W230" s="793">
        <v>0.62806842093767556</v>
      </c>
      <c r="X230" s="708">
        <v>1227.8974155200376</v>
      </c>
      <c r="Y230" s="719">
        <v>23330.050894880715</v>
      </c>
      <c r="Z230" s="719">
        <v>11048.341077309895</v>
      </c>
      <c r="AA230" s="719">
        <v>581.49163564788921</v>
      </c>
      <c r="AB230" s="738">
        <v>0.29743244734753344</v>
      </c>
      <c r="AC230" s="792">
        <v>1</v>
      </c>
      <c r="AD230" s="792">
        <v>1</v>
      </c>
      <c r="AE230" s="717">
        <v>0.56884057971014501</v>
      </c>
      <c r="AF230" s="714">
        <v>4.2407531067898789E-2</v>
      </c>
      <c r="AG230" s="706"/>
      <c r="AH230" s="792">
        <v>0.47356695135775378</v>
      </c>
      <c r="AI230" s="748">
        <v>0.56884057971014501</v>
      </c>
      <c r="AJ230" s="748">
        <v>4.2407531067898789E-2</v>
      </c>
      <c r="AK230" s="748"/>
      <c r="AL230" s="714">
        <v>0.47356695135775378</v>
      </c>
      <c r="AM230" s="706"/>
      <c r="AN230" s="706"/>
      <c r="AO230" s="706"/>
      <c r="AP230" s="706"/>
      <c r="AQ230" s="706"/>
      <c r="AR230" s="706" t="s">
        <v>957</v>
      </c>
      <c r="AS230" s="706"/>
      <c r="AT230" s="706"/>
      <c r="AU230" s="706"/>
      <c r="AV230" s="706">
        <v>0.29743244734753344</v>
      </c>
      <c r="AW230" s="706">
        <v>0.29743244734753344</v>
      </c>
      <c r="AX230" s="706">
        <v>0.29743244734753344</v>
      </c>
      <c r="AY230" s="706">
        <v>0.29743244734753344</v>
      </c>
      <c r="AZ230" s="706">
        <v>0.29743244734753344</v>
      </c>
      <c r="BA230" s="706">
        <v>0.29743244734753344</v>
      </c>
      <c r="BB230" s="706">
        <v>0.29743244734753344</v>
      </c>
      <c r="BC230" s="706">
        <v>0.29743244734753344</v>
      </c>
      <c r="BD230" s="706">
        <v>0.29743244734753344</v>
      </c>
      <c r="BE230" s="706">
        <v>0.29743244734753344</v>
      </c>
      <c r="BF230" s="706">
        <v>0.29743244734753344</v>
      </c>
      <c r="BG230" s="706">
        <v>0.29743244734753344</v>
      </c>
      <c r="BH230" s="706">
        <v>0.29743244734753344</v>
      </c>
      <c r="BI230" s="706">
        <v>0.29743244734753344</v>
      </c>
      <c r="BJ230" s="706">
        <v>0.29743244734753344</v>
      </c>
      <c r="BK230" s="706">
        <v>0.29743244734753344</v>
      </c>
      <c r="BL230" s="706">
        <v>0.29743244734753344</v>
      </c>
      <c r="BM230" s="706">
        <v>0.29743244734753344</v>
      </c>
      <c r="BN230" s="706">
        <v>0.29743244734753344</v>
      </c>
      <c r="BO230" s="706"/>
      <c r="BP230" s="706"/>
      <c r="BQ230" s="706"/>
      <c r="BR230" s="706"/>
      <c r="BS230" s="706"/>
      <c r="BT230" s="706"/>
      <c r="BU230" s="706"/>
      <c r="BV230" s="791">
        <v>581.49163564788921</v>
      </c>
      <c r="BW230" s="791">
        <v>581.49163564788921</v>
      </c>
      <c r="BX230" s="791">
        <v>581.49163564788921</v>
      </c>
      <c r="BY230" s="791">
        <v>581.49163564788921</v>
      </c>
      <c r="BZ230" s="791">
        <v>581.49163564788921</v>
      </c>
      <c r="CA230" s="791">
        <v>581.49163564788921</v>
      </c>
      <c r="CB230" s="791">
        <v>581.49163564788921</v>
      </c>
      <c r="CC230" s="791">
        <v>581.49163564788921</v>
      </c>
      <c r="CD230" s="791">
        <v>581.49163564788921</v>
      </c>
      <c r="CE230" s="791">
        <v>581.49163564788921</v>
      </c>
      <c r="CF230" s="791">
        <v>581.49163564788921</v>
      </c>
      <c r="CG230" s="791">
        <v>581.49163564788921</v>
      </c>
      <c r="CH230" s="791">
        <v>581.49163564788921</v>
      </c>
      <c r="CI230" s="791">
        <v>581.49163564788921</v>
      </c>
      <c r="CJ230" s="791">
        <v>581.49163564788921</v>
      </c>
      <c r="CK230" s="791">
        <v>581.49163564788921</v>
      </c>
      <c r="CL230" s="791">
        <v>581.49163564788921</v>
      </c>
      <c r="CM230" s="791">
        <v>581.49163564788921</v>
      </c>
      <c r="CN230" s="791">
        <v>581.49163564788921</v>
      </c>
      <c r="CO230" s="706"/>
      <c r="CP230" s="706"/>
      <c r="CQ230" s="706"/>
      <c r="CR230" s="706"/>
    </row>
    <row r="231" spans="1:96">
      <c r="A231" s="694" t="s">
        <v>3</v>
      </c>
      <c r="B231" s="794">
        <v>41878</v>
      </c>
      <c r="C231" s="743">
        <v>2014</v>
      </c>
      <c r="D231" s="746" t="s">
        <v>15</v>
      </c>
      <c r="E231" s="746" t="s">
        <v>25</v>
      </c>
      <c r="F231" s="746" t="s">
        <v>17</v>
      </c>
      <c r="G231" s="746" t="s">
        <v>58</v>
      </c>
      <c r="H231" s="694" t="s">
        <v>959</v>
      </c>
      <c r="I231" s="746" t="s">
        <v>5</v>
      </c>
      <c r="J231" s="746" t="s">
        <v>376</v>
      </c>
      <c r="K231" s="706">
        <v>1</v>
      </c>
      <c r="L231" s="745" t="s">
        <v>58</v>
      </c>
      <c r="M231" s="706" t="s">
        <v>1024</v>
      </c>
      <c r="N231" s="706">
        <v>19</v>
      </c>
      <c r="O231" s="706"/>
      <c r="P231" s="706"/>
      <c r="Q231" s="706"/>
      <c r="R231" s="706"/>
      <c r="S231" s="706"/>
      <c r="T231" s="706"/>
      <c r="U231" s="738">
        <v>0.62806842093767556</v>
      </c>
      <c r="V231" s="738">
        <v>1227.8974155200376</v>
      </c>
      <c r="W231" s="793">
        <v>0.62806842093767556</v>
      </c>
      <c r="X231" s="708">
        <v>1227.8974155200376</v>
      </c>
      <c r="Y231" s="719">
        <v>23330.050894880715</v>
      </c>
      <c r="Z231" s="719">
        <v>11048.341077309895</v>
      </c>
      <c r="AA231" s="719">
        <v>581.49163564788921</v>
      </c>
      <c r="AB231" s="738">
        <v>0.29743244734753344</v>
      </c>
      <c r="AC231" s="792">
        <v>1</v>
      </c>
      <c r="AD231" s="792">
        <v>1</v>
      </c>
      <c r="AE231" s="717">
        <v>0.56884057971014501</v>
      </c>
      <c r="AF231" s="714">
        <v>4.2407531067898789E-2</v>
      </c>
      <c r="AG231" s="706"/>
      <c r="AH231" s="792">
        <v>0.47356695135775378</v>
      </c>
      <c r="AI231" s="748">
        <v>0.56884057971014501</v>
      </c>
      <c r="AJ231" s="748">
        <v>4.2407531067898789E-2</v>
      </c>
      <c r="AK231" s="748"/>
      <c r="AL231" s="714">
        <v>0.47356695135775378</v>
      </c>
      <c r="AM231" s="706"/>
      <c r="AN231" s="706"/>
      <c r="AO231" s="706"/>
      <c r="AP231" s="706"/>
      <c r="AQ231" s="706"/>
      <c r="AR231" s="706" t="s">
        <v>957</v>
      </c>
      <c r="AS231" s="706"/>
      <c r="AT231" s="706"/>
      <c r="AU231" s="706"/>
      <c r="AV231" s="706">
        <v>0.29743244734753344</v>
      </c>
      <c r="AW231" s="706">
        <v>0.29743244734753344</v>
      </c>
      <c r="AX231" s="706">
        <v>0.29743244734753344</v>
      </c>
      <c r="AY231" s="706">
        <v>0.29743244734753344</v>
      </c>
      <c r="AZ231" s="706">
        <v>0.29743244734753344</v>
      </c>
      <c r="BA231" s="706">
        <v>0.29743244734753344</v>
      </c>
      <c r="BB231" s="706">
        <v>0.29743244734753344</v>
      </c>
      <c r="BC231" s="706">
        <v>0.29743244734753344</v>
      </c>
      <c r="BD231" s="706">
        <v>0.29743244734753344</v>
      </c>
      <c r="BE231" s="706">
        <v>0.29743244734753344</v>
      </c>
      <c r="BF231" s="706">
        <v>0.29743244734753344</v>
      </c>
      <c r="BG231" s="706">
        <v>0.29743244734753344</v>
      </c>
      <c r="BH231" s="706">
        <v>0.29743244734753344</v>
      </c>
      <c r="BI231" s="706">
        <v>0.29743244734753344</v>
      </c>
      <c r="BJ231" s="706">
        <v>0.29743244734753344</v>
      </c>
      <c r="BK231" s="706">
        <v>0.29743244734753344</v>
      </c>
      <c r="BL231" s="706">
        <v>0.29743244734753344</v>
      </c>
      <c r="BM231" s="706">
        <v>0.29743244734753344</v>
      </c>
      <c r="BN231" s="706">
        <v>0.29743244734753344</v>
      </c>
      <c r="BO231" s="706"/>
      <c r="BP231" s="706"/>
      <c r="BQ231" s="706"/>
      <c r="BR231" s="706"/>
      <c r="BS231" s="706"/>
      <c r="BT231" s="706"/>
      <c r="BU231" s="706"/>
      <c r="BV231" s="791">
        <v>581.49163564788921</v>
      </c>
      <c r="BW231" s="791">
        <v>581.49163564788921</v>
      </c>
      <c r="BX231" s="791">
        <v>581.49163564788921</v>
      </c>
      <c r="BY231" s="791">
        <v>581.49163564788921</v>
      </c>
      <c r="BZ231" s="791">
        <v>581.49163564788921</v>
      </c>
      <c r="CA231" s="791">
        <v>581.49163564788921</v>
      </c>
      <c r="CB231" s="791">
        <v>581.49163564788921</v>
      </c>
      <c r="CC231" s="791">
        <v>581.49163564788921</v>
      </c>
      <c r="CD231" s="791">
        <v>581.49163564788921</v>
      </c>
      <c r="CE231" s="791">
        <v>581.49163564788921</v>
      </c>
      <c r="CF231" s="791">
        <v>581.49163564788921</v>
      </c>
      <c r="CG231" s="791">
        <v>581.49163564788921</v>
      </c>
      <c r="CH231" s="791">
        <v>581.49163564788921</v>
      </c>
      <c r="CI231" s="791">
        <v>581.49163564788921</v>
      </c>
      <c r="CJ231" s="791">
        <v>581.49163564788921</v>
      </c>
      <c r="CK231" s="791">
        <v>581.49163564788921</v>
      </c>
      <c r="CL231" s="791">
        <v>581.49163564788921</v>
      </c>
      <c r="CM231" s="791">
        <v>581.49163564788921</v>
      </c>
      <c r="CN231" s="791">
        <v>581.49163564788921</v>
      </c>
      <c r="CO231" s="706"/>
      <c r="CP231" s="706"/>
      <c r="CQ231" s="706"/>
      <c r="CR231" s="706"/>
    </row>
    <row r="232" spans="1:96">
      <c r="A232" s="694" t="s">
        <v>3</v>
      </c>
      <c r="B232" s="794">
        <v>41733</v>
      </c>
      <c r="C232" s="743">
        <v>2014</v>
      </c>
      <c r="D232" s="746" t="s">
        <v>15</v>
      </c>
      <c r="E232" s="746" t="s">
        <v>25</v>
      </c>
      <c r="F232" s="746" t="s">
        <v>17</v>
      </c>
      <c r="G232" s="746" t="s">
        <v>58</v>
      </c>
      <c r="H232" s="694" t="s">
        <v>959</v>
      </c>
      <c r="I232" s="746" t="s">
        <v>5</v>
      </c>
      <c r="J232" s="746" t="s">
        <v>376</v>
      </c>
      <c r="K232" s="706">
        <v>1</v>
      </c>
      <c r="L232" s="745" t="s">
        <v>58</v>
      </c>
      <c r="M232" s="706" t="s">
        <v>896</v>
      </c>
      <c r="N232" s="706">
        <v>19</v>
      </c>
      <c r="O232" s="706"/>
      <c r="P232" s="706"/>
      <c r="Q232" s="706"/>
      <c r="R232" s="706"/>
      <c r="S232" s="706"/>
      <c r="T232" s="706"/>
      <c r="U232" s="738">
        <v>0.62806842093767556</v>
      </c>
      <c r="V232" s="738">
        <v>1227.8974155200376</v>
      </c>
      <c r="W232" s="793">
        <v>0.62806842093767556</v>
      </c>
      <c r="X232" s="708">
        <v>1227.8974155200376</v>
      </c>
      <c r="Y232" s="719">
        <v>23330.050894880715</v>
      </c>
      <c r="Z232" s="719">
        <v>11048.341077309895</v>
      </c>
      <c r="AA232" s="719">
        <v>581.49163564788921</v>
      </c>
      <c r="AB232" s="738">
        <v>0.29743244734753344</v>
      </c>
      <c r="AC232" s="792">
        <v>1</v>
      </c>
      <c r="AD232" s="792">
        <v>1</v>
      </c>
      <c r="AE232" s="717">
        <v>0.56884057971014501</v>
      </c>
      <c r="AF232" s="714">
        <v>4.2407531067898789E-2</v>
      </c>
      <c r="AG232" s="706"/>
      <c r="AH232" s="792">
        <v>0.47356695135775378</v>
      </c>
      <c r="AI232" s="748">
        <v>0.56884057971014501</v>
      </c>
      <c r="AJ232" s="748">
        <v>4.2407531067898789E-2</v>
      </c>
      <c r="AK232" s="748"/>
      <c r="AL232" s="714">
        <v>0.47356695135775378</v>
      </c>
      <c r="AM232" s="706"/>
      <c r="AN232" s="706"/>
      <c r="AO232" s="706"/>
      <c r="AP232" s="706"/>
      <c r="AQ232" s="706"/>
      <c r="AR232" s="706" t="s">
        <v>957</v>
      </c>
      <c r="AS232" s="706"/>
      <c r="AT232" s="706"/>
      <c r="AU232" s="706"/>
      <c r="AV232" s="706">
        <v>0.29743244734753344</v>
      </c>
      <c r="AW232" s="706">
        <v>0.29743244734753344</v>
      </c>
      <c r="AX232" s="706">
        <v>0.29743244734753344</v>
      </c>
      <c r="AY232" s="706">
        <v>0.29743244734753344</v>
      </c>
      <c r="AZ232" s="706">
        <v>0.29743244734753344</v>
      </c>
      <c r="BA232" s="706">
        <v>0.29743244734753344</v>
      </c>
      <c r="BB232" s="706">
        <v>0.29743244734753344</v>
      </c>
      <c r="BC232" s="706">
        <v>0.29743244734753344</v>
      </c>
      <c r="BD232" s="706">
        <v>0.29743244734753344</v>
      </c>
      <c r="BE232" s="706">
        <v>0.29743244734753344</v>
      </c>
      <c r="BF232" s="706">
        <v>0.29743244734753344</v>
      </c>
      <c r="BG232" s="706">
        <v>0.29743244734753344</v>
      </c>
      <c r="BH232" s="706">
        <v>0.29743244734753344</v>
      </c>
      <c r="BI232" s="706">
        <v>0.29743244734753344</v>
      </c>
      <c r="BJ232" s="706">
        <v>0.29743244734753344</v>
      </c>
      <c r="BK232" s="706">
        <v>0.29743244734753344</v>
      </c>
      <c r="BL232" s="706">
        <v>0.29743244734753344</v>
      </c>
      <c r="BM232" s="706">
        <v>0.29743244734753344</v>
      </c>
      <c r="BN232" s="706">
        <v>0.29743244734753344</v>
      </c>
      <c r="BO232" s="706"/>
      <c r="BP232" s="706"/>
      <c r="BQ232" s="706"/>
      <c r="BR232" s="706"/>
      <c r="BS232" s="706"/>
      <c r="BT232" s="706"/>
      <c r="BU232" s="706"/>
      <c r="BV232" s="791">
        <v>581.49163564788921</v>
      </c>
      <c r="BW232" s="791">
        <v>581.49163564788921</v>
      </c>
      <c r="BX232" s="791">
        <v>581.49163564788921</v>
      </c>
      <c r="BY232" s="791">
        <v>581.49163564788921</v>
      </c>
      <c r="BZ232" s="791">
        <v>581.49163564788921</v>
      </c>
      <c r="CA232" s="791">
        <v>581.49163564788921</v>
      </c>
      <c r="CB232" s="791">
        <v>581.49163564788921</v>
      </c>
      <c r="CC232" s="791">
        <v>581.49163564788921</v>
      </c>
      <c r="CD232" s="791">
        <v>581.49163564788921</v>
      </c>
      <c r="CE232" s="791">
        <v>581.49163564788921</v>
      </c>
      <c r="CF232" s="791">
        <v>581.49163564788921</v>
      </c>
      <c r="CG232" s="791">
        <v>581.49163564788921</v>
      </c>
      <c r="CH232" s="791">
        <v>581.49163564788921</v>
      </c>
      <c r="CI232" s="791">
        <v>581.49163564788921</v>
      </c>
      <c r="CJ232" s="791">
        <v>581.49163564788921</v>
      </c>
      <c r="CK232" s="791">
        <v>581.49163564788921</v>
      </c>
      <c r="CL232" s="791">
        <v>581.49163564788921</v>
      </c>
      <c r="CM232" s="791">
        <v>581.49163564788921</v>
      </c>
      <c r="CN232" s="791">
        <v>581.49163564788921</v>
      </c>
      <c r="CO232" s="706"/>
      <c r="CP232" s="706"/>
      <c r="CQ232" s="706"/>
      <c r="CR232" s="706"/>
    </row>
    <row r="233" spans="1:96">
      <c r="A233" s="694" t="s">
        <v>3</v>
      </c>
      <c r="B233" s="794">
        <v>41877</v>
      </c>
      <c r="C233" s="743">
        <v>2014</v>
      </c>
      <c r="D233" s="746" t="s">
        <v>15</v>
      </c>
      <c r="E233" s="746" t="s">
        <v>25</v>
      </c>
      <c r="F233" s="746" t="s">
        <v>17</v>
      </c>
      <c r="G233" s="746" t="s">
        <v>58</v>
      </c>
      <c r="H233" s="694" t="s">
        <v>959</v>
      </c>
      <c r="I233" s="746" t="s">
        <v>5</v>
      </c>
      <c r="J233" s="746" t="s">
        <v>376</v>
      </c>
      <c r="K233" s="706">
        <v>1</v>
      </c>
      <c r="L233" s="745" t="s">
        <v>58</v>
      </c>
      <c r="M233" s="706" t="s">
        <v>1023</v>
      </c>
      <c r="N233" s="706">
        <v>19</v>
      </c>
      <c r="O233" s="706"/>
      <c r="P233" s="706"/>
      <c r="Q233" s="706"/>
      <c r="R233" s="706"/>
      <c r="S233" s="706"/>
      <c r="T233" s="706"/>
      <c r="U233" s="738">
        <v>0.62806842093767556</v>
      </c>
      <c r="V233" s="738">
        <v>1227.8974155200376</v>
      </c>
      <c r="W233" s="793">
        <v>0.62806842093767556</v>
      </c>
      <c r="X233" s="708">
        <v>1227.8974155200376</v>
      </c>
      <c r="Y233" s="719">
        <v>23330.050894880715</v>
      </c>
      <c r="Z233" s="719">
        <v>11048.341077309895</v>
      </c>
      <c r="AA233" s="719">
        <v>581.49163564788921</v>
      </c>
      <c r="AB233" s="738">
        <v>0.29743244734753344</v>
      </c>
      <c r="AC233" s="792">
        <v>1</v>
      </c>
      <c r="AD233" s="792">
        <v>1</v>
      </c>
      <c r="AE233" s="717">
        <v>0.56884057971014501</v>
      </c>
      <c r="AF233" s="714">
        <v>4.2407531067898789E-2</v>
      </c>
      <c r="AG233" s="706"/>
      <c r="AH233" s="792">
        <v>0.47356695135775378</v>
      </c>
      <c r="AI233" s="748">
        <v>0.56884057971014501</v>
      </c>
      <c r="AJ233" s="748">
        <v>4.2407531067898789E-2</v>
      </c>
      <c r="AK233" s="748"/>
      <c r="AL233" s="714">
        <v>0.47356695135775378</v>
      </c>
      <c r="AM233" s="706"/>
      <c r="AN233" s="706"/>
      <c r="AO233" s="706"/>
      <c r="AP233" s="706"/>
      <c r="AQ233" s="706"/>
      <c r="AR233" s="706" t="s">
        <v>957</v>
      </c>
      <c r="AS233" s="706"/>
      <c r="AT233" s="706"/>
      <c r="AU233" s="706"/>
      <c r="AV233" s="706">
        <v>0.29743244734753344</v>
      </c>
      <c r="AW233" s="706">
        <v>0.29743244734753344</v>
      </c>
      <c r="AX233" s="706">
        <v>0.29743244734753344</v>
      </c>
      <c r="AY233" s="706">
        <v>0.29743244734753344</v>
      </c>
      <c r="AZ233" s="706">
        <v>0.29743244734753344</v>
      </c>
      <c r="BA233" s="706">
        <v>0.29743244734753344</v>
      </c>
      <c r="BB233" s="706">
        <v>0.29743244734753344</v>
      </c>
      <c r="BC233" s="706">
        <v>0.29743244734753344</v>
      </c>
      <c r="BD233" s="706">
        <v>0.29743244734753344</v>
      </c>
      <c r="BE233" s="706">
        <v>0.29743244734753344</v>
      </c>
      <c r="BF233" s="706">
        <v>0.29743244734753344</v>
      </c>
      <c r="BG233" s="706">
        <v>0.29743244734753344</v>
      </c>
      <c r="BH233" s="706">
        <v>0.29743244734753344</v>
      </c>
      <c r="BI233" s="706">
        <v>0.29743244734753344</v>
      </c>
      <c r="BJ233" s="706">
        <v>0.29743244734753344</v>
      </c>
      <c r="BK233" s="706">
        <v>0.29743244734753344</v>
      </c>
      <c r="BL233" s="706">
        <v>0.29743244734753344</v>
      </c>
      <c r="BM233" s="706">
        <v>0.29743244734753344</v>
      </c>
      <c r="BN233" s="706">
        <v>0.29743244734753344</v>
      </c>
      <c r="BO233" s="706"/>
      <c r="BP233" s="706"/>
      <c r="BQ233" s="706"/>
      <c r="BR233" s="706"/>
      <c r="BS233" s="706"/>
      <c r="BT233" s="706"/>
      <c r="BU233" s="706"/>
      <c r="BV233" s="791">
        <v>581.49163564788921</v>
      </c>
      <c r="BW233" s="791">
        <v>581.49163564788921</v>
      </c>
      <c r="BX233" s="791">
        <v>581.49163564788921</v>
      </c>
      <c r="BY233" s="791">
        <v>581.49163564788921</v>
      </c>
      <c r="BZ233" s="791">
        <v>581.49163564788921</v>
      </c>
      <c r="CA233" s="791">
        <v>581.49163564788921</v>
      </c>
      <c r="CB233" s="791">
        <v>581.49163564788921</v>
      </c>
      <c r="CC233" s="791">
        <v>581.49163564788921</v>
      </c>
      <c r="CD233" s="791">
        <v>581.49163564788921</v>
      </c>
      <c r="CE233" s="791">
        <v>581.49163564788921</v>
      </c>
      <c r="CF233" s="791">
        <v>581.49163564788921</v>
      </c>
      <c r="CG233" s="791">
        <v>581.49163564788921</v>
      </c>
      <c r="CH233" s="791">
        <v>581.49163564788921</v>
      </c>
      <c r="CI233" s="791">
        <v>581.49163564788921</v>
      </c>
      <c r="CJ233" s="791">
        <v>581.49163564788921</v>
      </c>
      <c r="CK233" s="791">
        <v>581.49163564788921</v>
      </c>
      <c r="CL233" s="791">
        <v>581.49163564788921</v>
      </c>
      <c r="CM233" s="791">
        <v>581.49163564788921</v>
      </c>
      <c r="CN233" s="791">
        <v>581.49163564788921</v>
      </c>
      <c r="CO233" s="706"/>
      <c r="CP233" s="706"/>
      <c r="CQ233" s="706"/>
      <c r="CR233" s="706"/>
    </row>
    <row r="234" spans="1:96">
      <c r="A234" s="694" t="s">
        <v>3</v>
      </c>
      <c r="B234" s="794">
        <v>41886</v>
      </c>
      <c r="C234" s="743">
        <v>2014</v>
      </c>
      <c r="D234" s="746" t="s">
        <v>15</v>
      </c>
      <c r="E234" s="746" t="s">
        <v>25</v>
      </c>
      <c r="F234" s="746" t="s">
        <v>17</v>
      </c>
      <c r="G234" s="746" t="s">
        <v>58</v>
      </c>
      <c r="H234" s="694" t="s">
        <v>959</v>
      </c>
      <c r="I234" s="746" t="s">
        <v>5</v>
      </c>
      <c r="J234" s="746" t="s">
        <v>376</v>
      </c>
      <c r="K234" s="706">
        <v>1</v>
      </c>
      <c r="L234" s="745" t="s">
        <v>58</v>
      </c>
      <c r="M234" s="706" t="s">
        <v>1022</v>
      </c>
      <c r="N234" s="706">
        <v>19</v>
      </c>
      <c r="O234" s="706"/>
      <c r="P234" s="706"/>
      <c r="Q234" s="706"/>
      <c r="R234" s="706"/>
      <c r="S234" s="706"/>
      <c r="T234" s="706"/>
      <c r="U234" s="738">
        <v>0.62806842093767556</v>
      </c>
      <c r="V234" s="738">
        <v>1227.8974155200376</v>
      </c>
      <c r="W234" s="793">
        <v>0.62806842093767556</v>
      </c>
      <c r="X234" s="708">
        <v>1227.8974155200376</v>
      </c>
      <c r="Y234" s="719">
        <v>23330.050894880715</v>
      </c>
      <c r="Z234" s="719">
        <v>11048.341077309895</v>
      </c>
      <c r="AA234" s="719">
        <v>581.49163564788921</v>
      </c>
      <c r="AB234" s="738">
        <v>0.29743244734753344</v>
      </c>
      <c r="AC234" s="792">
        <v>1</v>
      </c>
      <c r="AD234" s="792">
        <v>1</v>
      </c>
      <c r="AE234" s="717">
        <v>0.56884057971014501</v>
      </c>
      <c r="AF234" s="714">
        <v>4.2407531067898789E-2</v>
      </c>
      <c r="AG234" s="706"/>
      <c r="AH234" s="792">
        <v>0.47356695135775378</v>
      </c>
      <c r="AI234" s="748">
        <v>0.56884057971014501</v>
      </c>
      <c r="AJ234" s="748">
        <v>4.2407531067898789E-2</v>
      </c>
      <c r="AK234" s="748"/>
      <c r="AL234" s="714">
        <v>0.47356695135775378</v>
      </c>
      <c r="AM234" s="706"/>
      <c r="AN234" s="706"/>
      <c r="AO234" s="706"/>
      <c r="AP234" s="706"/>
      <c r="AQ234" s="706"/>
      <c r="AR234" s="706" t="s">
        <v>957</v>
      </c>
      <c r="AS234" s="706"/>
      <c r="AT234" s="706"/>
      <c r="AU234" s="706"/>
      <c r="AV234" s="706">
        <v>0.29743244734753344</v>
      </c>
      <c r="AW234" s="706">
        <v>0.29743244734753344</v>
      </c>
      <c r="AX234" s="706">
        <v>0.29743244734753344</v>
      </c>
      <c r="AY234" s="706">
        <v>0.29743244734753344</v>
      </c>
      <c r="AZ234" s="706">
        <v>0.29743244734753344</v>
      </c>
      <c r="BA234" s="706">
        <v>0.29743244734753344</v>
      </c>
      <c r="BB234" s="706">
        <v>0.29743244734753344</v>
      </c>
      <c r="BC234" s="706">
        <v>0.29743244734753344</v>
      </c>
      <c r="BD234" s="706">
        <v>0.29743244734753344</v>
      </c>
      <c r="BE234" s="706">
        <v>0.29743244734753344</v>
      </c>
      <c r="BF234" s="706">
        <v>0.29743244734753344</v>
      </c>
      <c r="BG234" s="706">
        <v>0.29743244734753344</v>
      </c>
      <c r="BH234" s="706">
        <v>0.29743244734753344</v>
      </c>
      <c r="BI234" s="706">
        <v>0.29743244734753344</v>
      </c>
      <c r="BJ234" s="706">
        <v>0.29743244734753344</v>
      </c>
      <c r="BK234" s="706">
        <v>0.29743244734753344</v>
      </c>
      <c r="BL234" s="706">
        <v>0.29743244734753344</v>
      </c>
      <c r="BM234" s="706">
        <v>0.29743244734753344</v>
      </c>
      <c r="BN234" s="706">
        <v>0.29743244734753344</v>
      </c>
      <c r="BO234" s="706"/>
      <c r="BP234" s="706"/>
      <c r="BQ234" s="706"/>
      <c r="BR234" s="706"/>
      <c r="BS234" s="706"/>
      <c r="BT234" s="706"/>
      <c r="BU234" s="706"/>
      <c r="BV234" s="791">
        <v>581.49163564788921</v>
      </c>
      <c r="BW234" s="791">
        <v>581.49163564788921</v>
      </c>
      <c r="BX234" s="791">
        <v>581.49163564788921</v>
      </c>
      <c r="BY234" s="791">
        <v>581.49163564788921</v>
      </c>
      <c r="BZ234" s="791">
        <v>581.49163564788921</v>
      </c>
      <c r="CA234" s="791">
        <v>581.49163564788921</v>
      </c>
      <c r="CB234" s="791">
        <v>581.49163564788921</v>
      </c>
      <c r="CC234" s="791">
        <v>581.49163564788921</v>
      </c>
      <c r="CD234" s="791">
        <v>581.49163564788921</v>
      </c>
      <c r="CE234" s="791">
        <v>581.49163564788921</v>
      </c>
      <c r="CF234" s="791">
        <v>581.49163564788921</v>
      </c>
      <c r="CG234" s="791">
        <v>581.49163564788921</v>
      </c>
      <c r="CH234" s="791">
        <v>581.49163564788921</v>
      </c>
      <c r="CI234" s="791">
        <v>581.49163564788921</v>
      </c>
      <c r="CJ234" s="791">
        <v>581.49163564788921</v>
      </c>
      <c r="CK234" s="791">
        <v>581.49163564788921</v>
      </c>
      <c r="CL234" s="791">
        <v>581.49163564788921</v>
      </c>
      <c r="CM234" s="791">
        <v>581.49163564788921</v>
      </c>
      <c r="CN234" s="791">
        <v>581.49163564788921</v>
      </c>
      <c r="CO234" s="706"/>
      <c r="CP234" s="706"/>
      <c r="CQ234" s="706"/>
      <c r="CR234" s="706"/>
    </row>
    <row r="235" spans="1:96">
      <c r="A235" s="694" t="s">
        <v>3</v>
      </c>
      <c r="B235" s="794">
        <v>41890</v>
      </c>
      <c r="C235" s="743">
        <v>2014</v>
      </c>
      <c r="D235" s="746" t="s">
        <v>15</v>
      </c>
      <c r="E235" s="746" t="s">
        <v>25</v>
      </c>
      <c r="F235" s="746" t="s">
        <v>17</v>
      </c>
      <c r="G235" s="746" t="s">
        <v>58</v>
      </c>
      <c r="H235" s="694" t="s">
        <v>959</v>
      </c>
      <c r="I235" s="746" t="s">
        <v>5</v>
      </c>
      <c r="J235" s="746" t="s">
        <v>376</v>
      </c>
      <c r="K235" s="706">
        <v>1</v>
      </c>
      <c r="L235" s="745" t="s">
        <v>58</v>
      </c>
      <c r="M235" s="706" t="s">
        <v>948</v>
      </c>
      <c r="N235" s="706">
        <v>19</v>
      </c>
      <c r="O235" s="706"/>
      <c r="P235" s="706"/>
      <c r="Q235" s="706"/>
      <c r="R235" s="706"/>
      <c r="S235" s="706"/>
      <c r="T235" s="706"/>
      <c r="U235" s="738">
        <v>0.62806842093767556</v>
      </c>
      <c r="V235" s="738">
        <v>1227.8974155200376</v>
      </c>
      <c r="W235" s="793">
        <v>0.62806842093767556</v>
      </c>
      <c r="X235" s="708">
        <v>1227.8974155200376</v>
      </c>
      <c r="Y235" s="719">
        <v>23330.050894880715</v>
      </c>
      <c r="Z235" s="719">
        <v>11048.341077309895</v>
      </c>
      <c r="AA235" s="719">
        <v>581.49163564788921</v>
      </c>
      <c r="AB235" s="738">
        <v>0.29743244734753344</v>
      </c>
      <c r="AC235" s="792">
        <v>1</v>
      </c>
      <c r="AD235" s="792">
        <v>1</v>
      </c>
      <c r="AE235" s="717">
        <v>0.56884057971014501</v>
      </c>
      <c r="AF235" s="714">
        <v>4.2407531067898789E-2</v>
      </c>
      <c r="AG235" s="706"/>
      <c r="AH235" s="792">
        <v>0.47356695135775378</v>
      </c>
      <c r="AI235" s="748">
        <v>0.56884057971014501</v>
      </c>
      <c r="AJ235" s="748">
        <v>4.2407531067898789E-2</v>
      </c>
      <c r="AK235" s="748"/>
      <c r="AL235" s="714">
        <v>0.47356695135775378</v>
      </c>
      <c r="AM235" s="706"/>
      <c r="AN235" s="706"/>
      <c r="AO235" s="706"/>
      <c r="AP235" s="706"/>
      <c r="AQ235" s="706"/>
      <c r="AR235" s="706" t="s">
        <v>957</v>
      </c>
      <c r="AS235" s="706"/>
      <c r="AT235" s="706"/>
      <c r="AU235" s="706"/>
      <c r="AV235" s="706">
        <v>0.29743244734753344</v>
      </c>
      <c r="AW235" s="706">
        <v>0.29743244734753344</v>
      </c>
      <c r="AX235" s="706">
        <v>0.29743244734753344</v>
      </c>
      <c r="AY235" s="706">
        <v>0.29743244734753344</v>
      </c>
      <c r="AZ235" s="706">
        <v>0.29743244734753344</v>
      </c>
      <c r="BA235" s="706">
        <v>0.29743244734753344</v>
      </c>
      <c r="BB235" s="706">
        <v>0.29743244734753344</v>
      </c>
      <c r="BC235" s="706">
        <v>0.29743244734753344</v>
      </c>
      <c r="BD235" s="706">
        <v>0.29743244734753344</v>
      </c>
      <c r="BE235" s="706">
        <v>0.29743244734753344</v>
      </c>
      <c r="BF235" s="706">
        <v>0.29743244734753344</v>
      </c>
      <c r="BG235" s="706">
        <v>0.29743244734753344</v>
      </c>
      <c r="BH235" s="706">
        <v>0.29743244734753344</v>
      </c>
      <c r="BI235" s="706">
        <v>0.29743244734753344</v>
      </c>
      <c r="BJ235" s="706">
        <v>0.29743244734753344</v>
      </c>
      <c r="BK235" s="706">
        <v>0.29743244734753344</v>
      </c>
      <c r="BL235" s="706">
        <v>0.29743244734753344</v>
      </c>
      <c r="BM235" s="706">
        <v>0.29743244734753344</v>
      </c>
      <c r="BN235" s="706">
        <v>0.29743244734753344</v>
      </c>
      <c r="BO235" s="706"/>
      <c r="BP235" s="706"/>
      <c r="BQ235" s="706"/>
      <c r="BR235" s="706"/>
      <c r="BS235" s="706"/>
      <c r="BT235" s="706"/>
      <c r="BU235" s="706"/>
      <c r="BV235" s="791">
        <v>581.49163564788921</v>
      </c>
      <c r="BW235" s="791">
        <v>581.49163564788921</v>
      </c>
      <c r="BX235" s="791">
        <v>581.49163564788921</v>
      </c>
      <c r="BY235" s="791">
        <v>581.49163564788921</v>
      </c>
      <c r="BZ235" s="791">
        <v>581.49163564788921</v>
      </c>
      <c r="CA235" s="791">
        <v>581.49163564788921</v>
      </c>
      <c r="CB235" s="791">
        <v>581.49163564788921</v>
      </c>
      <c r="CC235" s="791">
        <v>581.49163564788921</v>
      </c>
      <c r="CD235" s="791">
        <v>581.49163564788921</v>
      </c>
      <c r="CE235" s="791">
        <v>581.49163564788921</v>
      </c>
      <c r="CF235" s="791">
        <v>581.49163564788921</v>
      </c>
      <c r="CG235" s="791">
        <v>581.49163564788921</v>
      </c>
      <c r="CH235" s="791">
        <v>581.49163564788921</v>
      </c>
      <c r="CI235" s="791">
        <v>581.49163564788921</v>
      </c>
      <c r="CJ235" s="791">
        <v>581.49163564788921</v>
      </c>
      <c r="CK235" s="791">
        <v>581.49163564788921</v>
      </c>
      <c r="CL235" s="791">
        <v>581.49163564788921</v>
      </c>
      <c r="CM235" s="791">
        <v>581.49163564788921</v>
      </c>
      <c r="CN235" s="791">
        <v>581.49163564788921</v>
      </c>
      <c r="CO235" s="706"/>
      <c r="CP235" s="706"/>
      <c r="CQ235" s="706"/>
      <c r="CR235" s="706"/>
    </row>
    <row r="236" spans="1:96">
      <c r="A236" s="694" t="s">
        <v>3</v>
      </c>
      <c r="B236" s="794">
        <v>41884</v>
      </c>
      <c r="C236" s="743">
        <v>2014</v>
      </c>
      <c r="D236" s="746" t="s">
        <v>15</v>
      </c>
      <c r="E236" s="746" t="s">
        <v>25</v>
      </c>
      <c r="F236" s="746" t="s">
        <v>17</v>
      </c>
      <c r="G236" s="746" t="s">
        <v>58</v>
      </c>
      <c r="H236" s="694" t="s">
        <v>959</v>
      </c>
      <c r="I236" s="746" t="s">
        <v>5</v>
      </c>
      <c r="J236" s="746" t="s">
        <v>376</v>
      </c>
      <c r="K236" s="706">
        <v>1</v>
      </c>
      <c r="L236" s="745" t="s">
        <v>58</v>
      </c>
      <c r="M236" s="706" t="s">
        <v>1014</v>
      </c>
      <c r="N236" s="706">
        <v>19</v>
      </c>
      <c r="O236" s="706"/>
      <c r="P236" s="706"/>
      <c r="Q236" s="706"/>
      <c r="R236" s="706"/>
      <c r="S236" s="706"/>
      <c r="T236" s="706"/>
      <c r="U236" s="738">
        <v>0.62806842093767556</v>
      </c>
      <c r="V236" s="738">
        <v>1227.8974155200376</v>
      </c>
      <c r="W236" s="793">
        <v>0.62806842093767556</v>
      </c>
      <c r="X236" s="708">
        <v>1227.8974155200376</v>
      </c>
      <c r="Y236" s="719">
        <v>23330.050894880715</v>
      </c>
      <c r="Z236" s="719">
        <v>11048.341077309895</v>
      </c>
      <c r="AA236" s="719">
        <v>581.49163564788921</v>
      </c>
      <c r="AB236" s="738">
        <v>0.29743244734753344</v>
      </c>
      <c r="AC236" s="792">
        <v>1</v>
      </c>
      <c r="AD236" s="792">
        <v>1</v>
      </c>
      <c r="AE236" s="717">
        <v>0.56884057971014501</v>
      </c>
      <c r="AF236" s="714">
        <v>4.2407531067898789E-2</v>
      </c>
      <c r="AG236" s="706"/>
      <c r="AH236" s="792">
        <v>0.47356695135775378</v>
      </c>
      <c r="AI236" s="748">
        <v>0.56884057971014501</v>
      </c>
      <c r="AJ236" s="748">
        <v>4.2407531067898789E-2</v>
      </c>
      <c r="AK236" s="748"/>
      <c r="AL236" s="714">
        <v>0.47356695135775378</v>
      </c>
      <c r="AM236" s="706"/>
      <c r="AN236" s="706"/>
      <c r="AO236" s="706"/>
      <c r="AP236" s="706"/>
      <c r="AQ236" s="706"/>
      <c r="AR236" s="706" t="s">
        <v>957</v>
      </c>
      <c r="AS236" s="706"/>
      <c r="AT236" s="706"/>
      <c r="AU236" s="706"/>
      <c r="AV236" s="706">
        <v>0.29743244734753344</v>
      </c>
      <c r="AW236" s="706">
        <v>0.29743244734753344</v>
      </c>
      <c r="AX236" s="706">
        <v>0.29743244734753344</v>
      </c>
      <c r="AY236" s="706">
        <v>0.29743244734753344</v>
      </c>
      <c r="AZ236" s="706">
        <v>0.29743244734753344</v>
      </c>
      <c r="BA236" s="706">
        <v>0.29743244734753344</v>
      </c>
      <c r="BB236" s="706">
        <v>0.29743244734753344</v>
      </c>
      <c r="BC236" s="706">
        <v>0.29743244734753344</v>
      </c>
      <c r="BD236" s="706">
        <v>0.29743244734753344</v>
      </c>
      <c r="BE236" s="706">
        <v>0.29743244734753344</v>
      </c>
      <c r="BF236" s="706">
        <v>0.29743244734753344</v>
      </c>
      <c r="BG236" s="706">
        <v>0.29743244734753344</v>
      </c>
      <c r="BH236" s="706">
        <v>0.29743244734753344</v>
      </c>
      <c r="BI236" s="706">
        <v>0.29743244734753344</v>
      </c>
      <c r="BJ236" s="706">
        <v>0.29743244734753344</v>
      </c>
      <c r="BK236" s="706">
        <v>0.29743244734753344</v>
      </c>
      <c r="BL236" s="706">
        <v>0.29743244734753344</v>
      </c>
      <c r="BM236" s="706">
        <v>0.29743244734753344</v>
      </c>
      <c r="BN236" s="706">
        <v>0.29743244734753344</v>
      </c>
      <c r="BO236" s="706"/>
      <c r="BP236" s="706"/>
      <c r="BQ236" s="706"/>
      <c r="BR236" s="706"/>
      <c r="BS236" s="706"/>
      <c r="BT236" s="706"/>
      <c r="BU236" s="706"/>
      <c r="BV236" s="791">
        <v>581.49163564788921</v>
      </c>
      <c r="BW236" s="791">
        <v>581.49163564788921</v>
      </c>
      <c r="BX236" s="791">
        <v>581.49163564788921</v>
      </c>
      <c r="BY236" s="791">
        <v>581.49163564788921</v>
      </c>
      <c r="BZ236" s="791">
        <v>581.49163564788921</v>
      </c>
      <c r="CA236" s="791">
        <v>581.49163564788921</v>
      </c>
      <c r="CB236" s="791">
        <v>581.49163564788921</v>
      </c>
      <c r="CC236" s="791">
        <v>581.49163564788921</v>
      </c>
      <c r="CD236" s="791">
        <v>581.49163564788921</v>
      </c>
      <c r="CE236" s="791">
        <v>581.49163564788921</v>
      </c>
      <c r="CF236" s="791">
        <v>581.49163564788921</v>
      </c>
      <c r="CG236" s="791">
        <v>581.49163564788921</v>
      </c>
      <c r="CH236" s="791">
        <v>581.49163564788921</v>
      </c>
      <c r="CI236" s="791">
        <v>581.49163564788921</v>
      </c>
      <c r="CJ236" s="791">
        <v>581.49163564788921</v>
      </c>
      <c r="CK236" s="791">
        <v>581.49163564788921</v>
      </c>
      <c r="CL236" s="791">
        <v>581.49163564788921</v>
      </c>
      <c r="CM236" s="791">
        <v>581.49163564788921</v>
      </c>
      <c r="CN236" s="791">
        <v>581.49163564788921</v>
      </c>
      <c r="CO236" s="706"/>
      <c r="CP236" s="706"/>
      <c r="CQ236" s="706"/>
      <c r="CR236" s="706"/>
    </row>
    <row r="237" spans="1:96">
      <c r="A237" s="694" t="s">
        <v>3</v>
      </c>
      <c r="B237" s="794">
        <v>41862</v>
      </c>
      <c r="C237" s="743">
        <v>2014</v>
      </c>
      <c r="D237" s="746" t="s">
        <v>15</v>
      </c>
      <c r="E237" s="746" t="s">
        <v>25</v>
      </c>
      <c r="F237" s="746" t="s">
        <v>17</v>
      </c>
      <c r="G237" s="746" t="s">
        <v>58</v>
      </c>
      <c r="H237" s="694" t="s">
        <v>959</v>
      </c>
      <c r="I237" s="746" t="s">
        <v>5</v>
      </c>
      <c r="J237" s="746" t="s">
        <v>376</v>
      </c>
      <c r="K237" s="706">
        <v>1</v>
      </c>
      <c r="L237" s="745" t="s">
        <v>58</v>
      </c>
      <c r="M237" s="706" t="s">
        <v>895</v>
      </c>
      <c r="N237" s="706">
        <v>19</v>
      </c>
      <c r="O237" s="706"/>
      <c r="P237" s="706"/>
      <c r="Q237" s="706"/>
      <c r="R237" s="706"/>
      <c r="S237" s="706"/>
      <c r="T237" s="706"/>
      <c r="U237" s="738">
        <v>0.62806842093767556</v>
      </c>
      <c r="V237" s="738">
        <v>1227.8974155200376</v>
      </c>
      <c r="W237" s="793">
        <v>0.62806842093767556</v>
      </c>
      <c r="X237" s="708">
        <v>1227.8974155200376</v>
      </c>
      <c r="Y237" s="719">
        <v>23330.050894880715</v>
      </c>
      <c r="Z237" s="719">
        <v>11048.341077309895</v>
      </c>
      <c r="AA237" s="719">
        <v>581.49163564788921</v>
      </c>
      <c r="AB237" s="738">
        <v>0.29743244734753344</v>
      </c>
      <c r="AC237" s="792">
        <v>1</v>
      </c>
      <c r="AD237" s="792">
        <v>1</v>
      </c>
      <c r="AE237" s="717">
        <v>0.56884057971014501</v>
      </c>
      <c r="AF237" s="714">
        <v>4.2407531067898789E-2</v>
      </c>
      <c r="AG237" s="706"/>
      <c r="AH237" s="792">
        <v>0.47356695135775378</v>
      </c>
      <c r="AI237" s="748">
        <v>0.56884057971014501</v>
      </c>
      <c r="AJ237" s="748">
        <v>4.2407531067898789E-2</v>
      </c>
      <c r="AK237" s="748"/>
      <c r="AL237" s="714">
        <v>0.47356695135775378</v>
      </c>
      <c r="AM237" s="706"/>
      <c r="AN237" s="706"/>
      <c r="AO237" s="706"/>
      <c r="AP237" s="706"/>
      <c r="AQ237" s="706"/>
      <c r="AR237" s="706" t="s">
        <v>957</v>
      </c>
      <c r="AS237" s="706"/>
      <c r="AT237" s="706"/>
      <c r="AU237" s="706"/>
      <c r="AV237" s="706">
        <v>0.29743244734753344</v>
      </c>
      <c r="AW237" s="706">
        <v>0.29743244734753344</v>
      </c>
      <c r="AX237" s="706">
        <v>0.29743244734753344</v>
      </c>
      <c r="AY237" s="706">
        <v>0.29743244734753344</v>
      </c>
      <c r="AZ237" s="706">
        <v>0.29743244734753344</v>
      </c>
      <c r="BA237" s="706">
        <v>0.29743244734753344</v>
      </c>
      <c r="BB237" s="706">
        <v>0.29743244734753344</v>
      </c>
      <c r="BC237" s="706">
        <v>0.29743244734753344</v>
      </c>
      <c r="BD237" s="706">
        <v>0.29743244734753344</v>
      </c>
      <c r="BE237" s="706">
        <v>0.29743244734753344</v>
      </c>
      <c r="BF237" s="706">
        <v>0.29743244734753344</v>
      </c>
      <c r="BG237" s="706">
        <v>0.29743244734753344</v>
      </c>
      <c r="BH237" s="706">
        <v>0.29743244734753344</v>
      </c>
      <c r="BI237" s="706">
        <v>0.29743244734753344</v>
      </c>
      <c r="BJ237" s="706">
        <v>0.29743244734753344</v>
      </c>
      <c r="BK237" s="706">
        <v>0.29743244734753344</v>
      </c>
      <c r="BL237" s="706">
        <v>0.29743244734753344</v>
      </c>
      <c r="BM237" s="706">
        <v>0.29743244734753344</v>
      </c>
      <c r="BN237" s="706">
        <v>0.29743244734753344</v>
      </c>
      <c r="BO237" s="706"/>
      <c r="BP237" s="706"/>
      <c r="BQ237" s="706"/>
      <c r="BR237" s="706"/>
      <c r="BS237" s="706"/>
      <c r="BT237" s="706"/>
      <c r="BU237" s="706"/>
      <c r="BV237" s="791">
        <v>581.49163564788921</v>
      </c>
      <c r="BW237" s="791">
        <v>581.49163564788921</v>
      </c>
      <c r="BX237" s="791">
        <v>581.49163564788921</v>
      </c>
      <c r="BY237" s="791">
        <v>581.49163564788921</v>
      </c>
      <c r="BZ237" s="791">
        <v>581.49163564788921</v>
      </c>
      <c r="CA237" s="791">
        <v>581.49163564788921</v>
      </c>
      <c r="CB237" s="791">
        <v>581.49163564788921</v>
      </c>
      <c r="CC237" s="791">
        <v>581.49163564788921</v>
      </c>
      <c r="CD237" s="791">
        <v>581.49163564788921</v>
      </c>
      <c r="CE237" s="791">
        <v>581.49163564788921</v>
      </c>
      <c r="CF237" s="791">
        <v>581.49163564788921</v>
      </c>
      <c r="CG237" s="791">
        <v>581.49163564788921</v>
      </c>
      <c r="CH237" s="791">
        <v>581.49163564788921</v>
      </c>
      <c r="CI237" s="791">
        <v>581.49163564788921</v>
      </c>
      <c r="CJ237" s="791">
        <v>581.49163564788921</v>
      </c>
      <c r="CK237" s="791">
        <v>581.49163564788921</v>
      </c>
      <c r="CL237" s="791">
        <v>581.49163564788921</v>
      </c>
      <c r="CM237" s="791">
        <v>581.49163564788921</v>
      </c>
      <c r="CN237" s="791">
        <v>581.49163564788921</v>
      </c>
      <c r="CO237" s="706"/>
      <c r="CP237" s="706"/>
      <c r="CQ237" s="706"/>
      <c r="CR237" s="706"/>
    </row>
    <row r="238" spans="1:96">
      <c r="A238" s="694" t="s">
        <v>3</v>
      </c>
      <c r="B238" s="794">
        <v>41898</v>
      </c>
      <c r="C238" s="743">
        <v>2014</v>
      </c>
      <c r="D238" s="746" t="s">
        <v>15</v>
      </c>
      <c r="E238" s="746" t="s">
        <v>25</v>
      </c>
      <c r="F238" s="746" t="s">
        <v>17</v>
      </c>
      <c r="G238" s="746" t="s">
        <v>58</v>
      </c>
      <c r="H238" s="694" t="s">
        <v>959</v>
      </c>
      <c r="I238" s="746" t="s">
        <v>5</v>
      </c>
      <c r="J238" s="746" t="s">
        <v>376</v>
      </c>
      <c r="K238" s="706">
        <v>1</v>
      </c>
      <c r="L238" s="745" t="s">
        <v>58</v>
      </c>
      <c r="M238" s="706" t="s">
        <v>888</v>
      </c>
      <c r="N238" s="706">
        <v>19</v>
      </c>
      <c r="O238" s="706"/>
      <c r="P238" s="706"/>
      <c r="Q238" s="706"/>
      <c r="R238" s="706"/>
      <c r="S238" s="706"/>
      <c r="T238" s="706"/>
      <c r="U238" s="738">
        <v>0.62806842093767556</v>
      </c>
      <c r="V238" s="738">
        <v>1227.8974155200376</v>
      </c>
      <c r="W238" s="793">
        <v>0.62806842093767556</v>
      </c>
      <c r="X238" s="708">
        <v>1227.8974155200376</v>
      </c>
      <c r="Y238" s="719">
        <v>23330.050894880715</v>
      </c>
      <c r="Z238" s="719">
        <v>11048.341077309895</v>
      </c>
      <c r="AA238" s="719">
        <v>581.49163564788921</v>
      </c>
      <c r="AB238" s="738">
        <v>0.29743244734753344</v>
      </c>
      <c r="AC238" s="792">
        <v>1</v>
      </c>
      <c r="AD238" s="792">
        <v>1</v>
      </c>
      <c r="AE238" s="717">
        <v>0.56884057971014501</v>
      </c>
      <c r="AF238" s="714">
        <v>4.2407531067898789E-2</v>
      </c>
      <c r="AG238" s="706"/>
      <c r="AH238" s="792">
        <v>0.47356695135775378</v>
      </c>
      <c r="AI238" s="748">
        <v>0.56884057971014501</v>
      </c>
      <c r="AJ238" s="748">
        <v>4.2407531067898789E-2</v>
      </c>
      <c r="AK238" s="748"/>
      <c r="AL238" s="714">
        <v>0.47356695135775378</v>
      </c>
      <c r="AM238" s="706"/>
      <c r="AN238" s="706"/>
      <c r="AO238" s="706"/>
      <c r="AP238" s="706"/>
      <c r="AQ238" s="706"/>
      <c r="AR238" s="706" t="s">
        <v>957</v>
      </c>
      <c r="AS238" s="706"/>
      <c r="AT238" s="706"/>
      <c r="AU238" s="706"/>
      <c r="AV238" s="706">
        <v>0.29743244734753344</v>
      </c>
      <c r="AW238" s="706">
        <v>0.29743244734753344</v>
      </c>
      <c r="AX238" s="706">
        <v>0.29743244734753344</v>
      </c>
      <c r="AY238" s="706">
        <v>0.29743244734753344</v>
      </c>
      <c r="AZ238" s="706">
        <v>0.29743244734753344</v>
      </c>
      <c r="BA238" s="706">
        <v>0.29743244734753344</v>
      </c>
      <c r="BB238" s="706">
        <v>0.29743244734753344</v>
      </c>
      <c r="BC238" s="706">
        <v>0.29743244734753344</v>
      </c>
      <c r="BD238" s="706">
        <v>0.29743244734753344</v>
      </c>
      <c r="BE238" s="706">
        <v>0.29743244734753344</v>
      </c>
      <c r="BF238" s="706">
        <v>0.29743244734753344</v>
      </c>
      <c r="BG238" s="706">
        <v>0.29743244734753344</v>
      </c>
      <c r="BH238" s="706">
        <v>0.29743244734753344</v>
      </c>
      <c r="BI238" s="706">
        <v>0.29743244734753344</v>
      </c>
      <c r="BJ238" s="706">
        <v>0.29743244734753344</v>
      </c>
      <c r="BK238" s="706">
        <v>0.29743244734753344</v>
      </c>
      <c r="BL238" s="706">
        <v>0.29743244734753344</v>
      </c>
      <c r="BM238" s="706">
        <v>0.29743244734753344</v>
      </c>
      <c r="BN238" s="706">
        <v>0.29743244734753344</v>
      </c>
      <c r="BO238" s="706"/>
      <c r="BP238" s="706"/>
      <c r="BQ238" s="706"/>
      <c r="BR238" s="706"/>
      <c r="BS238" s="706"/>
      <c r="BT238" s="706"/>
      <c r="BU238" s="706"/>
      <c r="BV238" s="791">
        <v>581.49163564788921</v>
      </c>
      <c r="BW238" s="791">
        <v>581.49163564788921</v>
      </c>
      <c r="BX238" s="791">
        <v>581.49163564788921</v>
      </c>
      <c r="BY238" s="791">
        <v>581.49163564788921</v>
      </c>
      <c r="BZ238" s="791">
        <v>581.49163564788921</v>
      </c>
      <c r="CA238" s="791">
        <v>581.49163564788921</v>
      </c>
      <c r="CB238" s="791">
        <v>581.49163564788921</v>
      </c>
      <c r="CC238" s="791">
        <v>581.49163564788921</v>
      </c>
      <c r="CD238" s="791">
        <v>581.49163564788921</v>
      </c>
      <c r="CE238" s="791">
        <v>581.49163564788921</v>
      </c>
      <c r="CF238" s="791">
        <v>581.49163564788921</v>
      </c>
      <c r="CG238" s="791">
        <v>581.49163564788921</v>
      </c>
      <c r="CH238" s="791">
        <v>581.49163564788921</v>
      </c>
      <c r="CI238" s="791">
        <v>581.49163564788921</v>
      </c>
      <c r="CJ238" s="791">
        <v>581.49163564788921</v>
      </c>
      <c r="CK238" s="791">
        <v>581.49163564788921</v>
      </c>
      <c r="CL238" s="791">
        <v>581.49163564788921</v>
      </c>
      <c r="CM238" s="791">
        <v>581.49163564788921</v>
      </c>
      <c r="CN238" s="791">
        <v>581.49163564788921</v>
      </c>
      <c r="CO238" s="706"/>
      <c r="CP238" s="706"/>
      <c r="CQ238" s="706"/>
      <c r="CR238" s="706"/>
    </row>
    <row r="239" spans="1:96">
      <c r="A239" s="694" t="s">
        <v>3</v>
      </c>
      <c r="B239" s="794">
        <v>41765</v>
      </c>
      <c r="C239" s="743">
        <v>2014</v>
      </c>
      <c r="D239" s="746" t="s">
        <v>15</v>
      </c>
      <c r="E239" s="746" t="s">
        <v>25</v>
      </c>
      <c r="F239" s="746" t="s">
        <v>17</v>
      </c>
      <c r="G239" s="746" t="s">
        <v>58</v>
      </c>
      <c r="H239" s="694" t="s">
        <v>959</v>
      </c>
      <c r="I239" s="746" t="s">
        <v>5</v>
      </c>
      <c r="J239" s="746" t="s">
        <v>376</v>
      </c>
      <c r="K239" s="706">
        <v>1</v>
      </c>
      <c r="L239" s="745" t="s">
        <v>58</v>
      </c>
      <c r="M239" s="706" t="s">
        <v>1021</v>
      </c>
      <c r="N239" s="706">
        <v>19</v>
      </c>
      <c r="O239" s="706"/>
      <c r="P239" s="706"/>
      <c r="Q239" s="706"/>
      <c r="R239" s="706"/>
      <c r="S239" s="706"/>
      <c r="T239" s="706"/>
      <c r="U239" s="738">
        <v>0.62806842093767556</v>
      </c>
      <c r="V239" s="738">
        <v>1227.8974155200376</v>
      </c>
      <c r="W239" s="793">
        <v>0.62806842093767556</v>
      </c>
      <c r="X239" s="708">
        <v>1227.8974155200376</v>
      </c>
      <c r="Y239" s="719">
        <v>23330.050894880715</v>
      </c>
      <c r="Z239" s="719">
        <v>11048.341077309895</v>
      </c>
      <c r="AA239" s="719">
        <v>581.49163564788921</v>
      </c>
      <c r="AB239" s="738">
        <v>0.29743244734753344</v>
      </c>
      <c r="AC239" s="792">
        <v>1</v>
      </c>
      <c r="AD239" s="792">
        <v>1</v>
      </c>
      <c r="AE239" s="717">
        <v>0.56884057971014501</v>
      </c>
      <c r="AF239" s="714">
        <v>4.2407531067898789E-2</v>
      </c>
      <c r="AG239" s="706"/>
      <c r="AH239" s="792">
        <v>0.47356695135775378</v>
      </c>
      <c r="AI239" s="748">
        <v>0.56884057971014501</v>
      </c>
      <c r="AJ239" s="748">
        <v>4.2407531067898789E-2</v>
      </c>
      <c r="AK239" s="748"/>
      <c r="AL239" s="714">
        <v>0.47356695135775378</v>
      </c>
      <c r="AM239" s="706"/>
      <c r="AN239" s="706"/>
      <c r="AO239" s="706"/>
      <c r="AP239" s="706"/>
      <c r="AQ239" s="706"/>
      <c r="AR239" s="706" t="s">
        <v>957</v>
      </c>
      <c r="AS239" s="706"/>
      <c r="AT239" s="706"/>
      <c r="AU239" s="706"/>
      <c r="AV239" s="706">
        <v>0.29743244734753344</v>
      </c>
      <c r="AW239" s="706">
        <v>0.29743244734753344</v>
      </c>
      <c r="AX239" s="706">
        <v>0.29743244734753344</v>
      </c>
      <c r="AY239" s="706">
        <v>0.29743244734753344</v>
      </c>
      <c r="AZ239" s="706">
        <v>0.29743244734753344</v>
      </c>
      <c r="BA239" s="706">
        <v>0.29743244734753344</v>
      </c>
      <c r="BB239" s="706">
        <v>0.29743244734753344</v>
      </c>
      <c r="BC239" s="706">
        <v>0.29743244734753344</v>
      </c>
      <c r="BD239" s="706">
        <v>0.29743244734753344</v>
      </c>
      <c r="BE239" s="706">
        <v>0.29743244734753344</v>
      </c>
      <c r="BF239" s="706">
        <v>0.29743244734753344</v>
      </c>
      <c r="BG239" s="706">
        <v>0.29743244734753344</v>
      </c>
      <c r="BH239" s="706">
        <v>0.29743244734753344</v>
      </c>
      <c r="BI239" s="706">
        <v>0.29743244734753344</v>
      </c>
      <c r="BJ239" s="706">
        <v>0.29743244734753344</v>
      </c>
      <c r="BK239" s="706">
        <v>0.29743244734753344</v>
      </c>
      <c r="BL239" s="706">
        <v>0.29743244734753344</v>
      </c>
      <c r="BM239" s="706">
        <v>0.29743244734753344</v>
      </c>
      <c r="BN239" s="706">
        <v>0.29743244734753344</v>
      </c>
      <c r="BO239" s="706"/>
      <c r="BP239" s="706"/>
      <c r="BQ239" s="706"/>
      <c r="BR239" s="706"/>
      <c r="BS239" s="706"/>
      <c r="BT239" s="706"/>
      <c r="BU239" s="706"/>
      <c r="BV239" s="791">
        <v>581.49163564788921</v>
      </c>
      <c r="BW239" s="791">
        <v>581.49163564788921</v>
      </c>
      <c r="BX239" s="791">
        <v>581.49163564788921</v>
      </c>
      <c r="BY239" s="791">
        <v>581.49163564788921</v>
      </c>
      <c r="BZ239" s="791">
        <v>581.49163564788921</v>
      </c>
      <c r="CA239" s="791">
        <v>581.49163564788921</v>
      </c>
      <c r="CB239" s="791">
        <v>581.49163564788921</v>
      </c>
      <c r="CC239" s="791">
        <v>581.49163564788921</v>
      </c>
      <c r="CD239" s="791">
        <v>581.49163564788921</v>
      </c>
      <c r="CE239" s="791">
        <v>581.49163564788921</v>
      </c>
      <c r="CF239" s="791">
        <v>581.49163564788921</v>
      </c>
      <c r="CG239" s="791">
        <v>581.49163564788921</v>
      </c>
      <c r="CH239" s="791">
        <v>581.49163564788921</v>
      </c>
      <c r="CI239" s="791">
        <v>581.49163564788921</v>
      </c>
      <c r="CJ239" s="791">
        <v>581.49163564788921</v>
      </c>
      <c r="CK239" s="791">
        <v>581.49163564788921</v>
      </c>
      <c r="CL239" s="791">
        <v>581.49163564788921</v>
      </c>
      <c r="CM239" s="791">
        <v>581.49163564788921</v>
      </c>
      <c r="CN239" s="791">
        <v>581.49163564788921</v>
      </c>
      <c r="CO239" s="706"/>
      <c r="CP239" s="706"/>
      <c r="CQ239" s="706"/>
      <c r="CR239" s="706"/>
    </row>
    <row r="240" spans="1:96">
      <c r="A240" s="694" t="s">
        <v>3</v>
      </c>
      <c r="B240" s="794">
        <v>41828</v>
      </c>
      <c r="C240" s="743">
        <v>2014</v>
      </c>
      <c r="D240" s="746" t="s">
        <v>15</v>
      </c>
      <c r="E240" s="746" t="s">
        <v>25</v>
      </c>
      <c r="F240" s="746" t="s">
        <v>17</v>
      </c>
      <c r="G240" s="746" t="s">
        <v>58</v>
      </c>
      <c r="H240" s="694" t="s">
        <v>959</v>
      </c>
      <c r="I240" s="746" t="s">
        <v>5</v>
      </c>
      <c r="J240" s="746" t="s">
        <v>376</v>
      </c>
      <c r="K240" s="706">
        <v>1</v>
      </c>
      <c r="L240" s="745" t="s">
        <v>58</v>
      </c>
      <c r="M240" s="706" t="s">
        <v>1021</v>
      </c>
      <c r="N240" s="706">
        <v>19</v>
      </c>
      <c r="O240" s="706"/>
      <c r="P240" s="706"/>
      <c r="Q240" s="706"/>
      <c r="R240" s="706"/>
      <c r="S240" s="706"/>
      <c r="T240" s="706"/>
      <c r="U240" s="738">
        <v>0.62806842093767556</v>
      </c>
      <c r="V240" s="738">
        <v>1227.8974155200376</v>
      </c>
      <c r="W240" s="793">
        <v>0.62806842093767556</v>
      </c>
      <c r="X240" s="708">
        <v>1227.8974155200376</v>
      </c>
      <c r="Y240" s="719">
        <v>23330.050894880715</v>
      </c>
      <c r="Z240" s="719">
        <v>11048.341077309895</v>
      </c>
      <c r="AA240" s="719">
        <v>581.49163564788921</v>
      </c>
      <c r="AB240" s="738">
        <v>0.29743244734753344</v>
      </c>
      <c r="AC240" s="792">
        <v>1</v>
      </c>
      <c r="AD240" s="792">
        <v>1</v>
      </c>
      <c r="AE240" s="717">
        <v>0.56884057971014501</v>
      </c>
      <c r="AF240" s="714">
        <v>4.2407531067898789E-2</v>
      </c>
      <c r="AG240" s="706"/>
      <c r="AH240" s="792">
        <v>0.47356695135775378</v>
      </c>
      <c r="AI240" s="748">
        <v>0.56884057971014501</v>
      </c>
      <c r="AJ240" s="748">
        <v>4.2407531067898789E-2</v>
      </c>
      <c r="AK240" s="748"/>
      <c r="AL240" s="714">
        <v>0.47356695135775378</v>
      </c>
      <c r="AM240" s="706"/>
      <c r="AN240" s="706"/>
      <c r="AO240" s="706"/>
      <c r="AP240" s="706"/>
      <c r="AQ240" s="706"/>
      <c r="AR240" s="706" t="s">
        <v>957</v>
      </c>
      <c r="AS240" s="706"/>
      <c r="AT240" s="706"/>
      <c r="AU240" s="706"/>
      <c r="AV240" s="706">
        <v>0.29743244734753344</v>
      </c>
      <c r="AW240" s="706">
        <v>0.29743244734753344</v>
      </c>
      <c r="AX240" s="706">
        <v>0.29743244734753344</v>
      </c>
      <c r="AY240" s="706">
        <v>0.29743244734753344</v>
      </c>
      <c r="AZ240" s="706">
        <v>0.29743244734753344</v>
      </c>
      <c r="BA240" s="706">
        <v>0.29743244734753344</v>
      </c>
      <c r="BB240" s="706">
        <v>0.29743244734753344</v>
      </c>
      <c r="BC240" s="706">
        <v>0.29743244734753344</v>
      </c>
      <c r="BD240" s="706">
        <v>0.29743244734753344</v>
      </c>
      <c r="BE240" s="706">
        <v>0.29743244734753344</v>
      </c>
      <c r="BF240" s="706">
        <v>0.29743244734753344</v>
      </c>
      <c r="BG240" s="706">
        <v>0.29743244734753344</v>
      </c>
      <c r="BH240" s="706">
        <v>0.29743244734753344</v>
      </c>
      <c r="BI240" s="706">
        <v>0.29743244734753344</v>
      </c>
      <c r="BJ240" s="706">
        <v>0.29743244734753344</v>
      </c>
      <c r="BK240" s="706">
        <v>0.29743244734753344</v>
      </c>
      <c r="BL240" s="706">
        <v>0.29743244734753344</v>
      </c>
      <c r="BM240" s="706">
        <v>0.29743244734753344</v>
      </c>
      <c r="BN240" s="706">
        <v>0.29743244734753344</v>
      </c>
      <c r="BO240" s="706"/>
      <c r="BP240" s="706"/>
      <c r="BQ240" s="706"/>
      <c r="BR240" s="706"/>
      <c r="BS240" s="706"/>
      <c r="BT240" s="706"/>
      <c r="BU240" s="706"/>
      <c r="BV240" s="791">
        <v>581.49163564788921</v>
      </c>
      <c r="BW240" s="791">
        <v>581.49163564788921</v>
      </c>
      <c r="BX240" s="791">
        <v>581.49163564788921</v>
      </c>
      <c r="BY240" s="791">
        <v>581.49163564788921</v>
      </c>
      <c r="BZ240" s="791">
        <v>581.49163564788921</v>
      </c>
      <c r="CA240" s="791">
        <v>581.49163564788921</v>
      </c>
      <c r="CB240" s="791">
        <v>581.49163564788921</v>
      </c>
      <c r="CC240" s="791">
        <v>581.49163564788921</v>
      </c>
      <c r="CD240" s="791">
        <v>581.49163564788921</v>
      </c>
      <c r="CE240" s="791">
        <v>581.49163564788921</v>
      </c>
      <c r="CF240" s="791">
        <v>581.49163564788921</v>
      </c>
      <c r="CG240" s="791">
        <v>581.49163564788921</v>
      </c>
      <c r="CH240" s="791">
        <v>581.49163564788921</v>
      </c>
      <c r="CI240" s="791">
        <v>581.49163564788921</v>
      </c>
      <c r="CJ240" s="791">
        <v>581.49163564788921</v>
      </c>
      <c r="CK240" s="791">
        <v>581.49163564788921</v>
      </c>
      <c r="CL240" s="791">
        <v>581.49163564788921</v>
      </c>
      <c r="CM240" s="791">
        <v>581.49163564788921</v>
      </c>
      <c r="CN240" s="791">
        <v>581.49163564788921</v>
      </c>
      <c r="CO240" s="706"/>
      <c r="CP240" s="706"/>
      <c r="CQ240" s="706"/>
      <c r="CR240" s="706"/>
    </row>
    <row r="241" spans="1:96">
      <c r="A241" s="694" t="s">
        <v>3</v>
      </c>
      <c r="B241" s="794">
        <v>41891</v>
      </c>
      <c r="C241" s="743">
        <v>2014</v>
      </c>
      <c r="D241" s="746" t="s">
        <v>15</v>
      </c>
      <c r="E241" s="746" t="s">
        <v>25</v>
      </c>
      <c r="F241" s="746" t="s">
        <v>17</v>
      </c>
      <c r="G241" s="746" t="s">
        <v>58</v>
      </c>
      <c r="H241" s="694" t="s">
        <v>959</v>
      </c>
      <c r="I241" s="746" t="s">
        <v>5</v>
      </c>
      <c r="J241" s="746" t="s">
        <v>376</v>
      </c>
      <c r="K241" s="706">
        <v>1</v>
      </c>
      <c r="L241" s="745" t="s">
        <v>58</v>
      </c>
      <c r="M241" s="706" t="s">
        <v>1020</v>
      </c>
      <c r="N241" s="706">
        <v>19</v>
      </c>
      <c r="O241" s="706"/>
      <c r="P241" s="706"/>
      <c r="Q241" s="706"/>
      <c r="R241" s="706"/>
      <c r="S241" s="706"/>
      <c r="T241" s="706"/>
      <c r="U241" s="738">
        <v>0.62806842093767556</v>
      </c>
      <c r="V241" s="738">
        <v>1227.8974155200376</v>
      </c>
      <c r="W241" s="793">
        <v>0.62806842093767556</v>
      </c>
      <c r="X241" s="708">
        <v>1227.8974155200376</v>
      </c>
      <c r="Y241" s="719">
        <v>23330.050894880715</v>
      </c>
      <c r="Z241" s="719">
        <v>11048.341077309895</v>
      </c>
      <c r="AA241" s="719">
        <v>581.49163564788921</v>
      </c>
      <c r="AB241" s="738">
        <v>0.29743244734753344</v>
      </c>
      <c r="AC241" s="792">
        <v>1</v>
      </c>
      <c r="AD241" s="792">
        <v>1</v>
      </c>
      <c r="AE241" s="717">
        <v>0.56884057971014501</v>
      </c>
      <c r="AF241" s="714">
        <v>4.2407531067898789E-2</v>
      </c>
      <c r="AG241" s="706"/>
      <c r="AH241" s="792">
        <v>0.47356695135775378</v>
      </c>
      <c r="AI241" s="748">
        <v>0.56884057971014501</v>
      </c>
      <c r="AJ241" s="748">
        <v>4.2407531067898789E-2</v>
      </c>
      <c r="AK241" s="748"/>
      <c r="AL241" s="714">
        <v>0.47356695135775378</v>
      </c>
      <c r="AM241" s="706"/>
      <c r="AN241" s="706"/>
      <c r="AO241" s="706"/>
      <c r="AP241" s="706"/>
      <c r="AQ241" s="706"/>
      <c r="AR241" s="706" t="s">
        <v>957</v>
      </c>
      <c r="AS241" s="706"/>
      <c r="AT241" s="706"/>
      <c r="AU241" s="706"/>
      <c r="AV241" s="706">
        <v>0.29743244734753344</v>
      </c>
      <c r="AW241" s="706">
        <v>0.29743244734753344</v>
      </c>
      <c r="AX241" s="706">
        <v>0.29743244734753344</v>
      </c>
      <c r="AY241" s="706">
        <v>0.29743244734753344</v>
      </c>
      <c r="AZ241" s="706">
        <v>0.29743244734753344</v>
      </c>
      <c r="BA241" s="706">
        <v>0.29743244734753344</v>
      </c>
      <c r="BB241" s="706">
        <v>0.29743244734753344</v>
      </c>
      <c r="BC241" s="706">
        <v>0.29743244734753344</v>
      </c>
      <c r="BD241" s="706">
        <v>0.29743244734753344</v>
      </c>
      <c r="BE241" s="706">
        <v>0.29743244734753344</v>
      </c>
      <c r="BF241" s="706">
        <v>0.29743244734753344</v>
      </c>
      <c r="BG241" s="706">
        <v>0.29743244734753344</v>
      </c>
      <c r="BH241" s="706">
        <v>0.29743244734753344</v>
      </c>
      <c r="BI241" s="706">
        <v>0.29743244734753344</v>
      </c>
      <c r="BJ241" s="706">
        <v>0.29743244734753344</v>
      </c>
      <c r="BK241" s="706">
        <v>0.29743244734753344</v>
      </c>
      <c r="BL241" s="706">
        <v>0.29743244734753344</v>
      </c>
      <c r="BM241" s="706">
        <v>0.29743244734753344</v>
      </c>
      <c r="BN241" s="706">
        <v>0.29743244734753344</v>
      </c>
      <c r="BO241" s="706"/>
      <c r="BP241" s="706"/>
      <c r="BQ241" s="706"/>
      <c r="BR241" s="706"/>
      <c r="BS241" s="706"/>
      <c r="BT241" s="706"/>
      <c r="BU241" s="706"/>
      <c r="BV241" s="791">
        <v>581.49163564788921</v>
      </c>
      <c r="BW241" s="791">
        <v>581.49163564788921</v>
      </c>
      <c r="BX241" s="791">
        <v>581.49163564788921</v>
      </c>
      <c r="BY241" s="791">
        <v>581.49163564788921</v>
      </c>
      <c r="BZ241" s="791">
        <v>581.49163564788921</v>
      </c>
      <c r="CA241" s="791">
        <v>581.49163564788921</v>
      </c>
      <c r="CB241" s="791">
        <v>581.49163564788921</v>
      </c>
      <c r="CC241" s="791">
        <v>581.49163564788921</v>
      </c>
      <c r="CD241" s="791">
        <v>581.49163564788921</v>
      </c>
      <c r="CE241" s="791">
        <v>581.49163564788921</v>
      </c>
      <c r="CF241" s="791">
        <v>581.49163564788921</v>
      </c>
      <c r="CG241" s="791">
        <v>581.49163564788921</v>
      </c>
      <c r="CH241" s="791">
        <v>581.49163564788921</v>
      </c>
      <c r="CI241" s="791">
        <v>581.49163564788921</v>
      </c>
      <c r="CJ241" s="791">
        <v>581.49163564788921</v>
      </c>
      <c r="CK241" s="791">
        <v>581.49163564788921</v>
      </c>
      <c r="CL241" s="791">
        <v>581.49163564788921</v>
      </c>
      <c r="CM241" s="791">
        <v>581.49163564788921</v>
      </c>
      <c r="CN241" s="791">
        <v>581.49163564788921</v>
      </c>
      <c r="CO241" s="706"/>
      <c r="CP241" s="706"/>
      <c r="CQ241" s="706"/>
      <c r="CR241" s="706"/>
    </row>
    <row r="242" spans="1:96">
      <c r="A242" s="694" t="s">
        <v>3</v>
      </c>
      <c r="B242" s="794">
        <v>41830</v>
      </c>
      <c r="C242" s="743">
        <v>2014</v>
      </c>
      <c r="D242" s="746" t="s">
        <v>15</v>
      </c>
      <c r="E242" s="746" t="s">
        <v>25</v>
      </c>
      <c r="F242" s="746" t="s">
        <v>17</v>
      </c>
      <c r="G242" s="746" t="s">
        <v>58</v>
      </c>
      <c r="H242" s="694" t="s">
        <v>959</v>
      </c>
      <c r="I242" s="746" t="s">
        <v>5</v>
      </c>
      <c r="J242" s="746" t="s">
        <v>376</v>
      </c>
      <c r="K242" s="706">
        <v>1</v>
      </c>
      <c r="L242" s="745" t="s">
        <v>58</v>
      </c>
      <c r="M242" s="706" t="s">
        <v>894</v>
      </c>
      <c r="N242" s="706">
        <v>19</v>
      </c>
      <c r="O242" s="706"/>
      <c r="P242" s="706"/>
      <c r="Q242" s="706"/>
      <c r="R242" s="706"/>
      <c r="S242" s="706"/>
      <c r="T242" s="706"/>
      <c r="U242" s="738">
        <v>0.62806842093767556</v>
      </c>
      <c r="V242" s="738">
        <v>1227.8974155200376</v>
      </c>
      <c r="W242" s="793">
        <v>0.62806842093767556</v>
      </c>
      <c r="X242" s="708">
        <v>1227.8974155200376</v>
      </c>
      <c r="Y242" s="719">
        <v>23330.050894880715</v>
      </c>
      <c r="Z242" s="719">
        <v>11048.341077309895</v>
      </c>
      <c r="AA242" s="719">
        <v>581.49163564788921</v>
      </c>
      <c r="AB242" s="738">
        <v>0.29743244734753344</v>
      </c>
      <c r="AC242" s="792">
        <v>1</v>
      </c>
      <c r="AD242" s="792">
        <v>1</v>
      </c>
      <c r="AE242" s="717">
        <v>0.56884057971014501</v>
      </c>
      <c r="AF242" s="714">
        <v>4.2407531067898789E-2</v>
      </c>
      <c r="AG242" s="706"/>
      <c r="AH242" s="792">
        <v>0.47356695135775378</v>
      </c>
      <c r="AI242" s="748">
        <v>0.56884057971014501</v>
      </c>
      <c r="AJ242" s="748">
        <v>4.2407531067898789E-2</v>
      </c>
      <c r="AK242" s="748"/>
      <c r="AL242" s="714">
        <v>0.47356695135775378</v>
      </c>
      <c r="AM242" s="706"/>
      <c r="AN242" s="706"/>
      <c r="AO242" s="706"/>
      <c r="AP242" s="706"/>
      <c r="AQ242" s="706"/>
      <c r="AR242" s="706" t="s">
        <v>957</v>
      </c>
      <c r="AS242" s="706"/>
      <c r="AT242" s="706"/>
      <c r="AU242" s="706"/>
      <c r="AV242" s="706">
        <v>0.29743244734753344</v>
      </c>
      <c r="AW242" s="706">
        <v>0.29743244734753344</v>
      </c>
      <c r="AX242" s="706">
        <v>0.29743244734753344</v>
      </c>
      <c r="AY242" s="706">
        <v>0.29743244734753344</v>
      </c>
      <c r="AZ242" s="706">
        <v>0.29743244734753344</v>
      </c>
      <c r="BA242" s="706">
        <v>0.29743244734753344</v>
      </c>
      <c r="BB242" s="706">
        <v>0.29743244734753344</v>
      </c>
      <c r="BC242" s="706">
        <v>0.29743244734753344</v>
      </c>
      <c r="BD242" s="706">
        <v>0.29743244734753344</v>
      </c>
      <c r="BE242" s="706">
        <v>0.29743244734753344</v>
      </c>
      <c r="BF242" s="706">
        <v>0.29743244734753344</v>
      </c>
      <c r="BG242" s="706">
        <v>0.29743244734753344</v>
      </c>
      <c r="BH242" s="706">
        <v>0.29743244734753344</v>
      </c>
      <c r="BI242" s="706">
        <v>0.29743244734753344</v>
      </c>
      <c r="BJ242" s="706">
        <v>0.29743244734753344</v>
      </c>
      <c r="BK242" s="706">
        <v>0.29743244734753344</v>
      </c>
      <c r="BL242" s="706">
        <v>0.29743244734753344</v>
      </c>
      <c r="BM242" s="706">
        <v>0.29743244734753344</v>
      </c>
      <c r="BN242" s="706">
        <v>0.29743244734753344</v>
      </c>
      <c r="BO242" s="706"/>
      <c r="BP242" s="706"/>
      <c r="BQ242" s="706"/>
      <c r="BR242" s="706"/>
      <c r="BS242" s="706"/>
      <c r="BT242" s="706"/>
      <c r="BU242" s="706"/>
      <c r="BV242" s="791">
        <v>581.49163564788921</v>
      </c>
      <c r="BW242" s="791">
        <v>581.49163564788921</v>
      </c>
      <c r="BX242" s="791">
        <v>581.49163564788921</v>
      </c>
      <c r="BY242" s="791">
        <v>581.49163564788921</v>
      </c>
      <c r="BZ242" s="791">
        <v>581.49163564788921</v>
      </c>
      <c r="CA242" s="791">
        <v>581.49163564788921</v>
      </c>
      <c r="CB242" s="791">
        <v>581.49163564788921</v>
      </c>
      <c r="CC242" s="791">
        <v>581.49163564788921</v>
      </c>
      <c r="CD242" s="791">
        <v>581.49163564788921</v>
      </c>
      <c r="CE242" s="791">
        <v>581.49163564788921</v>
      </c>
      <c r="CF242" s="791">
        <v>581.49163564788921</v>
      </c>
      <c r="CG242" s="791">
        <v>581.49163564788921</v>
      </c>
      <c r="CH242" s="791">
        <v>581.49163564788921</v>
      </c>
      <c r="CI242" s="791">
        <v>581.49163564788921</v>
      </c>
      <c r="CJ242" s="791">
        <v>581.49163564788921</v>
      </c>
      <c r="CK242" s="791">
        <v>581.49163564788921</v>
      </c>
      <c r="CL242" s="791">
        <v>581.49163564788921</v>
      </c>
      <c r="CM242" s="791">
        <v>581.49163564788921</v>
      </c>
      <c r="CN242" s="791">
        <v>581.49163564788921</v>
      </c>
      <c r="CO242" s="706"/>
      <c r="CP242" s="706"/>
      <c r="CQ242" s="706"/>
      <c r="CR242" s="706"/>
    </row>
    <row r="243" spans="1:96">
      <c r="A243" s="694" t="s">
        <v>3</v>
      </c>
      <c r="B243" s="794">
        <v>41899</v>
      </c>
      <c r="C243" s="743">
        <v>2014</v>
      </c>
      <c r="D243" s="746" t="s">
        <v>15</v>
      </c>
      <c r="E243" s="746" t="s">
        <v>25</v>
      </c>
      <c r="F243" s="746" t="s">
        <v>17</v>
      </c>
      <c r="G243" s="746" t="s">
        <v>58</v>
      </c>
      <c r="H243" s="694" t="s">
        <v>959</v>
      </c>
      <c r="I243" s="746" t="s">
        <v>5</v>
      </c>
      <c r="J243" s="746" t="s">
        <v>376</v>
      </c>
      <c r="K243" s="706">
        <v>1</v>
      </c>
      <c r="L243" s="745" t="s">
        <v>58</v>
      </c>
      <c r="M243" s="706" t="s">
        <v>1019</v>
      </c>
      <c r="N243" s="706">
        <v>19</v>
      </c>
      <c r="O243" s="706"/>
      <c r="P243" s="706"/>
      <c r="Q243" s="706"/>
      <c r="R243" s="706"/>
      <c r="S243" s="706"/>
      <c r="T243" s="706"/>
      <c r="U243" s="738">
        <v>0.62806842093767556</v>
      </c>
      <c r="V243" s="738">
        <v>1227.8974155200376</v>
      </c>
      <c r="W243" s="793">
        <v>0.62806842093767556</v>
      </c>
      <c r="X243" s="708">
        <v>1227.8974155200376</v>
      </c>
      <c r="Y243" s="719">
        <v>23330.050894880715</v>
      </c>
      <c r="Z243" s="719">
        <v>11048.341077309895</v>
      </c>
      <c r="AA243" s="719">
        <v>581.49163564788921</v>
      </c>
      <c r="AB243" s="738">
        <v>0.29743244734753344</v>
      </c>
      <c r="AC243" s="792">
        <v>1</v>
      </c>
      <c r="AD243" s="792">
        <v>1</v>
      </c>
      <c r="AE243" s="717">
        <v>0.56884057971014501</v>
      </c>
      <c r="AF243" s="714">
        <v>4.2407531067898789E-2</v>
      </c>
      <c r="AG243" s="706"/>
      <c r="AH243" s="792">
        <v>0.47356695135775378</v>
      </c>
      <c r="AI243" s="748">
        <v>0.56884057971014501</v>
      </c>
      <c r="AJ243" s="748">
        <v>4.2407531067898789E-2</v>
      </c>
      <c r="AK243" s="748"/>
      <c r="AL243" s="714">
        <v>0.47356695135775378</v>
      </c>
      <c r="AM243" s="706"/>
      <c r="AN243" s="706"/>
      <c r="AO243" s="706"/>
      <c r="AP243" s="706"/>
      <c r="AQ243" s="706"/>
      <c r="AR243" s="706" t="s">
        <v>957</v>
      </c>
      <c r="AS243" s="706"/>
      <c r="AT243" s="706"/>
      <c r="AU243" s="706"/>
      <c r="AV243" s="706">
        <v>0.29743244734753344</v>
      </c>
      <c r="AW243" s="706">
        <v>0.29743244734753344</v>
      </c>
      <c r="AX243" s="706">
        <v>0.29743244734753344</v>
      </c>
      <c r="AY243" s="706">
        <v>0.29743244734753344</v>
      </c>
      <c r="AZ243" s="706">
        <v>0.29743244734753344</v>
      </c>
      <c r="BA243" s="706">
        <v>0.29743244734753344</v>
      </c>
      <c r="BB243" s="706">
        <v>0.29743244734753344</v>
      </c>
      <c r="BC243" s="706">
        <v>0.29743244734753344</v>
      </c>
      <c r="BD243" s="706">
        <v>0.29743244734753344</v>
      </c>
      <c r="BE243" s="706">
        <v>0.29743244734753344</v>
      </c>
      <c r="BF243" s="706">
        <v>0.29743244734753344</v>
      </c>
      <c r="BG243" s="706">
        <v>0.29743244734753344</v>
      </c>
      <c r="BH243" s="706">
        <v>0.29743244734753344</v>
      </c>
      <c r="BI243" s="706">
        <v>0.29743244734753344</v>
      </c>
      <c r="BJ243" s="706">
        <v>0.29743244734753344</v>
      </c>
      <c r="BK243" s="706">
        <v>0.29743244734753344</v>
      </c>
      <c r="BL243" s="706">
        <v>0.29743244734753344</v>
      </c>
      <c r="BM243" s="706">
        <v>0.29743244734753344</v>
      </c>
      <c r="BN243" s="706">
        <v>0.29743244734753344</v>
      </c>
      <c r="BO243" s="706"/>
      <c r="BP243" s="706"/>
      <c r="BQ243" s="706"/>
      <c r="BR243" s="706"/>
      <c r="BS243" s="706"/>
      <c r="BT243" s="706"/>
      <c r="BU243" s="706"/>
      <c r="BV243" s="791">
        <v>581.49163564788921</v>
      </c>
      <c r="BW243" s="791">
        <v>581.49163564788921</v>
      </c>
      <c r="BX243" s="791">
        <v>581.49163564788921</v>
      </c>
      <c r="BY243" s="791">
        <v>581.49163564788921</v>
      </c>
      <c r="BZ243" s="791">
        <v>581.49163564788921</v>
      </c>
      <c r="CA243" s="791">
        <v>581.49163564788921</v>
      </c>
      <c r="CB243" s="791">
        <v>581.49163564788921</v>
      </c>
      <c r="CC243" s="791">
        <v>581.49163564788921</v>
      </c>
      <c r="CD243" s="791">
        <v>581.49163564788921</v>
      </c>
      <c r="CE243" s="791">
        <v>581.49163564788921</v>
      </c>
      <c r="CF243" s="791">
        <v>581.49163564788921</v>
      </c>
      <c r="CG243" s="791">
        <v>581.49163564788921</v>
      </c>
      <c r="CH243" s="791">
        <v>581.49163564788921</v>
      </c>
      <c r="CI243" s="791">
        <v>581.49163564788921</v>
      </c>
      <c r="CJ243" s="791">
        <v>581.49163564788921</v>
      </c>
      <c r="CK243" s="791">
        <v>581.49163564788921</v>
      </c>
      <c r="CL243" s="791">
        <v>581.49163564788921</v>
      </c>
      <c r="CM243" s="791">
        <v>581.49163564788921</v>
      </c>
      <c r="CN243" s="791">
        <v>581.49163564788921</v>
      </c>
      <c r="CO243" s="706"/>
      <c r="CP243" s="706"/>
      <c r="CQ243" s="706"/>
      <c r="CR243" s="706"/>
    </row>
    <row r="244" spans="1:96">
      <c r="A244" s="694" t="s">
        <v>3</v>
      </c>
      <c r="B244" s="794">
        <v>41844</v>
      </c>
      <c r="C244" s="743">
        <v>2014</v>
      </c>
      <c r="D244" s="746" t="s">
        <v>15</v>
      </c>
      <c r="E244" s="746" t="s">
        <v>25</v>
      </c>
      <c r="F244" s="746" t="s">
        <v>17</v>
      </c>
      <c r="G244" s="746" t="s">
        <v>58</v>
      </c>
      <c r="H244" s="694" t="s">
        <v>959</v>
      </c>
      <c r="I244" s="746" t="s">
        <v>5</v>
      </c>
      <c r="J244" s="746" t="s">
        <v>376</v>
      </c>
      <c r="K244" s="706">
        <v>1</v>
      </c>
      <c r="L244" s="745" t="s">
        <v>58</v>
      </c>
      <c r="M244" s="706" t="s">
        <v>893</v>
      </c>
      <c r="N244" s="706">
        <v>19</v>
      </c>
      <c r="O244" s="706"/>
      <c r="P244" s="706"/>
      <c r="Q244" s="706"/>
      <c r="R244" s="706"/>
      <c r="S244" s="706"/>
      <c r="T244" s="706"/>
      <c r="U244" s="738">
        <v>0.62806842093767556</v>
      </c>
      <c r="V244" s="738">
        <v>1227.8974155200376</v>
      </c>
      <c r="W244" s="793">
        <v>0.62806842093767556</v>
      </c>
      <c r="X244" s="708">
        <v>1227.8974155200376</v>
      </c>
      <c r="Y244" s="719">
        <v>23330.050894880715</v>
      </c>
      <c r="Z244" s="719">
        <v>11048.341077309895</v>
      </c>
      <c r="AA244" s="719">
        <v>581.49163564788921</v>
      </c>
      <c r="AB244" s="738">
        <v>0.29743244734753344</v>
      </c>
      <c r="AC244" s="792">
        <v>1</v>
      </c>
      <c r="AD244" s="792">
        <v>1</v>
      </c>
      <c r="AE244" s="717">
        <v>0.56884057971014501</v>
      </c>
      <c r="AF244" s="714">
        <v>4.2407531067898789E-2</v>
      </c>
      <c r="AG244" s="706"/>
      <c r="AH244" s="792">
        <v>0.47356695135775378</v>
      </c>
      <c r="AI244" s="748">
        <v>0.56884057971014501</v>
      </c>
      <c r="AJ244" s="748">
        <v>4.2407531067898789E-2</v>
      </c>
      <c r="AK244" s="748"/>
      <c r="AL244" s="714">
        <v>0.47356695135775378</v>
      </c>
      <c r="AM244" s="706"/>
      <c r="AN244" s="706"/>
      <c r="AO244" s="706"/>
      <c r="AP244" s="706"/>
      <c r="AQ244" s="706"/>
      <c r="AR244" s="706" t="s">
        <v>957</v>
      </c>
      <c r="AS244" s="706"/>
      <c r="AT244" s="706"/>
      <c r="AU244" s="706"/>
      <c r="AV244" s="706">
        <v>0.29743244734753344</v>
      </c>
      <c r="AW244" s="706">
        <v>0.29743244734753344</v>
      </c>
      <c r="AX244" s="706">
        <v>0.29743244734753344</v>
      </c>
      <c r="AY244" s="706">
        <v>0.29743244734753344</v>
      </c>
      <c r="AZ244" s="706">
        <v>0.29743244734753344</v>
      </c>
      <c r="BA244" s="706">
        <v>0.29743244734753344</v>
      </c>
      <c r="BB244" s="706">
        <v>0.29743244734753344</v>
      </c>
      <c r="BC244" s="706">
        <v>0.29743244734753344</v>
      </c>
      <c r="BD244" s="706">
        <v>0.29743244734753344</v>
      </c>
      <c r="BE244" s="706">
        <v>0.29743244734753344</v>
      </c>
      <c r="BF244" s="706">
        <v>0.29743244734753344</v>
      </c>
      <c r="BG244" s="706">
        <v>0.29743244734753344</v>
      </c>
      <c r="BH244" s="706">
        <v>0.29743244734753344</v>
      </c>
      <c r="BI244" s="706">
        <v>0.29743244734753344</v>
      </c>
      <c r="BJ244" s="706">
        <v>0.29743244734753344</v>
      </c>
      <c r="BK244" s="706">
        <v>0.29743244734753344</v>
      </c>
      <c r="BL244" s="706">
        <v>0.29743244734753344</v>
      </c>
      <c r="BM244" s="706">
        <v>0.29743244734753344</v>
      </c>
      <c r="BN244" s="706">
        <v>0.29743244734753344</v>
      </c>
      <c r="BO244" s="706"/>
      <c r="BP244" s="706"/>
      <c r="BQ244" s="706"/>
      <c r="BR244" s="706"/>
      <c r="BS244" s="706"/>
      <c r="BT244" s="706"/>
      <c r="BU244" s="706"/>
      <c r="BV244" s="791">
        <v>581.49163564788921</v>
      </c>
      <c r="BW244" s="791">
        <v>581.49163564788921</v>
      </c>
      <c r="BX244" s="791">
        <v>581.49163564788921</v>
      </c>
      <c r="BY244" s="791">
        <v>581.49163564788921</v>
      </c>
      <c r="BZ244" s="791">
        <v>581.49163564788921</v>
      </c>
      <c r="CA244" s="791">
        <v>581.49163564788921</v>
      </c>
      <c r="CB244" s="791">
        <v>581.49163564788921</v>
      </c>
      <c r="CC244" s="791">
        <v>581.49163564788921</v>
      </c>
      <c r="CD244" s="791">
        <v>581.49163564788921</v>
      </c>
      <c r="CE244" s="791">
        <v>581.49163564788921</v>
      </c>
      <c r="CF244" s="791">
        <v>581.49163564788921</v>
      </c>
      <c r="CG244" s="791">
        <v>581.49163564788921</v>
      </c>
      <c r="CH244" s="791">
        <v>581.49163564788921</v>
      </c>
      <c r="CI244" s="791">
        <v>581.49163564788921</v>
      </c>
      <c r="CJ244" s="791">
        <v>581.49163564788921</v>
      </c>
      <c r="CK244" s="791">
        <v>581.49163564788921</v>
      </c>
      <c r="CL244" s="791">
        <v>581.49163564788921</v>
      </c>
      <c r="CM244" s="791">
        <v>581.49163564788921</v>
      </c>
      <c r="CN244" s="791">
        <v>581.49163564788921</v>
      </c>
      <c r="CO244" s="706"/>
      <c r="CP244" s="706"/>
      <c r="CQ244" s="706"/>
      <c r="CR244" s="706"/>
    </row>
    <row r="245" spans="1:96">
      <c r="A245" s="694" t="s">
        <v>3</v>
      </c>
      <c r="B245" s="794">
        <v>41911</v>
      </c>
      <c r="C245" s="743">
        <v>2014</v>
      </c>
      <c r="D245" s="746" t="s">
        <v>15</v>
      </c>
      <c r="E245" s="746" t="s">
        <v>25</v>
      </c>
      <c r="F245" s="746" t="s">
        <v>17</v>
      </c>
      <c r="G245" s="746" t="s">
        <v>58</v>
      </c>
      <c r="H245" s="694" t="s">
        <v>959</v>
      </c>
      <c r="I245" s="746" t="s">
        <v>5</v>
      </c>
      <c r="J245" s="746" t="s">
        <v>376</v>
      </c>
      <c r="K245" s="706">
        <v>1</v>
      </c>
      <c r="L245" s="745" t="s">
        <v>58</v>
      </c>
      <c r="M245" s="706" t="s">
        <v>1018</v>
      </c>
      <c r="N245" s="706">
        <v>19</v>
      </c>
      <c r="O245" s="706"/>
      <c r="P245" s="706"/>
      <c r="Q245" s="706"/>
      <c r="R245" s="706"/>
      <c r="S245" s="706"/>
      <c r="T245" s="706"/>
      <c r="U245" s="738">
        <v>0.62806842093767556</v>
      </c>
      <c r="V245" s="738">
        <v>1227.8974155200376</v>
      </c>
      <c r="W245" s="793">
        <v>0.62806842093767556</v>
      </c>
      <c r="X245" s="708">
        <v>1227.8974155200376</v>
      </c>
      <c r="Y245" s="719">
        <v>23330.050894880715</v>
      </c>
      <c r="Z245" s="719">
        <v>11048.341077309895</v>
      </c>
      <c r="AA245" s="719">
        <v>581.49163564788921</v>
      </c>
      <c r="AB245" s="738">
        <v>0.29743244734753344</v>
      </c>
      <c r="AC245" s="792">
        <v>1</v>
      </c>
      <c r="AD245" s="792">
        <v>1</v>
      </c>
      <c r="AE245" s="717">
        <v>0.56884057971014501</v>
      </c>
      <c r="AF245" s="714">
        <v>4.2407531067898789E-2</v>
      </c>
      <c r="AG245" s="706"/>
      <c r="AH245" s="792">
        <v>0.47356695135775378</v>
      </c>
      <c r="AI245" s="748">
        <v>0.56884057971014501</v>
      </c>
      <c r="AJ245" s="748">
        <v>4.2407531067898789E-2</v>
      </c>
      <c r="AK245" s="748"/>
      <c r="AL245" s="714">
        <v>0.47356695135775378</v>
      </c>
      <c r="AM245" s="706"/>
      <c r="AN245" s="706"/>
      <c r="AO245" s="706"/>
      <c r="AP245" s="706"/>
      <c r="AQ245" s="706"/>
      <c r="AR245" s="706" t="s">
        <v>957</v>
      </c>
      <c r="AS245" s="706"/>
      <c r="AT245" s="706"/>
      <c r="AU245" s="706"/>
      <c r="AV245" s="706">
        <v>0.29743244734753344</v>
      </c>
      <c r="AW245" s="706">
        <v>0.29743244734753344</v>
      </c>
      <c r="AX245" s="706">
        <v>0.29743244734753344</v>
      </c>
      <c r="AY245" s="706">
        <v>0.29743244734753344</v>
      </c>
      <c r="AZ245" s="706">
        <v>0.29743244734753344</v>
      </c>
      <c r="BA245" s="706">
        <v>0.29743244734753344</v>
      </c>
      <c r="BB245" s="706">
        <v>0.29743244734753344</v>
      </c>
      <c r="BC245" s="706">
        <v>0.29743244734753344</v>
      </c>
      <c r="BD245" s="706">
        <v>0.29743244734753344</v>
      </c>
      <c r="BE245" s="706">
        <v>0.29743244734753344</v>
      </c>
      <c r="BF245" s="706">
        <v>0.29743244734753344</v>
      </c>
      <c r="BG245" s="706">
        <v>0.29743244734753344</v>
      </c>
      <c r="BH245" s="706">
        <v>0.29743244734753344</v>
      </c>
      <c r="BI245" s="706">
        <v>0.29743244734753344</v>
      </c>
      <c r="BJ245" s="706">
        <v>0.29743244734753344</v>
      </c>
      <c r="BK245" s="706">
        <v>0.29743244734753344</v>
      </c>
      <c r="BL245" s="706">
        <v>0.29743244734753344</v>
      </c>
      <c r="BM245" s="706">
        <v>0.29743244734753344</v>
      </c>
      <c r="BN245" s="706">
        <v>0.29743244734753344</v>
      </c>
      <c r="BO245" s="706"/>
      <c r="BP245" s="706"/>
      <c r="BQ245" s="706"/>
      <c r="BR245" s="706"/>
      <c r="BS245" s="706"/>
      <c r="BT245" s="706"/>
      <c r="BU245" s="706"/>
      <c r="BV245" s="791">
        <v>581.49163564788921</v>
      </c>
      <c r="BW245" s="791">
        <v>581.49163564788921</v>
      </c>
      <c r="BX245" s="791">
        <v>581.49163564788921</v>
      </c>
      <c r="BY245" s="791">
        <v>581.49163564788921</v>
      </c>
      <c r="BZ245" s="791">
        <v>581.49163564788921</v>
      </c>
      <c r="CA245" s="791">
        <v>581.49163564788921</v>
      </c>
      <c r="CB245" s="791">
        <v>581.49163564788921</v>
      </c>
      <c r="CC245" s="791">
        <v>581.49163564788921</v>
      </c>
      <c r="CD245" s="791">
        <v>581.49163564788921</v>
      </c>
      <c r="CE245" s="791">
        <v>581.49163564788921</v>
      </c>
      <c r="CF245" s="791">
        <v>581.49163564788921</v>
      </c>
      <c r="CG245" s="791">
        <v>581.49163564788921</v>
      </c>
      <c r="CH245" s="791">
        <v>581.49163564788921</v>
      </c>
      <c r="CI245" s="791">
        <v>581.49163564788921</v>
      </c>
      <c r="CJ245" s="791">
        <v>581.49163564788921</v>
      </c>
      <c r="CK245" s="791">
        <v>581.49163564788921</v>
      </c>
      <c r="CL245" s="791">
        <v>581.49163564788921</v>
      </c>
      <c r="CM245" s="791">
        <v>581.49163564788921</v>
      </c>
      <c r="CN245" s="791">
        <v>581.49163564788921</v>
      </c>
      <c r="CO245" s="706"/>
      <c r="CP245" s="706"/>
      <c r="CQ245" s="706"/>
      <c r="CR245" s="706"/>
    </row>
    <row r="246" spans="1:96">
      <c r="A246" s="694" t="s">
        <v>3</v>
      </c>
      <c r="B246" s="794">
        <v>41907</v>
      </c>
      <c r="C246" s="743">
        <v>2014</v>
      </c>
      <c r="D246" s="746" t="s">
        <v>15</v>
      </c>
      <c r="E246" s="746" t="s">
        <v>25</v>
      </c>
      <c r="F246" s="746" t="s">
        <v>17</v>
      </c>
      <c r="G246" s="746" t="s">
        <v>58</v>
      </c>
      <c r="H246" s="694" t="s">
        <v>959</v>
      </c>
      <c r="I246" s="746" t="s">
        <v>5</v>
      </c>
      <c r="J246" s="746" t="s">
        <v>376</v>
      </c>
      <c r="K246" s="706">
        <v>1</v>
      </c>
      <c r="L246" s="745" t="s">
        <v>58</v>
      </c>
      <c r="M246" s="706" t="s">
        <v>1017</v>
      </c>
      <c r="N246" s="706">
        <v>19</v>
      </c>
      <c r="O246" s="706"/>
      <c r="P246" s="706"/>
      <c r="Q246" s="706"/>
      <c r="R246" s="706"/>
      <c r="S246" s="706"/>
      <c r="T246" s="706"/>
      <c r="U246" s="738">
        <v>0.62806842093767556</v>
      </c>
      <c r="V246" s="738">
        <v>1227.8974155200376</v>
      </c>
      <c r="W246" s="793">
        <v>0.62806842093767556</v>
      </c>
      <c r="X246" s="708">
        <v>1227.8974155200376</v>
      </c>
      <c r="Y246" s="719">
        <v>23330.050894880715</v>
      </c>
      <c r="Z246" s="719">
        <v>11048.341077309895</v>
      </c>
      <c r="AA246" s="719">
        <v>581.49163564788921</v>
      </c>
      <c r="AB246" s="738">
        <v>0.29743244734753344</v>
      </c>
      <c r="AC246" s="792">
        <v>1</v>
      </c>
      <c r="AD246" s="792">
        <v>1</v>
      </c>
      <c r="AE246" s="717">
        <v>0.56884057971014501</v>
      </c>
      <c r="AF246" s="714">
        <v>4.2407531067898789E-2</v>
      </c>
      <c r="AG246" s="706"/>
      <c r="AH246" s="792">
        <v>0.47356695135775378</v>
      </c>
      <c r="AI246" s="748">
        <v>0.56884057971014501</v>
      </c>
      <c r="AJ246" s="748">
        <v>4.2407531067898789E-2</v>
      </c>
      <c r="AK246" s="748"/>
      <c r="AL246" s="714">
        <v>0.47356695135775378</v>
      </c>
      <c r="AM246" s="706"/>
      <c r="AN246" s="706"/>
      <c r="AO246" s="706"/>
      <c r="AP246" s="706"/>
      <c r="AQ246" s="706"/>
      <c r="AR246" s="706" t="s">
        <v>957</v>
      </c>
      <c r="AS246" s="706"/>
      <c r="AT246" s="706"/>
      <c r="AU246" s="706"/>
      <c r="AV246" s="706">
        <v>0.29743244734753344</v>
      </c>
      <c r="AW246" s="706">
        <v>0.29743244734753344</v>
      </c>
      <c r="AX246" s="706">
        <v>0.29743244734753344</v>
      </c>
      <c r="AY246" s="706">
        <v>0.29743244734753344</v>
      </c>
      <c r="AZ246" s="706">
        <v>0.29743244734753344</v>
      </c>
      <c r="BA246" s="706">
        <v>0.29743244734753344</v>
      </c>
      <c r="BB246" s="706">
        <v>0.29743244734753344</v>
      </c>
      <c r="BC246" s="706">
        <v>0.29743244734753344</v>
      </c>
      <c r="BD246" s="706">
        <v>0.29743244734753344</v>
      </c>
      <c r="BE246" s="706">
        <v>0.29743244734753344</v>
      </c>
      <c r="BF246" s="706">
        <v>0.29743244734753344</v>
      </c>
      <c r="BG246" s="706">
        <v>0.29743244734753344</v>
      </c>
      <c r="BH246" s="706">
        <v>0.29743244734753344</v>
      </c>
      <c r="BI246" s="706">
        <v>0.29743244734753344</v>
      </c>
      <c r="BJ246" s="706">
        <v>0.29743244734753344</v>
      </c>
      <c r="BK246" s="706">
        <v>0.29743244734753344</v>
      </c>
      <c r="BL246" s="706">
        <v>0.29743244734753344</v>
      </c>
      <c r="BM246" s="706">
        <v>0.29743244734753344</v>
      </c>
      <c r="BN246" s="706">
        <v>0.29743244734753344</v>
      </c>
      <c r="BO246" s="706"/>
      <c r="BP246" s="706"/>
      <c r="BQ246" s="706"/>
      <c r="BR246" s="706"/>
      <c r="BS246" s="706"/>
      <c r="BT246" s="706"/>
      <c r="BU246" s="706"/>
      <c r="BV246" s="791">
        <v>581.49163564788921</v>
      </c>
      <c r="BW246" s="791">
        <v>581.49163564788921</v>
      </c>
      <c r="BX246" s="791">
        <v>581.49163564788921</v>
      </c>
      <c r="BY246" s="791">
        <v>581.49163564788921</v>
      </c>
      <c r="BZ246" s="791">
        <v>581.49163564788921</v>
      </c>
      <c r="CA246" s="791">
        <v>581.49163564788921</v>
      </c>
      <c r="CB246" s="791">
        <v>581.49163564788921</v>
      </c>
      <c r="CC246" s="791">
        <v>581.49163564788921</v>
      </c>
      <c r="CD246" s="791">
        <v>581.49163564788921</v>
      </c>
      <c r="CE246" s="791">
        <v>581.49163564788921</v>
      </c>
      <c r="CF246" s="791">
        <v>581.49163564788921</v>
      </c>
      <c r="CG246" s="791">
        <v>581.49163564788921</v>
      </c>
      <c r="CH246" s="791">
        <v>581.49163564788921</v>
      </c>
      <c r="CI246" s="791">
        <v>581.49163564788921</v>
      </c>
      <c r="CJ246" s="791">
        <v>581.49163564788921</v>
      </c>
      <c r="CK246" s="791">
        <v>581.49163564788921</v>
      </c>
      <c r="CL246" s="791">
        <v>581.49163564788921</v>
      </c>
      <c r="CM246" s="791">
        <v>581.49163564788921</v>
      </c>
      <c r="CN246" s="791">
        <v>581.49163564788921</v>
      </c>
      <c r="CO246" s="706"/>
      <c r="CP246" s="706"/>
      <c r="CQ246" s="706"/>
      <c r="CR246" s="706"/>
    </row>
    <row r="247" spans="1:96">
      <c r="A247" s="694" t="s">
        <v>3</v>
      </c>
      <c r="B247" s="794">
        <v>41828</v>
      </c>
      <c r="C247" s="743">
        <v>2014</v>
      </c>
      <c r="D247" s="746" t="s">
        <v>15</v>
      </c>
      <c r="E247" s="746" t="s">
        <v>25</v>
      </c>
      <c r="F247" s="746" t="s">
        <v>17</v>
      </c>
      <c r="G247" s="746" t="s">
        <v>58</v>
      </c>
      <c r="H247" s="694" t="s">
        <v>959</v>
      </c>
      <c r="I247" s="746" t="s">
        <v>5</v>
      </c>
      <c r="J247" s="746" t="s">
        <v>376</v>
      </c>
      <c r="K247" s="706">
        <v>1</v>
      </c>
      <c r="L247" s="745" t="s">
        <v>58</v>
      </c>
      <c r="M247" s="706" t="s">
        <v>1016</v>
      </c>
      <c r="N247" s="706">
        <v>19</v>
      </c>
      <c r="O247" s="706"/>
      <c r="P247" s="706"/>
      <c r="Q247" s="706"/>
      <c r="R247" s="706"/>
      <c r="S247" s="706"/>
      <c r="T247" s="706"/>
      <c r="U247" s="738">
        <v>0.62806842093767556</v>
      </c>
      <c r="V247" s="738">
        <v>1227.8974155200376</v>
      </c>
      <c r="W247" s="793">
        <v>0.62806842093767556</v>
      </c>
      <c r="X247" s="708">
        <v>1227.8974155200376</v>
      </c>
      <c r="Y247" s="719">
        <v>23330.050894880715</v>
      </c>
      <c r="Z247" s="719">
        <v>11048.341077309895</v>
      </c>
      <c r="AA247" s="719">
        <v>581.49163564788921</v>
      </c>
      <c r="AB247" s="738">
        <v>0.29743244734753344</v>
      </c>
      <c r="AC247" s="792">
        <v>1</v>
      </c>
      <c r="AD247" s="792">
        <v>1</v>
      </c>
      <c r="AE247" s="717">
        <v>0.56884057971014501</v>
      </c>
      <c r="AF247" s="714">
        <v>4.2407531067898789E-2</v>
      </c>
      <c r="AG247" s="706"/>
      <c r="AH247" s="792">
        <v>0.47356695135775378</v>
      </c>
      <c r="AI247" s="748">
        <v>0.56884057971014501</v>
      </c>
      <c r="AJ247" s="748">
        <v>4.2407531067898789E-2</v>
      </c>
      <c r="AK247" s="748"/>
      <c r="AL247" s="714">
        <v>0.47356695135775378</v>
      </c>
      <c r="AM247" s="706"/>
      <c r="AN247" s="706"/>
      <c r="AO247" s="706"/>
      <c r="AP247" s="706"/>
      <c r="AQ247" s="706"/>
      <c r="AR247" s="706" t="s">
        <v>957</v>
      </c>
      <c r="AS247" s="706"/>
      <c r="AT247" s="706"/>
      <c r="AU247" s="706"/>
      <c r="AV247" s="706">
        <v>0.29743244734753344</v>
      </c>
      <c r="AW247" s="706">
        <v>0.29743244734753344</v>
      </c>
      <c r="AX247" s="706">
        <v>0.29743244734753344</v>
      </c>
      <c r="AY247" s="706">
        <v>0.29743244734753344</v>
      </c>
      <c r="AZ247" s="706">
        <v>0.29743244734753344</v>
      </c>
      <c r="BA247" s="706">
        <v>0.29743244734753344</v>
      </c>
      <c r="BB247" s="706">
        <v>0.29743244734753344</v>
      </c>
      <c r="BC247" s="706">
        <v>0.29743244734753344</v>
      </c>
      <c r="BD247" s="706">
        <v>0.29743244734753344</v>
      </c>
      <c r="BE247" s="706">
        <v>0.29743244734753344</v>
      </c>
      <c r="BF247" s="706">
        <v>0.29743244734753344</v>
      </c>
      <c r="BG247" s="706">
        <v>0.29743244734753344</v>
      </c>
      <c r="BH247" s="706">
        <v>0.29743244734753344</v>
      </c>
      <c r="BI247" s="706">
        <v>0.29743244734753344</v>
      </c>
      <c r="BJ247" s="706">
        <v>0.29743244734753344</v>
      </c>
      <c r="BK247" s="706">
        <v>0.29743244734753344</v>
      </c>
      <c r="BL247" s="706">
        <v>0.29743244734753344</v>
      </c>
      <c r="BM247" s="706">
        <v>0.29743244734753344</v>
      </c>
      <c r="BN247" s="706">
        <v>0.29743244734753344</v>
      </c>
      <c r="BO247" s="706"/>
      <c r="BP247" s="706"/>
      <c r="BQ247" s="706"/>
      <c r="BR247" s="706"/>
      <c r="BS247" s="706"/>
      <c r="BT247" s="706"/>
      <c r="BU247" s="706"/>
      <c r="BV247" s="791">
        <v>581.49163564788921</v>
      </c>
      <c r="BW247" s="791">
        <v>581.49163564788921</v>
      </c>
      <c r="BX247" s="791">
        <v>581.49163564788921</v>
      </c>
      <c r="BY247" s="791">
        <v>581.49163564788921</v>
      </c>
      <c r="BZ247" s="791">
        <v>581.49163564788921</v>
      </c>
      <c r="CA247" s="791">
        <v>581.49163564788921</v>
      </c>
      <c r="CB247" s="791">
        <v>581.49163564788921</v>
      </c>
      <c r="CC247" s="791">
        <v>581.49163564788921</v>
      </c>
      <c r="CD247" s="791">
        <v>581.49163564788921</v>
      </c>
      <c r="CE247" s="791">
        <v>581.49163564788921</v>
      </c>
      <c r="CF247" s="791">
        <v>581.49163564788921</v>
      </c>
      <c r="CG247" s="791">
        <v>581.49163564788921</v>
      </c>
      <c r="CH247" s="791">
        <v>581.49163564788921</v>
      </c>
      <c r="CI247" s="791">
        <v>581.49163564788921</v>
      </c>
      <c r="CJ247" s="791">
        <v>581.49163564788921</v>
      </c>
      <c r="CK247" s="791">
        <v>581.49163564788921</v>
      </c>
      <c r="CL247" s="791">
        <v>581.49163564788921</v>
      </c>
      <c r="CM247" s="791">
        <v>581.49163564788921</v>
      </c>
      <c r="CN247" s="791">
        <v>581.49163564788921</v>
      </c>
      <c r="CO247" s="706"/>
      <c r="CP247" s="706"/>
      <c r="CQ247" s="706"/>
      <c r="CR247" s="706"/>
    </row>
    <row r="248" spans="1:96">
      <c r="A248" s="694" t="s">
        <v>3</v>
      </c>
      <c r="B248" s="794">
        <v>41815</v>
      </c>
      <c r="C248" s="743">
        <v>2014</v>
      </c>
      <c r="D248" s="746" t="s">
        <v>15</v>
      </c>
      <c r="E248" s="746" t="s">
        <v>25</v>
      </c>
      <c r="F248" s="746" t="s">
        <v>17</v>
      </c>
      <c r="G248" s="746" t="s">
        <v>58</v>
      </c>
      <c r="H248" s="694" t="s">
        <v>959</v>
      </c>
      <c r="I248" s="746" t="s">
        <v>5</v>
      </c>
      <c r="J248" s="746" t="s">
        <v>376</v>
      </c>
      <c r="K248" s="706">
        <v>1</v>
      </c>
      <c r="L248" s="745" t="s">
        <v>58</v>
      </c>
      <c r="M248" s="706" t="s">
        <v>1015</v>
      </c>
      <c r="N248" s="706">
        <v>19</v>
      </c>
      <c r="O248" s="706"/>
      <c r="P248" s="706"/>
      <c r="Q248" s="706"/>
      <c r="R248" s="706"/>
      <c r="S248" s="706"/>
      <c r="T248" s="706"/>
      <c r="U248" s="738">
        <v>0.62806842093767556</v>
      </c>
      <c r="V248" s="738">
        <v>1227.8974155200376</v>
      </c>
      <c r="W248" s="793">
        <v>0.62806842093767556</v>
      </c>
      <c r="X248" s="708">
        <v>1227.8974155200376</v>
      </c>
      <c r="Y248" s="719">
        <v>23330.050894880715</v>
      </c>
      <c r="Z248" s="719">
        <v>11048.341077309895</v>
      </c>
      <c r="AA248" s="719">
        <v>581.49163564788921</v>
      </c>
      <c r="AB248" s="738">
        <v>0.29743244734753344</v>
      </c>
      <c r="AC248" s="792">
        <v>1</v>
      </c>
      <c r="AD248" s="792">
        <v>1</v>
      </c>
      <c r="AE248" s="717">
        <v>0.56884057971014501</v>
      </c>
      <c r="AF248" s="714">
        <v>4.2407531067898789E-2</v>
      </c>
      <c r="AG248" s="706"/>
      <c r="AH248" s="792">
        <v>0.47356695135775378</v>
      </c>
      <c r="AI248" s="748">
        <v>0.56884057971014501</v>
      </c>
      <c r="AJ248" s="748">
        <v>4.2407531067898789E-2</v>
      </c>
      <c r="AK248" s="748"/>
      <c r="AL248" s="714">
        <v>0.47356695135775378</v>
      </c>
      <c r="AM248" s="706"/>
      <c r="AN248" s="706"/>
      <c r="AO248" s="706"/>
      <c r="AP248" s="706"/>
      <c r="AQ248" s="706"/>
      <c r="AR248" s="706" t="s">
        <v>957</v>
      </c>
      <c r="AS248" s="706"/>
      <c r="AT248" s="706"/>
      <c r="AU248" s="706"/>
      <c r="AV248" s="706">
        <v>0.29743244734753344</v>
      </c>
      <c r="AW248" s="706">
        <v>0.29743244734753344</v>
      </c>
      <c r="AX248" s="706">
        <v>0.29743244734753344</v>
      </c>
      <c r="AY248" s="706">
        <v>0.29743244734753344</v>
      </c>
      <c r="AZ248" s="706">
        <v>0.29743244734753344</v>
      </c>
      <c r="BA248" s="706">
        <v>0.29743244734753344</v>
      </c>
      <c r="BB248" s="706">
        <v>0.29743244734753344</v>
      </c>
      <c r="BC248" s="706">
        <v>0.29743244734753344</v>
      </c>
      <c r="BD248" s="706">
        <v>0.29743244734753344</v>
      </c>
      <c r="BE248" s="706">
        <v>0.29743244734753344</v>
      </c>
      <c r="BF248" s="706">
        <v>0.29743244734753344</v>
      </c>
      <c r="BG248" s="706">
        <v>0.29743244734753344</v>
      </c>
      <c r="BH248" s="706">
        <v>0.29743244734753344</v>
      </c>
      <c r="BI248" s="706">
        <v>0.29743244734753344</v>
      </c>
      <c r="BJ248" s="706">
        <v>0.29743244734753344</v>
      </c>
      <c r="BK248" s="706">
        <v>0.29743244734753344</v>
      </c>
      <c r="BL248" s="706">
        <v>0.29743244734753344</v>
      </c>
      <c r="BM248" s="706">
        <v>0.29743244734753344</v>
      </c>
      <c r="BN248" s="706">
        <v>0.29743244734753344</v>
      </c>
      <c r="BO248" s="706"/>
      <c r="BP248" s="706"/>
      <c r="BQ248" s="706"/>
      <c r="BR248" s="706"/>
      <c r="BS248" s="706"/>
      <c r="BT248" s="706"/>
      <c r="BU248" s="706"/>
      <c r="BV248" s="791">
        <v>581.49163564788921</v>
      </c>
      <c r="BW248" s="791">
        <v>581.49163564788921</v>
      </c>
      <c r="BX248" s="791">
        <v>581.49163564788921</v>
      </c>
      <c r="BY248" s="791">
        <v>581.49163564788921</v>
      </c>
      <c r="BZ248" s="791">
        <v>581.49163564788921</v>
      </c>
      <c r="CA248" s="791">
        <v>581.49163564788921</v>
      </c>
      <c r="CB248" s="791">
        <v>581.49163564788921</v>
      </c>
      <c r="CC248" s="791">
        <v>581.49163564788921</v>
      </c>
      <c r="CD248" s="791">
        <v>581.49163564788921</v>
      </c>
      <c r="CE248" s="791">
        <v>581.49163564788921</v>
      </c>
      <c r="CF248" s="791">
        <v>581.49163564788921</v>
      </c>
      <c r="CG248" s="791">
        <v>581.49163564788921</v>
      </c>
      <c r="CH248" s="791">
        <v>581.49163564788921</v>
      </c>
      <c r="CI248" s="791">
        <v>581.49163564788921</v>
      </c>
      <c r="CJ248" s="791">
        <v>581.49163564788921</v>
      </c>
      <c r="CK248" s="791">
        <v>581.49163564788921</v>
      </c>
      <c r="CL248" s="791">
        <v>581.49163564788921</v>
      </c>
      <c r="CM248" s="791">
        <v>581.49163564788921</v>
      </c>
      <c r="CN248" s="791">
        <v>581.49163564788921</v>
      </c>
      <c r="CO248" s="706"/>
      <c r="CP248" s="706"/>
      <c r="CQ248" s="706"/>
      <c r="CR248" s="706"/>
    </row>
    <row r="249" spans="1:96">
      <c r="A249" s="694" t="s">
        <v>3</v>
      </c>
      <c r="B249" s="794">
        <v>41715</v>
      </c>
      <c r="C249" s="743">
        <v>2014</v>
      </c>
      <c r="D249" s="746" t="s">
        <v>15</v>
      </c>
      <c r="E249" s="746" t="s">
        <v>25</v>
      </c>
      <c r="F249" s="746" t="s">
        <v>17</v>
      </c>
      <c r="G249" s="746" t="s">
        <v>58</v>
      </c>
      <c r="H249" s="694" t="s">
        <v>959</v>
      </c>
      <c r="I249" s="746" t="s">
        <v>5</v>
      </c>
      <c r="J249" s="746" t="s">
        <v>376</v>
      </c>
      <c r="K249" s="706">
        <v>1</v>
      </c>
      <c r="L249" s="745" t="s">
        <v>58</v>
      </c>
      <c r="M249" s="706" t="s">
        <v>892</v>
      </c>
      <c r="N249" s="706">
        <v>19</v>
      </c>
      <c r="O249" s="706"/>
      <c r="P249" s="706"/>
      <c r="Q249" s="706"/>
      <c r="R249" s="706"/>
      <c r="S249" s="706"/>
      <c r="T249" s="706"/>
      <c r="U249" s="738">
        <v>0.62806842093767556</v>
      </c>
      <c r="V249" s="738">
        <v>1227.8974155200376</v>
      </c>
      <c r="W249" s="793">
        <v>0.62806842093767556</v>
      </c>
      <c r="X249" s="708">
        <v>1227.8974155200376</v>
      </c>
      <c r="Y249" s="719">
        <v>23330.050894880715</v>
      </c>
      <c r="Z249" s="719">
        <v>11048.341077309895</v>
      </c>
      <c r="AA249" s="719">
        <v>581.49163564788921</v>
      </c>
      <c r="AB249" s="738">
        <v>0.29743244734753344</v>
      </c>
      <c r="AC249" s="792">
        <v>1</v>
      </c>
      <c r="AD249" s="792">
        <v>1</v>
      </c>
      <c r="AE249" s="717">
        <v>0.56884057971014501</v>
      </c>
      <c r="AF249" s="714">
        <v>4.2407531067898789E-2</v>
      </c>
      <c r="AG249" s="706"/>
      <c r="AH249" s="792">
        <v>0.47356695135775378</v>
      </c>
      <c r="AI249" s="748">
        <v>0.56884057971014501</v>
      </c>
      <c r="AJ249" s="748">
        <v>4.2407531067898789E-2</v>
      </c>
      <c r="AK249" s="748"/>
      <c r="AL249" s="714">
        <v>0.47356695135775378</v>
      </c>
      <c r="AM249" s="706"/>
      <c r="AN249" s="706"/>
      <c r="AO249" s="706"/>
      <c r="AP249" s="706"/>
      <c r="AQ249" s="706"/>
      <c r="AR249" s="706" t="s">
        <v>957</v>
      </c>
      <c r="AS249" s="706"/>
      <c r="AT249" s="706"/>
      <c r="AU249" s="706"/>
      <c r="AV249" s="706">
        <v>0.29743244734753344</v>
      </c>
      <c r="AW249" s="706">
        <v>0.29743244734753344</v>
      </c>
      <c r="AX249" s="706">
        <v>0.29743244734753344</v>
      </c>
      <c r="AY249" s="706">
        <v>0.29743244734753344</v>
      </c>
      <c r="AZ249" s="706">
        <v>0.29743244734753344</v>
      </c>
      <c r="BA249" s="706">
        <v>0.29743244734753344</v>
      </c>
      <c r="BB249" s="706">
        <v>0.29743244734753344</v>
      </c>
      <c r="BC249" s="706">
        <v>0.29743244734753344</v>
      </c>
      <c r="BD249" s="706">
        <v>0.29743244734753344</v>
      </c>
      <c r="BE249" s="706">
        <v>0.29743244734753344</v>
      </c>
      <c r="BF249" s="706">
        <v>0.29743244734753344</v>
      </c>
      <c r="BG249" s="706">
        <v>0.29743244734753344</v>
      </c>
      <c r="BH249" s="706">
        <v>0.29743244734753344</v>
      </c>
      <c r="BI249" s="706">
        <v>0.29743244734753344</v>
      </c>
      <c r="BJ249" s="706">
        <v>0.29743244734753344</v>
      </c>
      <c r="BK249" s="706">
        <v>0.29743244734753344</v>
      </c>
      <c r="BL249" s="706">
        <v>0.29743244734753344</v>
      </c>
      <c r="BM249" s="706">
        <v>0.29743244734753344</v>
      </c>
      <c r="BN249" s="706">
        <v>0.29743244734753344</v>
      </c>
      <c r="BO249" s="706"/>
      <c r="BP249" s="706"/>
      <c r="BQ249" s="706"/>
      <c r="BR249" s="706"/>
      <c r="BS249" s="706"/>
      <c r="BT249" s="706"/>
      <c r="BU249" s="706"/>
      <c r="BV249" s="791">
        <v>581.49163564788921</v>
      </c>
      <c r="BW249" s="791">
        <v>581.49163564788921</v>
      </c>
      <c r="BX249" s="791">
        <v>581.49163564788921</v>
      </c>
      <c r="BY249" s="791">
        <v>581.49163564788921</v>
      </c>
      <c r="BZ249" s="791">
        <v>581.49163564788921</v>
      </c>
      <c r="CA249" s="791">
        <v>581.49163564788921</v>
      </c>
      <c r="CB249" s="791">
        <v>581.49163564788921</v>
      </c>
      <c r="CC249" s="791">
        <v>581.49163564788921</v>
      </c>
      <c r="CD249" s="791">
        <v>581.49163564788921</v>
      </c>
      <c r="CE249" s="791">
        <v>581.49163564788921</v>
      </c>
      <c r="CF249" s="791">
        <v>581.49163564788921</v>
      </c>
      <c r="CG249" s="791">
        <v>581.49163564788921</v>
      </c>
      <c r="CH249" s="791">
        <v>581.49163564788921</v>
      </c>
      <c r="CI249" s="791">
        <v>581.49163564788921</v>
      </c>
      <c r="CJ249" s="791">
        <v>581.49163564788921</v>
      </c>
      <c r="CK249" s="791">
        <v>581.49163564788921</v>
      </c>
      <c r="CL249" s="791">
        <v>581.49163564788921</v>
      </c>
      <c r="CM249" s="791">
        <v>581.49163564788921</v>
      </c>
      <c r="CN249" s="791">
        <v>581.49163564788921</v>
      </c>
      <c r="CO249" s="706"/>
      <c r="CP249" s="706"/>
      <c r="CQ249" s="706"/>
      <c r="CR249" s="706"/>
    </row>
    <row r="250" spans="1:96">
      <c r="A250" s="694" t="s">
        <v>3</v>
      </c>
      <c r="B250" s="794">
        <v>41750</v>
      </c>
      <c r="C250" s="743">
        <v>2014</v>
      </c>
      <c r="D250" s="746" t="s">
        <v>15</v>
      </c>
      <c r="E250" s="746" t="s">
        <v>25</v>
      </c>
      <c r="F250" s="746" t="s">
        <v>17</v>
      </c>
      <c r="G250" s="746" t="s">
        <v>58</v>
      </c>
      <c r="H250" s="694" t="s">
        <v>959</v>
      </c>
      <c r="I250" s="746" t="s">
        <v>5</v>
      </c>
      <c r="J250" s="746" t="s">
        <v>376</v>
      </c>
      <c r="K250" s="706">
        <v>1</v>
      </c>
      <c r="L250" s="745" t="s">
        <v>58</v>
      </c>
      <c r="M250" s="706" t="s">
        <v>891</v>
      </c>
      <c r="N250" s="706">
        <v>19</v>
      </c>
      <c r="O250" s="706"/>
      <c r="P250" s="706"/>
      <c r="Q250" s="706"/>
      <c r="R250" s="706"/>
      <c r="S250" s="706"/>
      <c r="T250" s="706"/>
      <c r="U250" s="738">
        <v>0.62806842093767556</v>
      </c>
      <c r="V250" s="738">
        <v>1227.8974155200376</v>
      </c>
      <c r="W250" s="793">
        <v>0.62806842093767556</v>
      </c>
      <c r="X250" s="708">
        <v>1227.8974155200376</v>
      </c>
      <c r="Y250" s="719">
        <v>23330.050894880715</v>
      </c>
      <c r="Z250" s="719">
        <v>11048.341077309895</v>
      </c>
      <c r="AA250" s="719">
        <v>581.49163564788921</v>
      </c>
      <c r="AB250" s="738">
        <v>0.29743244734753344</v>
      </c>
      <c r="AC250" s="792">
        <v>1</v>
      </c>
      <c r="AD250" s="792">
        <v>1</v>
      </c>
      <c r="AE250" s="717">
        <v>0.56884057971014501</v>
      </c>
      <c r="AF250" s="714">
        <v>4.2407531067898789E-2</v>
      </c>
      <c r="AG250" s="706"/>
      <c r="AH250" s="792">
        <v>0.47356695135775378</v>
      </c>
      <c r="AI250" s="748">
        <v>0.56884057971014501</v>
      </c>
      <c r="AJ250" s="748">
        <v>4.2407531067898789E-2</v>
      </c>
      <c r="AK250" s="748"/>
      <c r="AL250" s="714">
        <v>0.47356695135775378</v>
      </c>
      <c r="AM250" s="706"/>
      <c r="AN250" s="706"/>
      <c r="AO250" s="706"/>
      <c r="AP250" s="706"/>
      <c r="AQ250" s="706"/>
      <c r="AR250" s="706" t="s">
        <v>957</v>
      </c>
      <c r="AS250" s="706"/>
      <c r="AT250" s="706"/>
      <c r="AU250" s="706"/>
      <c r="AV250" s="706">
        <v>0.29743244734753344</v>
      </c>
      <c r="AW250" s="706">
        <v>0.29743244734753344</v>
      </c>
      <c r="AX250" s="706">
        <v>0.29743244734753344</v>
      </c>
      <c r="AY250" s="706">
        <v>0.29743244734753344</v>
      </c>
      <c r="AZ250" s="706">
        <v>0.29743244734753344</v>
      </c>
      <c r="BA250" s="706">
        <v>0.29743244734753344</v>
      </c>
      <c r="BB250" s="706">
        <v>0.29743244734753344</v>
      </c>
      <c r="BC250" s="706">
        <v>0.29743244734753344</v>
      </c>
      <c r="BD250" s="706">
        <v>0.29743244734753344</v>
      </c>
      <c r="BE250" s="706">
        <v>0.29743244734753344</v>
      </c>
      <c r="BF250" s="706">
        <v>0.29743244734753344</v>
      </c>
      <c r="BG250" s="706">
        <v>0.29743244734753344</v>
      </c>
      <c r="BH250" s="706">
        <v>0.29743244734753344</v>
      </c>
      <c r="BI250" s="706">
        <v>0.29743244734753344</v>
      </c>
      <c r="BJ250" s="706">
        <v>0.29743244734753344</v>
      </c>
      <c r="BK250" s="706">
        <v>0.29743244734753344</v>
      </c>
      <c r="BL250" s="706">
        <v>0.29743244734753344</v>
      </c>
      <c r="BM250" s="706">
        <v>0.29743244734753344</v>
      </c>
      <c r="BN250" s="706">
        <v>0.29743244734753344</v>
      </c>
      <c r="BO250" s="706"/>
      <c r="BP250" s="706"/>
      <c r="BQ250" s="706"/>
      <c r="BR250" s="706"/>
      <c r="BS250" s="706"/>
      <c r="BT250" s="706"/>
      <c r="BU250" s="706"/>
      <c r="BV250" s="791">
        <v>581.49163564788921</v>
      </c>
      <c r="BW250" s="791">
        <v>581.49163564788921</v>
      </c>
      <c r="BX250" s="791">
        <v>581.49163564788921</v>
      </c>
      <c r="BY250" s="791">
        <v>581.49163564788921</v>
      </c>
      <c r="BZ250" s="791">
        <v>581.49163564788921</v>
      </c>
      <c r="CA250" s="791">
        <v>581.49163564788921</v>
      </c>
      <c r="CB250" s="791">
        <v>581.49163564788921</v>
      </c>
      <c r="CC250" s="791">
        <v>581.49163564788921</v>
      </c>
      <c r="CD250" s="791">
        <v>581.49163564788921</v>
      </c>
      <c r="CE250" s="791">
        <v>581.49163564788921</v>
      </c>
      <c r="CF250" s="791">
        <v>581.49163564788921</v>
      </c>
      <c r="CG250" s="791">
        <v>581.49163564788921</v>
      </c>
      <c r="CH250" s="791">
        <v>581.49163564788921</v>
      </c>
      <c r="CI250" s="791">
        <v>581.49163564788921</v>
      </c>
      <c r="CJ250" s="791">
        <v>581.49163564788921</v>
      </c>
      <c r="CK250" s="791">
        <v>581.49163564788921</v>
      </c>
      <c r="CL250" s="791">
        <v>581.49163564788921</v>
      </c>
      <c r="CM250" s="791">
        <v>581.49163564788921</v>
      </c>
      <c r="CN250" s="791">
        <v>581.49163564788921</v>
      </c>
      <c r="CO250" s="706"/>
      <c r="CP250" s="706"/>
      <c r="CQ250" s="706"/>
      <c r="CR250" s="706"/>
    </row>
    <row r="251" spans="1:96">
      <c r="A251" s="694" t="s">
        <v>3</v>
      </c>
      <c r="B251" s="794">
        <v>41914</v>
      </c>
      <c r="C251" s="743">
        <v>2014</v>
      </c>
      <c r="D251" s="746" t="s">
        <v>15</v>
      </c>
      <c r="E251" s="746" t="s">
        <v>25</v>
      </c>
      <c r="F251" s="746" t="s">
        <v>17</v>
      </c>
      <c r="G251" s="746" t="s">
        <v>58</v>
      </c>
      <c r="H251" s="694" t="s">
        <v>959</v>
      </c>
      <c r="I251" s="746" t="s">
        <v>5</v>
      </c>
      <c r="J251" s="746" t="s">
        <v>376</v>
      </c>
      <c r="K251" s="706">
        <v>1</v>
      </c>
      <c r="L251" s="745" t="s">
        <v>58</v>
      </c>
      <c r="M251" s="706" t="s">
        <v>1014</v>
      </c>
      <c r="N251" s="706">
        <v>19</v>
      </c>
      <c r="O251" s="706"/>
      <c r="P251" s="706"/>
      <c r="Q251" s="706"/>
      <c r="R251" s="706"/>
      <c r="S251" s="706"/>
      <c r="T251" s="706"/>
      <c r="U251" s="738">
        <v>0.62806842093767556</v>
      </c>
      <c r="V251" s="738">
        <v>1227.8974155200376</v>
      </c>
      <c r="W251" s="793">
        <v>0.62806842093767556</v>
      </c>
      <c r="X251" s="708">
        <v>1227.8974155200376</v>
      </c>
      <c r="Y251" s="719">
        <v>23330.050894880715</v>
      </c>
      <c r="Z251" s="719">
        <v>11048.341077309895</v>
      </c>
      <c r="AA251" s="719">
        <v>581.49163564788921</v>
      </c>
      <c r="AB251" s="738">
        <v>0.29743244734753344</v>
      </c>
      <c r="AC251" s="792">
        <v>1</v>
      </c>
      <c r="AD251" s="792">
        <v>1</v>
      </c>
      <c r="AE251" s="717">
        <v>0.56884057971014501</v>
      </c>
      <c r="AF251" s="714">
        <v>4.2407531067898789E-2</v>
      </c>
      <c r="AG251" s="706"/>
      <c r="AH251" s="792">
        <v>0.47356695135775378</v>
      </c>
      <c r="AI251" s="748">
        <v>0.56884057971014501</v>
      </c>
      <c r="AJ251" s="748">
        <v>4.2407531067898789E-2</v>
      </c>
      <c r="AK251" s="748"/>
      <c r="AL251" s="714">
        <v>0.47356695135775378</v>
      </c>
      <c r="AM251" s="706"/>
      <c r="AN251" s="706"/>
      <c r="AO251" s="706"/>
      <c r="AP251" s="706"/>
      <c r="AQ251" s="706"/>
      <c r="AR251" s="706" t="s">
        <v>957</v>
      </c>
      <c r="AS251" s="706"/>
      <c r="AT251" s="706"/>
      <c r="AU251" s="706"/>
      <c r="AV251" s="706">
        <v>0.29743244734753344</v>
      </c>
      <c r="AW251" s="706">
        <v>0.29743244734753344</v>
      </c>
      <c r="AX251" s="706">
        <v>0.29743244734753344</v>
      </c>
      <c r="AY251" s="706">
        <v>0.29743244734753344</v>
      </c>
      <c r="AZ251" s="706">
        <v>0.29743244734753344</v>
      </c>
      <c r="BA251" s="706">
        <v>0.29743244734753344</v>
      </c>
      <c r="BB251" s="706">
        <v>0.29743244734753344</v>
      </c>
      <c r="BC251" s="706">
        <v>0.29743244734753344</v>
      </c>
      <c r="BD251" s="706">
        <v>0.29743244734753344</v>
      </c>
      <c r="BE251" s="706">
        <v>0.29743244734753344</v>
      </c>
      <c r="BF251" s="706">
        <v>0.29743244734753344</v>
      </c>
      <c r="BG251" s="706">
        <v>0.29743244734753344</v>
      </c>
      <c r="BH251" s="706">
        <v>0.29743244734753344</v>
      </c>
      <c r="BI251" s="706">
        <v>0.29743244734753344</v>
      </c>
      <c r="BJ251" s="706">
        <v>0.29743244734753344</v>
      </c>
      <c r="BK251" s="706">
        <v>0.29743244734753344</v>
      </c>
      <c r="BL251" s="706">
        <v>0.29743244734753344</v>
      </c>
      <c r="BM251" s="706">
        <v>0.29743244734753344</v>
      </c>
      <c r="BN251" s="706">
        <v>0.29743244734753344</v>
      </c>
      <c r="BO251" s="706"/>
      <c r="BP251" s="706"/>
      <c r="BQ251" s="706"/>
      <c r="BR251" s="706"/>
      <c r="BS251" s="706"/>
      <c r="BT251" s="706"/>
      <c r="BU251" s="706"/>
      <c r="BV251" s="791">
        <v>581.49163564788921</v>
      </c>
      <c r="BW251" s="791">
        <v>581.49163564788921</v>
      </c>
      <c r="BX251" s="791">
        <v>581.49163564788921</v>
      </c>
      <c r="BY251" s="791">
        <v>581.49163564788921</v>
      </c>
      <c r="BZ251" s="791">
        <v>581.49163564788921</v>
      </c>
      <c r="CA251" s="791">
        <v>581.49163564788921</v>
      </c>
      <c r="CB251" s="791">
        <v>581.49163564788921</v>
      </c>
      <c r="CC251" s="791">
        <v>581.49163564788921</v>
      </c>
      <c r="CD251" s="791">
        <v>581.49163564788921</v>
      </c>
      <c r="CE251" s="791">
        <v>581.49163564788921</v>
      </c>
      <c r="CF251" s="791">
        <v>581.49163564788921</v>
      </c>
      <c r="CG251" s="791">
        <v>581.49163564788921</v>
      </c>
      <c r="CH251" s="791">
        <v>581.49163564788921</v>
      </c>
      <c r="CI251" s="791">
        <v>581.49163564788921</v>
      </c>
      <c r="CJ251" s="791">
        <v>581.49163564788921</v>
      </c>
      <c r="CK251" s="791">
        <v>581.49163564788921</v>
      </c>
      <c r="CL251" s="791">
        <v>581.49163564788921</v>
      </c>
      <c r="CM251" s="791">
        <v>581.49163564788921</v>
      </c>
      <c r="CN251" s="791">
        <v>581.49163564788921</v>
      </c>
      <c r="CO251" s="706"/>
      <c r="CP251" s="706"/>
      <c r="CQ251" s="706"/>
      <c r="CR251" s="706"/>
    </row>
    <row r="252" spans="1:96">
      <c r="A252" s="694" t="s">
        <v>3</v>
      </c>
      <c r="B252" s="794">
        <v>41912</v>
      </c>
      <c r="C252" s="743">
        <v>2014</v>
      </c>
      <c r="D252" s="746" t="s">
        <v>15</v>
      </c>
      <c r="E252" s="746" t="s">
        <v>25</v>
      </c>
      <c r="F252" s="746" t="s">
        <v>17</v>
      </c>
      <c r="G252" s="746" t="s">
        <v>58</v>
      </c>
      <c r="H252" s="694" t="s">
        <v>959</v>
      </c>
      <c r="I252" s="746" t="s">
        <v>5</v>
      </c>
      <c r="J252" s="746" t="s">
        <v>376</v>
      </c>
      <c r="K252" s="706">
        <v>1</v>
      </c>
      <c r="L252" s="745" t="s">
        <v>58</v>
      </c>
      <c r="M252" s="706" t="s">
        <v>1013</v>
      </c>
      <c r="N252" s="706">
        <v>19</v>
      </c>
      <c r="O252" s="706"/>
      <c r="P252" s="706"/>
      <c r="Q252" s="706"/>
      <c r="R252" s="706"/>
      <c r="S252" s="706"/>
      <c r="T252" s="706"/>
      <c r="U252" s="738">
        <v>0.62806842093767556</v>
      </c>
      <c r="V252" s="738">
        <v>1227.8974155200376</v>
      </c>
      <c r="W252" s="793">
        <v>0.62806842093767556</v>
      </c>
      <c r="X252" s="708">
        <v>1227.8974155200376</v>
      </c>
      <c r="Y252" s="719">
        <v>23330.050894880715</v>
      </c>
      <c r="Z252" s="719">
        <v>11048.341077309895</v>
      </c>
      <c r="AA252" s="719">
        <v>581.49163564788921</v>
      </c>
      <c r="AB252" s="738">
        <v>0.29743244734753344</v>
      </c>
      <c r="AC252" s="792">
        <v>1</v>
      </c>
      <c r="AD252" s="792">
        <v>1</v>
      </c>
      <c r="AE252" s="717">
        <v>0.56884057971014501</v>
      </c>
      <c r="AF252" s="714">
        <v>4.2407531067898789E-2</v>
      </c>
      <c r="AG252" s="706"/>
      <c r="AH252" s="792">
        <v>0.47356695135775378</v>
      </c>
      <c r="AI252" s="748">
        <v>0.56884057971014501</v>
      </c>
      <c r="AJ252" s="748">
        <v>4.2407531067898789E-2</v>
      </c>
      <c r="AK252" s="748"/>
      <c r="AL252" s="714">
        <v>0.47356695135775378</v>
      </c>
      <c r="AM252" s="706"/>
      <c r="AN252" s="706"/>
      <c r="AO252" s="706"/>
      <c r="AP252" s="706"/>
      <c r="AQ252" s="706"/>
      <c r="AR252" s="706" t="s">
        <v>957</v>
      </c>
      <c r="AS252" s="706"/>
      <c r="AT252" s="706"/>
      <c r="AU252" s="706"/>
      <c r="AV252" s="706">
        <v>0.29743244734753344</v>
      </c>
      <c r="AW252" s="706">
        <v>0.29743244734753344</v>
      </c>
      <c r="AX252" s="706">
        <v>0.29743244734753344</v>
      </c>
      <c r="AY252" s="706">
        <v>0.29743244734753344</v>
      </c>
      <c r="AZ252" s="706">
        <v>0.29743244734753344</v>
      </c>
      <c r="BA252" s="706">
        <v>0.29743244734753344</v>
      </c>
      <c r="BB252" s="706">
        <v>0.29743244734753344</v>
      </c>
      <c r="BC252" s="706">
        <v>0.29743244734753344</v>
      </c>
      <c r="BD252" s="706">
        <v>0.29743244734753344</v>
      </c>
      <c r="BE252" s="706">
        <v>0.29743244734753344</v>
      </c>
      <c r="BF252" s="706">
        <v>0.29743244734753344</v>
      </c>
      <c r="BG252" s="706">
        <v>0.29743244734753344</v>
      </c>
      <c r="BH252" s="706">
        <v>0.29743244734753344</v>
      </c>
      <c r="BI252" s="706">
        <v>0.29743244734753344</v>
      </c>
      <c r="BJ252" s="706">
        <v>0.29743244734753344</v>
      </c>
      <c r="BK252" s="706">
        <v>0.29743244734753344</v>
      </c>
      <c r="BL252" s="706">
        <v>0.29743244734753344</v>
      </c>
      <c r="BM252" s="706">
        <v>0.29743244734753344</v>
      </c>
      <c r="BN252" s="706">
        <v>0.29743244734753344</v>
      </c>
      <c r="BO252" s="706"/>
      <c r="BP252" s="706"/>
      <c r="BQ252" s="706"/>
      <c r="BR252" s="706"/>
      <c r="BS252" s="706"/>
      <c r="BT252" s="706"/>
      <c r="BU252" s="706"/>
      <c r="BV252" s="791">
        <v>581.49163564788921</v>
      </c>
      <c r="BW252" s="791">
        <v>581.49163564788921</v>
      </c>
      <c r="BX252" s="791">
        <v>581.49163564788921</v>
      </c>
      <c r="BY252" s="791">
        <v>581.49163564788921</v>
      </c>
      <c r="BZ252" s="791">
        <v>581.49163564788921</v>
      </c>
      <c r="CA252" s="791">
        <v>581.49163564788921</v>
      </c>
      <c r="CB252" s="791">
        <v>581.49163564788921</v>
      </c>
      <c r="CC252" s="791">
        <v>581.49163564788921</v>
      </c>
      <c r="CD252" s="791">
        <v>581.49163564788921</v>
      </c>
      <c r="CE252" s="791">
        <v>581.49163564788921</v>
      </c>
      <c r="CF252" s="791">
        <v>581.49163564788921</v>
      </c>
      <c r="CG252" s="791">
        <v>581.49163564788921</v>
      </c>
      <c r="CH252" s="791">
        <v>581.49163564788921</v>
      </c>
      <c r="CI252" s="791">
        <v>581.49163564788921</v>
      </c>
      <c r="CJ252" s="791">
        <v>581.49163564788921</v>
      </c>
      <c r="CK252" s="791">
        <v>581.49163564788921</v>
      </c>
      <c r="CL252" s="791">
        <v>581.49163564788921</v>
      </c>
      <c r="CM252" s="791">
        <v>581.49163564788921</v>
      </c>
      <c r="CN252" s="791">
        <v>581.49163564788921</v>
      </c>
      <c r="CO252" s="706"/>
      <c r="CP252" s="706"/>
      <c r="CQ252" s="706"/>
      <c r="CR252" s="706"/>
    </row>
    <row r="253" spans="1:96">
      <c r="A253" s="694" t="s">
        <v>3</v>
      </c>
      <c r="B253" s="794">
        <v>41787</v>
      </c>
      <c r="C253" s="743">
        <v>2014</v>
      </c>
      <c r="D253" s="746" t="s">
        <v>15</v>
      </c>
      <c r="E253" s="746" t="s">
        <v>25</v>
      </c>
      <c r="F253" s="746" t="s">
        <v>17</v>
      </c>
      <c r="G253" s="746" t="s">
        <v>58</v>
      </c>
      <c r="H253" s="694" t="s">
        <v>959</v>
      </c>
      <c r="I253" s="746" t="s">
        <v>5</v>
      </c>
      <c r="J253" s="746" t="s">
        <v>376</v>
      </c>
      <c r="K253" s="706">
        <v>1</v>
      </c>
      <c r="L253" s="745" t="s">
        <v>58</v>
      </c>
      <c r="M253" s="706" t="s">
        <v>888</v>
      </c>
      <c r="N253" s="706">
        <v>19</v>
      </c>
      <c r="O253" s="706"/>
      <c r="P253" s="706"/>
      <c r="Q253" s="706"/>
      <c r="R253" s="706"/>
      <c r="S253" s="706"/>
      <c r="T253" s="706"/>
      <c r="U253" s="738">
        <v>0.62806842093767556</v>
      </c>
      <c r="V253" s="738">
        <v>1227.8974155200376</v>
      </c>
      <c r="W253" s="793">
        <v>0.62806842093767556</v>
      </c>
      <c r="X253" s="708">
        <v>1227.8974155200376</v>
      </c>
      <c r="Y253" s="719">
        <v>23330.050894880715</v>
      </c>
      <c r="Z253" s="719">
        <v>11048.341077309895</v>
      </c>
      <c r="AA253" s="719">
        <v>581.49163564788921</v>
      </c>
      <c r="AB253" s="738">
        <v>0.29743244734753344</v>
      </c>
      <c r="AC253" s="792">
        <v>1</v>
      </c>
      <c r="AD253" s="792">
        <v>1</v>
      </c>
      <c r="AE253" s="717">
        <v>0.56884057971014501</v>
      </c>
      <c r="AF253" s="714">
        <v>4.2407531067898789E-2</v>
      </c>
      <c r="AG253" s="706"/>
      <c r="AH253" s="792">
        <v>0.47356695135775378</v>
      </c>
      <c r="AI253" s="748">
        <v>0.56884057971014501</v>
      </c>
      <c r="AJ253" s="748">
        <v>4.2407531067898789E-2</v>
      </c>
      <c r="AK253" s="748"/>
      <c r="AL253" s="714">
        <v>0.47356695135775378</v>
      </c>
      <c r="AM253" s="706"/>
      <c r="AN253" s="706"/>
      <c r="AO253" s="706"/>
      <c r="AP253" s="706"/>
      <c r="AQ253" s="706"/>
      <c r="AR253" s="706" t="s">
        <v>957</v>
      </c>
      <c r="AS253" s="706"/>
      <c r="AT253" s="706"/>
      <c r="AU253" s="706"/>
      <c r="AV253" s="706">
        <v>0.29743244734753344</v>
      </c>
      <c r="AW253" s="706">
        <v>0.29743244734753344</v>
      </c>
      <c r="AX253" s="706">
        <v>0.29743244734753344</v>
      </c>
      <c r="AY253" s="706">
        <v>0.29743244734753344</v>
      </c>
      <c r="AZ253" s="706">
        <v>0.29743244734753344</v>
      </c>
      <c r="BA253" s="706">
        <v>0.29743244734753344</v>
      </c>
      <c r="BB253" s="706">
        <v>0.29743244734753344</v>
      </c>
      <c r="BC253" s="706">
        <v>0.29743244734753344</v>
      </c>
      <c r="BD253" s="706">
        <v>0.29743244734753344</v>
      </c>
      <c r="BE253" s="706">
        <v>0.29743244734753344</v>
      </c>
      <c r="BF253" s="706">
        <v>0.29743244734753344</v>
      </c>
      <c r="BG253" s="706">
        <v>0.29743244734753344</v>
      </c>
      <c r="BH253" s="706">
        <v>0.29743244734753344</v>
      </c>
      <c r="BI253" s="706">
        <v>0.29743244734753344</v>
      </c>
      <c r="BJ253" s="706">
        <v>0.29743244734753344</v>
      </c>
      <c r="BK253" s="706">
        <v>0.29743244734753344</v>
      </c>
      <c r="BL253" s="706">
        <v>0.29743244734753344</v>
      </c>
      <c r="BM253" s="706">
        <v>0.29743244734753344</v>
      </c>
      <c r="BN253" s="706">
        <v>0.29743244734753344</v>
      </c>
      <c r="BO253" s="706"/>
      <c r="BP253" s="706"/>
      <c r="BQ253" s="706"/>
      <c r="BR253" s="706"/>
      <c r="BS253" s="706"/>
      <c r="BT253" s="706"/>
      <c r="BU253" s="706"/>
      <c r="BV253" s="791">
        <v>581.49163564788921</v>
      </c>
      <c r="BW253" s="791">
        <v>581.49163564788921</v>
      </c>
      <c r="BX253" s="791">
        <v>581.49163564788921</v>
      </c>
      <c r="BY253" s="791">
        <v>581.49163564788921</v>
      </c>
      <c r="BZ253" s="791">
        <v>581.49163564788921</v>
      </c>
      <c r="CA253" s="791">
        <v>581.49163564788921</v>
      </c>
      <c r="CB253" s="791">
        <v>581.49163564788921</v>
      </c>
      <c r="CC253" s="791">
        <v>581.49163564788921</v>
      </c>
      <c r="CD253" s="791">
        <v>581.49163564788921</v>
      </c>
      <c r="CE253" s="791">
        <v>581.49163564788921</v>
      </c>
      <c r="CF253" s="791">
        <v>581.49163564788921</v>
      </c>
      <c r="CG253" s="791">
        <v>581.49163564788921</v>
      </c>
      <c r="CH253" s="791">
        <v>581.49163564788921</v>
      </c>
      <c r="CI253" s="791">
        <v>581.49163564788921</v>
      </c>
      <c r="CJ253" s="791">
        <v>581.49163564788921</v>
      </c>
      <c r="CK253" s="791">
        <v>581.49163564788921</v>
      </c>
      <c r="CL253" s="791">
        <v>581.49163564788921</v>
      </c>
      <c r="CM253" s="791">
        <v>581.49163564788921</v>
      </c>
      <c r="CN253" s="791">
        <v>581.49163564788921</v>
      </c>
      <c r="CO253" s="706"/>
      <c r="CP253" s="706"/>
      <c r="CQ253" s="706"/>
      <c r="CR253" s="706"/>
    </row>
    <row r="254" spans="1:96">
      <c r="A254" s="694" t="s">
        <v>3</v>
      </c>
      <c r="B254" s="794">
        <v>41920</v>
      </c>
      <c r="C254" s="743">
        <v>2014</v>
      </c>
      <c r="D254" s="746" t="s">
        <v>15</v>
      </c>
      <c r="E254" s="746" t="s">
        <v>25</v>
      </c>
      <c r="F254" s="746" t="s">
        <v>17</v>
      </c>
      <c r="G254" s="746" t="s">
        <v>58</v>
      </c>
      <c r="H254" s="694" t="s">
        <v>959</v>
      </c>
      <c r="I254" s="746" t="s">
        <v>5</v>
      </c>
      <c r="J254" s="746" t="s">
        <v>376</v>
      </c>
      <c r="K254" s="706">
        <v>1</v>
      </c>
      <c r="L254" s="745" t="s">
        <v>58</v>
      </c>
      <c r="M254" s="706" t="s">
        <v>1001</v>
      </c>
      <c r="N254" s="706">
        <v>19</v>
      </c>
      <c r="O254" s="706"/>
      <c r="P254" s="706"/>
      <c r="Q254" s="706"/>
      <c r="R254" s="706"/>
      <c r="S254" s="706"/>
      <c r="T254" s="706"/>
      <c r="U254" s="738">
        <v>0.62806842093767556</v>
      </c>
      <c r="V254" s="738">
        <v>1227.8974155200376</v>
      </c>
      <c r="W254" s="793">
        <v>0.62806842093767556</v>
      </c>
      <c r="X254" s="708">
        <v>1227.8974155200376</v>
      </c>
      <c r="Y254" s="719">
        <v>23330.050894880715</v>
      </c>
      <c r="Z254" s="719">
        <v>11048.341077309895</v>
      </c>
      <c r="AA254" s="719">
        <v>581.49163564788921</v>
      </c>
      <c r="AB254" s="738">
        <v>0.29743244734753344</v>
      </c>
      <c r="AC254" s="792">
        <v>1</v>
      </c>
      <c r="AD254" s="792">
        <v>1</v>
      </c>
      <c r="AE254" s="717">
        <v>0.56884057971014501</v>
      </c>
      <c r="AF254" s="714">
        <v>4.2407531067898789E-2</v>
      </c>
      <c r="AG254" s="706"/>
      <c r="AH254" s="792">
        <v>0.47356695135775378</v>
      </c>
      <c r="AI254" s="748">
        <v>0.56884057971014501</v>
      </c>
      <c r="AJ254" s="748">
        <v>4.2407531067898789E-2</v>
      </c>
      <c r="AK254" s="748"/>
      <c r="AL254" s="714">
        <v>0.47356695135775378</v>
      </c>
      <c r="AM254" s="706"/>
      <c r="AN254" s="706"/>
      <c r="AO254" s="706"/>
      <c r="AP254" s="706"/>
      <c r="AQ254" s="706"/>
      <c r="AR254" s="706" t="s">
        <v>957</v>
      </c>
      <c r="AS254" s="706"/>
      <c r="AT254" s="706"/>
      <c r="AU254" s="706"/>
      <c r="AV254" s="706">
        <v>0.29743244734753344</v>
      </c>
      <c r="AW254" s="706">
        <v>0.29743244734753344</v>
      </c>
      <c r="AX254" s="706">
        <v>0.29743244734753344</v>
      </c>
      <c r="AY254" s="706">
        <v>0.29743244734753344</v>
      </c>
      <c r="AZ254" s="706">
        <v>0.29743244734753344</v>
      </c>
      <c r="BA254" s="706">
        <v>0.29743244734753344</v>
      </c>
      <c r="BB254" s="706">
        <v>0.29743244734753344</v>
      </c>
      <c r="BC254" s="706">
        <v>0.29743244734753344</v>
      </c>
      <c r="BD254" s="706">
        <v>0.29743244734753344</v>
      </c>
      <c r="BE254" s="706">
        <v>0.29743244734753344</v>
      </c>
      <c r="BF254" s="706">
        <v>0.29743244734753344</v>
      </c>
      <c r="BG254" s="706">
        <v>0.29743244734753344</v>
      </c>
      <c r="BH254" s="706">
        <v>0.29743244734753344</v>
      </c>
      <c r="BI254" s="706">
        <v>0.29743244734753344</v>
      </c>
      <c r="BJ254" s="706">
        <v>0.29743244734753344</v>
      </c>
      <c r="BK254" s="706">
        <v>0.29743244734753344</v>
      </c>
      <c r="BL254" s="706">
        <v>0.29743244734753344</v>
      </c>
      <c r="BM254" s="706">
        <v>0.29743244734753344</v>
      </c>
      <c r="BN254" s="706">
        <v>0.29743244734753344</v>
      </c>
      <c r="BO254" s="706"/>
      <c r="BP254" s="706"/>
      <c r="BQ254" s="706"/>
      <c r="BR254" s="706"/>
      <c r="BS254" s="706"/>
      <c r="BT254" s="706"/>
      <c r="BU254" s="706"/>
      <c r="BV254" s="791">
        <v>581.49163564788921</v>
      </c>
      <c r="BW254" s="791">
        <v>581.49163564788921</v>
      </c>
      <c r="BX254" s="791">
        <v>581.49163564788921</v>
      </c>
      <c r="BY254" s="791">
        <v>581.49163564788921</v>
      </c>
      <c r="BZ254" s="791">
        <v>581.49163564788921</v>
      </c>
      <c r="CA254" s="791">
        <v>581.49163564788921</v>
      </c>
      <c r="CB254" s="791">
        <v>581.49163564788921</v>
      </c>
      <c r="CC254" s="791">
        <v>581.49163564788921</v>
      </c>
      <c r="CD254" s="791">
        <v>581.49163564788921</v>
      </c>
      <c r="CE254" s="791">
        <v>581.49163564788921</v>
      </c>
      <c r="CF254" s="791">
        <v>581.49163564788921</v>
      </c>
      <c r="CG254" s="791">
        <v>581.49163564788921</v>
      </c>
      <c r="CH254" s="791">
        <v>581.49163564788921</v>
      </c>
      <c r="CI254" s="791">
        <v>581.49163564788921</v>
      </c>
      <c r="CJ254" s="791">
        <v>581.49163564788921</v>
      </c>
      <c r="CK254" s="791">
        <v>581.49163564788921</v>
      </c>
      <c r="CL254" s="791">
        <v>581.49163564788921</v>
      </c>
      <c r="CM254" s="791">
        <v>581.49163564788921</v>
      </c>
      <c r="CN254" s="791">
        <v>581.49163564788921</v>
      </c>
      <c r="CO254" s="706"/>
      <c r="CP254" s="706"/>
      <c r="CQ254" s="706"/>
      <c r="CR254" s="706"/>
    </row>
    <row r="255" spans="1:96">
      <c r="A255" s="694" t="s">
        <v>3</v>
      </c>
      <c r="B255" s="794">
        <v>41891</v>
      </c>
      <c r="C255" s="743">
        <v>2014</v>
      </c>
      <c r="D255" s="746" t="s">
        <v>15</v>
      </c>
      <c r="E255" s="746" t="s">
        <v>25</v>
      </c>
      <c r="F255" s="746" t="s">
        <v>17</v>
      </c>
      <c r="G255" s="746" t="s">
        <v>58</v>
      </c>
      <c r="H255" s="694" t="s">
        <v>959</v>
      </c>
      <c r="I255" s="746" t="s">
        <v>5</v>
      </c>
      <c r="J255" s="746" t="s">
        <v>376</v>
      </c>
      <c r="K255" s="706">
        <v>1</v>
      </c>
      <c r="L255" s="745" t="s">
        <v>58</v>
      </c>
      <c r="M255" s="706" t="s">
        <v>1012</v>
      </c>
      <c r="N255" s="706">
        <v>19</v>
      </c>
      <c r="O255" s="706"/>
      <c r="P255" s="706"/>
      <c r="Q255" s="706"/>
      <c r="R255" s="706"/>
      <c r="S255" s="706"/>
      <c r="T255" s="706"/>
      <c r="U255" s="738">
        <v>0.62806842093767556</v>
      </c>
      <c r="V255" s="738">
        <v>1227.8974155200376</v>
      </c>
      <c r="W255" s="793">
        <v>0.62806842093767556</v>
      </c>
      <c r="X255" s="708">
        <v>1227.8974155200376</v>
      </c>
      <c r="Y255" s="719">
        <v>23330.050894880715</v>
      </c>
      <c r="Z255" s="719">
        <v>11048.341077309895</v>
      </c>
      <c r="AA255" s="719">
        <v>581.49163564788921</v>
      </c>
      <c r="AB255" s="738">
        <v>0.29743244734753344</v>
      </c>
      <c r="AC255" s="792">
        <v>1</v>
      </c>
      <c r="AD255" s="792">
        <v>1</v>
      </c>
      <c r="AE255" s="717">
        <v>0.56884057971014501</v>
      </c>
      <c r="AF255" s="714">
        <v>4.2407531067898789E-2</v>
      </c>
      <c r="AG255" s="706"/>
      <c r="AH255" s="792">
        <v>0.47356695135775378</v>
      </c>
      <c r="AI255" s="748">
        <v>0.56884057971014501</v>
      </c>
      <c r="AJ255" s="748">
        <v>4.2407531067898789E-2</v>
      </c>
      <c r="AK255" s="748"/>
      <c r="AL255" s="714">
        <v>0.47356695135775378</v>
      </c>
      <c r="AM255" s="706"/>
      <c r="AN255" s="706"/>
      <c r="AO255" s="706"/>
      <c r="AP255" s="706"/>
      <c r="AQ255" s="706"/>
      <c r="AR255" s="706" t="s">
        <v>957</v>
      </c>
      <c r="AS255" s="706"/>
      <c r="AT255" s="706"/>
      <c r="AU255" s="706"/>
      <c r="AV255" s="706">
        <v>0.29743244734753344</v>
      </c>
      <c r="AW255" s="706">
        <v>0.29743244734753344</v>
      </c>
      <c r="AX255" s="706">
        <v>0.29743244734753344</v>
      </c>
      <c r="AY255" s="706">
        <v>0.29743244734753344</v>
      </c>
      <c r="AZ255" s="706">
        <v>0.29743244734753344</v>
      </c>
      <c r="BA255" s="706">
        <v>0.29743244734753344</v>
      </c>
      <c r="BB255" s="706">
        <v>0.29743244734753344</v>
      </c>
      <c r="BC255" s="706">
        <v>0.29743244734753344</v>
      </c>
      <c r="BD255" s="706">
        <v>0.29743244734753344</v>
      </c>
      <c r="BE255" s="706">
        <v>0.29743244734753344</v>
      </c>
      <c r="BF255" s="706">
        <v>0.29743244734753344</v>
      </c>
      <c r="BG255" s="706">
        <v>0.29743244734753344</v>
      </c>
      <c r="BH255" s="706">
        <v>0.29743244734753344</v>
      </c>
      <c r="BI255" s="706">
        <v>0.29743244734753344</v>
      </c>
      <c r="BJ255" s="706">
        <v>0.29743244734753344</v>
      </c>
      <c r="BK255" s="706">
        <v>0.29743244734753344</v>
      </c>
      <c r="BL255" s="706">
        <v>0.29743244734753344</v>
      </c>
      <c r="BM255" s="706">
        <v>0.29743244734753344</v>
      </c>
      <c r="BN255" s="706">
        <v>0.29743244734753344</v>
      </c>
      <c r="BO255" s="706"/>
      <c r="BP255" s="706"/>
      <c r="BQ255" s="706"/>
      <c r="BR255" s="706"/>
      <c r="BS255" s="706"/>
      <c r="BT255" s="706"/>
      <c r="BU255" s="706"/>
      <c r="BV255" s="791">
        <v>581.49163564788921</v>
      </c>
      <c r="BW255" s="791">
        <v>581.49163564788921</v>
      </c>
      <c r="BX255" s="791">
        <v>581.49163564788921</v>
      </c>
      <c r="BY255" s="791">
        <v>581.49163564788921</v>
      </c>
      <c r="BZ255" s="791">
        <v>581.49163564788921</v>
      </c>
      <c r="CA255" s="791">
        <v>581.49163564788921</v>
      </c>
      <c r="CB255" s="791">
        <v>581.49163564788921</v>
      </c>
      <c r="CC255" s="791">
        <v>581.49163564788921</v>
      </c>
      <c r="CD255" s="791">
        <v>581.49163564788921</v>
      </c>
      <c r="CE255" s="791">
        <v>581.49163564788921</v>
      </c>
      <c r="CF255" s="791">
        <v>581.49163564788921</v>
      </c>
      <c r="CG255" s="791">
        <v>581.49163564788921</v>
      </c>
      <c r="CH255" s="791">
        <v>581.49163564788921</v>
      </c>
      <c r="CI255" s="791">
        <v>581.49163564788921</v>
      </c>
      <c r="CJ255" s="791">
        <v>581.49163564788921</v>
      </c>
      <c r="CK255" s="791">
        <v>581.49163564788921</v>
      </c>
      <c r="CL255" s="791">
        <v>581.49163564788921</v>
      </c>
      <c r="CM255" s="791">
        <v>581.49163564788921</v>
      </c>
      <c r="CN255" s="791">
        <v>581.49163564788921</v>
      </c>
      <c r="CO255" s="706"/>
      <c r="CP255" s="706"/>
      <c r="CQ255" s="706"/>
      <c r="CR255" s="706"/>
    </row>
    <row r="256" spans="1:96">
      <c r="A256" s="694" t="s">
        <v>3</v>
      </c>
      <c r="B256" s="794">
        <v>41859</v>
      </c>
      <c r="C256" s="743">
        <v>2014</v>
      </c>
      <c r="D256" s="746" t="s">
        <v>15</v>
      </c>
      <c r="E256" s="746" t="s">
        <v>25</v>
      </c>
      <c r="F256" s="746" t="s">
        <v>17</v>
      </c>
      <c r="G256" s="746" t="s">
        <v>58</v>
      </c>
      <c r="H256" s="694" t="s">
        <v>959</v>
      </c>
      <c r="I256" s="746" t="s">
        <v>5</v>
      </c>
      <c r="J256" s="746" t="s">
        <v>376</v>
      </c>
      <c r="K256" s="706">
        <v>1</v>
      </c>
      <c r="L256" s="745" t="s">
        <v>58</v>
      </c>
      <c r="M256" s="706" t="s">
        <v>1011</v>
      </c>
      <c r="N256" s="706">
        <v>19</v>
      </c>
      <c r="O256" s="706"/>
      <c r="P256" s="706"/>
      <c r="Q256" s="706"/>
      <c r="R256" s="706"/>
      <c r="S256" s="706"/>
      <c r="T256" s="706"/>
      <c r="U256" s="738">
        <v>0.62806842093767556</v>
      </c>
      <c r="V256" s="738">
        <v>1227.8974155200376</v>
      </c>
      <c r="W256" s="793">
        <v>0.62806842093767556</v>
      </c>
      <c r="X256" s="708">
        <v>1227.8974155200376</v>
      </c>
      <c r="Y256" s="719">
        <v>23330.050894880715</v>
      </c>
      <c r="Z256" s="719">
        <v>11048.341077309895</v>
      </c>
      <c r="AA256" s="719">
        <v>581.49163564788921</v>
      </c>
      <c r="AB256" s="738">
        <v>0.29743244734753344</v>
      </c>
      <c r="AC256" s="792">
        <v>1</v>
      </c>
      <c r="AD256" s="792">
        <v>1</v>
      </c>
      <c r="AE256" s="717">
        <v>0.56884057971014501</v>
      </c>
      <c r="AF256" s="714">
        <v>4.2407531067898789E-2</v>
      </c>
      <c r="AG256" s="706"/>
      <c r="AH256" s="792">
        <v>0.47356695135775378</v>
      </c>
      <c r="AI256" s="748">
        <v>0.56884057971014501</v>
      </c>
      <c r="AJ256" s="748">
        <v>4.2407531067898789E-2</v>
      </c>
      <c r="AK256" s="748"/>
      <c r="AL256" s="714">
        <v>0.47356695135775378</v>
      </c>
      <c r="AM256" s="706"/>
      <c r="AN256" s="706"/>
      <c r="AO256" s="706"/>
      <c r="AP256" s="706"/>
      <c r="AQ256" s="706"/>
      <c r="AR256" s="706" t="s">
        <v>957</v>
      </c>
      <c r="AS256" s="706"/>
      <c r="AT256" s="706"/>
      <c r="AU256" s="706"/>
      <c r="AV256" s="706">
        <v>0.29743244734753344</v>
      </c>
      <c r="AW256" s="706">
        <v>0.29743244734753344</v>
      </c>
      <c r="AX256" s="706">
        <v>0.29743244734753344</v>
      </c>
      <c r="AY256" s="706">
        <v>0.29743244734753344</v>
      </c>
      <c r="AZ256" s="706">
        <v>0.29743244734753344</v>
      </c>
      <c r="BA256" s="706">
        <v>0.29743244734753344</v>
      </c>
      <c r="BB256" s="706">
        <v>0.29743244734753344</v>
      </c>
      <c r="BC256" s="706">
        <v>0.29743244734753344</v>
      </c>
      <c r="BD256" s="706">
        <v>0.29743244734753344</v>
      </c>
      <c r="BE256" s="706">
        <v>0.29743244734753344</v>
      </c>
      <c r="BF256" s="706">
        <v>0.29743244734753344</v>
      </c>
      <c r="BG256" s="706">
        <v>0.29743244734753344</v>
      </c>
      <c r="BH256" s="706">
        <v>0.29743244734753344</v>
      </c>
      <c r="BI256" s="706">
        <v>0.29743244734753344</v>
      </c>
      <c r="BJ256" s="706">
        <v>0.29743244734753344</v>
      </c>
      <c r="BK256" s="706">
        <v>0.29743244734753344</v>
      </c>
      <c r="BL256" s="706">
        <v>0.29743244734753344</v>
      </c>
      <c r="BM256" s="706">
        <v>0.29743244734753344</v>
      </c>
      <c r="BN256" s="706">
        <v>0.29743244734753344</v>
      </c>
      <c r="BO256" s="706"/>
      <c r="BP256" s="706"/>
      <c r="BQ256" s="706"/>
      <c r="BR256" s="706"/>
      <c r="BS256" s="706"/>
      <c r="BT256" s="706"/>
      <c r="BU256" s="706"/>
      <c r="BV256" s="791">
        <v>581.49163564788921</v>
      </c>
      <c r="BW256" s="791">
        <v>581.49163564788921</v>
      </c>
      <c r="BX256" s="791">
        <v>581.49163564788921</v>
      </c>
      <c r="BY256" s="791">
        <v>581.49163564788921</v>
      </c>
      <c r="BZ256" s="791">
        <v>581.49163564788921</v>
      </c>
      <c r="CA256" s="791">
        <v>581.49163564788921</v>
      </c>
      <c r="CB256" s="791">
        <v>581.49163564788921</v>
      </c>
      <c r="CC256" s="791">
        <v>581.49163564788921</v>
      </c>
      <c r="CD256" s="791">
        <v>581.49163564788921</v>
      </c>
      <c r="CE256" s="791">
        <v>581.49163564788921</v>
      </c>
      <c r="CF256" s="791">
        <v>581.49163564788921</v>
      </c>
      <c r="CG256" s="791">
        <v>581.49163564788921</v>
      </c>
      <c r="CH256" s="791">
        <v>581.49163564788921</v>
      </c>
      <c r="CI256" s="791">
        <v>581.49163564788921</v>
      </c>
      <c r="CJ256" s="791">
        <v>581.49163564788921</v>
      </c>
      <c r="CK256" s="791">
        <v>581.49163564788921</v>
      </c>
      <c r="CL256" s="791">
        <v>581.49163564788921</v>
      </c>
      <c r="CM256" s="791">
        <v>581.49163564788921</v>
      </c>
      <c r="CN256" s="791">
        <v>581.49163564788921</v>
      </c>
      <c r="CO256" s="706"/>
      <c r="CP256" s="706"/>
      <c r="CQ256" s="706"/>
      <c r="CR256" s="706"/>
    </row>
    <row r="257" spans="1:96">
      <c r="A257" s="694" t="s">
        <v>3</v>
      </c>
      <c r="B257" s="794">
        <v>41772</v>
      </c>
      <c r="C257" s="743">
        <v>2014</v>
      </c>
      <c r="D257" s="746" t="s">
        <v>15</v>
      </c>
      <c r="E257" s="746" t="s">
        <v>25</v>
      </c>
      <c r="F257" s="746" t="s">
        <v>17</v>
      </c>
      <c r="G257" s="746" t="s">
        <v>58</v>
      </c>
      <c r="H257" s="694" t="s">
        <v>959</v>
      </c>
      <c r="I257" s="746" t="s">
        <v>5</v>
      </c>
      <c r="J257" s="746" t="s">
        <v>376</v>
      </c>
      <c r="K257" s="706">
        <v>1</v>
      </c>
      <c r="L257" s="745" t="s">
        <v>58</v>
      </c>
      <c r="M257" s="706" t="s">
        <v>1010</v>
      </c>
      <c r="N257" s="706">
        <v>19</v>
      </c>
      <c r="O257" s="706"/>
      <c r="P257" s="706"/>
      <c r="Q257" s="706"/>
      <c r="R257" s="706"/>
      <c r="S257" s="706"/>
      <c r="T257" s="706"/>
      <c r="U257" s="738">
        <v>0.62806842093767556</v>
      </c>
      <c r="V257" s="738">
        <v>1227.8974155200376</v>
      </c>
      <c r="W257" s="793">
        <v>0.62806842093767556</v>
      </c>
      <c r="X257" s="708">
        <v>1227.8974155200376</v>
      </c>
      <c r="Y257" s="719">
        <v>23330.050894880715</v>
      </c>
      <c r="Z257" s="719">
        <v>11048.341077309895</v>
      </c>
      <c r="AA257" s="719">
        <v>581.49163564788921</v>
      </c>
      <c r="AB257" s="738">
        <v>0.29743244734753344</v>
      </c>
      <c r="AC257" s="792">
        <v>1</v>
      </c>
      <c r="AD257" s="792">
        <v>1</v>
      </c>
      <c r="AE257" s="717">
        <v>0.56884057971014501</v>
      </c>
      <c r="AF257" s="714">
        <v>4.2407531067898789E-2</v>
      </c>
      <c r="AG257" s="706"/>
      <c r="AH257" s="792">
        <v>0.47356695135775378</v>
      </c>
      <c r="AI257" s="748">
        <v>0.56884057971014501</v>
      </c>
      <c r="AJ257" s="748">
        <v>4.2407531067898789E-2</v>
      </c>
      <c r="AK257" s="748"/>
      <c r="AL257" s="714">
        <v>0.47356695135775378</v>
      </c>
      <c r="AM257" s="706"/>
      <c r="AN257" s="706"/>
      <c r="AO257" s="706"/>
      <c r="AP257" s="706"/>
      <c r="AQ257" s="706"/>
      <c r="AR257" s="706" t="s">
        <v>957</v>
      </c>
      <c r="AS257" s="706"/>
      <c r="AT257" s="706"/>
      <c r="AU257" s="706"/>
      <c r="AV257" s="706">
        <v>0.29743244734753344</v>
      </c>
      <c r="AW257" s="706">
        <v>0.29743244734753344</v>
      </c>
      <c r="AX257" s="706">
        <v>0.29743244734753344</v>
      </c>
      <c r="AY257" s="706">
        <v>0.29743244734753344</v>
      </c>
      <c r="AZ257" s="706">
        <v>0.29743244734753344</v>
      </c>
      <c r="BA257" s="706">
        <v>0.29743244734753344</v>
      </c>
      <c r="BB257" s="706">
        <v>0.29743244734753344</v>
      </c>
      <c r="BC257" s="706">
        <v>0.29743244734753344</v>
      </c>
      <c r="BD257" s="706">
        <v>0.29743244734753344</v>
      </c>
      <c r="BE257" s="706">
        <v>0.29743244734753344</v>
      </c>
      <c r="BF257" s="706">
        <v>0.29743244734753344</v>
      </c>
      <c r="BG257" s="706">
        <v>0.29743244734753344</v>
      </c>
      <c r="BH257" s="706">
        <v>0.29743244734753344</v>
      </c>
      <c r="BI257" s="706">
        <v>0.29743244734753344</v>
      </c>
      <c r="BJ257" s="706">
        <v>0.29743244734753344</v>
      </c>
      <c r="BK257" s="706">
        <v>0.29743244734753344</v>
      </c>
      <c r="BL257" s="706">
        <v>0.29743244734753344</v>
      </c>
      <c r="BM257" s="706">
        <v>0.29743244734753344</v>
      </c>
      <c r="BN257" s="706">
        <v>0.29743244734753344</v>
      </c>
      <c r="BO257" s="706"/>
      <c r="BP257" s="706"/>
      <c r="BQ257" s="706"/>
      <c r="BR257" s="706"/>
      <c r="BS257" s="706"/>
      <c r="BT257" s="706"/>
      <c r="BU257" s="706"/>
      <c r="BV257" s="791">
        <v>581.49163564788921</v>
      </c>
      <c r="BW257" s="791">
        <v>581.49163564788921</v>
      </c>
      <c r="BX257" s="791">
        <v>581.49163564788921</v>
      </c>
      <c r="BY257" s="791">
        <v>581.49163564788921</v>
      </c>
      <c r="BZ257" s="791">
        <v>581.49163564788921</v>
      </c>
      <c r="CA257" s="791">
        <v>581.49163564788921</v>
      </c>
      <c r="CB257" s="791">
        <v>581.49163564788921</v>
      </c>
      <c r="CC257" s="791">
        <v>581.49163564788921</v>
      </c>
      <c r="CD257" s="791">
        <v>581.49163564788921</v>
      </c>
      <c r="CE257" s="791">
        <v>581.49163564788921</v>
      </c>
      <c r="CF257" s="791">
        <v>581.49163564788921</v>
      </c>
      <c r="CG257" s="791">
        <v>581.49163564788921</v>
      </c>
      <c r="CH257" s="791">
        <v>581.49163564788921</v>
      </c>
      <c r="CI257" s="791">
        <v>581.49163564788921</v>
      </c>
      <c r="CJ257" s="791">
        <v>581.49163564788921</v>
      </c>
      <c r="CK257" s="791">
        <v>581.49163564788921</v>
      </c>
      <c r="CL257" s="791">
        <v>581.49163564788921</v>
      </c>
      <c r="CM257" s="791">
        <v>581.49163564788921</v>
      </c>
      <c r="CN257" s="791">
        <v>581.49163564788921</v>
      </c>
      <c r="CO257" s="706"/>
      <c r="CP257" s="706"/>
      <c r="CQ257" s="706"/>
      <c r="CR257" s="706"/>
    </row>
    <row r="258" spans="1:96">
      <c r="A258" s="694" t="s">
        <v>3</v>
      </c>
      <c r="B258" s="794">
        <v>41923</v>
      </c>
      <c r="C258" s="743">
        <v>2014</v>
      </c>
      <c r="D258" s="746" t="s">
        <v>15</v>
      </c>
      <c r="E258" s="746" t="s">
        <v>25</v>
      </c>
      <c r="F258" s="746" t="s">
        <v>17</v>
      </c>
      <c r="G258" s="746" t="s">
        <v>58</v>
      </c>
      <c r="H258" s="694" t="s">
        <v>959</v>
      </c>
      <c r="I258" s="746" t="s">
        <v>5</v>
      </c>
      <c r="J258" s="746" t="s">
        <v>376</v>
      </c>
      <c r="K258" s="706">
        <v>1</v>
      </c>
      <c r="L258" s="745" t="s">
        <v>58</v>
      </c>
      <c r="M258" s="706" t="s">
        <v>1009</v>
      </c>
      <c r="N258" s="706">
        <v>19</v>
      </c>
      <c r="O258" s="706"/>
      <c r="P258" s="706"/>
      <c r="Q258" s="706"/>
      <c r="R258" s="706"/>
      <c r="S258" s="706"/>
      <c r="T258" s="706"/>
      <c r="U258" s="738">
        <v>0.62806842093767556</v>
      </c>
      <c r="V258" s="738">
        <v>1227.8974155200376</v>
      </c>
      <c r="W258" s="793">
        <v>0.62806842093767556</v>
      </c>
      <c r="X258" s="708">
        <v>1227.8974155200376</v>
      </c>
      <c r="Y258" s="719">
        <v>23330.050894880715</v>
      </c>
      <c r="Z258" s="719">
        <v>11048.341077309895</v>
      </c>
      <c r="AA258" s="719">
        <v>581.49163564788921</v>
      </c>
      <c r="AB258" s="738">
        <v>0.29743244734753344</v>
      </c>
      <c r="AC258" s="792">
        <v>1</v>
      </c>
      <c r="AD258" s="792">
        <v>1</v>
      </c>
      <c r="AE258" s="717">
        <v>0.56884057971014501</v>
      </c>
      <c r="AF258" s="714">
        <v>4.2407531067898789E-2</v>
      </c>
      <c r="AG258" s="706"/>
      <c r="AH258" s="792">
        <v>0.47356695135775378</v>
      </c>
      <c r="AI258" s="748">
        <v>0.56884057971014501</v>
      </c>
      <c r="AJ258" s="748">
        <v>4.2407531067898789E-2</v>
      </c>
      <c r="AK258" s="748"/>
      <c r="AL258" s="714">
        <v>0.47356695135775378</v>
      </c>
      <c r="AM258" s="706"/>
      <c r="AN258" s="706"/>
      <c r="AO258" s="706"/>
      <c r="AP258" s="706"/>
      <c r="AQ258" s="706"/>
      <c r="AR258" s="706" t="s">
        <v>957</v>
      </c>
      <c r="AS258" s="706"/>
      <c r="AT258" s="706"/>
      <c r="AU258" s="706"/>
      <c r="AV258" s="706">
        <v>0.29743244734753344</v>
      </c>
      <c r="AW258" s="706">
        <v>0.29743244734753344</v>
      </c>
      <c r="AX258" s="706">
        <v>0.29743244734753344</v>
      </c>
      <c r="AY258" s="706">
        <v>0.29743244734753344</v>
      </c>
      <c r="AZ258" s="706">
        <v>0.29743244734753344</v>
      </c>
      <c r="BA258" s="706">
        <v>0.29743244734753344</v>
      </c>
      <c r="BB258" s="706">
        <v>0.29743244734753344</v>
      </c>
      <c r="BC258" s="706">
        <v>0.29743244734753344</v>
      </c>
      <c r="BD258" s="706">
        <v>0.29743244734753344</v>
      </c>
      <c r="BE258" s="706">
        <v>0.29743244734753344</v>
      </c>
      <c r="BF258" s="706">
        <v>0.29743244734753344</v>
      </c>
      <c r="BG258" s="706">
        <v>0.29743244734753344</v>
      </c>
      <c r="BH258" s="706">
        <v>0.29743244734753344</v>
      </c>
      <c r="BI258" s="706">
        <v>0.29743244734753344</v>
      </c>
      <c r="BJ258" s="706">
        <v>0.29743244734753344</v>
      </c>
      <c r="BK258" s="706">
        <v>0.29743244734753344</v>
      </c>
      <c r="BL258" s="706">
        <v>0.29743244734753344</v>
      </c>
      <c r="BM258" s="706">
        <v>0.29743244734753344</v>
      </c>
      <c r="BN258" s="706">
        <v>0.29743244734753344</v>
      </c>
      <c r="BO258" s="706"/>
      <c r="BP258" s="706"/>
      <c r="BQ258" s="706"/>
      <c r="BR258" s="706"/>
      <c r="BS258" s="706"/>
      <c r="BT258" s="706"/>
      <c r="BU258" s="706"/>
      <c r="BV258" s="791">
        <v>581.49163564788921</v>
      </c>
      <c r="BW258" s="791">
        <v>581.49163564788921</v>
      </c>
      <c r="BX258" s="791">
        <v>581.49163564788921</v>
      </c>
      <c r="BY258" s="791">
        <v>581.49163564788921</v>
      </c>
      <c r="BZ258" s="791">
        <v>581.49163564788921</v>
      </c>
      <c r="CA258" s="791">
        <v>581.49163564788921</v>
      </c>
      <c r="CB258" s="791">
        <v>581.49163564788921</v>
      </c>
      <c r="CC258" s="791">
        <v>581.49163564788921</v>
      </c>
      <c r="CD258" s="791">
        <v>581.49163564788921</v>
      </c>
      <c r="CE258" s="791">
        <v>581.49163564788921</v>
      </c>
      <c r="CF258" s="791">
        <v>581.49163564788921</v>
      </c>
      <c r="CG258" s="791">
        <v>581.49163564788921</v>
      </c>
      <c r="CH258" s="791">
        <v>581.49163564788921</v>
      </c>
      <c r="CI258" s="791">
        <v>581.49163564788921</v>
      </c>
      <c r="CJ258" s="791">
        <v>581.49163564788921</v>
      </c>
      <c r="CK258" s="791">
        <v>581.49163564788921</v>
      </c>
      <c r="CL258" s="791">
        <v>581.49163564788921</v>
      </c>
      <c r="CM258" s="791">
        <v>581.49163564788921</v>
      </c>
      <c r="CN258" s="791">
        <v>581.49163564788921</v>
      </c>
      <c r="CO258" s="706"/>
      <c r="CP258" s="706"/>
      <c r="CQ258" s="706"/>
      <c r="CR258" s="706"/>
    </row>
    <row r="259" spans="1:96">
      <c r="A259" s="694" t="s">
        <v>3</v>
      </c>
      <c r="B259" s="794">
        <v>41793</v>
      </c>
      <c r="C259" s="743">
        <v>2014</v>
      </c>
      <c r="D259" s="746" t="s">
        <v>15</v>
      </c>
      <c r="E259" s="746" t="s">
        <v>25</v>
      </c>
      <c r="F259" s="746" t="s">
        <v>17</v>
      </c>
      <c r="G259" s="746" t="s">
        <v>58</v>
      </c>
      <c r="H259" s="694" t="s">
        <v>959</v>
      </c>
      <c r="I259" s="746" t="s">
        <v>5</v>
      </c>
      <c r="J259" s="746" t="s">
        <v>376</v>
      </c>
      <c r="K259" s="706">
        <v>1</v>
      </c>
      <c r="L259" s="745" t="s">
        <v>58</v>
      </c>
      <c r="M259" s="706" t="s">
        <v>1008</v>
      </c>
      <c r="N259" s="706">
        <v>19</v>
      </c>
      <c r="O259" s="706"/>
      <c r="P259" s="706"/>
      <c r="Q259" s="706"/>
      <c r="R259" s="706"/>
      <c r="S259" s="706"/>
      <c r="T259" s="706"/>
      <c r="U259" s="738">
        <v>0.62806842093767556</v>
      </c>
      <c r="V259" s="738">
        <v>1227.8974155200376</v>
      </c>
      <c r="W259" s="793">
        <v>0.62806842093767556</v>
      </c>
      <c r="X259" s="708">
        <v>1227.8974155200376</v>
      </c>
      <c r="Y259" s="719">
        <v>23330.050894880715</v>
      </c>
      <c r="Z259" s="719">
        <v>11048.341077309895</v>
      </c>
      <c r="AA259" s="719">
        <v>581.49163564788921</v>
      </c>
      <c r="AB259" s="738">
        <v>0.29743244734753344</v>
      </c>
      <c r="AC259" s="792">
        <v>1</v>
      </c>
      <c r="AD259" s="792">
        <v>1</v>
      </c>
      <c r="AE259" s="717">
        <v>0.56884057971014501</v>
      </c>
      <c r="AF259" s="714">
        <v>4.2407531067898789E-2</v>
      </c>
      <c r="AG259" s="706"/>
      <c r="AH259" s="792">
        <v>0.47356695135775378</v>
      </c>
      <c r="AI259" s="748">
        <v>0.56884057971014501</v>
      </c>
      <c r="AJ259" s="748">
        <v>4.2407531067898789E-2</v>
      </c>
      <c r="AK259" s="748"/>
      <c r="AL259" s="714">
        <v>0.47356695135775378</v>
      </c>
      <c r="AM259" s="706"/>
      <c r="AN259" s="706"/>
      <c r="AO259" s="706"/>
      <c r="AP259" s="706"/>
      <c r="AQ259" s="706"/>
      <c r="AR259" s="706" t="s">
        <v>957</v>
      </c>
      <c r="AS259" s="706"/>
      <c r="AT259" s="706"/>
      <c r="AU259" s="706"/>
      <c r="AV259" s="706">
        <v>0.29743244734753344</v>
      </c>
      <c r="AW259" s="706">
        <v>0.29743244734753344</v>
      </c>
      <c r="AX259" s="706">
        <v>0.29743244734753344</v>
      </c>
      <c r="AY259" s="706">
        <v>0.29743244734753344</v>
      </c>
      <c r="AZ259" s="706">
        <v>0.29743244734753344</v>
      </c>
      <c r="BA259" s="706">
        <v>0.29743244734753344</v>
      </c>
      <c r="BB259" s="706">
        <v>0.29743244734753344</v>
      </c>
      <c r="BC259" s="706">
        <v>0.29743244734753344</v>
      </c>
      <c r="BD259" s="706">
        <v>0.29743244734753344</v>
      </c>
      <c r="BE259" s="706">
        <v>0.29743244734753344</v>
      </c>
      <c r="BF259" s="706">
        <v>0.29743244734753344</v>
      </c>
      <c r="BG259" s="706">
        <v>0.29743244734753344</v>
      </c>
      <c r="BH259" s="706">
        <v>0.29743244734753344</v>
      </c>
      <c r="BI259" s="706">
        <v>0.29743244734753344</v>
      </c>
      <c r="BJ259" s="706">
        <v>0.29743244734753344</v>
      </c>
      <c r="BK259" s="706">
        <v>0.29743244734753344</v>
      </c>
      <c r="BL259" s="706">
        <v>0.29743244734753344</v>
      </c>
      <c r="BM259" s="706">
        <v>0.29743244734753344</v>
      </c>
      <c r="BN259" s="706">
        <v>0.29743244734753344</v>
      </c>
      <c r="BO259" s="706"/>
      <c r="BP259" s="706"/>
      <c r="BQ259" s="706"/>
      <c r="BR259" s="706"/>
      <c r="BS259" s="706"/>
      <c r="BT259" s="706"/>
      <c r="BU259" s="706"/>
      <c r="BV259" s="791">
        <v>581.49163564788921</v>
      </c>
      <c r="BW259" s="791">
        <v>581.49163564788921</v>
      </c>
      <c r="BX259" s="791">
        <v>581.49163564788921</v>
      </c>
      <c r="BY259" s="791">
        <v>581.49163564788921</v>
      </c>
      <c r="BZ259" s="791">
        <v>581.49163564788921</v>
      </c>
      <c r="CA259" s="791">
        <v>581.49163564788921</v>
      </c>
      <c r="CB259" s="791">
        <v>581.49163564788921</v>
      </c>
      <c r="CC259" s="791">
        <v>581.49163564788921</v>
      </c>
      <c r="CD259" s="791">
        <v>581.49163564788921</v>
      </c>
      <c r="CE259" s="791">
        <v>581.49163564788921</v>
      </c>
      <c r="CF259" s="791">
        <v>581.49163564788921</v>
      </c>
      <c r="CG259" s="791">
        <v>581.49163564788921</v>
      </c>
      <c r="CH259" s="791">
        <v>581.49163564788921</v>
      </c>
      <c r="CI259" s="791">
        <v>581.49163564788921</v>
      </c>
      <c r="CJ259" s="791">
        <v>581.49163564788921</v>
      </c>
      <c r="CK259" s="791">
        <v>581.49163564788921</v>
      </c>
      <c r="CL259" s="791">
        <v>581.49163564788921</v>
      </c>
      <c r="CM259" s="791">
        <v>581.49163564788921</v>
      </c>
      <c r="CN259" s="791">
        <v>581.49163564788921</v>
      </c>
      <c r="CO259" s="706"/>
      <c r="CP259" s="706"/>
      <c r="CQ259" s="706"/>
      <c r="CR259" s="706"/>
    </row>
    <row r="260" spans="1:96">
      <c r="A260" s="694" t="s">
        <v>3</v>
      </c>
      <c r="B260" s="794">
        <v>41800</v>
      </c>
      <c r="C260" s="743">
        <v>2014</v>
      </c>
      <c r="D260" s="746" t="s">
        <v>15</v>
      </c>
      <c r="E260" s="746" t="s">
        <v>25</v>
      </c>
      <c r="F260" s="746" t="s">
        <v>17</v>
      </c>
      <c r="G260" s="746" t="s">
        <v>58</v>
      </c>
      <c r="H260" s="694" t="s">
        <v>959</v>
      </c>
      <c r="I260" s="746" t="s">
        <v>5</v>
      </c>
      <c r="J260" s="746" t="s">
        <v>376</v>
      </c>
      <c r="K260" s="706">
        <v>1</v>
      </c>
      <c r="L260" s="745" t="s">
        <v>58</v>
      </c>
      <c r="M260" s="706" t="s">
        <v>1007</v>
      </c>
      <c r="N260" s="706">
        <v>19</v>
      </c>
      <c r="O260" s="706"/>
      <c r="P260" s="706"/>
      <c r="Q260" s="706"/>
      <c r="R260" s="706"/>
      <c r="S260" s="706"/>
      <c r="T260" s="706"/>
      <c r="U260" s="738">
        <v>0.62806842093767556</v>
      </c>
      <c r="V260" s="738">
        <v>1227.8974155200376</v>
      </c>
      <c r="W260" s="793">
        <v>0.62806842093767556</v>
      </c>
      <c r="X260" s="708">
        <v>1227.8974155200376</v>
      </c>
      <c r="Y260" s="719">
        <v>23330.050894880715</v>
      </c>
      <c r="Z260" s="719">
        <v>11048.341077309895</v>
      </c>
      <c r="AA260" s="719">
        <v>581.49163564788921</v>
      </c>
      <c r="AB260" s="738">
        <v>0.29743244734753344</v>
      </c>
      <c r="AC260" s="792">
        <v>1</v>
      </c>
      <c r="AD260" s="792">
        <v>1</v>
      </c>
      <c r="AE260" s="717">
        <v>0.56884057971014501</v>
      </c>
      <c r="AF260" s="714">
        <v>4.2407531067898789E-2</v>
      </c>
      <c r="AG260" s="706"/>
      <c r="AH260" s="792">
        <v>0.47356695135775378</v>
      </c>
      <c r="AI260" s="748">
        <v>0.56884057971014501</v>
      </c>
      <c r="AJ260" s="748">
        <v>4.2407531067898789E-2</v>
      </c>
      <c r="AK260" s="748"/>
      <c r="AL260" s="714">
        <v>0.47356695135775378</v>
      </c>
      <c r="AM260" s="706"/>
      <c r="AN260" s="706"/>
      <c r="AO260" s="706"/>
      <c r="AP260" s="706"/>
      <c r="AQ260" s="706"/>
      <c r="AR260" s="706" t="s">
        <v>957</v>
      </c>
      <c r="AS260" s="706"/>
      <c r="AT260" s="706"/>
      <c r="AU260" s="706"/>
      <c r="AV260" s="706">
        <v>0.29743244734753344</v>
      </c>
      <c r="AW260" s="706">
        <v>0.29743244734753344</v>
      </c>
      <c r="AX260" s="706">
        <v>0.29743244734753344</v>
      </c>
      <c r="AY260" s="706">
        <v>0.29743244734753344</v>
      </c>
      <c r="AZ260" s="706">
        <v>0.29743244734753344</v>
      </c>
      <c r="BA260" s="706">
        <v>0.29743244734753344</v>
      </c>
      <c r="BB260" s="706">
        <v>0.29743244734753344</v>
      </c>
      <c r="BC260" s="706">
        <v>0.29743244734753344</v>
      </c>
      <c r="BD260" s="706">
        <v>0.29743244734753344</v>
      </c>
      <c r="BE260" s="706">
        <v>0.29743244734753344</v>
      </c>
      <c r="BF260" s="706">
        <v>0.29743244734753344</v>
      </c>
      <c r="BG260" s="706">
        <v>0.29743244734753344</v>
      </c>
      <c r="BH260" s="706">
        <v>0.29743244734753344</v>
      </c>
      <c r="BI260" s="706">
        <v>0.29743244734753344</v>
      </c>
      <c r="BJ260" s="706">
        <v>0.29743244734753344</v>
      </c>
      <c r="BK260" s="706">
        <v>0.29743244734753344</v>
      </c>
      <c r="BL260" s="706">
        <v>0.29743244734753344</v>
      </c>
      <c r="BM260" s="706">
        <v>0.29743244734753344</v>
      </c>
      <c r="BN260" s="706">
        <v>0.29743244734753344</v>
      </c>
      <c r="BO260" s="706"/>
      <c r="BP260" s="706"/>
      <c r="BQ260" s="706"/>
      <c r="BR260" s="706"/>
      <c r="BS260" s="706"/>
      <c r="BT260" s="706"/>
      <c r="BU260" s="706"/>
      <c r="BV260" s="791">
        <v>581.49163564788921</v>
      </c>
      <c r="BW260" s="791">
        <v>581.49163564788921</v>
      </c>
      <c r="BX260" s="791">
        <v>581.49163564788921</v>
      </c>
      <c r="BY260" s="791">
        <v>581.49163564788921</v>
      </c>
      <c r="BZ260" s="791">
        <v>581.49163564788921</v>
      </c>
      <c r="CA260" s="791">
        <v>581.49163564788921</v>
      </c>
      <c r="CB260" s="791">
        <v>581.49163564788921</v>
      </c>
      <c r="CC260" s="791">
        <v>581.49163564788921</v>
      </c>
      <c r="CD260" s="791">
        <v>581.49163564788921</v>
      </c>
      <c r="CE260" s="791">
        <v>581.49163564788921</v>
      </c>
      <c r="CF260" s="791">
        <v>581.49163564788921</v>
      </c>
      <c r="CG260" s="791">
        <v>581.49163564788921</v>
      </c>
      <c r="CH260" s="791">
        <v>581.49163564788921</v>
      </c>
      <c r="CI260" s="791">
        <v>581.49163564788921</v>
      </c>
      <c r="CJ260" s="791">
        <v>581.49163564788921</v>
      </c>
      <c r="CK260" s="791">
        <v>581.49163564788921</v>
      </c>
      <c r="CL260" s="791">
        <v>581.49163564788921</v>
      </c>
      <c r="CM260" s="791">
        <v>581.49163564788921</v>
      </c>
      <c r="CN260" s="791">
        <v>581.49163564788921</v>
      </c>
      <c r="CO260" s="706"/>
      <c r="CP260" s="706"/>
      <c r="CQ260" s="706"/>
      <c r="CR260" s="706"/>
    </row>
    <row r="261" spans="1:96">
      <c r="A261" s="694" t="s">
        <v>3</v>
      </c>
      <c r="B261" s="794">
        <v>41775</v>
      </c>
      <c r="C261" s="743">
        <v>2014</v>
      </c>
      <c r="D261" s="746" t="s">
        <v>15</v>
      </c>
      <c r="E261" s="746" t="s">
        <v>25</v>
      </c>
      <c r="F261" s="746" t="s">
        <v>17</v>
      </c>
      <c r="G261" s="746" t="s">
        <v>58</v>
      </c>
      <c r="H261" s="694" t="s">
        <v>959</v>
      </c>
      <c r="I261" s="746" t="s">
        <v>5</v>
      </c>
      <c r="J261" s="746" t="s">
        <v>376</v>
      </c>
      <c r="K261" s="706">
        <v>1</v>
      </c>
      <c r="L261" s="745" t="s">
        <v>58</v>
      </c>
      <c r="M261" s="706" t="s">
        <v>1006</v>
      </c>
      <c r="N261" s="706">
        <v>19</v>
      </c>
      <c r="O261" s="706"/>
      <c r="P261" s="706"/>
      <c r="Q261" s="706"/>
      <c r="R261" s="706"/>
      <c r="S261" s="706"/>
      <c r="T261" s="706"/>
      <c r="U261" s="738">
        <v>0.62806842093767556</v>
      </c>
      <c r="V261" s="738">
        <v>1227.8974155200376</v>
      </c>
      <c r="W261" s="793">
        <v>0.62806842093767556</v>
      </c>
      <c r="X261" s="708">
        <v>1227.8974155200376</v>
      </c>
      <c r="Y261" s="719">
        <v>23330.050894880715</v>
      </c>
      <c r="Z261" s="719">
        <v>11048.341077309895</v>
      </c>
      <c r="AA261" s="719">
        <v>581.49163564788921</v>
      </c>
      <c r="AB261" s="738">
        <v>0.29743244734753344</v>
      </c>
      <c r="AC261" s="792">
        <v>1</v>
      </c>
      <c r="AD261" s="792">
        <v>1</v>
      </c>
      <c r="AE261" s="717">
        <v>0.56884057971014501</v>
      </c>
      <c r="AF261" s="714">
        <v>4.2407531067898789E-2</v>
      </c>
      <c r="AG261" s="706"/>
      <c r="AH261" s="792">
        <v>0.47356695135775378</v>
      </c>
      <c r="AI261" s="748">
        <v>0.56884057971014501</v>
      </c>
      <c r="AJ261" s="748">
        <v>4.2407531067898789E-2</v>
      </c>
      <c r="AK261" s="748"/>
      <c r="AL261" s="714">
        <v>0.47356695135775378</v>
      </c>
      <c r="AM261" s="706"/>
      <c r="AN261" s="706"/>
      <c r="AO261" s="706"/>
      <c r="AP261" s="706"/>
      <c r="AQ261" s="706"/>
      <c r="AR261" s="706" t="s">
        <v>957</v>
      </c>
      <c r="AS261" s="706"/>
      <c r="AT261" s="706"/>
      <c r="AU261" s="706"/>
      <c r="AV261" s="706">
        <v>0.29743244734753344</v>
      </c>
      <c r="AW261" s="706">
        <v>0.29743244734753344</v>
      </c>
      <c r="AX261" s="706">
        <v>0.29743244734753344</v>
      </c>
      <c r="AY261" s="706">
        <v>0.29743244734753344</v>
      </c>
      <c r="AZ261" s="706">
        <v>0.29743244734753344</v>
      </c>
      <c r="BA261" s="706">
        <v>0.29743244734753344</v>
      </c>
      <c r="BB261" s="706">
        <v>0.29743244734753344</v>
      </c>
      <c r="BC261" s="706">
        <v>0.29743244734753344</v>
      </c>
      <c r="BD261" s="706">
        <v>0.29743244734753344</v>
      </c>
      <c r="BE261" s="706">
        <v>0.29743244734753344</v>
      </c>
      <c r="BF261" s="706">
        <v>0.29743244734753344</v>
      </c>
      <c r="BG261" s="706">
        <v>0.29743244734753344</v>
      </c>
      <c r="BH261" s="706">
        <v>0.29743244734753344</v>
      </c>
      <c r="BI261" s="706">
        <v>0.29743244734753344</v>
      </c>
      <c r="BJ261" s="706">
        <v>0.29743244734753344</v>
      </c>
      <c r="BK261" s="706">
        <v>0.29743244734753344</v>
      </c>
      <c r="BL261" s="706">
        <v>0.29743244734753344</v>
      </c>
      <c r="BM261" s="706">
        <v>0.29743244734753344</v>
      </c>
      <c r="BN261" s="706">
        <v>0.29743244734753344</v>
      </c>
      <c r="BO261" s="706"/>
      <c r="BP261" s="706"/>
      <c r="BQ261" s="706"/>
      <c r="BR261" s="706"/>
      <c r="BS261" s="706"/>
      <c r="BT261" s="706"/>
      <c r="BU261" s="706"/>
      <c r="BV261" s="791">
        <v>581.49163564788921</v>
      </c>
      <c r="BW261" s="791">
        <v>581.49163564788921</v>
      </c>
      <c r="BX261" s="791">
        <v>581.49163564788921</v>
      </c>
      <c r="BY261" s="791">
        <v>581.49163564788921</v>
      </c>
      <c r="BZ261" s="791">
        <v>581.49163564788921</v>
      </c>
      <c r="CA261" s="791">
        <v>581.49163564788921</v>
      </c>
      <c r="CB261" s="791">
        <v>581.49163564788921</v>
      </c>
      <c r="CC261" s="791">
        <v>581.49163564788921</v>
      </c>
      <c r="CD261" s="791">
        <v>581.49163564788921</v>
      </c>
      <c r="CE261" s="791">
        <v>581.49163564788921</v>
      </c>
      <c r="CF261" s="791">
        <v>581.49163564788921</v>
      </c>
      <c r="CG261" s="791">
        <v>581.49163564788921</v>
      </c>
      <c r="CH261" s="791">
        <v>581.49163564788921</v>
      </c>
      <c r="CI261" s="791">
        <v>581.49163564788921</v>
      </c>
      <c r="CJ261" s="791">
        <v>581.49163564788921</v>
      </c>
      <c r="CK261" s="791">
        <v>581.49163564788921</v>
      </c>
      <c r="CL261" s="791">
        <v>581.49163564788921</v>
      </c>
      <c r="CM261" s="791">
        <v>581.49163564788921</v>
      </c>
      <c r="CN261" s="791">
        <v>581.49163564788921</v>
      </c>
      <c r="CO261" s="706"/>
      <c r="CP261" s="706"/>
      <c r="CQ261" s="706"/>
      <c r="CR261" s="706"/>
    </row>
    <row r="262" spans="1:96">
      <c r="A262" s="694" t="s">
        <v>3</v>
      </c>
      <c r="B262" s="794">
        <v>41926</v>
      </c>
      <c r="C262" s="743">
        <v>2014</v>
      </c>
      <c r="D262" s="746" t="s">
        <v>15</v>
      </c>
      <c r="E262" s="746" t="s">
        <v>25</v>
      </c>
      <c r="F262" s="746" t="s">
        <v>17</v>
      </c>
      <c r="G262" s="746" t="s">
        <v>58</v>
      </c>
      <c r="H262" s="694" t="s">
        <v>959</v>
      </c>
      <c r="I262" s="746" t="s">
        <v>5</v>
      </c>
      <c r="J262" s="746" t="s">
        <v>376</v>
      </c>
      <c r="K262" s="706">
        <v>1</v>
      </c>
      <c r="L262" s="745" t="s">
        <v>58</v>
      </c>
      <c r="M262" s="706" t="s">
        <v>889</v>
      </c>
      <c r="N262" s="706">
        <v>19</v>
      </c>
      <c r="O262" s="706"/>
      <c r="P262" s="706"/>
      <c r="Q262" s="706"/>
      <c r="R262" s="706"/>
      <c r="S262" s="706"/>
      <c r="T262" s="706"/>
      <c r="U262" s="738">
        <v>0.62806842093767556</v>
      </c>
      <c r="V262" s="738">
        <v>1227.8974155200376</v>
      </c>
      <c r="W262" s="793">
        <v>0.62806842093767556</v>
      </c>
      <c r="X262" s="708">
        <v>1227.8974155200376</v>
      </c>
      <c r="Y262" s="719">
        <v>23330.050894880715</v>
      </c>
      <c r="Z262" s="719">
        <v>11048.341077309895</v>
      </c>
      <c r="AA262" s="719">
        <v>581.49163564788921</v>
      </c>
      <c r="AB262" s="738">
        <v>0.29743244734753344</v>
      </c>
      <c r="AC262" s="792">
        <v>1</v>
      </c>
      <c r="AD262" s="792">
        <v>1</v>
      </c>
      <c r="AE262" s="717">
        <v>0.56884057971014501</v>
      </c>
      <c r="AF262" s="714">
        <v>4.2407531067898789E-2</v>
      </c>
      <c r="AG262" s="706"/>
      <c r="AH262" s="792">
        <v>0.47356695135775378</v>
      </c>
      <c r="AI262" s="748">
        <v>0.56884057971014501</v>
      </c>
      <c r="AJ262" s="748">
        <v>4.2407531067898789E-2</v>
      </c>
      <c r="AK262" s="748"/>
      <c r="AL262" s="714">
        <v>0.47356695135775378</v>
      </c>
      <c r="AM262" s="706"/>
      <c r="AN262" s="706"/>
      <c r="AO262" s="706"/>
      <c r="AP262" s="706"/>
      <c r="AQ262" s="706"/>
      <c r="AR262" s="706" t="s">
        <v>957</v>
      </c>
      <c r="AS262" s="706"/>
      <c r="AT262" s="706"/>
      <c r="AU262" s="706"/>
      <c r="AV262" s="706">
        <v>0.29743244734753344</v>
      </c>
      <c r="AW262" s="706">
        <v>0.29743244734753344</v>
      </c>
      <c r="AX262" s="706">
        <v>0.29743244734753344</v>
      </c>
      <c r="AY262" s="706">
        <v>0.29743244734753344</v>
      </c>
      <c r="AZ262" s="706">
        <v>0.29743244734753344</v>
      </c>
      <c r="BA262" s="706">
        <v>0.29743244734753344</v>
      </c>
      <c r="BB262" s="706">
        <v>0.29743244734753344</v>
      </c>
      <c r="BC262" s="706">
        <v>0.29743244734753344</v>
      </c>
      <c r="BD262" s="706">
        <v>0.29743244734753344</v>
      </c>
      <c r="BE262" s="706">
        <v>0.29743244734753344</v>
      </c>
      <c r="BF262" s="706">
        <v>0.29743244734753344</v>
      </c>
      <c r="BG262" s="706">
        <v>0.29743244734753344</v>
      </c>
      <c r="BH262" s="706">
        <v>0.29743244734753344</v>
      </c>
      <c r="BI262" s="706">
        <v>0.29743244734753344</v>
      </c>
      <c r="BJ262" s="706">
        <v>0.29743244734753344</v>
      </c>
      <c r="BK262" s="706">
        <v>0.29743244734753344</v>
      </c>
      <c r="BL262" s="706">
        <v>0.29743244734753344</v>
      </c>
      <c r="BM262" s="706">
        <v>0.29743244734753344</v>
      </c>
      <c r="BN262" s="706">
        <v>0.29743244734753344</v>
      </c>
      <c r="BO262" s="706"/>
      <c r="BP262" s="706"/>
      <c r="BQ262" s="706"/>
      <c r="BR262" s="706"/>
      <c r="BS262" s="706"/>
      <c r="BT262" s="706"/>
      <c r="BU262" s="706"/>
      <c r="BV262" s="791">
        <v>581.49163564788921</v>
      </c>
      <c r="BW262" s="791">
        <v>581.49163564788921</v>
      </c>
      <c r="BX262" s="791">
        <v>581.49163564788921</v>
      </c>
      <c r="BY262" s="791">
        <v>581.49163564788921</v>
      </c>
      <c r="BZ262" s="791">
        <v>581.49163564788921</v>
      </c>
      <c r="CA262" s="791">
        <v>581.49163564788921</v>
      </c>
      <c r="CB262" s="791">
        <v>581.49163564788921</v>
      </c>
      <c r="CC262" s="791">
        <v>581.49163564788921</v>
      </c>
      <c r="CD262" s="791">
        <v>581.49163564788921</v>
      </c>
      <c r="CE262" s="791">
        <v>581.49163564788921</v>
      </c>
      <c r="CF262" s="791">
        <v>581.49163564788921</v>
      </c>
      <c r="CG262" s="791">
        <v>581.49163564788921</v>
      </c>
      <c r="CH262" s="791">
        <v>581.49163564788921</v>
      </c>
      <c r="CI262" s="791">
        <v>581.49163564788921</v>
      </c>
      <c r="CJ262" s="791">
        <v>581.49163564788921</v>
      </c>
      <c r="CK262" s="791">
        <v>581.49163564788921</v>
      </c>
      <c r="CL262" s="791">
        <v>581.49163564788921</v>
      </c>
      <c r="CM262" s="791">
        <v>581.49163564788921</v>
      </c>
      <c r="CN262" s="791">
        <v>581.49163564788921</v>
      </c>
      <c r="CO262" s="706"/>
      <c r="CP262" s="706"/>
      <c r="CQ262" s="706"/>
      <c r="CR262" s="706"/>
    </row>
    <row r="263" spans="1:96">
      <c r="A263" s="694" t="s">
        <v>3</v>
      </c>
      <c r="B263" s="794">
        <v>41915</v>
      </c>
      <c r="C263" s="743">
        <v>2014</v>
      </c>
      <c r="D263" s="746" t="s">
        <v>15</v>
      </c>
      <c r="E263" s="746" t="s">
        <v>25</v>
      </c>
      <c r="F263" s="746" t="s">
        <v>17</v>
      </c>
      <c r="G263" s="746" t="s">
        <v>58</v>
      </c>
      <c r="H263" s="694" t="s">
        <v>959</v>
      </c>
      <c r="I263" s="746" t="s">
        <v>5</v>
      </c>
      <c r="J263" s="746" t="s">
        <v>376</v>
      </c>
      <c r="K263" s="706">
        <v>1</v>
      </c>
      <c r="L263" s="745" t="s">
        <v>58</v>
      </c>
      <c r="M263" s="706" t="s">
        <v>1005</v>
      </c>
      <c r="N263" s="706">
        <v>19</v>
      </c>
      <c r="O263" s="706"/>
      <c r="P263" s="706"/>
      <c r="Q263" s="706"/>
      <c r="R263" s="706"/>
      <c r="S263" s="706"/>
      <c r="T263" s="706"/>
      <c r="U263" s="738">
        <v>0.62806842093767556</v>
      </c>
      <c r="V263" s="738">
        <v>1227.8974155200376</v>
      </c>
      <c r="W263" s="793">
        <v>0.62806842093767556</v>
      </c>
      <c r="X263" s="708">
        <v>1227.8974155200376</v>
      </c>
      <c r="Y263" s="719">
        <v>23330.050894880715</v>
      </c>
      <c r="Z263" s="719">
        <v>11048.341077309895</v>
      </c>
      <c r="AA263" s="719">
        <v>581.49163564788921</v>
      </c>
      <c r="AB263" s="738">
        <v>0.29743244734753344</v>
      </c>
      <c r="AC263" s="792">
        <v>1</v>
      </c>
      <c r="AD263" s="792">
        <v>1</v>
      </c>
      <c r="AE263" s="717">
        <v>0.56884057971014501</v>
      </c>
      <c r="AF263" s="714">
        <v>4.2407531067898789E-2</v>
      </c>
      <c r="AG263" s="706"/>
      <c r="AH263" s="792">
        <v>0.47356695135775378</v>
      </c>
      <c r="AI263" s="748">
        <v>0.56884057971014501</v>
      </c>
      <c r="AJ263" s="748">
        <v>4.2407531067898789E-2</v>
      </c>
      <c r="AK263" s="748"/>
      <c r="AL263" s="714">
        <v>0.47356695135775378</v>
      </c>
      <c r="AM263" s="706"/>
      <c r="AN263" s="706"/>
      <c r="AO263" s="706"/>
      <c r="AP263" s="706"/>
      <c r="AQ263" s="706"/>
      <c r="AR263" s="706" t="s">
        <v>957</v>
      </c>
      <c r="AS263" s="706"/>
      <c r="AT263" s="706"/>
      <c r="AU263" s="706"/>
      <c r="AV263" s="706">
        <v>0.29743244734753344</v>
      </c>
      <c r="AW263" s="706">
        <v>0.29743244734753344</v>
      </c>
      <c r="AX263" s="706">
        <v>0.29743244734753344</v>
      </c>
      <c r="AY263" s="706">
        <v>0.29743244734753344</v>
      </c>
      <c r="AZ263" s="706">
        <v>0.29743244734753344</v>
      </c>
      <c r="BA263" s="706">
        <v>0.29743244734753344</v>
      </c>
      <c r="BB263" s="706">
        <v>0.29743244734753344</v>
      </c>
      <c r="BC263" s="706">
        <v>0.29743244734753344</v>
      </c>
      <c r="BD263" s="706">
        <v>0.29743244734753344</v>
      </c>
      <c r="BE263" s="706">
        <v>0.29743244734753344</v>
      </c>
      <c r="BF263" s="706">
        <v>0.29743244734753344</v>
      </c>
      <c r="BG263" s="706">
        <v>0.29743244734753344</v>
      </c>
      <c r="BH263" s="706">
        <v>0.29743244734753344</v>
      </c>
      <c r="BI263" s="706">
        <v>0.29743244734753344</v>
      </c>
      <c r="BJ263" s="706">
        <v>0.29743244734753344</v>
      </c>
      <c r="BK263" s="706">
        <v>0.29743244734753344</v>
      </c>
      <c r="BL263" s="706">
        <v>0.29743244734753344</v>
      </c>
      <c r="BM263" s="706">
        <v>0.29743244734753344</v>
      </c>
      <c r="BN263" s="706">
        <v>0.29743244734753344</v>
      </c>
      <c r="BO263" s="706"/>
      <c r="BP263" s="706"/>
      <c r="BQ263" s="706"/>
      <c r="BR263" s="706"/>
      <c r="BS263" s="706"/>
      <c r="BT263" s="706"/>
      <c r="BU263" s="706"/>
      <c r="BV263" s="791">
        <v>581.49163564788921</v>
      </c>
      <c r="BW263" s="791">
        <v>581.49163564788921</v>
      </c>
      <c r="BX263" s="791">
        <v>581.49163564788921</v>
      </c>
      <c r="BY263" s="791">
        <v>581.49163564788921</v>
      </c>
      <c r="BZ263" s="791">
        <v>581.49163564788921</v>
      </c>
      <c r="CA263" s="791">
        <v>581.49163564788921</v>
      </c>
      <c r="CB263" s="791">
        <v>581.49163564788921</v>
      </c>
      <c r="CC263" s="791">
        <v>581.49163564788921</v>
      </c>
      <c r="CD263" s="791">
        <v>581.49163564788921</v>
      </c>
      <c r="CE263" s="791">
        <v>581.49163564788921</v>
      </c>
      <c r="CF263" s="791">
        <v>581.49163564788921</v>
      </c>
      <c r="CG263" s="791">
        <v>581.49163564788921</v>
      </c>
      <c r="CH263" s="791">
        <v>581.49163564788921</v>
      </c>
      <c r="CI263" s="791">
        <v>581.49163564788921</v>
      </c>
      <c r="CJ263" s="791">
        <v>581.49163564788921</v>
      </c>
      <c r="CK263" s="791">
        <v>581.49163564788921</v>
      </c>
      <c r="CL263" s="791">
        <v>581.49163564788921</v>
      </c>
      <c r="CM263" s="791">
        <v>581.49163564788921</v>
      </c>
      <c r="CN263" s="791">
        <v>581.49163564788921</v>
      </c>
      <c r="CO263" s="706"/>
      <c r="CP263" s="706"/>
      <c r="CQ263" s="706"/>
      <c r="CR263" s="706"/>
    </row>
    <row r="264" spans="1:96">
      <c r="A264" s="694" t="s">
        <v>3</v>
      </c>
      <c r="B264" s="794">
        <v>41929</v>
      </c>
      <c r="C264" s="743">
        <v>2014</v>
      </c>
      <c r="D264" s="746" t="s">
        <v>15</v>
      </c>
      <c r="E264" s="746" t="s">
        <v>25</v>
      </c>
      <c r="F264" s="746" t="s">
        <v>17</v>
      </c>
      <c r="G264" s="746" t="s">
        <v>58</v>
      </c>
      <c r="H264" s="694" t="s">
        <v>959</v>
      </c>
      <c r="I264" s="746" t="s">
        <v>5</v>
      </c>
      <c r="J264" s="746" t="s">
        <v>376</v>
      </c>
      <c r="K264" s="706">
        <v>1</v>
      </c>
      <c r="L264" s="745" t="s">
        <v>58</v>
      </c>
      <c r="M264" s="706" t="s">
        <v>1004</v>
      </c>
      <c r="N264" s="706">
        <v>19</v>
      </c>
      <c r="O264" s="706"/>
      <c r="P264" s="706"/>
      <c r="Q264" s="706"/>
      <c r="R264" s="706"/>
      <c r="S264" s="706"/>
      <c r="T264" s="706"/>
      <c r="U264" s="738">
        <v>0.62806842093767556</v>
      </c>
      <c r="V264" s="738">
        <v>1227.8974155200376</v>
      </c>
      <c r="W264" s="793">
        <v>0.62806842093767556</v>
      </c>
      <c r="X264" s="708">
        <v>1227.8974155200376</v>
      </c>
      <c r="Y264" s="719">
        <v>23330.050894880715</v>
      </c>
      <c r="Z264" s="719">
        <v>11048.341077309895</v>
      </c>
      <c r="AA264" s="719">
        <v>581.49163564788921</v>
      </c>
      <c r="AB264" s="738">
        <v>0.29743244734753344</v>
      </c>
      <c r="AC264" s="792">
        <v>1</v>
      </c>
      <c r="AD264" s="792">
        <v>1</v>
      </c>
      <c r="AE264" s="717">
        <v>0.56884057971014501</v>
      </c>
      <c r="AF264" s="714">
        <v>4.2407531067898789E-2</v>
      </c>
      <c r="AG264" s="706"/>
      <c r="AH264" s="792">
        <v>0.47356695135775378</v>
      </c>
      <c r="AI264" s="748">
        <v>0.56884057971014501</v>
      </c>
      <c r="AJ264" s="748">
        <v>4.2407531067898789E-2</v>
      </c>
      <c r="AK264" s="748"/>
      <c r="AL264" s="714">
        <v>0.47356695135775378</v>
      </c>
      <c r="AM264" s="706"/>
      <c r="AN264" s="706"/>
      <c r="AO264" s="706"/>
      <c r="AP264" s="706"/>
      <c r="AQ264" s="706"/>
      <c r="AR264" s="706" t="s">
        <v>957</v>
      </c>
      <c r="AS264" s="706"/>
      <c r="AT264" s="706"/>
      <c r="AU264" s="706"/>
      <c r="AV264" s="706">
        <v>0.29743244734753344</v>
      </c>
      <c r="AW264" s="706">
        <v>0.29743244734753344</v>
      </c>
      <c r="AX264" s="706">
        <v>0.29743244734753344</v>
      </c>
      <c r="AY264" s="706">
        <v>0.29743244734753344</v>
      </c>
      <c r="AZ264" s="706">
        <v>0.29743244734753344</v>
      </c>
      <c r="BA264" s="706">
        <v>0.29743244734753344</v>
      </c>
      <c r="BB264" s="706">
        <v>0.29743244734753344</v>
      </c>
      <c r="BC264" s="706">
        <v>0.29743244734753344</v>
      </c>
      <c r="BD264" s="706">
        <v>0.29743244734753344</v>
      </c>
      <c r="BE264" s="706">
        <v>0.29743244734753344</v>
      </c>
      <c r="BF264" s="706">
        <v>0.29743244734753344</v>
      </c>
      <c r="BG264" s="706">
        <v>0.29743244734753344</v>
      </c>
      <c r="BH264" s="706">
        <v>0.29743244734753344</v>
      </c>
      <c r="BI264" s="706">
        <v>0.29743244734753344</v>
      </c>
      <c r="BJ264" s="706">
        <v>0.29743244734753344</v>
      </c>
      <c r="BK264" s="706">
        <v>0.29743244734753344</v>
      </c>
      <c r="BL264" s="706">
        <v>0.29743244734753344</v>
      </c>
      <c r="BM264" s="706">
        <v>0.29743244734753344</v>
      </c>
      <c r="BN264" s="706">
        <v>0.29743244734753344</v>
      </c>
      <c r="BO264" s="706"/>
      <c r="BP264" s="706"/>
      <c r="BQ264" s="706"/>
      <c r="BR264" s="706"/>
      <c r="BS264" s="706"/>
      <c r="BT264" s="706"/>
      <c r="BU264" s="706"/>
      <c r="BV264" s="791">
        <v>581.49163564788921</v>
      </c>
      <c r="BW264" s="791">
        <v>581.49163564788921</v>
      </c>
      <c r="BX264" s="791">
        <v>581.49163564788921</v>
      </c>
      <c r="BY264" s="791">
        <v>581.49163564788921</v>
      </c>
      <c r="BZ264" s="791">
        <v>581.49163564788921</v>
      </c>
      <c r="CA264" s="791">
        <v>581.49163564788921</v>
      </c>
      <c r="CB264" s="791">
        <v>581.49163564788921</v>
      </c>
      <c r="CC264" s="791">
        <v>581.49163564788921</v>
      </c>
      <c r="CD264" s="791">
        <v>581.49163564788921</v>
      </c>
      <c r="CE264" s="791">
        <v>581.49163564788921</v>
      </c>
      <c r="CF264" s="791">
        <v>581.49163564788921</v>
      </c>
      <c r="CG264" s="791">
        <v>581.49163564788921</v>
      </c>
      <c r="CH264" s="791">
        <v>581.49163564788921</v>
      </c>
      <c r="CI264" s="791">
        <v>581.49163564788921</v>
      </c>
      <c r="CJ264" s="791">
        <v>581.49163564788921</v>
      </c>
      <c r="CK264" s="791">
        <v>581.49163564788921</v>
      </c>
      <c r="CL264" s="791">
        <v>581.49163564788921</v>
      </c>
      <c r="CM264" s="791">
        <v>581.49163564788921</v>
      </c>
      <c r="CN264" s="791">
        <v>581.49163564788921</v>
      </c>
      <c r="CO264" s="706"/>
      <c r="CP264" s="706"/>
      <c r="CQ264" s="706"/>
      <c r="CR264" s="706"/>
    </row>
    <row r="265" spans="1:96">
      <c r="A265" s="694" t="s">
        <v>3</v>
      </c>
      <c r="B265" s="794">
        <v>41932</v>
      </c>
      <c r="C265" s="743">
        <v>2014</v>
      </c>
      <c r="D265" s="746" t="s">
        <v>15</v>
      </c>
      <c r="E265" s="746" t="s">
        <v>25</v>
      </c>
      <c r="F265" s="746" t="s">
        <v>17</v>
      </c>
      <c r="G265" s="746" t="s">
        <v>58</v>
      </c>
      <c r="H265" s="694" t="s">
        <v>959</v>
      </c>
      <c r="I265" s="746" t="s">
        <v>5</v>
      </c>
      <c r="J265" s="746" t="s">
        <v>376</v>
      </c>
      <c r="K265" s="706">
        <v>1</v>
      </c>
      <c r="L265" s="745" t="s">
        <v>58</v>
      </c>
      <c r="M265" s="706" t="s">
        <v>1003</v>
      </c>
      <c r="N265" s="706">
        <v>19</v>
      </c>
      <c r="O265" s="706"/>
      <c r="P265" s="706"/>
      <c r="Q265" s="706"/>
      <c r="R265" s="706"/>
      <c r="S265" s="706"/>
      <c r="T265" s="706"/>
      <c r="U265" s="738">
        <v>0.62806842093767556</v>
      </c>
      <c r="V265" s="738">
        <v>1227.8974155200376</v>
      </c>
      <c r="W265" s="793">
        <v>0.62806842093767556</v>
      </c>
      <c r="X265" s="708">
        <v>1227.8974155200376</v>
      </c>
      <c r="Y265" s="719">
        <v>23330.050894880715</v>
      </c>
      <c r="Z265" s="719">
        <v>11048.341077309895</v>
      </c>
      <c r="AA265" s="719">
        <v>581.49163564788921</v>
      </c>
      <c r="AB265" s="738">
        <v>0.29743244734753344</v>
      </c>
      <c r="AC265" s="792">
        <v>1</v>
      </c>
      <c r="AD265" s="792">
        <v>1</v>
      </c>
      <c r="AE265" s="717">
        <v>0.56884057971014501</v>
      </c>
      <c r="AF265" s="714">
        <v>4.2407531067898789E-2</v>
      </c>
      <c r="AG265" s="706"/>
      <c r="AH265" s="792">
        <v>0.47356695135775378</v>
      </c>
      <c r="AI265" s="748">
        <v>0.56884057971014501</v>
      </c>
      <c r="AJ265" s="748">
        <v>4.2407531067898789E-2</v>
      </c>
      <c r="AK265" s="748"/>
      <c r="AL265" s="714">
        <v>0.47356695135775378</v>
      </c>
      <c r="AM265" s="706"/>
      <c r="AN265" s="706"/>
      <c r="AO265" s="706"/>
      <c r="AP265" s="706"/>
      <c r="AQ265" s="706"/>
      <c r="AR265" s="706" t="s">
        <v>957</v>
      </c>
      <c r="AS265" s="706"/>
      <c r="AT265" s="706"/>
      <c r="AU265" s="706"/>
      <c r="AV265" s="706">
        <v>0.29743244734753344</v>
      </c>
      <c r="AW265" s="706">
        <v>0.29743244734753344</v>
      </c>
      <c r="AX265" s="706">
        <v>0.29743244734753344</v>
      </c>
      <c r="AY265" s="706">
        <v>0.29743244734753344</v>
      </c>
      <c r="AZ265" s="706">
        <v>0.29743244734753344</v>
      </c>
      <c r="BA265" s="706">
        <v>0.29743244734753344</v>
      </c>
      <c r="BB265" s="706">
        <v>0.29743244734753344</v>
      </c>
      <c r="BC265" s="706">
        <v>0.29743244734753344</v>
      </c>
      <c r="BD265" s="706">
        <v>0.29743244734753344</v>
      </c>
      <c r="BE265" s="706">
        <v>0.29743244734753344</v>
      </c>
      <c r="BF265" s="706">
        <v>0.29743244734753344</v>
      </c>
      <c r="BG265" s="706">
        <v>0.29743244734753344</v>
      </c>
      <c r="BH265" s="706">
        <v>0.29743244734753344</v>
      </c>
      <c r="BI265" s="706">
        <v>0.29743244734753344</v>
      </c>
      <c r="BJ265" s="706">
        <v>0.29743244734753344</v>
      </c>
      <c r="BK265" s="706">
        <v>0.29743244734753344</v>
      </c>
      <c r="BL265" s="706">
        <v>0.29743244734753344</v>
      </c>
      <c r="BM265" s="706">
        <v>0.29743244734753344</v>
      </c>
      <c r="BN265" s="706">
        <v>0.29743244734753344</v>
      </c>
      <c r="BO265" s="706"/>
      <c r="BP265" s="706"/>
      <c r="BQ265" s="706"/>
      <c r="BR265" s="706"/>
      <c r="BS265" s="706"/>
      <c r="BT265" s="706"/>
      <c r="BU265" s="706"/>
      <c r="BV265" s="791">
        <v>581.49163564788921</v>
      </c>
      <c r="BW265" s="791">
        <v>581.49163564788921</v>
      </c>
      <c r="BX265" s="791">
        <v>581.49163564788921</v>
      </c>
      <c r="BY265" s="791">
        <v>581.49163564788921</v>
      </c>
      <c r="BZ265" s="791">
        <v>581.49163564788921</v>
      </c>
      <c r="CA265" s="791">
        <v>581.49163564788921</v>
      </c>
      <c r="CB265" s="791">
        <v>581.49163564788921</v>
      </c>
      <c r="CC265" s="791">
        <v>581.49163564788921</v>
      </c>
      <c r="CD265" s="791">
        <v>581.49163564788921</v>
      </c>
      <c r="CE265" s="791">
        <v>581.49163564788921</v>
      </c>
      <c r="CF265" s="791">
        <v>581.49163564788921</v>
      </c>
      <c r="CG265" s="791">
        <v>581.49163564788921</v>
      </c>
      <c r="CH265" s="791">
        <v>581.49163564788921</v>
      </c>
      <c r="CI265" s="791">
        <v>581.49163564788921</v>
      </c>
      <c r="CJ265" s="791">
        <v>581.49163564788921</v>
      </c>
      <c r="CK265" s="791">
        <v>581.49163564788921</v>
      </c>
      <c r="CL265" s="791">
        <v>581.49163564788921</v>
      </c>
      <c r="CM265" s="791">
        <v>581.49163564788921</v>
      </c>
      <c r="CN265" s="791">
        <v>581.49163564788921</v>
      </c>
      <c r="CO265" s="706"/>
      <c r="CP265" s="706"/>
      <c r="CQ265" s="706"/>
      <c r="CR265" s="706"/>
    </row>
    <row r="266" spans="1:96">
      <c r="A266" s="694" t="s">
        <v>3</v>
      </c>
      <c r="B266" s="794">
        <v>41919</v>
      </c>
      <c r="C266" s="743">
        <v>2014</v>
      </c>
      <c r="D266" s="746" t="s">
        <v>15</v>
      </c>
      <c r="E266" s="746" t="s">
        <v>25</v>
      </c>
      <c r="F266" s="746" t="s">
        <v>17</v>
      </c>
      <c r="G266" s="746" t="s">
        <v>58</v>
      </c>
      <c r="H266" s="694" t="s">
        <v>959</v>
      </c>
      <c r="I266" s="746" t="s">
        <v>5</v>
      </c>
      <c r="J266" s="746" t="s">
        <v>376</v>
      </c>
      <c r="K266" s="706">
        <v>1</v>
      </c>
      <c r="L266" s="745" t="s">
        <v>58</v>
      </c>
      <c r="M266" s="706" t="s">
        <v>906</v>
      </c>
      <c r="N266" s="706">
        <v>19</v>
      </c>
      <c r="O266" s="706"/>
      <c r="P266" s="706"/>
      <c r="Q266" s="706"/>
      <c r="R266" s="706"/>
      <c r="S266" s="706"/>
      <c r="T266" s="706"/>
      <c r="U266" s="738">
        <v>0.62806842093767556</v>
      </c>
      <c r="V266" s="738">
        <v>1227.8974155200376</v>
      </c>
      <c r="W266" s="793">
        <v>0.62806842093767556</v>
      </c>
      <c r="X266" s="708">
        <v>1227.8974155200376</v>
      </c>
      <c r="Y266" s="719">
        <v>23330.050894880715</v>
      </c>
      <c r="Z266" s="719">
        <v>11048.341077309895</v>
      </c>
      <c r="AA266" s="719">
        <v>581.49163564788921</v>
      </c>
      <c r="AB266" s="738">
        <v>0.29743244734753344</v>
      </c>
      <c r="AC266" s="792">
        <v>1</v>
      </c>
      <c r="AD266" s="792">
        <v>1</v>
      </c>
      <c r="AE266" s="717">
        <v>0.56884057971014501</v>
      </c>
      <c r="AF266" s="714">
        <v>4.2407531067898789E-2</v>
      </c>
      <c r="AG266" s="706"/>
      <c r="AH266" s="792">
        <v>0.47356695135775378</v>
      </c>
      <c r="AI266" s="748">
        <v>0.56884057971014501</v>
      </c>
      <c r="AJ266" s="748">
        <v>4.2407531067898789E-2</v>
      </c>
      <c r="AK266" s="748"/>
      <c r="AL266" s="714">
        <v>0.47356695135775378</v>
      </c>
      <c r="AM266" s="706"/>
      <c r="AN266" s="706"/>
      <c r="AO266" s="706"/>
      <c r="AP266" s="706"/>
      <c r="AQ266" s="706"/>
      <c r="AR266" s="706" t="s">
        <v>957</v>
      </c>
      <c r="AS266" s="706"/>
      <c r="AT266" s="706"/>
      <c r="AU266" s="706"/>
      <c r="AV266" s="706">
        <v>0.29743244734753344</v>
      </c>
      <c r="AW266" s="706">
        <v>0.29743244734753344</v>
      </c>
      <c r="AX266" s="706">
        <v>0.29743244734753344</v>
      </c>
      <c r="AY266" s="706">
        <v>0.29743244734753344</v>
      </c>
      <c r="AZ266" s="706">
        <v>0.29743244734753344</v>
      </c>
      <c r="BA266" s="706">
        <v>0.29743244734753344</v>
      </c>
      <c r="BB266" s="706">
        <v>0.29743244734753344</v>
      </c>
      <c r="BC266" s="706">
        <v>0.29743244734753344</v>
      </c>
      <c r="BD266" s="706">
        <v>0.29743244734753344</v>
      </c>
      <c r="BE266" s="706">
        <v>0.29743244734753344</v>
      </c>
      <c r="BF266" s="706">
        <v>0.29743244734753344</v>
      </c>
      <c r="BG266" s="706">
        <v>0.29743244734753344</v>
      </c>
      <c r="BH266" s="706">
        <v>0.29743244734753344</v>
      </c>
      <c r="BI266" s="706">
        <v>0.29743244734753344</v>
      </c>
      <c r="BJ266" s="706">
        <v>0.29743244734753344</v>
      </c>
      <c r="BK266" s="706">
        <v>0.29743244734753344</v>
      </c>
      <c r="BL266" s="706">
        <v>0.29743244734753344</v>
      </c>
      <c r="BM266" s="706">
        <v>0.29743244734753344</v>
      </c>
      <c r="BN266" s="706">
        <v>0.29743244734753344</v>
      </c>
      <c r="BO266" s="706"/>
      <c r="BP266" s="706"/>
      <c r="BQ266" s="706"/>
      <c r="BR266" s="706"/>
      <c r="BS266" s="706"/>
      <c r="BT266" s="706"/>
      <c r="BU266" s="706"/>
      <c r="BV266" s="791">
        <v>581.49163564788921</v>
      </c>
      <c r="BW266" s="791">
        <v>581.49163564788921</v>
      </c>
      <c r="BX266" s="791">
        <v>581.49163564788921</v>
      </c>
      <c r="BY266" s="791">
        <v>581.49163564788921</v>
      </c>
      <c r="BZ266" s="791">
        <v>581.49163564788921</v>
      </c>
      <c r="CA266" s="791">
        <v>581.49163564788921</v>
      </c>
      <c r="CB266" s="791">
        <v>581.49163564788921</v>
      </c>
      <c r="CC266" s="791">
        <v>581.49163564788921</v>
      </c>
      <c r="CD266" s="791">
        <v>581.49163564788921</v>
      </c>
      <c r="CE266" s="791">
        <v>581.49163564788921</v>
      </c>
      <c r="CF266" s="791">
        <v>581.49163564788921</v>
      </c>
      <c r="CG266" s="791">
        <v>581.49163564788921</v>
      </c>
      <c r="CH266" s="791">
        <v>581.49163564788921</v>
      </c>
      <c r="CI266" s="791">
        <v>581.49163564788921</v>
      </c>
      <c r="CJ266" s="791">
        <v>581.49163564788921</v>
      </c>
      <c r="CK266" s="791">
        <v>581.49163564788921</v>
      </c>
      <c r="CL266" s="791">
        <v>581.49163564788921</v>
      </c>
      <c r="CM266" s="791">
        <v>581.49163564788921</v>
      </c>
      <c r="CN266" s="791">
        <v>581.49163564788921</v>
      </c>
      <c r="CO266" s="706"/>
      <c r="CP266" s="706"/>
      <c r="CQ266" s="706"/>
      <c r="CR266" s="706"/>
    </row>
    <row r="267" spans="1:96">
      <c r="A267" s="694" t="s">
        <v>3</v>
      </c>
      <c r="B267" s="794">
        <v>41934</v>
      </c>
      <c r="C267" s="743">
        <v>2014</v>
      </c>
      <c r="D267" s="746" t="s">
        <v>15</v>
      </c>
      <c r="E267" s="746" t="s">
        <v>25</v>
      </c>
      <c r="F267" s="746" t="s">
        <v>17</v>
      </c>
      <c r="G267" s="746" t="s">
        <v>58</v>
      </c>
      <c r="H267" s="694" t="s">
        <v>959</v>
      </c>
      <c r="I267" s="746" t="s">
        <v>5</v>
      </c>
      <c r="J267" s="746" t="s">
        <v>376</v>
      </c>
      <c r="K267" s="706">
        <v>1</v>
      </c>
      <c r="L267" s="745" t="s">
        <v>58</v>
      </c>
      <c r="M267" s="706" t="s">
        <v>1002</v>
      </c>
      <c r="N267" s="706">
        <v>19</v>
      </c>
      <c r="O267" s="706"/>
      <c r="P267" s="706"/>
      <c r="Q267" s="706"/>
      <c r="R267" s="706"/>
      <c r="S267" s="706"/>
      <c r="T267" s="706"/>
      <c r="U267" s="738">
        <v>0.62806842093767556</v>
      </c>
      <c r="V267" s="738">
        <v>1227.8974155200376</v>
      </c>
      <c r="W267" s="793">
        <v>0.62806842093767556</v>
      </c>
      <c r="X267" s="708">
        <v>1227.8974155200376</v>
      </c>
      <c r="Y267" s="719">
        <v>23330.050894880715</v>
      </c>
      <c r="Z267" s="719">
        <v>11048.341077309895</v>
      </c>
      <c r="AA267" s="719">
        <v>581.49163564788921</v>
      </c>
      <c r="AB267" s="738">
        <v>0.29743244734753344</v>
      </c>
      <c r="AC267" s="792">
        <v>1</v>
      </c>
      <c r="AD267" s="792">
        <v>1</v>
      </c>
      <c r="AE267" s="717">
        <v>0.56884057971014501</v>
      </c>
      <c r="AF267" s="714">
        <v>4.2407531067898789E-2</v>
      </c>
      <c r="AG267" s="706"/>
      <c r="AH267" s="792">
        <v>0.47356695135775378</v>
      </c>
      <c r="AI267" s="748">
        <v>0.56884057971014501</v>
      </c>
      <c r="AJ267" s="748">
        <v>4.2407531067898789E-2</v>
      </c>
      <c r="AK267" s="748"/>
      <c r="AL267" s="714">
        <v>0.47356695135775378</v>
      </c>
      <c r="AM267" s="706"/>
      <c r="AN267" s="706"/>
      <c r="AO267" s="706"/>
      <c r="AP267" s="706"/>
      <c r="AQ267" s="706"/>
      <c r="AR267" s="706" t="s">
        <v>957</v>
      </c>
      <c r="AS267" s="706"/>
      <c r="AT267" s="706"/>
      <c r="AU267" s="706"/>
      <c r="AV267" s="706">
        <v>0.29743244734753344</v>
      </c>
      <c r="AW267" s="706">
        <v>0.29743244734753344</v>
      </c>
      <c r="AX267" s="706">
        <v>0.29743244734753344</v>
      </c>
      <c r="AY267" s="706">
        <v>0.29743244734753344</v>
      </c>
      <c r="AZ267" s="706">
        <v>0.29743244734753344</v>
      </c>
      <c r="BA267" s="706">
        <v>0.29743244734753344</v>
      </c>
      <c r="BB267" s="706">
        <v>0.29743244734753344</v>
      </c>
      <c r="BC267" s="706">
        <v>0.29743244734753344</v>
      </c>
      <c r="BD267" s="706">
        <v>0.29743244734753344</v>
      </c>
      <c r="BE267" s="706">
        <v>0.29743244734753344</v>
      </c>
      <c r="BF267" s="706">
        <v>0.29743244734753344</v>
      </c>
      <c r="BG267" s="706">
        <v>0.29743244734753344</v>
      </c>
      <c r="BH267" s="706">
        <v>0.29743244734753344</v>
      </c>
      <c r="BI267" s="706">
        <v>0.29743244734753344</v>
      </c>
      <c r="BJ267" s="706">
        <v>0.29743244734753344</v>
      </c>
      <c r="BK267" s="706">
        <v>0.29743244734753344</v>
      </c>
      <c r="BL267" s="706">
        <v>0.29743244734753344</v>
      </c>
      <c r="BM267" s="706">
        <v>0.29743244734753344</v>
      </c>
      <c r="BN267" s="706">
        <v>0.29743244734753344</v>
      </c>
      <c r="BO267" s="706"/>
      <c r="BP267" s="706"/>
      <c r="BQ267" s="706"/>
      <c r="BR267" s="706"/>
      <c r="BS267" s="706"/>
      <c r="BT267" s="706"/>
      <c r="BU267" s="706"/>
      <c r="BV267" s="791">
        <v>581.49163564788921</v>
      </c>
      <c r="BW267" s="791">
        <v>581.49163564788921</v>
      </c>
      <c r="BX267" s="791">
        <v>581.49163564788921</v>
      </c>
      <c r="BY267" s="791">
        <v>581.49163564788921</v>
      </c>
      <c r="BZ267" s="791">
        <v>581.49163564788921</v>
      </c>
      <c r="CA267" s="791">
        <v>581.49163564788921</v>
      </c>
      <c r="CB267" s="791">
        <v>581.49163564788921</v>
      </c>
      <c r="CC267" s="791">
        <v>581.49163564788921</v>
      </c>
      <c r="CD267" s="791">
        <v>581.49163564788921</v>
      </c>
      <c r="CE267" s="791">
        <v>581.49163564788921</v>
      </c>
      <c r="CF267" s="791">
        <v>581.49163564788921</v>
      </c>
      <c r="CG267" s="791">
        <v>581.49163564788921</v>
      </c>
      <c r="CH267" s="791">
        <v>581.49163564788921</v>
      </c>
      <c r="CI267" s="791">
        <v>581.49163564788921</v>
      </c>
      <c r="CJ267" s="791">
        <v>581.49163564788921</v>
      </c>
      <c r="CK267" s="791">
        <v>581.49163564788921</v>
      </c>
      <c r="CL267" s="791">
        <v>581.49163564788921</v>
      </c>
      <c r="CM267" s="791">
        <v>581.49163564788921</v>
      </c>
      <c r="CN267" s="791">
        <v>581.49163564788921</v>
      </c>
      <c r="CO267" s="706"/>
      <c r="CP267" s="706"/>
      <c r="CQ267" s="706"/>
      <c r="CR267" s="706"/>
    </row>
    <row r="268" spans="1:96">
      <c r="A268" s="694" t="s">
        <v>3</v>
      </c>
      <c r="B268" s="794">
        <v>41879</v>
      </c>
      <c r="C268" s="743">
        <v>2014</v>
      </c>
      <c r="D268" s="746" t="s">
        <v>15</v>
      </c>
      <c r="E268" s="746" t="s">
        <v>25</v>
      </c>
      <c r="F268" s="746" t="s">
        <v>17</v>
      </c>
      <c r="G268" s="746" t="s">
        <v>58</v>
      </c>
      <c r="H268" s="694" t="s">
        <v>959</v>
      </c>
      <c r="I268" s="746" t="s">
        <v>5</v>
      </c>
      <c r="J268" s="746" t="s">
        <v>376</v>
      </c>
      <c r="K268" s="706">
        <v>1</v>
      </c>
      <c r="L268" s="745" t="s">
        <v>58</v>
      </c>
      <c r="M268" s="706" t="s">
        <v>888</v>
      </c>
      <c r="N268" s="706">
        <v>19</v>
      </c>
      <c r="O268" s="706"/>
      <c r="P268" s="706"/>
      <c r="Q268" s="706"/>
      <c r="R268" s="706"/>
      <c r="S268" s="706"/>
      <c r="T268" s="706"/>
      <c r="U268" s="738">
        <v>0.62806842093767556</v>
      </c>
      <c r="V268" s="738">
        <v>1227.8974155200376</v>
      </c>
      <c r="W268" s="793">
        <v>0.62806842093767556</v>
      </c>
      <c r="X268" s="708">
        <v>1227.8974155200376</v>
      </c>
      <c r="Y268" s="719">
        <v>23330.050894880715</v>
      </c>
      <c r="Z268" s="719">
        <v>11048.341077309895</v>
      </c>
      <c r="AA268" s="719">
        <v>581.49163564788921</v>
      </c>
      <c r="AB268" s="738">
        <v>0.29743244734753344</v>
      </c>
      <c r="AC268" s="792">
        <v>1</v>
      </c>
      <c r="AD268" s="792">
        <v>1</v>
      </c>
      <c r="AE268" s="717">
        <v>0.56884057971014501</v>
      </c>
      <c r="AF268" s="714">
        <v>4.2407531067898789E-2</v>
      </c>
      <c r="AG268" s="706"/>
      <c r="AH268" s="792">
        <v>0.47356695135775378</v>
      </c>
      <c r="AI268" s="748">
        <v>0.56884057971014501</v>
      </c>
      <c r="AJ268" s="748">
        <v>4.2407531067898789E-2</v>
      </c>
      <c r="AK268" s="748"/>
      <c r="AL268" s="714">
        <v>0.47356695135775378</v>
      </c>
      <c r="AM268" s="706"/>
      <c r="AN268" s="706"/>
      <c r="AO268" s="706"/>
      <c r="AP268" s="706"/>
      <c r="AQ268" s="706"/>
      <c r="AR268" s="706" t="s">
        <v>957</v>
      </c>
      <c r="AS268" s="706"/>
      <c r="AT268" s="706"/>
      <c r="AU268" s="706"/>
      <c r="AV268" s="706">
        <v>0.29743244734753344</v>
      </c>
      <c r="AW268" s="706">
        <v>0.29743244734753344</v>
      </c>
      <c r="AX268" s="706">
        <v>0.29743244734753344</v>
      </c>
      <c r="AY268" s="706">
        <v>0.29743244734753344</v>
      </c>
      <c r="AZ268" s="706">
        <v>0.29743244734753344</v>
      </c>
      <c r="BA268" s="706">
        <v>0.29743244734753344</v>
      </c>
      <c r="BB268" s="706">
        <v>0.29743244734753344</v>
      </c>
      <c r="BC268" s="706">
        <v>0.29743244734753344</v>
      </c>
      <c r="BD268" s="706">
        <v>0.29743244734753344</v>
      </c>
      <c r="BE268" s="706">
        <v>0.29743244734753344</v>
      </c>
      <c r="BF268" s="706">
        <v>0.29743244734753344</v>
      </c>
      <c r="BG268" s="706">
        <v>0.29743244734753344</v>
      </c>
      <c r="BH268" s="706">
        <v>0.29743244734753344</v>
      </c>
      <c r="BI268" s="706">
        <v>0.29743244734753344</v>
      </c>
      <c r="BJ268" s="706">
        <v>0.29743244734753344</v>
      </c>
      <c r="BK268" s="706">
        <v>0.29743244734753344</v>
      </c>
      <c r="BL268" s="706">
        <v>0.29743244734753344</v>
      </c>
      <c r="BM268" s="706">
        <v>0.29743244734753344</v>
      </c>
      <c r="BN268" s="706">
        <v>0.29743244734753344</v>
      </c>
      <c r="BO268" s="706"/>
      <c r="BP268" s="706"/>
      <c r="BQ268" s="706"/>
      <c r="BR268" s="706"/>
      <c r="BS268" s="706"/>
      <c r="BT268" s="706"/>
      <c r="BU268" s="706"/>
      <c r="BV268" s="791">
        <v>581.49163564788921</v>
      </c>
      <c r="BW268" s="791">
        <v>581.49163564788921</v>
      </c>
      <c r="BX268" s="791">
        <v>581.49163564788921</v>
      </c>
      <c r="BY268" s="791">
        <v>581.49163564788921</v>
      </c>
      <c r="BZ268" s="791">
        <v>581.49163564788921</v>
      </c>
      <c r="CA268" s="791">
        <v>581.49163564788921</v>
      </c>
      <c r="CB268" s="791">
        <v>581.49163564788921</v>
      </c>
      <c r="CC268" s="791">
        <v>581.49163564788921</v>
      </c>
      <c r="CD268" s="791">
        <v>581.49163564788921</v>
      </c>
      <c r="CE268" s="791">
        <v>581.49163564788921</v>
      </c>
      <c r="CF268" s="791">
        <v>581.49163564788921</v>
      </c>
      <c r="CG268" s="791">
        <v>581.49163564788921</v>
      </c>
      <c r="CH268" s="791">
        <v>581.49163564788921</v>
      </c>
      <c r="CI268" s="791">
        <v>581.49163564788921</v>
      </c>
      <c r="CJ268" s="791">
        <v>581.49163564788921</v>
      </c>
      <c r="CK268" s="791">
        <v>581.49163564788921</v>
      </c>
      <c r="CL268" s="791">
        <v>581.49163564788921</v>
      </c>
      <c r="CM268" s="791">
        <v>581.49163564788921</v>
      </c>
      <c r="CN268" s="791">
        <v>581.49163564788921</v>
      </c>
      <c r="CO268" s="706"/>
      <c r="CP268" s="706"/>
      <c r="CQ268" s="706"/>
      <c r="CR268" s="706"/>
    </row>
    <row r="269" spans="1:96">
      <c r="A269" s="694" t="s">
        <v>3</v>
      </c>
      <c r="B269" s="794">
        <v>41933</v>
      </c>
      <c r="C269" s="743">
        <v>2014</v>
      </c>
      <c r="D269" s="746" t="s">
        <v>15</v>
      </c>
      <c r="E269" s="746" t="s">
        <v>25</v>
      </c>
      <c r="F269" s="746" t="s">
        <v>17</v>
      </c>
      <c r="G269" s="746" t="s">
        <v>58</v>
      </c>
      <c r="H269" s="694" t="s">
        <v>959</v>
      </c>
      <c r="I269" s="746" t="s">
        <v>5</v>
      </c>
      <c r="J269" s="746" t="s">
        <v>376</v>
      </c>
      <c r="K269" s="706">
        <v>1</v>
      </c>
      <c r="L269" s="745" t="s">
        <v>58</v>
      </c>
      <c r="M269" s="706" t="s">
        <v>1001</v>
      </c>
      <c r="N269" s="706">
        <v>19</v>
      </c>
      <c r="O269" s="706"/>
      <c r="P269" s="706"/>
      <c r="Q269" s="706"/>
      <c r="R269" s="706"/>
      <c r="S269" s="706"/>
      <c r="T269" s="706"/>
      <c r="U269" s="738">
        <v>0.62806842093767556</v>
      </c>
      <c r="V269" s="738">
        <v>1227.8974155200376</v>
      </c>
      <c r="W269" s="793">
        <v>0.62806842093767556</v>
      </c>
      <c r="X269" s="708">
        <v>1227.8974155200376</v>
      </c>
      <c r="Y269" s="719">
        <v>23330.050894880715</v>
      </c>
      <c r="Z269" s="719">
        <v>11048.341077309895</v>
      </c>
      <c r="AA269" s="719">
        <v>581.49163564788921</v>
      </c>
      <c r="AB269" s="738">
        <v>0.29743244734753344</v>
      </c>
      <c r="AC269" s="792">
        <v>1</v>
      </c>
      <c r="AD269" s="792">
        <v>1</v>
      </c>
      <c r="AE269" s="717">
        <v>0.56884057971014501</v>
      </c>
      <c r="AF269" s="714">
        <v>4.2407531067898789E-2</v>
      </c>
      <c r="AG269" s="706"/>
      <c r="AH269" s="792">
        <v>0.47356695135775378</v>
      </c>
      <c r="AI269" s="748">
        <v>0.56884057971014501</v>
      </c>
      <c r="AJ269" s="748">
        <v>4.2407531067898789E-2</v>
      </c>
      <c r="AK269" s="748"/>
      <c r="AL269" s="714">
        <v>0.47356695135775378</v>
      </c>
      <c r="AM269" s="706"/>
      <c r="AN269" s="706"/>
      <c r="AO269" s="706"/>
      <c r="AP269" s="706"/>
      <c r="AQ269" s="706"/>
      <c r="AR269" s="706" t="s">
        <v>957</v>
      </c>
      <c r="AS269" s="706"/>
      <c r="AT269" s="706"/>
      <c r="AU269" s="706"/>
      <c r="AV269" s="706">
        <v>0.29743244734753344</v>
      </c>
      <c r="AW269" s="706">
        <v>0.29743244734753344</v>
      </c>
      <c r="AX269" s="706">
        <v>0.29743244734753344</v>
      </c>
      <c r="AY269" s="706">
        <v>0.29743244734753344</v>
      </c>
      <c r="AZ269" s="706">
        <v>0.29743244734753344</v>
      </c>
      <c r="BA269" s="706">
        <v>0.29743244734753344</v>
      </c>
      <c r="BB269" s="706">
        <v>0.29743244734753344</v>
      </c>
      <c r="BC269" s="706">
        <v>0.29743244734753344</v>
      </c>
      <c r="BD269" s="706">
        <v>0.29743244734753344</v>
      </c>
      <c r="BE269" s="706">
        <v>0.29743244734753344</v>
      </c>
      <c r="BF269" s="706">
        <v>0.29743244734753344</v>
      </c>
      <c r="BG269" s="706">
        <v>0.29743244734753344</v>
      </c>
      <c r="BH269" s="706">
        <v>0.29743244734753344</v>
      </c>
      <c r="BI269" s="706">
        <v>0.29743244734753344</v>
      </c>
      <c r="BJ269" s="706">
        <v>0.29743244734753344</v>
      </c>
      <c r="BK269" s="706">
        <v>0.29743244734753344</v>
      </c>
      <c r="BL269" s="706">
        <v>0.29743244734753344</v>
      </c>
      <c r="BM269" s="706">
        <v>0.29743244734753344</v>
      </c>
      <c r="BN269" s="706">
        <v>0.29743244734753344</v>
      </c>
      <c r="BO269" s="706"/>
      <c r="BP269" s="706"/>
      <c r="BQ269" s="706"/>
      <c r="BR269" s="706"/>
      <c r="BS269" s="706"/>
      <c r="BT269" s="706"/>
      <c r="BU269" s="706"/>
      <c r="BV269" s="791">
        <v>581.49163564788921</v>
      </c>
      <c r="BW269" s="791">
        <v>581.49163564788921</v>
      </c>
      <c r="BX269" s="791">
        <v>581.49163564788921</v>
      </c>
      <c r="BY269" s="791">
        <v>581.49163564788921</v>
      </c>
      <c r="BZ269" s="791">
        <v>581.49163564788921</v>
      </c>
      <c r="CA269" s="791">
        <v>581.49163564788921</v>
      </c>
      <c r="CB269" s="791">
        <v>581.49163564788921</v>
      </c>
      <c r="CC269" s="791">
        <v>581.49163564788921</v>
      </c>
      <c r="CD269" s="791">
        <v>581.49163564788921</v>
      </c>
      <c r="CE269" s="791">
        <v>581.49163564788921</v>
      </c>
      <c r="CF269" s="791">
        <v>581.49163564788921</v>
      </c>
      <c r="CG269" s="791">
        <v>581.49163564788921</v>
      </c>
      <c r="CH269" s="791">
        <v>581.49163564788921</v>
      </c>
      <c r="CI269" s="791">
        <v>581.49163564788921</v>
      </c>
      <c r="CJ269" s="791">
        <v>581.49163564788921</v>
      </c>
      <c r="CK269" s="791">
        <v>581.49163564788921</v>
      </c>
      <c r="CL269" s="791">
        <v>581.49163564788921</v>
      </c>
      <c r="CM269" s="791">
        <v>581.49163564788921</v>
      </c>
      <c r="CN269" s="791">
        <v>581.49163564788921</v>
      </c>
      <c r="CO269" s="706"/>
      <c r="CP269" s="706"/>
      <c r="CQ269" s="706"/>
      <c r="CR269" s="706"/>
    </row>
    <row r="270" spans="1:96">
      <c r="A270" s="694" t="s">
        <v>3</v>
      </c>
      <c r="B270" s="794">
        <v>41936</v>
      </c>
      <c r="C270" s="743">
        <v>2014</v>
      </c>
      <c r="D270" s="746" t="s">
        <v>15</v>
      </c>
      <c r="E270" s="746" t="s">
        <v>25</v>
      </c>
      <c r="F270" s="746" t="s">
        <v>17</v>
      </c>
      <c r="G270" s="746" t="s">
        <v>58</v>
      </c>
      <c r="H270" s="694" t="s">
        <v>959</v>
      </c>
      <c r="I270" s="746" t="s">
        <v>5</v>
      </c>
      <c r="J270" s="746" t="s">
        <v>376</v>
      </c>
      <c r="K270" s="706">
        <v>1</v>
      </c>
      <c r="L270" s="745" t="s">
        <v>58</v>
      </c>
      <c r="M270" s="706" t="s">
        <v>1000</v>
      </c>
      <c r="N270" s="706">
        <v>19</v>
      </c>
      <c r="O270" s="706"/>
      <c r="P270" s="706"/>
      <c r="Q270" s="706"/>
      <c r="R270" s="706"/>
      <c r="S270" s="706"/>
      <c r="T270" s="706"/>
      <c r="U270" s="738">
        <v>0.62806842093767556</v>
      </c>
      <c r="V270" s="738">
        <v>1227.8974155200376</v>
      </c>
      <c r="W270" s="793">
        <v>0.62806842093767556</v>
      </c>
      <c r="X270" s="708">
        <v>1227.8974155200376</v>
      </c>
      <c r="Y270" s="719">
        <v>23330.050894880715</v>
      </c>
      <c r="Z270" s="719">
        <v>11048.341077309895</v>
      </c>
      <c r="AA270" s="719">
        <v>581.49163564788921</v>
      </c>
      <c r="AB270" s="738">
        <v>0.29743244734753344</v>
      </c>
      <c r="AC270" s="792">
        <v>1</v>
      </c>
      <c r="AD270" s="792">
        <v>1</v>
      </c>
      <c r="AE270" s="717">
        <v>0.56884057971014501</v>
      </c>
      <c r="AF270" s="714">
        <v>4.2407531067898789E-2</v>
      </c>
      <c r="AG270" s="706"/>
      <c r="AH270" s="792">
        <v>0.47356695135775378</v>
      </c>
      <c r="AI270" s="748">
        <v>0.56884057971014501</v>
      </c>
      <c r="AJ270" s="748">
        <v>4.2407531067898789E-2</v>
      </c>
      <c r="AK270" s="748"/>
      <c r="AL270" s="714">
        <v>0.47356695135775378</v>
      </c>
      <c r="AM270" s="706"/>
      <c r="AN270" s="706"/>
      <c r="AO270" s="706"/>
      <c r="AP270" s="706"/>
      <c r="AQ270" s="706"/>
      <c r="AR270" s="706" t="s">
        <v>957</v>
      </c>
      <c r="AS270" s="706"/>
      <c r="AT270" s="706"/>
      <c r="AU270" s="706"/>
      <c r="AV270" s="706">
        <v>0.29743244734753344</v>
      </c>
      <c r="AW270" s="706">
        <v>0.29743244734753344</v>
      </c>
      <c r="AX270" s="706">
        <v>0.29743244734753344</v>
      </c>
      <c r="AY270" s="706">
        <v>0.29743244734753344</v>
      </c>
      <c r="AZ270" s="706">
        <v>0.29743244734753344</v>
      </c>
      <c r="BA270" s="706">
        <v>0.29743244734753344</v>
      </c>
      <c r="BB270" s="706">
        <v>0.29743244734753344</v>
      </c>
      <c r="BC270" s="706">
        <v>0.29743244734753344</v>
      </c>
      <c r="BD270" s="706">
        <v>0.29743244734753344</v>
      </c>
      <c r="BE270" s="706">
        <v>0.29743244734753344</v>
      </c>
      <c r="BF270" s="706">
        <v>0.29743244734753344</v>
      </c>
      <c r="BG270" s="706">
        <v>0.29743244734753344</v>
      </c>
      <c r="BH270" s="706">
        <v>0.29743244734753344</v>
      </c>
      <c r="BI270" s="706">
        <v>0.29743244734753344</v>
      </c>
      <c r="BJ270" s="706">
        <v>0.29743244734753344</v>
      </c>
      <c r="BK270" s="706">
        <v>0.29743244734753344</v>
      </c>
      <c r="BL270" s="706">
        <v>0.29743244734753344</v>
      </c>
      <c r="BM270" s="706">
        <v>0.29743244734753344</v>
      </c>
      <c r="BN270" s="706">
        <v>0.29743244734753344</v>
      </c>
      <c r="BO270" s="706"/>
      <c r="BP270" s="706"/>
      <c r="BQ270" s="706"/>
      <c r="BR270" s="706"/>
      <c r="BS270" s="706"/>
      <c r="BT270" s="706"/>
      <c r="BU270" s="706"/>
      <c r="BV270" s="791">
        <v>581.49163564788921</v>
      </c>
      <c r="BW270" s="791">
        <v>581.49163564788921</v>
      </c>
      <c r="BX270" s="791">
        <v>581.49163564788921</v>
      </c>
      <c r="BY270" s="791">
        <v>581.49163564788921</v>
      </c>
      <c r="BZ270" s="791">
        <v>581.49163564788921</v>
      </c>
      <c r="CA270" s="791">
        <v>581.49163564788921</v>
      </c>
      <c r="CB270" s="791">
        <v>581.49163564788921</v>
      </c>
      <c r="CC270" s="791">
        <v>581.49163564788921</v>
      </c>
      <c r="CD270" s="791">
        <v>581.49163564788921</v>
      </c>
      <c r="CE270" s="791">
        <v>581.49163564788921</v>
      </c>
      <c r="CF270" s="791">
        <v>581.49163564788921</v>
      </c>
      <c r="CG270" s="791">
        <v>581.49163564788921</v>
      </c>
      <c r="CH270" s="791">
        <v>581.49163564788921</v>
      </c>
      <c r="CI270" s="791">
        <v>581.49163564788921</v>
      </c>
      <c r="CJ270" s="791">
        <v>581.49163564788921</v>
      </c>
      <c r="CK270" s="791">
        <v>581.49163564788921</v>
      </c>
      <c r="CL270" s="791">
        <v>581.49163564788921</v>
      </c>
      <c r="CM270" s="791">
        <v>581.49163564788921</v>
      </c>
      <c r="CN270" s="791">
        <v>581.49163564788921</v>
      </c>
      <c r="CO270" s="706"/>
      <c r="CP270" s="706"/>
      <c r="CQ270" s="706"/>
      <c r="CR270" s="706"/>
    </row>
    <row r="271" spans="1:96">
      <c r="A271" s="694" t="s">
        <v>3</v>
      </c>
      <c r="B271" s="794">
        <v>41927</v>
      </c>
      <c r="C271" s="743">
        <v>2014</v>
      </c>
      <c r="D271" s="746" t="s">
        <v>15</v>
      </c>
      <c r="E271" s="746" t="s">
        <v>25</v>
      </c>
      <c r="F271" s="746" t="s">
        <v>17</v>
      </c>
      <c r="G271" s="746" t="s">
        <v>58</v>
      </c>
      <c r="H271" s="694" t="s">
        <v>959</v>
      </c>
      <c r="I271" s="746" t="s">
        <v>5</v>
      </c>
      <c r="J271" s="746" t="s">
        <v>376</v>
      </c>
      <c r="K271" s="706">
        <v>1</v>
      </c>
      <c r="L271" s="745" t="s">
        <v>58</v>
      </c>
      <c r="M271" s="706" t="s">
        <v>999</v>
      </c>
      <c r="N271" s="706">
        <v>19</v>
      </c>
      <c r="O271" s="706"/>
      <c r="P271" s="706"/>
      <c r="Q271" s="706"/>
      <c r="R271" s="706"/>
      <c r="S271" s="706"/>
      <c r="T271" s="706"/>
      <c r="U271" s="738">
        <v>0.62806842093767556</v>
      </c>
      <c r="V271" s="738">
        <v>1227.8974155200376</v>
      </c>
      <c r="W271" s="793">
        <v>0.62806842093767556</v>
      </c>
      <c r="X271" s="708">
        <v>1227.8974155200376</v>
      </c>
      <c r="Y271" s="719">
        <v>23330.050894880715</v>
      </c>
      <c r="Z271" s="719">
        <v>11048.341077309895</v>
      </c>
      <c r="AA271" s="719">
        <v>581.49163564788921</v>
      </c>
      <c r="AB271" s="738">
        <v>0.29743244734753344</v>
      </c>
      <c r="AC271" s="792">
        <v>1</v>
      </c>
      <c r="AD271" s="792">
        <v>1</v>
      </c>
      <c r="AE271" s="717">
        <v>0.56884057971014501</v>
      </c>
      <c r="AF271" s="714">
        <v>4.2407531067898789E-2</v>
      </c>
      <c r="AG271" s="706"/>
      <c r="AH271" s="792">
        <v>0.47356695135775378</v>
      </c>
      <c r="AI271" s="748">
        <v>0.56884057971014501</v>
      </c>
      <c r="AJ271" s="748">
        <v>4.2407531067898789E-2</v>
      </c>
      <c r="AK271" s="748"/>
      <c r="AL271" s="714">
        <v>0.47356695135775378</v>
      </c>
      <c r="AM271" s="706"/>
      <c r="AN271" s="706"/>
      <c r="AO271" s="706"/>
      <c r="AP271" s="706"/>
      <c r="AQ271" s="706"/>
      <c r="AR271" s="706" t="s">
        <v>957</v>
      </c>
      <c r="AS271" s="706"/>
      <c r="AT271" s="706"/>
      <c r="AU271" s="706"/>
      <c r="AV271" s="706">
        <v>0.29743244734753344</v>
      </c>
      <c r="AW271" s="706">
        <v>0.29743244734753344</v>
      </c>
      <c r="AX271" s="706">
        <v>0.29743244734753344</v>
      </c>
      <c r="AY271" s="706">
        <v>0.29743244734753344</v>
      </c>
      <c r="AZ271" s="706">
        <v>0.29743244734753344</v>
      </c>
      <c r="BA271" s="706">
        <v>0.29743244734753344</v>
      </c>
      <c r="BB271" s="706">
        <v>0.29743244734753344</v>
      </c>
      <c r="BC271" s="706">
        <v>0.29743244734753344</v>
      </c>
      <c r="BD271" s="706">
        <v>0.29743244734753344</v>
      </c>
      <c r="BE271" s="706">
        <v>0.29743244734753344</v>
      </c>
      <c r="BF271" s="706">
        <v>0.29743244734753344</v>
      </c>
      <c r="BG271" s="706">
        <v>0.29743244734753344</v>
      </c>
      <c r="BH271" s="706">
        <v>0.29743244734753344</v>
      </c>
      <c r="BI271" s="706">
        <v>0.29743244734753344</v>
      </c>
      <c r="BJ271" s="706">
        <v>0.29743244734753344</v>
      </c>
      <c r="BK271" s="706">
        <v>0.29743244734753344</v>
      </c>
      <c r="BL271" s="706">
        <v>0.29743244734753344</v>
      </c>
      <c r="BM271" s="706">
        <v>0.29743244734753344</v>
      </c>
      <c r="BN271" s="706">
        <v>0.29743244734753344</v>
      </c>
      <c r="BO271" s="706"/>
      <c r="BP271" s="706"/>
      <c r="BQ271" s="706"/>
      <c r="BR271" s="706"/>
      <c r="BS271" s="706"/>
      <c r="BT271" s="706"/>
      <c r="BU271" s="706"/>
      <c r="BV271" s="791">
        <v>581.49163564788921</v>
      </c>
      <c r="BW271" s="791">
        <v>581.49163564788921</v>
      </c>
      <c r="BX271" s="791">
        <v>581.49163564788921</v>
      </c>
      <c r="BY271" s="791">
        <v>581.49163564788921</v>
      </c>
      <c r="BZ271" s="791">
        <v>581.49163564788921</v>
      </c>
      <c r="CA271" s="791">
        <v>581.49163564788921</v>
      </c>
      <c r="CB271" s="791">
        <v>581.49163564788921</v>
      </c>
      <c r="CC271" s="791">
        <v>581.49163564788921</v>
      </c>
      <c r="CD271" s="791">
        <v>581.49163564788921</v>
      </c>
      <c r="CE271" s="791">
        <v>581.49163564788921</v>
      </c>
      <c r="CF271" s="791">
        <v>581.49163564788921</v>
      </c>
      <c r="CG271" s="791">
        <v>581.49163564788921</v>
      </c>
      <c r="CH271" s="791">
        <v>581.49163564788921</v>
      </c>
      <c r="CI271" s="791">
        <v>581.49163564788921</v>
      </c>
      <c r="CJ271" s="791">
        <v>581.49163564788921</v>
      </c>
      <c r="CK271" s="791">
        <v>581.49163564788921</v>
      </c>
      <c r="CL271" s="791">
        <v>581.49163564788921</v>
      </c>
      <c r="CM271" s="791">
        <v>581.49163564788921</v>
      </c>
      <c r="CN271" s="791">
        <v>581.49163564788921</v>
      </c>
      <c r="CO271" s="706"/>
      <c r="CP271" s="706"/>
      <c r="CQ271" s="706"/>
      <c r="CR271" s="706"/>
    </row>
    <row r="272" spans="1:96">
      <c r="A272" s="694" t="s">
        <v>3</v>
      </c>
      <c r="B272" s="794">
        <v>41709</v>
      </c>
      <c r="C272" s="743">
        <v>2014</v>
      </c>
      <c r="D272" s="746" t="s">
        <v>15</v>
      </c>
      <c r="E272" s="746" t="s">
        <v>25</v>
      </c>
      <c r="F272" s="746" t="s">
        <v>17</v>
      </c>
      <c r="G272" s="746" t="s">
        <v>58</v>
      </c>
      <c r="H272" s="694" t="s">
        <v>959</v>
      </c>
      <c r="I272" s="746" t="s">
        <v>5</v>
      </c>
      <c r="J272" s="746" t="s">
        <v>376</v>
      </c>
      <c r="K272" s="706">
        <v>1</v>
      </c>
      <c r="L272" s="745" t="s">
        <v>58</v>
      </c>
      <c r="M272" s="706" t="s">
        <v>887</v>
      </c>
      <c r="N272" s="706">
        <v>19</v>
      </c>
      <c r="O272" s="706"/>
      <c r="P272" s="706"/>
      <c r="Q272" s="706"/>
      <c r="R272" s="706"/>
      <c r="S272" s="706"/>
      <c r="T272" s="706"/>
      <c r="U272" s="738">
        <v>0.62806842093767556</v>
      </c>
      <c r="V272" s="738">
        <v>1227.8974155200376</v>
      </c>
      <c r="W272" s="793">
        <v>0.62806842093767556</v>
      </c>
      <c r="X272" s="708">
        <v>1227.8974155200376</v>
      </c>
      <c r="Y272" s="719">
        <v>23330.050894880715</v>
      </c>
      <c r="Z272" s="719">
        <v>11048.341077309895</v>
      </c>
      <c r="AA272" s="719">
        <v>581.49163564788921</v>
      </c>
      <c r="AB272" s="738">
        <v>0.29743244734753344</v>
      </c>
      <c r="AC272" s="792">
        <v>1</v>
      </c>
      <c r="AD272" s="792">
        <v>1</v>
      </c>
      <c r="AE272" s="717">
        <v>0.56884057971014501</v>
      </c>
      <c r="AF272" s="714">
        <v>4.2407531067898789E-2</v>
      </c>
      <c r="AG272" s="706"/>
      <c r="AH272" s="792">
        <v>0.47356695135775378</v>
      </c>
      <c r="AI272" s="748">
        <v>0.56884057971014501</v>
      </c>
      <c r="AJ272" s="748">
        <v>4.2407531067898789E-2</v>
      </c>
      <c r="AK272" s="748"/>
      <c r="AL272" s="714">
        <v>0.47356695135775378</v>
      </c>
      <c r="AM272" s="706"/>
      <c r="AN272" s="706"/>
      <c r="AO272" s="706"/>
      <c r="AP272" s="706"/>
      <c r="AQ272" s="706"/>
      <c r="AR272" s="706" t="s">
        <v>957</v>
      </c>
      <c r="AS272" s="706"/>
      <c r="AT272" s="706"/>
      <c r="AU272" s="706"/>
      <c r="AV272" s="706">
        <v>0.29743244734753344</v>
      </c>
      <c r="AW272" s="706">
        <v>0.29743244734753344</v>
      </c>
      <c r="AX272" s="706">
        <v>0.29743244734753344</v>
      </c>
      <c r="AY272" s="706">
        <v>0.29743244734753344</v>
      </c>
      <c r="AZ272" s="706">
        <v>0.29743244734753344</v>
      </c>
      <c r="BA272" s="706">
        <v>0.29743244734753344</v>
      </c>
      <c r="BB272" s="706">
        <v>0.29743244734753344</v>
      </c>
      <c r="BC272" s="706">
        <v>0.29743244734753344</v>
      </c>
      <c r="BD272" s="706">
        <v>0.29743244734753344</v>
      </c>
      <c r="BE272" s="706">
        <v>0.29743244734753344</v>
      </c>
      <c r="BF272" s="706">
        <v>0.29743244734753344</v>
      </c>
      <c r="BG272" s="706">
        <v>0.29743244734753344</v>
      </c>
      <c r="BH272" s="706">
        <v>0.29743244734753344</v>
      </c>
      <c r="BI272" s="706">
        <v>0.29743244734753344</v>
      </c>
      <c r="BJ272" s="706">
        <v>0.29743244734753344</v>
      </c>
      <c r="BK272" s="706">
        <v>0.29743244734753344</v>
      </c>
      <c r="BL272" s="706">
        <v>0.29743244734753344</v>
      </c>
      <c r="BM272" s="706">
        <v>0.29743244734753344</v>
      </c>
      <c r="BN272" s="706">
        <v>0.29743244734753344</v>
      </c>
      <c r="BO272" s="706"/>
      <c r="BP272" s="706"/>
      <c r="BQ272" s="706"/>
      <c r="BR272" s="706"/>
      <c r="BS272" s="706"/>
      <c r="BT272" s="706"/>
      <c r="BU272" s="706"/>
      <c r="BV272" s="791">
        <v>581.49163564788921</v>
      </c>
      <c r="BW272" s="791">
        <v>581.49163564788921</v>
      </c>
      <c r="BX272" s="791">
        <v>581.49163564788921</v>
      </c>
      <c r="BY272" s="791">
        <v>581.49163564788921</v>
      </c>
      <c r="BZ272" s="791">
        <v>581.49163564788921</v>
      </c>
      <c r="CA272" s="791">
        <v>581.49163564788921</v>
      </c>
      <c r="CB272" s="791">
        <v>581.49163564788921</v>
      </c>
      <c r="CC272" s="791">
        <v>581.49163564788921</v>
      </c>
      <c r="CD272" s="791">
        <v>581.49163564788921</v>
      </c>
      <c r="CE272" s="791">
        <v>581.49163564788921</v>
      </c>
      <c r="CF272" s="791">
        <v>581.49163564788921</v>
      </c>
      <c r="CG272" s="791">
        <v>581.49163564788921</v>
      </c>
      <c r="CH272" s="791">
        <v>581.49163564788921</v>
      </c>
      <c r="CI272" s="791">
        <v>581.49163564788921</v>
      </c>
      <c r="CJ272" s="791">
        <v>581.49163564788921</v>
      </c>
      <c r="CK272" s="791">
        <v>581.49163564788921</v>
      </c>
      <c r="CL272" s="791">
        <v>581.49163564788921</v>
      </c>
      <c r="CM272" s="791">
        <v>581.49163564788921</v>
      </c>
      <c r="CN272" s="791">
        <v>581.49163564788921</v>
      </c>
      <c r="CO272" s="706"/>
      <c r="CP272" s="706"/>
      <c r="CQ272" s="706"/>
      <c r="CR272" s="706"/>
    </row>
    <row r="273" spans="1:96">
      <c r="A273" s="694" t="s">
        <v>3</v>
      </c>
      <c r="B273" s="794">
        <v>41723</v>
      </c>
      <c r="C273" s="743">
        <v>2014</v>
      </c>
      <c r="D273" s="746" t="s">
        <v>15</v>
      </c>
      <c r="E273" s="746" t="s">
        <v>25</v>
      </c>
      <c r="F273" s="746" t="s">
        <v>17</v>
      </c>
      <c r="G273" s="746" t="s">
        <v>58</v>
      </c>
      <c r="H273" s="694" t="s">
        <v>959</v>
      </c>
      <c r="I273" s="746" t="s">
        <v>5</v>
      </c>
      <c r="J273" s="746" t="s">
        <v>376</v>
      </c>
      <c r="K273" s="706">
        <v>1</v>
      </c>
      <c r="L273" s="745" t="s">
        <v>58</v>
      </c>
      <c r="M273" s="706" t="s">
        <v>998</v>
      </c>
      <c r="N273" s="706">
        <v>19</v>
      </c>
      <c r="O273" s="706"/>
      <c r="P273" s="706"/>
      <c r="Q273" s="706"/>
      <c r="R273" s="706"/>
      <c r="S273" s="706"/>
      <c r="T273" s="706"/>
      <c r="U273" s="738">
        <v>0.62806842093767556</v>
      </c>
      <c r="V273" s="738">
        <v>1227.8974155200376</v>
      </c>
      <c r="W273" s="793">
        <v>0.62806842093767556</v>
      </c>
      <c r="X273" s="708">
        <v>1227.8974155200376</v>
      </c>
      <c r="Y273" s="719">
        <v>23330.050894880715</v>
      </c>
      <c r="Z273" s="719">
        <v>11048.341077309895</v>
      </c>
      <c r="AA273" s="719">
        <v>581.49163564788921</v>
      </c>
      <c r="AB273" s="738">
        <v>0.29743244734753344</v>
      </c>
      <c r="AC273" s="792">
        <v>1</v>
      </c>
      <c r="AD273" s="792">
        <v>1</v>
      </c>
      <c r="AE273" s="717">
        <v>0.56884057971014501</v>
      </c>
      <c r="AF273" s="714">
        <v>4.2407531067898789E-2</v>
      </c>
      <c r="AG273" s="706"/>
      <c r="AH273" s="792">
        <v>0.47356695135775378</v>
      </c>
      <c r="AI273" s="748">
        <v>0.56884057971014501</v>
      </c>
      <c r="AJ273" s="748">
        <v>4.2407531067898789E-2</v>
      </c>
      <c r="AK273" s="748"/>
      <c r="AL273" s="714">
        <v>0.47356695135775378</v>
      </c>
      <c r="AM273" s="706"/>
      <c r="AN273" s="706"/>
      <c r="AO273" s="706"/>
      <c r="AP273" s="706"/>
      <c r="AQ273" s="706"/>
      <c r="AR273" s="706" t="s">
        <v>957</v>
      </c>
      <c r="AS273" s="706"/>
      <c r="AT273" s="706"/>
      <c r="AU273" s="706"/>
      <c r="AV273" s="706">
        <v>0.29743244734753344</v>
      </c>
      <c r="AW273" s="706">
        <v>0.29743244734753344</v>
      </c>
      <c r="AX273" s="706">
        <v>0.29743244734753344</v>
      </c>
      <c r="AY273" s="706">
        <v>0.29743244734753344</v>
      </c>
      <c r="AZ273" s="706">
        <v>0.29743244734753344</v>
      </c>
      <c r="BA273" s="706">
        <v>0.29743244734753344</v>
      </c>
      <c r="BB273" s="706">
        <v>0.29743244734753344</v>
      </c>
      <c r="BC273" s="706">
        <v>0.29743244734753344</v>
      </c>
      <c r="BD273" s="706">
        <v>0.29743244734753344</v>
      </c>
      <c r="BE273" s="706">
        <v>0.29743244734753344</v>
      </c>
      <c r="BF273" s="706">
        <v>0.29743244734753344</v>
      </c>
      <c r="BG273" s="706">
        <v>0.29743244734753344</v>
      </c>
      <c r="BH273" s="706">
        <v>0.29743244734753344</v>
      </c>
      <c r="BI273" s="706">
        <v>0.29743244734753344</v>
      </c>
      <c r="BJ273" s="706">
        <v>0.29743244734753344</v>
      </c>
      <c r="BK273" s="706">
        <v>0.29743244734753344</v>
      </c>
      <c r="BL273" s="706">
        <v>0.29743244734753344</v>
      </c>
      <c r="BM273" s="706">
        <v>0.29743244734753344</v>
      </c>
      <c r="BN273" s="706">
        <v>0.29743244734753344</v>
      </c>
      <c r="BO273" s="706"/>
      <c r="BP273" s="706"/>
      <c r="BQ273" s="706"/>
      <c r="BR273" s="706"/>
      <c r="BS273" s="706"/>
      <c r="BT273" s="706"/>
      <c r="BU273" s="706"/>
      <c r="BV273" s="791">
        <v>581.49163564788921</v>
      </c>
      <c r="BW273" s="791">
        <v>581.49163564788921</v>
      </c>
      <c r="BX273" s="791">
        <v>581.49163564788921</v>
      </c>
      <c r="BY273" s="791">
        <v>581.49163564788921</v>
      </c>
      <c r="BZ273" s="791">
        <v>581.49163564788921</v>
      </c>
      <c r="CA273" s="791">
        <v>581.49163564788921</v>
      </c>
      <c r="CB273" s="791">
        <v>581.49163564788921</v>
      </c>
      <c r="CC273" s="791">
        <v>581.49163564788921</v>
      </c>
      <c r="CD273" s="791">
        <v>581.49163564788921</v>
      </c>
      <c r="CE273" s="791">
        <v>581.49163564788921</v>
      </c>
      <c r="CF273" s="791">
        <v>581.49163564788921</v>
      </c>
      <c r="CG273" s="791">
        <v>581.49163564788921</v>
      </c>
      <c r="CH273" s="791">
        <v>581.49163564788921</v>
      </c>
      <c r="CI273" s="791">
        <v>581.49163564788921</v>
      </c>
      <c r="CJ273" s="791">
        <v>581.49163564788921</v>
      </c>
      <c r="CK273" s="791">
        <v>581.49163564788921</v>
      </c>
      <c r="CL273" s="791">
        <v>581.49163564788921</v>
      </c>
      <c r="CM273" s="791">
        <v>581.49163564788921</v>
      </c>
      <c r="CN273" s="791">
        <v>581.49163564788921</v>
      </c>
      <c r="CO273" s="706"/>
      <c r="CP273" s="706"/>
      <c r="CQ273" s="706"/>
      <c r="CR273" s="706"/>
    </row>
    <row r="274" spans="1:96">
      <c r="A274" s="694" t="s">
        <v>3</v>
      </c>
      <c r="B274" s="794">
        <v>41946</v>
      </c>
      <c r="C274" s="743">
        <v>2014</v>
      </c>
      <c r="D274" s="746" t="s">
        <v>15</v>
      </c>
      <c r="E274" s="746" t="s">
        <v>25</v>
      </c>
      <c r="F274" s="746" t="s">
        <v>17</v>
      </c>
      <c r="G274" s="746" t="s">
        <v>58</v>
      </c>
      <c r="H274" s="694" t="s">
        <v>959</v>
      </c>
      <c r="I274" s="746" t="s">
        <v>5</v>
      </c>
      <c r="J274" s="746" t="s">
        <v>376</v>
      </c>
      <c r="K274" s="706">
        <v>1</v>
      </c>
      <c r="L274" s="745" t="s">
        <v>58</v>
      </c>
      <c r="M274" s="706" t="s">
        <v>997</v>
      </c>
      <c r="N274" s="706">
        <v>19</v>
      </c>
      <c r="O274" s="706"/>
      <c r="P274" s="706"/>
      <c r="Q274" s="706"/>
      <c r="R274" s="706"/>
      <c r="S274" s="706"/>
      <c r="T274" s="706"/>
      <c r="U274" s="738">
        <v>0.62806842093767556</v>
      </c>
      <c r="V274" s="738">
        <v>1227.8974155200376</v>
      </c>
      <c r="W274" s="793">
        <v>0.62806842093767556</v>
      </c>
      <c r="X274" s="708">
        <v>1227.8974155200376</v>
      </c>
      <c r="Y274" s="719">
        <v>23330.050894880715</v>
      </c>
      <c r="Z274" s="719">
        <v>11048.341077309895</v>
      </c>
      <c r="AA274" s="719">
        <v>581.49163564788921</v>
      </c>
      <c r="AB274" s="738">
        <v>0.29743244734753344</v>
      </c>
      <c r="AC274" s="792">
        <v>1</v>
      </c>
      <c r="AD274" s="792">
        <v>1</v>
      </c>
      <c r="AE274" s="717">
        <v>0.56884057971014501</v>
      </c>
      <c r="AF274" s="714">
        <v>4.2407531067898789E-2</v>
      </c>
      <c r="AG274" s="706"/>
      <c r="AH274" s="792">
        <v>0.47356695135775378</v>
      </c>
      <c r="AI274" s="748">
        <v>0.56884057971014501</v>
      </c>
      <c r="AJ274" s="748">
        <v>4.2407531067898789E-2</v>
      </c>
      <c r="AK274" s="748"/>
      <c r="AL274" s="714">
        <v>0.47356695135775378</v>
      </c>
      <c r="AM274" s="706"/>
      <c r="AN274" s="706"/>
      <c r="AO274" s="706"/>
      <c r="AP274" s="706"/>
      <c r="AQ274" s="706"/>
      <c r="AR274" s="706" t="s">
        <v>957</v>
      </c>
      <c r="AS274" s="706"/>
      <c r="AT274" s="706"/>
      <c r="AU274" s="706"/>
      <c r="AV274" s="706">
        <v>0.29743244734753344</v>
      </c>
      <c r="AW274" s="706">
        <v>0.29743244734753344</v>
      </c>
      <c r="AX274" s="706">
        <v>0.29743244734753344</v>
      </c>
      <c r="AY274" s="706">
        <v>0.29743244734753344</v>
      </c>
      <c r="AZ274" s="706">
        <v>0.29743244734753344</v>
      </c>
      <c r="BA274" s="706">
        <v>0.29743244734753344</v>
      </c>
      <c r="BB274" s="706">
        <v>0.29743244734753344</v>
      </c>
      <c r="BC274" s="706">
        <v>0.29743244734753344</v>
      </c>
      <c r="BD274" s="706">
        <v>0.29743244734753344</v>
      </c>
      <c r="BE274" s="706">
        <v>0.29743244734753344</v>
      </c>
      <c r="BF274" s="706">
        <v>0.29743244734753344</v>
      </c>
      <c r="BG274" s="706">
        <v>0.29743244734753344</v>
      </c>
      <c r="BH274" s="706">
        <v>0.29743244734753344</v>
      </c>
      <c r="BI274" s="706">
        <v>0.29743244734753344</v>
      </c>
      <c r="BJ274" s="706">
        <v>0.29743244734753344</v>
      </c>
      <c r="BK274" s="706">
        <v>0.29743244734753344</v>
      </c>
      <c r="BL274" s="706">
        <v>0.29743244734753344</v>
      </c>
      <c r="BM274" s="706">
        <v>0.29743244734753344</v>
      </c>
      <c r="BN274" s="706">
        <v>0.29743244734753344</v>
      </c>
      <c r="BO274" s="706"/>
      <c r="BP274" s="706"/>
      <c r="BQ274" s="706"/>
      <c r="BR274" s="706"/>
      <c r="BS274" s="706"/>
      <c r="BT274" s="706"/>
      <c r="BU274" s="706"/>
      <c r="BV274" s="791">
        <v>581.49163564788921</v>
      </c>
      <c r="BW274" s="791">
        <v>581.49163564788921</v>
      </c>
      <c r="BX274" s="791">
        <v>581.49163564788921</v>
      </c>
      <c r="BY274" s="791">
        <v>581.49163564788921</v>
      </c>
      <c r="BZ274" s="791">
        <v>581.49163564788921</v>
      </c>
      <c r="CA274" s="791">
        <v>581.49163564788921</v>
      </c>
      <c r="CB274" s="791">
        <v>581.49163564788921</v>
      </c>
      <c r="CC274" s="791">
        <v>581.49163564788921</v>
      </c>
      <c r="CD274" s="791">
        <v>581.49163564788921</v>
      </c>
      <c r="CE274" s="791">
        <v>581.49163564788921</v>
      </c>
      <c r="CF274" s="791">
        <v>581.49163564788921</v>
      </c>
      <c r="CG274" s="791">
        <v>581.49163564788921</v>
      </c>
      <c r="CH274" s="791">
        <v>581.49163564788921</v>
      </c>
      <c r="CI274" s="791">
        <v>581.49163564788921</v>
      </c>
      <c r="CJ274" s="791">
        <v>581.49163564788921</v>
      </c>
      <c r="CK274" s="791">
        <v>581.49163564788921</v>
      </c>
      <c r="CL274" s="791">
        <v>581.49163564788921</v>
      </c>
      <c r="CM274" s="791">
        <v>581.49163564788921</v>
      </c>
      <c r="CN274" s="791">
        <v>581.49163564788921</v>
      </c>
      <c r="CO274" s="706"/>
      <c r="CP274" s="706"/>
      <c r="CQ274" s="706"/>
      <c r="CR274" s="706"/>
    </row>
    <row r="275" spans="1:96">
      <c r="A275" s="694" t="s">
        <v>3</v>
      </c>
      <c r="B275" s="794">
        <v>41816</v>
      </c>
      <c r="C275" s="743">
        <v>2014</v>
      </c>
      <c r="D275" s="746" t="s">
        <v>15</v>
      </c>
      <c r="E275" s="746" t="s">
        <v>25</v>
      </c>
      <c r="F275" s="746" t="s">
        <v>17</v>
      </c>
      <c r="G275" s="746" t="s">
        <v>58</v>
      </c>
      <c r="H275" s="694" t="s">
        <v>959</v>
      </c>
      <c r="I275" s="746" t="s">
        <v>5</v>
      </c>
      <c r="J275" s="746" t="s">
        <v>376</v>
      </c>
      <c r="K275" s="706">
        <v>1</v>
      </c>
      <c r="L275" s="745" t="s">
        <v>58</v>
      </c>
      <c r="M275" s="706" t="s">
        <v>886</v>
      </c>
      <c r="N275" s="706">
        <v>19</v>
      </c>
      <c r="O275" s="706"/>
      <c r="P275" s="706"/>
      <c r="Q275" s="706"/>
      <c r="R275" s="706"/>
      <c r="S275" s="706"/>
      <c r="T275" s="706"/>
      <c r="U275" s="738">
        <v>0.62806842093767556</v>
      </c>
      <c r="V275" s="738">
        <v>1227.8974155200376</v>
      </c>
      <c r="W275" s="793">
        <v>0.62806842093767556</v>
      </c>
      <c r="X275" s="708">
        <v>1227.8974155200376</v>
      </c>
      <c r="Y275" s="719">
        <v>23330.050894880715</v>
      </c>
      <c r="Z275" s="719">
        <v>11048.341077309895</v>
      </c>
      <c r="AA275" s="719">
        <v>581.49163564788921</v>
      </c>
      <c r="AB275" s="738">
        <v>0.29743244734753344</v>
      </c>
      <c r="AC275" s="792">
        <v>1</v>
      </c>
      <c r="AD275" s="792">
        <v>1</v>
      </c>
      <c r="AE275" s="717">
        <v>0.56884057971014501</v>
      </c>
      <c r="AF275" s="714">
        <v>4.2407531067898789E-2</v>
      </c>
      <c r="AG275" s="706"/>
      <c r="AH275" s="792">
        <v>0.47356695135775378</v>
      </c>
      <c r="AI275" s="748">
        <v>0.56884057971014501</v>
      </c>
      <c r="AJ275" s="748">
        <v>4.2407531067898789E-2</v>
      </c>
      <c r="AK275" s="748"/>
      <c r="AL275" s="714">
        <v>0.47356695135775378</v>
      </c>
      <c r="AM275" s="706"/>
      <c r="AN275" s="706"/>
      <c r="AO275" s="706"/>
      <c r="AP275" s="706"/>
      <c r="AQ275" s="706"/>
      <c r="AR275" s="706" t="s">
        <v>957</v>
      </c>
      <c r="AS275" s="706"/>
      <c r="AT275" s="706"/>
      <c r="AU275" s="706"/>
      <c r="AV275" s="706">
        <v>0.29743244734753344</v>
      </c>
      <c r="AW275" s="706">
        <v>0.29743244734753344</v>
      </c>
      <c r="AX275" s="706">
        <v>0.29743244734753344</v>
      </c>
      <c r="AY275" s="706">
        <v>0.29743244734753344</v>
      </c>
      <c r="AZ275" s="706">
        <v>0.29743244734753344</v>
      </c>
      <c r="BA275" s="706">
        <v>0.29743244734753344</v>
      </c>
      <c r="BB275" s="706">
        <v>0.29743244734753344</v>
      </c>
      <c r="BC275" s="706">
        <v>0.29743244734753344</v>
      </c>
      <c r="BD275" s="706">
        <v>0.29743244734753344</v>
      </c>
      <c r="BE275" s="706">
        <v>0.29743244734753344</v>
      </c>
      <c r="BF275" s="706">
        <v>0.29743244734753344</v>
      </c>
      <c r="BG275" s="706">
        <v>0.29743244734753344</v>
      </c>
      <c r="BH275" s="706">
        <v>0.29743244734753344</v>
      </c>
      <c r="BI275" s="706">
        <v>0.29743244734753344</v>
      </c>
      <c r="BJ275" s="706">
        <v>0.29743244734753344</v>
      </c>
      <c r="BK275" s="706">
        <v>0.29743244734753344</v>
      </c>
      <c r="BL275" s="706">
        <v>0.29743244734753344</v>
      </c>
      <c r="BM275" s="706">
        <v>0.29743244734753344</v>
      </c>
      <c r="BN275" s="706">
        <v>0.29743244734753344</v>
      </c>
      <c r="BO275" s="706"/>
      <c r="BP275" s="706"/>
      <c r="BQ275" s="706"/>
      <c r="BR275" s="706"/>
      <c r="BS275" s="706"/>
      <c r="BT275" s="706"/>
      <c r="BU275" s="706"/>
      <c r="BV275" s="791">
        <v>581.49163564788921</v>
      </c>
      <c r="BW275" s="791">
        <v>581.49163564788921</v>
      </c>
      <c r="BX275" s="791">
        <v>581.49163564788921</v>
      </c>
      <c r="BY275" s="791">
        <v>581.49163564788921</v>
      </c>
      <c r="BZ275" s="791">
        <v>581.49163564788921</v>
      </c>
      <c r="CA275" s="791">
        <v>581.49163564788921</v>
      </c>
      <c r="CB275" s="791">
        <v>581.49163564788921</v>
      </c>
      <c r="CC275" s="791">
        <v>581.49163564788921</v>
      </c>
      <c r="CD275" s="791">
        <v>581.49163564788921</v>
      </c>
      <c r="CE275" s="791">
        <v>581.49163564788921</v>
      </c>
      <c r="CF275" s="791">
        <v>581.49163564788921</v>
      </c>
      <c r="CG275" s="791">
        <v>581.49163564788921</v>
      </c>
      <c r="CH275" s="791">
        <v>581.49163564788921</v>
      </c>
      <c r="CI275" s="791">
        <v>581.49163564788921</v>
      </c>
      <c r="CJ275" s="791">
        <v>581.49163564788921</v>
      </c>
      <c r="CK275" s="791">
        <v>581.49163564788921</v>
      </c>
      <c r="CL275" s="791">
        <v>581.49163564788921</v>
      </c>
      <c r="CM275" s="791">
        <v>581.49163564788921</v>
      </c>
      <c r="CN275" s="791">
        <v>581.49163564788921</v>
      </c>
      <c r="CO275" s="706"/>
      <c r="CP275" s="706"/>
      <c r="CQ275" s="706"/>
      <c r="CR275" s="706"/>
    </row>
    <row r="276" spans="1:96">
      <c r="A276" s="694" t="s">
        <v>3</v>
      </c>
      <c r="B276" s="794">
        <v>41942</v>
      </c>
      <c r="C276" s="743">
        <v>2014</v>
      </c>
      <c r="D276" s="746" t="s">
        <v>15</v>
      </c>
      <c r="E276" s="746" t="s">
        <v>25</v>
      </c>
      <c r="F276" s="746" t="s">
        <v>17</v>
      </c>
      <c r="G276" s="746" t="s">
        <v>58</v>
      </c>
      <c r="H276" s="694" t="s">
        <v>959</v>
      </c>
      <c r="I276" s="746" t="s">
        <v>5</v>
      </c>
      <c r="J276" s="746" t="s">
        <v>376</v>
      </c>
      <c r="K276" s="706">
        <v>1</v>
      </c>
      <c r="L276" s="745" t="s">
        <v>58</v>
      </c>
      <c r="M276" s="706" t="s">
        <v>996</v>
      </c>
      <c r="N276" s="706">
        <v>19</v>
      </c>
      <c r="O276" s="706"/>
      <c r="P276" s="706"/>
      <c r="Q276" s="706"/>
      <c r="R276" s="706"/>
      <c r="S276" s="706"/>
      <c r="T276" s="706"/>
      <c r="U276" s="738">
        <v>0.62806842093767556</v>
      </c>
      <c r="V276" s="738">
        <v>1227.8974155200376</v>
      </c>
      <c r="W276" s="793">
        <v>0.62806842093767556</v>
      </c>
      <c r="X276" s="708">
        <v>1227.8974155200376</v>
      </c>
      <c r="Y276" s="719">
        <v>23330.050894880715</v>
      </c>
      <c r="Z276" s="719">
        <v>11048.341077309895</v>
      </c>
      <c r="AA276" s="719">
        <v>581.49163564788921</v>
      </c>
      <c r="AB276" s="738">
        <v>0.29743244734753344</v>
      </c>
      <c r="AC276" s="792">
        <v>1</v>
      </c>
      <c r="AD276" s="792">
        <v>1</v>
      </c>
      <c r="AE276" s="717">
        <v>0.56884057971014501</v>
      </c>
      <c r="AF276" s="714">
        <v>4.2407531067898789E-2</v>
      </c>
      <c r="AG276" s="706"/>
      <c r="AH276" s="792">
        <v>0.47356695135775378</v>
      </c>
      <c r="AI276" s="748">
        <v>0.56884057971014501</v>
      </c>
      <c r="AJ276" s="748">
        <v>4.2407531067898789E-2</v>
      </c>
      <c r="AK276" s="748"/>
      <c r="AL276" s="714">
        <v>0.47356695135775378</v>
      </c>
      <c r="AM276" s="706"/>
      <c r="AN276" s="706"/>
      <c r="AO276" s="706"/>
      <c r="AP276" s="706"/>
      <c r="AQ276" s="706"/>
      <c r="AR276" s="706" t="s">
        <v>957</v>
      </c>
      <c r="AS276" s="706"/>
      <c r="AT276" s="706"/>
      <c r="AU276" s="706"/>
      <c r="AV276" s="706">
        <v>0.29743244734753344</v>
      </c>
      <c r="AW276" s="706">
        <v>0.29743244734753344</v>
      </c>
      <c r="AX276" s="706">
        <v>0.29743244734753344</v>
      </c>
      <c r="AY276" s="706">
        <v>0.29743244734753344</v>
      </c>
      <c r="AZ276" s="706">
        <v>0.29743244734753344</v>
      </c>
      <c r="BA276" s="706">
        <v>0.29743244734753344</v>
      </c>
      <c r="BB276" s="706">
        <v>0.29743244734753344</v>
      </c>
      <c r="BC276" s="706">
        <v>0.29743244734753344</v>
      </c>
      <c r="BD276" s="706">
        <v>0.29743244734753344</v>
      </c>
      <c r="BE276" s="706">
        <v>0.29743244734753344</v>
      </c>
      <c r="BF276" s="706">
        <v>0.29743244734753344</v>
      </c>
      <c r="BG276" s="706">
        <v>0.29743244734753344</v>
      </c>
      <c r="BH276" s="706">
        <v>0.29743244734753344</v>
      </c>
      <c r="BI276" s="706">
        <v>0.29743244734753344</v>
      </c>
      <c r="BJ276" s="706">
        <v>0.29743244734753344</v>
      </c>
      <c r="BK276" s="706">
        <v>0.29743244734753344</v>
      </c>
      <c r="BL276" s="706">
        <v>0.29743244734753344</v>
      </c>
      <c r="BM276" s="706">
        <v>0.29743244734753344</v>
      </c>
      <c r="BN276" s="706">
        <v>0.29743244734753344</v>
      </c>
      <c r="BO276" s="706"/>
      <c r="BP276" s="706"/>
      <c r="BQ276" s="706"/>
      <c r="BR276" s="706"/>
      <c r="BS276" s="706"/>
      <c r="BT276" s="706"/>
      <c r="BU276" s="706"/>
      <c r="BV276" s="791">
        <v>581.49163564788921</v>
      </c>
      <c r="BW276" s="791">
        <v>581.49163564788921</v>
      </c>
      <c r="BX276" s="791">
        <v>581.49163564788921</v>
      </c>
      <c r="BY276" s="791">
        <v>581.49163564788921</v>
      </c>
      <c r="BZ276" s="791">
        <v>581.49163564788921</v>
      </c>
      <c r="CA276" s="791">
        <v>581.49163564788921</v>
      </c>
      <c r="CB276" s="791">
        <v>581.49163564788921</v>
      </c>
      <c r="CC276" s="791">
        <v>581.49163564788921</v>
      </c>
      <c r="CD276" s="791">
        <v>581.49163564788921</v>
      </c>
      <c r="CE276" s="791">
        <v>581.49163564788921</v>
      </c>
      <c r="CF276" s="791">
        <v>581.49163564788921</v>
      </c>
      <c r="CG276" s="791">
        <v>581.49163564788921</v>
      </c>
      <c r="CH276" s="791">
        <v>581.49163564788921</v>
      </c>
      <c r="CI276" s="791">
        <v>581.49163564788921</v>
      </c>
      <c r="CJ276" s="791">
        <v>581.49163564788921</v>
      </c>
      <c r="CK276" s="791">
        <v>581.49163564788921</v>
      </c>
      <c r="CL276" s="791">
        <v>581.49163564788921</v>
      </c>
      <c r="CM276" s="791">
        <v>581.49163564788921</v>
      </c>
      <c r="CN276" s="791">
        <v>581.49163564788921</v>
      </c>
      <c r="CO276" s="706"/>
      <c r="CP276" s="706"/>
      <c r="CQ276" s="706"/>
      <c r="CR276" s="706"/>
    </row>
    <row r="277" spans="1:96">
      <c r="A277" s="694" t="s">
        <v>3</v>
      </c>
      <c r="B277" s="794">
        <v>41947</v>
      </c>
      <c r="C277" s="743">
        <v>2014</v>
      </c>
      <c r="D277" s="746" t="s">
        <v>15</v>
      </c>
      <c r="E277" s="746" t="s">
        <v>25</v>
      </c>
      <c r="F277" s="746" t="s">
        <v>17</v>
      </c>
      <c r="G277" s="746" t="s">
        <v>58</v>
      </c>
      <c r="H277" s="694" t="s">
        <v>959</v>
      </c>
      <c r="I277" s="746" t="s">
        <v>5</v>
      </c>
      <c r="J277" s="746" t="s">
        <v>376</v>
      </c>
      <c r="K277" s="706">
        <v>1</v>
      </c>
      <c r="L277" s="745" t="s">
        <v>58</v>
      </c>
      <c r="M277" s="706" t="s">
        <v>995</v>
      </c>
      <c r="N277" s="706">
        <v>19</v>
      </c>
      <c r="O277" s="706"/>
      <c r="P277" s="706"/>
      <c r="Q277" s="706"/>
      <c r="R277" s="706"/>
      <c r="S277" s="706"/>
      <c r="T277" s="706"/>
      <c r="U277" s="738">
        <v>0.62806842093767556</v>
      </c>
      <c r="V277" s="738">
        <v>1227.8974155200376</v>
      </c>
      <c r="W277" s="793">
        <v>0.62806842093767556</v>
      </c>
      <c r="X277" s="708">
        <v>1227.8974155200376</v>
      </c>
      <c r="Y277" s="719">
        <v>23330.050894880715</v>
      </c>
      <c r="Z277" s="719">
        <v>11048.341077309895</v>
      </c>
      <c r="AA277" s="719">
        <v>581.49163564788921</v>
      </c>
      <c r="AB277" s="738">
        <v>0.29743244734753344</v>
      </c>
      <c r="AC277" s="792">
        <v>1</v>
      </c>
      <c r="AD277" s="792">
        <v>1</v>
      </c>
      <c r="AE277" s="717">
        <v>0.56884057971014501</v>
      </c>
      <c r="AF277" s="714">
        <v>4.2407531067898789E-2</v>
      </c>
      <c r="AG277" s="706"/>
      <c r="AH277" s="792">
        <v>0.47356695135775378</v>
      </c>
      <c r="AI277" s="748">
        <v>0.56884057971014501</v>
      </c>
      <c r="AJ277" s="748">
        <v>4.2407531067898789E-2</v>
      </c>
      <c r="AK277" s="748"/>
      <c r="AL277" s="714">
        <v>0.47356695135775378</v>
      </c>
      <c r="AM277" s="706"/>
      <c r="AN277" s="706"/>
      <c r="AO277" s="706"/>
      <c r="AP277" s="706"/>
      <c r="AQ277" s="706"/>
      <c r="AR277" s="706" t="s">
        <v>957</v>
      </c>
      <c r="AS277" s="706"/>
      <c r="AT277" s="706"/>
      <c r="AU277" s="706"/>
      <c r="AV277" s="706">
        <v>0.29743244734753344</v>
      </c>
      <c r="AW277" s="706">
        <v>0.29743244734753344</v>
      </c>
      <c r="AX277" s="706">
        <v>0.29743244734753344</v>
      </c>
      <c r="AY277" s="706">
        <v>0.29743244734753344</v>
      </c>
      <c r="AZ277" s="706">
        <v>0.29743244734753344</v>
      </c>
      <c r="BA277" s="706">
        <v>0.29743244734753344</v>
      </c>
      <c r="BB277" s="706">
        <v>0.29743244734753344</v>
      </c>
      <c r="BC277" s="706">
        <v>0.29743244734753344</v>
      </c>
      <c r="BD277" s="706">
        <v>0.29743244734753344</v>
      </c>
      <c r="BE277" s="706">
        <v>0.29743244734753344</v>
      </c>
      <c r="BF277" s="706">
        <v>0.29743244734753344</v>
      </c>
      <c r="BG277" s="706">
        <v>0.29743244734753344</v>
      </c>
      <c r="BH277" s="706">
        <v>0.29743244734753344</v>
      </c>
      <c r="BI277" s="706">
        <v>0.29743244734753344</v>
      </c>
      <c r="BJ277" s="706">
        <v>0.29743244734753344</v>
      </c>
      <c r="BK277" s="706">
        <v>0.29743244734753344</v>
      </c>
      <c r="BL277" s="706">
        <v>0.29743244734753344</v>
      </c>
      <c r="BM277" s="706">
        <v>0.29743244734753344</v>
      </c>
      <c r="BN277" s="706">
        <v>0.29743244734753344</v>
      </c>
      <c r="BO277" s="706"/>
      <c r="BP277" s="706"/>
      <c r="BQ277" s="706"/>
      <c r="BR277" s="706"/>
      <c r="BS277" s="706"/>
      <c r="BT277" s="706"/>
      <c r="BU277" s="706"/>
      <c r="BV277" s="791">
        <v>581.49163564788921</v>
      </c>
      <c r="BW277" s="791">
        <v>581.49163564788921</v>
      </c>
      <c r="BX277" s="791">
        <v>581.49163564788921</v>
      </c>
      <c r="BY277" s="791">
        <v>581.49163564788921</v>
      </c>
      <c r="BZ277" s="791">
        <v>581.49163564788921</v>
      </c>
      <c r="CA277" s="791">
        <v>581.49163564788921</v>
      </c>
      <c r="CB277" s="791">
        <v>581.49163564788921</v>
      </c>
      <c r="CC277" s="791">
        <v>581.49163564788921</v>
      </c>
      <c r="CD277" s="791">
        <v>581.49163564788921</v>
      </c>
      <c r="CE277" s="791">
        <v>581.49163564788921</v>
      </c>
      <c r="CF277" s="791">
        <v>581.49163564788921</v>
      </c>
      <c r="CG277" s="791">
        <v>581.49163564788921</v>
      </c>
      <c r="CH277" s="791">
        <v>581.49163564788921</v>
      </c>
      <c r="CI277" s="791">
        <v>581.49163564788921</v>
      </c>
      <c r="CJ277" s="791">
        <v>581.49163564788921</v>
      </c>
      <c r="CK277" s="791">
        <v>581.49163564788921</v>
      </c>
      <c r="CL277" s="791">
        <v>581.49163564788921</v>
      </c>
      <c r="CM277" s="791">
        <v>581.49163564788921</v>
      </c>
      <c r="CN277" s="791">
        <v>581.49163564788921</v>
      </c>
      <c r="CO277" s="706"/>
      <c r="CP277" s="706"/>
      <c r="CQ277" s="706"/>
      <c r="CR277" s="706"/>
    </row>
    <row r="278" spans="1:96">
      <c r="A278" s="694" t="s">
        <v>3</v>
      </c>
      <c r="B278" s="794">
        <v>41940</v>
      </c>
      <c r="C278" s="743">
        <v>2014</v>
      </c>
      <c r="D278" s="746" t="s">
        <v>15</v>
      </c>
      <c r="E278" s="746" t="s">
        <v>25</v>
      </c>
      <c r="F278" s="746" t="s">
        <v>17</v>
      </c>
      <c r="G278" s="746" t="s">
        <v>58</v>
      </c>
      <c r="H278" s="694" t="s">
        <v>959</v>
      </c>
      <c r="I278" s="746" t="s">
        <v>5</v>
      </c>
      <c r="J278" s="746" t="s">
        <v>376</v>
      </c>
      <c r="K278" s="706">
        <v>1</v>
      </c>
      <c r="L278" s="745" t="s">
        <v>58</v>
      </c>
      <c r="M278" s="706" t="s">
        <v>994</v>
      </c>
      <c r="N278" s="706">
        <v>19</v>
      </c>
      <c r="O278" s="706"/>
      <c r="P278" s="706"/>
      <c r="Q278" s="706"/>
      <c r="R278" s="706"/>
      <c r="S278" s="706"/>
      <c r="T278" s="706"/>
      <c r="U278" s="738">
        <v>0.62806842093767556</v>
      </c>
      <c r="V278" s="738">
        <v>1227.8974155200376</v>
      </c>
      <c r="W278" s="793">
        <v>0.62806842093767556</v>
      </c>
      <c r="X278" s="708">
        <v>1227.8974155200376</v>
      </c>
      <c r="Y278" s="719">
        <v>23330.050894880715</v>
      </c>
      <c r="Z278" s="719">
        <v>11048.341077309895</v>
      </c>
      <c r="AA278" s="719">
        <v>581.49163564788921</v>
      </c>
      <c r="AB278" s="738">
        <v>0.29743244734753344</v>
      </c>
      <c r="AC278" s="792">
        <v>1</v>
      </c>
      <c r="AD278" s="792">
        <v>1</v>
      </c>
      <c r="AE278" s="717">
        <v>0.56884057971014501</v>
      </c>
      <c r="AF278" s="714">
        <v>4.2407531067898789E-2</v>
      </c>
      <c r="AG278" s="706"/>
      <c r="AH278" s="792">
        <v>0.47356695135775378</v>
      </c>
      <c r="AI278" s="748">
        <v>0.56884057971014501</v>
      </c>
      <c r="AJ278" s="748">
        <v>4.2407531067898789E-2</v>
      </c>
      <c r="AK278" s="748"/>
      <c r="AL278" s="714">
        <v>0.47356695135775378</v>
      </c>
      <c r="AM278" s="706"/>
      <c r="AN278" s="706"/>
      <c r="AO278" s="706"/>
      <c r="AP278" s="706"/>
      <c r="AQ278" s="706"/>
      <c r="AR278" s="706" t="s">
        <v>957</v>
      </c>
      <c r="AS278" s="706"/>
      <c r="AT278" s="706"/>
      <c r="AU278" s="706"/>
      <c r="AV278" s="706">
        <v>0.29743244734753344</v>
      </c>
      <c r="AW278" s="706">
        <v>0.29743244734753344</v>
      </c>
      <c r="AX278" s="706">
        <v>0.29743244734753344</v>
      </c>
      <c r="AY278" s="706">
        <v>0.29743244734753344</v>
      </c>
      <c r="AZ278" s="706">
        <v>0.29743244734753344</v>
      </c>
      <c r="BA278" s="706">
        <v>0.29743244734753344</v>
      </c>
      <c r="BB278" s="706">
        <v>0.29743244734753344</v>
      </c>
      <c r="BC278" s="706">
        <v>0.29743244734753344</v>
      </c>
      <c r="BD278" s="706">
        <v>0.29743244734753344</v>
      </c>
      <c r="BE278" s="706">
        <v>0.29743244734753344</v>
      </c>
      <c r="BF278" s="706">
        <v>0.29743244734753344</v>
      </c>
      <c r="BG278" s="706">
        <v>0.29743244734753344</v>
      </c>
      <c r="BH278" s="706">
        <v>0.29743244734753344</v>
      </c>
      <c r="BI278" s="706">
        <v>0.29743244734753344</v>
      </c>
      <c r="BJ278" s="706">
        <v>0.29743244734753344</v>
      </c>
      <c r="BK278" s="706">
        <v>0.29743244734753344</v>
      </c>
      <c r="BL278" s="706">
        <v>0.29743244734753344</v>
      </c>
      <c r="BM278" s="706">
        <v>0.29743244734753344</v>
      </c>
      <c r="BN278" s="706">
        <v>0.29743244734753344</v>
      </c>
      <c r="BO278" s="706"/>
      <c r="BP278" s="706"/>
      <c r="BQ278" s="706"/>
      <c r="BR278" s="706"/>
      <c r="BS278" s="706"/>
      <c r="BT278" s="706"/>
      <c r="BU278" s="706"/>
      <c r="BV278" s="791">
        <v>581.49163564788921</v>
      </c>
      <c r="BW278" s="791">
        <v>581.49163564788921</v>
      </c>
      <c r="BX278" s="791">
        <v>581.49163564788921</v>
      </c>
      <c r="BY278" s="791">
        <v>581.49163564788921</v>
      </c>
      <c r="BZ278" s="791">
        <v>581.49163564788921</v>
      </c>
      <c r="CA278" s="791">
        <v>581.49163564788921</v>
      </c>
      <c r="CB278" s="791">
        <v>581.49163564788921</v>
      </c>
      <c r="CC278" s="791">
        <v>581.49163564788921</v>
      </c>
      <c r="CD278" s="791">
        <v>581.49163564788921</v>
      </c>
      <c r="CE278" s="791">
        <v>581.49163564788921</v>
      </c>
      <c r="CF278" s="791">
        <v>581.49163564788921</v>
      </c>
      <c r="CG278" s="791">
        <v>581.49163564788921</v>
      </c>
      <c r="CH278" s="791">
        <v>581.49163564788921</v>
      </c>
      <c r="CI278" s="791">
        <v>581.49163564788921</v>
      </c>
      <c r="CJ278" s="791">
        <v>581.49163564788921</v>
      </c>
      <c r="CK278" s="791">
        <v>581.49163564788921</v>
      </c>
      <c r="CL278" s="791">
        <v>581.49163564788921</v>
      </c>
      <c r="CM278" s="791">
        <v>581.49163564788921</v>
      </c>
      <c r="CN278" s="791">
        <v>581.49163564788921</v>
      </c>
      <c r="CO278" s="706"/>
      <c r="CP278" s="706"/>
      <c r="CQ278" s="706"/>
      <c r="CR278" s="706"/>
    </row>
    <row r="279" spans="1:96">
      <c r="A279" s="694" t="s">
        <v>3</v>
      </c>
      <c r="B279" s="794">
        <v>41949</v>
      </c>
      <c r="C279" s="743">
        <v>2014</v>
      </c>
      <c r="D279" s="746" t="s">
        <v>15</v>
      </c>
      <c r="E279" s="746" t="s">
        <v>25</v>
      </c>
      <c r="F279" s="746" t="s">
        <v>17</v>
      </c>
      <c r="G279" s="746" t="s">
        <v>58</v>
      </c>
      <c r="H279" s="694" t="s">
        <v>959</v>
      </c>
      <c r="I279" s="746" t="s">
        <v>5</v>
      </c>
      <c r="J279" s="746" t="s">
        <v>376</v>
      </c>
      <c r="K279" s="706">
        <v>1</v>
      </c>
      <c r="L279" s="745" t="s">
        <v>58</v>
      </c>
      <c r="M279" s="706" t="s">
        <v>993</v>
      </c>
      <c r="N279" s="706">
        <v>19</v>
      </c>
      <c r="O279" s="706"/>
      <c r="P279" s="706"/>
      <c r="Q279" s="706"/>
      <c r="R279" s="706"/>
      <c r="S279" s="706"/>
      <c r="T279" s="706"/>
      <c r="U279" s="738">
        <v>0.62806842093767556</v>
      </c>
      <c r="V279" s="738">
        <v>1227.8974155200376</v>
      </c>
      <c r="W279" s="793">
        <v>0.62806842093767556</v>
      </c>
      <c r="X279" s="708">
        <v>1227.8974155200376</v>
      </c>
      <c r="Y279" s="719">
        <v>23330.050894880715</v>
      </c>
      <c r="Z279" s="719">
        <v>11048.341077309895</v>
      </c>
      <c r="AA279" s="719">
        <v>581.49163564788921</v>
      </c>
      <c r="AB279" s="738">
        <v>0.29743244734753344</v>
      </c>
      <c r="AC279" s="792">
        <v>1</v>
      </c>
      <c r="AD279" s="792">
        <v>1</v>
      </c>
      <c r="AE279" s="717">
        <v>0.56884057971014501</v>
      </c>
      <c r="AF279" s="714">
        <v>4.2407531067898789E-2</v>
      </c>
      <c r="AG279" s="706"/>
      <c r="AH279" s="792">
        <v>0.47356695135775378</v>
      </c>
      <c r="AI279" s="748">
        <v>0.56884057971014501</v>
      </c>
      <c r="AJ279" s="748">
        <v>4.2407531067898789E-2</v>
      </c>
      <c r="AK279" s="748"/>
      <c r="AL279" s="714">
        <v>0.47356695135775378</v>
      </c>
      <c r="AM279" s="706"/>
      <c r="AN279" s="706"/>
      <c r="AO279" s="706"/>
      <c r="AP279" s="706"/>
      <c r="AQ279" s="706"/>
      <c r="AR279" s="706" t="s">
        <v>957</v>
      </c>
      <c r="AS279" s="706"/>
      <c r="AT279" s="706"/>
      <c r="AU279" s="706"/>
      <c r="AV279" s="706">
        <v>0.29743244734753344</v>
      </c>
      <c r="AW279" s="706">
        <v>0.29743244734753344</v>
      </c>
      <c r="AX279" s="706">
        <v>0.29743244734753344</v>
      </c>
      <c r="AY279" s="706">
        <v>0.29743244734753344</v>
      </c>
      <c r="AZ279" s="706">
        <v>0.29743244734753344</v>
      </c>
      <c r="BA279" s="706">
        <v>0.29743244734753344</v>
      </c>
      <c r="BB279" s="706">
        <v>0.29743244734753344</v>
      </c>
      <c r="BC279" s="706">
        <v>0.29743244734753344</v>
      </c>
      <c r="BD279" s="706">
        <v>0.29743244734753344</v>
      </c>
      <c r="BE279" s="706">
        <v>0.29743244734753344</v>
      </c>
      <c r="BF279" s="706">
        <v>0.29743244734753344</v>
      </c>
      <c r="BG279" s="706">
        <v>0.29743244734753344</v>
      </c>
      <c r="BH279" s="706">
        <v>0.29743244734753344</v>
      </c>
      <c r="BI279" s="706">
        <v>0.29743244734753344</v>
      </c>
      <c r="BJ279" s="706">
        <v>0.29743244734753344</v>
      </c>
      <c r="BK279" s="706">
        <v>0.29743244734753344</v>
      </c>
      <c r="BL279" s="706">
        <v>0.29743244734753344</v>
      </c>
      <c r="BM279" s="706">
        <v>0.29743244734753344</v>
      </c>
      <c r="BN279" s="706">
        <v>0.29743244734753344</v>
      </c>
      <c r="BO279" s="706"/>
      <c r="BP279" s="706"/>
      <c r="BQ279" s="706"/>
      <c r="BR279" s="706"/>
      <c r="BS279" s="706"/>
      <c r="BT279" s="706"/>
      <c r="BU279" s="706"/>
      <c r="BV279" s="791">
        <v>581.49163564788921</v>
      </c>
      <c r="BW279" s="791">
        <v>581.49163564788921</v>
      </c>
      <c r="BX279" s="791">
        <v>581.49163564788921</v>
      </c>
      <c r="BY279" s="791">
        <v>581.49163564788921</v>
      </c>
      <c r="BZ279" s="791">
        <v>581.49163564788921</v>
      </c>
      <c r="CA279" s="791">
        <v>581.49163564788921</v>
      </c>
      <c r="CB279" s="791">
        <v>581.49163564788921</v>
      </c>
      <c r="CC279" s="791">
        <v>581.49163564788921</v>
      </c>
      <c r="CD279" s="791">
        <v>581.49163564788921</v>
      </c>
      <c r="CE279" s="791">
        <v>581.49163564788921</v>
      </c>
      <c r="CF279" s="791">
        <v>581.49163564788921</v>
      </c>
      <c r="CG279" s="791">
        <v>581.49163564788921</v>
      </c>
      <c r="CH279" s="791">
        <v>581.49163564788921</v>
      </c>
      <c r="CI279" s="791">
        <v>581.49163564788921</v>
      </c>
      <c r="CJ279" s="791">
        <v>581.49163564788921</v>
      </c>
      <c r="CK279" s="791">
        <v>581.49163564788921</v>
      </c>
      <c r="CL279" s="791">
        <v>581.49163564788921</v>
      </c>
      <c r="CM279" s="791">
        <v>581.49163564788921</v>
      </c>
      <c r="CN279" s="791">
        <v>581.49163564788921</v>
      </c>
      <c r="CO279" s="706"/>
      <c r="CP279" s="706"/>
      <c r="CQ279" s="706"/>
      <c r="CR279" s="706"/>
    </row>
    <row r="280" spans="1:96">
      <c r="A280" s="694" t="s">
        <v>3</v>
      </c>
      <c r="B280" s="794">
        <v>41950</v>
      </c>
      <c r="C280" s="743">
        <v>2014</v>
      </c>
      <c r="D280" s="746" t="s">
        <v>15</v>
      </c>
      <c r="E280" s="746" t="s">
        <v>25</v>
      </c>
      <c r="F280" s="746" t="s">
        <v>17</v>
      </c>
      <c r="G280" s="746" t="s">
        <v>58</v>
      </c>
      <c r="H280" s="694" t="s">
        <v>959</v>
      </c>
      <c r="I280" s="746" t="s">
        <v>5</v>
      </c>
      <c r="J280" s="746" t="s">
        <v>376</v>
      </c>
      <c r="K280" s="706">
        <v>1</v>
      </c>
      <c r="L280" s="745" t="s">
        <v>58</v>
      </c>
      <c r="M280" s="706" t="s">
        <v>992</v>
      </c>
      <c r="N280" s="706">
        <v>19</v>
      </c>
      <c r="O280" s="706"/>
      <c r="P280" s="706"/>
      <c r="Q280" s="706"/>
      <c r="R280" s="706"/>
      <c r="S280" s="706"/>
      <c r="T280" s="706"/>
      <c r="U280" s="738">
        <v>0.62806842093767556</v>
      </c>
      <c r="V280" s="738">
        <v>1227.8974155200376</v>
      </c>
      <c r="W280" s="793">
        <v>0.62806842093767556</v>
      </c>
      <c r="X280" s="708">
        <v>1227.8974155200376</v>
      </c>
      <c r="Y280" s="719">
        <v>23330.050894880715</v>
      </c>
      <c r="Z280" s="719">
        <v>11048.341077309895</v>
      </c>
      <c r="AA280" s="719">
        <v>581.49163564788921</v>
      </c>
      <c r="AB280" s="738">
        <v>0.29743244734753344</v>
      </c>
      <c r="AC280" s="792">
        <v>1</v>
      </c>
      <c r="AD280" s="792">
        <v>1</v>
      </c>
      <c r="AE280" s="717">
        <v>0.56884057971014501</v>
      </c>
      <c r="AF280" s="714">
        <v>4.2407531067898789E-2</v>
      </c>
      <c r="AG280" s="706"/>
      <c r="AH280" s="792">
        <v>0.47356695135775378</v>
      </c>
      <c r="AI280" s="748">
        <v>0.56884057971014501</v>
      </c>
      <c r="AJ280" s="748">
        <v>4.2407531067898789E-2</v>
      </c>
      <c r="AK280" s="748"/>
      <c r="AL280" s="714">
        <v>0.47356695135775378</v>
      </c>
      <c r="AM280" s="706"/>
      <c r="AN280" s="706"/>
      <c r="AO280" s="706"/>
      <c r="AP280" s="706"/>
      <c r="AQ280" s="706"/>
      <c r="AR280" s="706" t="s">
        <v>957</v>
      </c>
      <c r="AS280" s="706"/>
      <c r="AT280" s="706"/>
      <c r="AU280" s="706"/>
      <c r="AV280" s="706">
        <v>0.29743244734753344</v>
      </c>
      <c r="AW280" s="706">
        <v>0.29743244734753344</v>
      </c>
      <c r="AX280" s="706">
        <v>0.29743244734753344</v>
      </c>
      <c r="AY280" s="706">
        <v>0.29743244734753344</v>
      </c>
      <c r="AZ280" s="706">
        <v>0.29743244734753344</v>
      </c>
      <c r="BA280" s="706">
        <v>0.29743244734753344</v>
      </c>
      <c r="BB280" s="706">
        <v>0.29743244734753344</v>
      </c>
      <c r="BC280" s="706">
        <v>0.29743244734753344</v>
      </c>
      <c r="BD280" s="706">
        <v>0.29743244734753344</v>
      </c>
      <c r="BE280" s="706">
        <v>0.29743244734753344</v>
      </c>
      <c r="BF280" s="706">
        <v>0.29743244734753344</v>
      </c>
      <c r="BG280" s="706">
        <v>0.29743244734753344</v>
      </c>
      <c r="BH280" s="706">
        <v>0.29743244734753344</v>
      </c>
      <c r="BI280" s="706">
        <v>0.29743244734753344</v>
      </c>
      <c r="BJ280" s="706">
        <v>0.29743244734753344</v>
      </c>
      <c r="BK280" s="706">
        <v>0.29743244734753344</v>
      </c>
      <c r="BL280" s="706">
        <v>0.29743244734753344</v>
      </c>
      <c r="BM280" s="706">
        <v>0.29743244734753344</v>
      </c>
      <c r="BN280" s="706">
        <v>0.29743244734753344</v>
      </c>
      <c r="BO280" s="706"/>
      <c r="BP280" s="706"/>
      <c r="BQ280" s="706"/>
      <c r="BR280" s="706"/>
      <c r="BS280" s="706"/>
      <c r="BT280" s="706"/>
      <c r="BU280" s="706"/>
      <c r="BV280" s="791">
        <v>581.49163564788921</v>
      </c>
      <c r="BW280" s="791">
        <v>581.49163564788921</v>
      </c>
      <c r="BX280" s="791">
        <v>581.49163564788921</v>
      </c>
      <c r="BY280" s="791">
        <v>581.49163564788921</v>
      </c>
      <c r="BZ280" s="791">
        <v>581.49163564788921</v>
      </c>
      <c r="CA280" s="791">
        <v>581.49163564788921</v>
      </c>
      <c r="CB280" s="791">
        <v>581.49163564788921</v>
      </c>
      <c r="CC280" s="791">
        <v>581.49163564788921</v>
      </c>
      <c r="CD280" s="791">
        <v>581.49163564788921</v>
      </c>
      <c r="CE280" s="791">
        <v>581.49163564788921</v>
      </c>
      <c r="CF280" s="791">
        <v>581.49163564788921</v>
      </c>
      <c r="CG280" s="791">
        <v>581.49163564788921</v>
      </c>
      <c r="CH280" s="791">
        <v>581.49163564788921</v>
      </c>
      <c r="CI280" s="791">
        <v>581.49163564788921</v>
      </c>
      <c r="CJ280" s="791">
        <v>581.49163564788921</v>
      </c>
      <c r="CK280" s="791">
        <v>581.49163564788921</v>
      </c>
      <c r="CL280" s="791">
        <v>581.49163564788921</v>
      </c>
      <c r="CM280" s="791">
        <v>581.49163564788921</v>
      </c>
      <c r="CN280" s="791">
        <v>581.49163564788921</v>
      </c>
      <c r="CO280" s="706"/>
      <c r="CP280" s="706"/>
      <c r="CQ280" s="706"/>
      <c r="CR280" s="706"/>
    </row>
    <row r="281" spans="1:96">
      <c r="A281" s="694" t="s">
        <v>3</v>
      </c>
      <c r="B281" s="794">
        <v>41947</v>
      </c>
      <c r="C281" s="743">
        <v>2014</v>
      </c>
      <c r="D281" s="746" t="s">
        <v>15</v>
      </c>
      <c r="E281" s="746" t="s">
        <v>25</v>
      </c>
      <c r="F281" s="746" t="s">
        <v>17</v>
      </c>
      <c r="G281" s="746" t="s">
        <v>58</v>
      </c>
      <c r="H281" s="694" t="s">
        <v>959</v>
      </c>
      <c r="I281" s="746" t="s">
        <v>5</v>
      </c>
      <c r="J281" s="746" t="s">
        <v>376</v>
      </c>
      <c r="K281" s="706">
        <v>1</v>
      </c>
      <c r="L281" s="745" t="s">
        <v>58</v>
      </c>
      <c r="M281" s="706" t="s">
        <v>991</v>
      </c>
      <c r="N281" s="706">
        <v>19</v>
      </c>
      <c r="O281" s="706"/>
      <c r="P281" s="706"/>
      <c r="Q281" s="706"/>
      <c r="R281" s="706"/>
      <c r="S281" s="706"/>
      <c r="T281" s="706"/>
      <c r="U281" s="738">
        <v>0.62806842093767556</v>
      </c>
      <c r="V281" s="738">
        <v>1227.8974155200376</v>
      </c>
      <c r="W281" s="793">
        <v>0.62806842093767556</v>
      </c>
      <c r="X281" s="708">
        <v>1227.8974155200376</v>
      </c>
      <c r="Y281" s="719">
        <v>23330.050894880715</v>
      </c>
      <c r="Z281" s="719">
        <v>11048.341077309895</v>
      </c>
      <c r="AA281" s="719">
        <v>581.49163564788921</v>
      </c>
      <c r="AB281" s="738">
        <v>0.29743244734753344</v>
      </c>
      <c r="AC281" s="792">
        <v>1</v>
      </c>
      <c r="AD281" s="792">
        <v>1</v>
      </c>
      <c r="AE281" s="717">
        <v>0.56884057971014501</v>
      </c>
      <c r="AF281" s="714">
        <v>4.2407531067898789E-2</v>
      </c>
      <c r="AG281" s="706"/>
      <c r="AH281" s="792">
        <v>0.47356695135775378</v>
      </c>
      <c r="AI281" s="748">
        <v>0.56884057971014501</v>
      </c>
      <c r="AJ281" s="748">
        <v>4.2407531067898789E-2</v>
      </c>
      <c r="AK281" s="748"/>
      <c r="AL281" s="714">
        <v>0.47356695135775378</v>
      </c>
      <c r="AM281" s="706"/>
      <c r="AN281" s="706"/>
      <c r="AO281" s="706"/>
      <c r="AP281" s="706"/>
      <c r="AQ281" s="706"/>
      <c r="AR281" s="706" t="s">
        <v>957</v>
      </c>
      <c r="AS281" s="706"/>
      <c r="AT281" s="706"/>
      <c r="AU281" s="706"/>
      <c r="AV281" s="706">
        <v>0.29743244734753344</v>
      </c>
      <c r="AW281" s="706">
        <v>0.29743244734753344</v>
      </c>
      <c r="AX281" s="706">
        <v>0.29743244734753344</v>
      </c>
      <c r="AY281" s="706">
        <v>0.29743244734753344</v>
      </c>
      <c r="AZ281" s="706">
        <v>0.29743244734753344</v>
      </c>
      <c r="BA281" s="706">
        <v>0.29743244734753344</v>
      </c>
      <c r="BB281" s="706">
        <v>0.29743244734753344</v>
      </c>
      <c r="BC281" s="706">
        <v>0.29743244734753344</v>
      </c>
      <c r="BD281" s="706">
        <v>0.29743244734753344</v>
      </c>
      <c r="BE281" s="706">
        <v>0.29743244734753344</v>
      </c>
      <c r="BF281" s="706">
        <v>0.29743244734753344</v>
      </c>
      <c r="BG281" s="706">
        <v>0.29743244734753344</v>
      </c>
      <c r="BH281" s="706">
        <v>0.29743244734753344</v>
      </c>
      <c r="BI281" s="706">
        <v>0.29743244734753344</v>
      </c>
      <c r="BJ281" s="706">
        <v>0.29743244734753344</v>
      </c>
      <c r="BK281" s="706">
        <v>0.29743244734753344</v>
      </c>
      <c r="BL281" s="706">
        <v>0.29743244734753344</v>
      </c>
      <c r="BM281" s="706">
        <v>0.29743244734753344</v>
      </c>
      <c r="BN281" s="706">
        <v>0.29743244734753344</v>
      </c>
      <c r="BO281" s="706"/>
      <c r="BP281" s="706"/>
      <c r="BQ281" s="706"/>
      <c r="BR281" s="706"/>
      <c r="BS281" s="706"/>
      <c r="BT281" s="706"/>
      <c r="BU281" s="706"/>
      <c r="BV281" s="791">
        <v>581.49163564788921</v>
      </c>
      <c r="BW281" s="791">
        <v>581.49163564788921</v>
      </c>
      <c r="BX281" s="791">
        <v>581.49163564788921</v>
      </c>
      <c r="BY281" s="791">
        <v>581.49163564788921</v>
      </c>
      <c r="BZ281" s="791">
        <v>581.49163564788921</v>
      </c>
      <c r="CA281" s="791">
        <v>581.49163564788921</v>
      </c>
      <c r="CB281" s="791">
        <v>581.49163564788921</v>
      </c>
      <c r="CC281" s="791">
        <v>581.49163564788921</v>
      </c>
      <c r="CD281" s="791">
        <v>581.49163564788921</v>
      </c>
      <c r="CE281" s="791">
        <v>581.49163564788921</v>
      </c>
      <c r="CF281" s="791">
        <v>581.49163564788921</v>
      </c>
      <c r="CG281" s="791">
        <v>581.49163564788921</v>
      </c>
      <c r="CH281" s="791">
        <v>581.49163564788921</v>
      </c>
      <c r="CI281" s="791">
        <v>581.49163564788921</v>
      </c>
      <c r="CJ281" s="791">
        <v>581.49163564788921</v>
      </c>
      <c r="CK281" s="791">
        <v>581.49163564788921</v>
      </c>
      <c r="CL281" s="791">
        <v>581.49163564788921</v>
      </c>
      <c r="CM281" s="791">
        <v>581.49163564788921</v>
      </c>
      <c r="CN281" s="791">
        <v>581.49163564788921</v>
      </c>
      <c r="CO281" s="706"/>
      <c r="CP281" s="706"/>
      <c r="CQ281" s="706"/>
      <c r="CR281" s="706"/>
    </row>
    <row r="282" spans="1:96">
      <c r="A282" s="694" t="s">
        <v>3</v>
      </c>
      <c r="B282" s="794">
        <v>41956</v>
      </c>
      <c r="C282" s="743">
        <v>2014</v>
      </c>
      <c r="D282" s="746" t="s">
        <v>15</v>
      </c>
      <c r="E282" s="746" t="s">
        <v>25</v>
      </c>
      <c r="F282" s="746" t="s">
        <v>17</v>
      </c>
      <c r="G282" s="746" t="s">
        <v>58</v>
      </c>
      <c r="H282" s="694" t="s">
        <v>959</v>
      </c>
      <c r="I282" s="746" t="s">
        <v>5</v>
      </c>
      <c r="J282" s="746" t="s">
        <v>376</v>
      </c>
      <c r="K282" s="706">
        <v>1</v>
      </c>
      <c r="L282" s="745" t="s">
        <v>58</v>
      </c>
      <c r="M282" s="706" t="s">
        <v>990</v>
      </c>
      <c r="N282" s="706">
        <v>19</v>
      </c>
      <c r="O282" s="706"/>
      <c r="P282" s="706"/>
      <c r="Q282" s="706"/>
      <c r="R282" s="706"/>
      <c r="S282" s="706"/>
      <c r="T282" s="706"/>
      <c r="U282" s="738">
        <v>0.62806842093767556</v>
      </c>
      <c r="V282" s="738">
        <v>1227.8974155200376</v>
      </c>
      <c r="W282" s="793">
        <v>0.62806842093767556</v>
      </c>
      <c r="X282" s="708">
        <v>1227.8974155200376</v>
      </c>
      <c r="Y282" s="719">
        <v>23330.050894880715</v>
      </c>
      <c r="Z282" s="719">
        <v>11048.341077309895</v>
      </c>
      <c r="AA282" s="719">
        <v>581.49163564788921</v>
      </c>
      <c r="AB282" s="738">
        <v>0.29743244734753344</v>
      </c>
      <c r="AC282" s="792">
        <v>1</v>
      </c>
      <c r="AD282" s="792">
        <v>1</v>
      </c>
      <c r="AE282" s="717">
        <v>0.56884057971014501</v>
      </c>
      <c r="AF282" s="714">
        <v>4.2407531067898789E-2</v>
      </c>
      <c r="AG282" s="706"/>
      <c r="AH282" s="792">
        <v>0.47356695135775378</v>
      </c>
      <c r="AI282" s="748">
        <v>0.56884057971014501</v>
      </c>
      <c r="AJ282" s="748">
        <v>4.2407531067898789E-2</v>
      </c>
      <c r="AK282" s="748"/>
      <c r="AL282" s="714">
        <v>0.47356695135775378</v>
      </c>
      <c r="AM282" s="706"/>
      <c r="AN282" s="706"/>
      <c r="AO282" s="706"/>
      <c r="AP282" s="706"/>
      <c r="AQ282" s="706"/>
      <c r="AR282" s="706" t="s">
        <v>957</v>
      </c>
      <c r="AS282" s="706"/>
      <c r="AT282" s="706"/>
      <c r="AU282" s="706"/>
      <c r="AV282" s="706">
        <v>0.29743244734753344</v>
      </c>
      <c r="AW282" s="706">
        <v>0.29743244734753344</v>
      </c>
      <c r="AX282" s="706">
        <v>0.29743244734753344</v>
      </c>
      <c r="AY282" s="706">
        <v>0.29743244734753344</v>
      </c>
      <c r="AZ282" s="706">
        <v>0.29743244734753344</v>
      </c>
      <c r="BA282" s="706">
        <v>0.29743244734753344</v>
      </c>
      <c r="BB282" s="706">
        <v>0.29743244734753344</v>
      </c>
      <c r="BC282" s="706">
        <v>0.29743244734753344</v>
      </c>
      <c r="BD282" s="706">
        <v>0.29743244734753344</v>
      </c>
      <c r="BE282" s="706">
        <v>0.29743244734753344</v>
      </c>
      <c r="BF282" s="706">
        <v>0.29743244734753344</v>
      </c>
      <c r="BG282" s="706">
        <v>0.29743244734753344</v>
      </c>
      <c r="BH282" s="706">
        <v>0.29743244734753344</v>
      </c>
      <c r="BI282" s="706">
        <v>0.29743244734753344</v>
      </c>
      <c r="BJ282" s="706">
        <v>0.29743244734753344</v>
      </c>
      <c r="BK282" s="706">
        <v>0.29743244734753344</v>
      </c>
      <c r="BL282" s="706">
        <v>0.29743244734753344</v>
      </c>
      <c r="BM282" s="706">
        <v>0.29743244734753344</v>
      </c>
      <c r="BN282" s="706">
        <v>0.29743244734753344</v>
      </c>
      <c r="BO282" s="706"/>
      <c r="BP282" s="706"/>
      <c r="BQ282" s="706"/>
      <c r="BR282" s="706"/>
      <c r="BS282" s="706"/>
      <c r="BT282" s="706"/>
      <c r="BU282" s="706"/>
      <c r="BV282" s="791">
        <v>581.49163564788921</v>
      </c>
      <c r="BW282" s="791">
        <v>581.49163564788921</v>
      </c>
      <c r="BX282" s="791">
        <v>581.49163564788921</v>
      </c>
      <c r="BY282" s="791">
        <v>581.49163564788921</v>
      </c>
      <c r="BZ282" s="791">
        <v>581.49163564788921</v>
      </c>
      <c r="CA282" s="791">
        <v>581.49163564788921</v>
      </c>
      <c r="CB282" s="791">
        <v>581.49163564788921</v>
      </c>
      <c r="CC282" s="791">
        <v>581.49163564788921</v>
      </c>
      <c r="CD282" s="791">
        <v>581.49163564788921</v>
      </c>
      <c r="CE282" s="791">
        <v>581.49163564788921</v>
      </c>
      <c r="CF282" s="791">
        <v>581.49163564788921</v>
      </c>
      <c r="CG282" s="791">
        <v>581.49163564788921</v>
      </c>
      <c r="CH282" s="791">
        <v>581.49163564788921</v>
      </c>
      <c r="CI282" s="791">
        <v>581.49163564788921</v>
      </c>
      <c r="CJ282" s="791">
        <v>581.49163564788921</v>
      </c>
      <c r="CK282" s="791">
        <v>581.49163564788921</v>
      </c>
      <c r="CL282" s="791">
        <v>581.49163564788921</v>
      </c>
      <c r="CM282" s="791">
        <v>581.49163564788921</v>
      </c>
      <c r="CN282" s="791">
        <v>581.49163564788921</v>
      </c>
      <c r="CO282" s="706"/>
      <c r="CP282" s="706"/>
      <c r="CQ282" s="706"/>
      <c r="CR282" s="706"/>
    </row>
    <row r="283" spans="1:96">
      <c r="A283" s="694" t="s">
        <v>3</v>
      </c>
      <c r="B283" s="794">
        <v>41921</v>
      </c>
      <c r="C283" s="743">
        <v>2014</v>
      </c>
      <c r="D283" s="746" t="s">
        <v>15</v>
      </c>
      <c r="E283" s="746" t="s">
        <v>25</v>
      </c>
      <c r="F283" s="746" t="s">
        <v>17</v>
      </c>
      <c r="G283" s="746" t="s">
        <v>58</v>
      </c>
      <c r="H283" s="694" t="s">
        <v>959</v>
      </c>
      <c r="I283" s="746" t="s">
        <v>5</v>
      </c>
      <c r="J283" s="746" t="s">
        <v>376</v>
      </c>
      <c r="K283" s="706">
        <v>1</v>
      </c>
      <c r="L283" s="745" t="s">
        <v>58</v>
      </c>
      <c r="M283" s="706" t="s">
        <v>989</v>
      </c>
      <c r="N283" s="706">
        <v>19</v>
      </c>
      <c r="O283" s="706"/>
      <c r="P283" s="706"/>
      <c r="Q283" s="706"/>
      <c r="R283" s="706"/>
      <c r="S283" s="706"/>
      <c r="T283" s="706"/>
      <c r="U283" s="738">
        <v>0.62806842093767556</v>
      </c>
      <c r="V283" s="738">
        <v>1227.8974155200376</v>
      </c>
      <c r="W283" s="793">
        <v>0.62806842093767556</v>
      </c>
      <c r="X283" s="708">
        <v>1227.8974155200376</v>
      </c>
      <c r="Y283" s="719">
        <v>23330.050894880715</v>
      </c>
      <c r="Z283" s="719">
        <v>11048.341077309895</v>
      </c>
      <c r="AA283" s="719">
        <v>581.49163564788921</v>
      </c>
      <c r="AB283" s="738">
        <v>0.29743244734753344</v>
      </c>
      <c r="AC283" s="792">
        <v>1</v>
      </c>
      <c r="AD283" s="792">
        <v>1</v>
      </c>
      <c r="AE283" s="717">
        <v>0.56884057971014501</v>
      </c>
      <c r="AF283" s="714">
        <v>4.2407531067898789E-2</v>
      </c>
      <c r="AG283" s="706"/>
      <c r="AH283" s="792">
        <v>0.47356695135775378</v>
      </c>
      <c r="AI283" s="748">
        <v>0.56884057971014501</v>
      </c>
      <c r="AJ283" s="748">
        <v>4.2407531067898789E-2</v>
      </c>
      <c r="AK283" s="748"/>
      <c r="AL283" s="714">
        <v>0.47356695135775378</v>
      </c>
      <c r="AM283" s="706"/>
      <c r="AN283" s="706"/>
      <c r="AO283" s="706"/>
      <c r="AP283" s="706"/>
      <c r="AQ283" s="706"/>
      <c r="AR283" s="706" t="s">
        <v>957</v>
      </c>
      <c r="AS283" s="706"/>
      <c r="AT283" s="706"/>
      <c r="AU283" s="706"/>
      <c r="AV283" s="706">
        <v>0.29743244734753344</v>
      </c>
      <c r="AW283" s="706">
        <v>0.29743244734753344</v>
      </c>
      <c r="AX283" s="706">
        <v>0.29743244734753344</v>
      </c>
      <c r="AY283" s="706">
        <v>0.29743244734753344</v>
      </c>
      <c r="AZ283" s="706">
        <v>0.29743244734753344</v>
      </c>
      <c r="BA283" s="706">
        <v>0.29743244734753344</v>
      </c>
      <c r="BB283" s="706">
        <v>0.29743244734753344</v>
      </c>
      <c r="BC283" s="706">
        <v>0.29743244734753344</v>
      </c>
      <c r="BD283" s="706">
        <v>0.29743244734753344</v>
      </c>
      <c r="BE283" s="706">
        <v>0.29743244734753344</v>
      </c>
      <c r="BF283" s="706">
        <v>0.29743244734753344</v>
      </c>
      <c r="BG283" s="706">
        <v>0.29743244734753344</v>
      </c>
      <c r="BH283" s="706">
        <v>0.29743244734753344</v>
      </c>
      <c r="BI283" s="706">
        <v>0.29743244734753344</v>
      </c>
      <c r="BJ283" s="706">
        <v>0.29743244734753344</v>
      </c>
      <c r="BK283" s="706">
        <v>0.29743244734753344</v>
      </c>
      <c r="BL283" s="706">
        <v>0.29743244734753344</v>
      </c>
      <c r="BM283" s="706">
        <v>0.29743244734753344</v>
      </c>
      <c r="BN283" s="706">
        <v>0.29743244734753344</v>
      </c>
      <c r="BO283" s="706"/>
      <c r="BP283" s="706"/>
      <c r="BQ283" s="706"/>
      <c r="BR283" s="706"/>
      <c r="BS283" s="706"/>
      <c r="BT283" s="706"/>
      <c r="BU283" s="706"/>
      <c r="BV283" s="791">
        <v>581.49163564788921</v>
      </c>
      <c r="BW283" s="791">
        <v>581.49163564788921</v>
      </c>
      <c r="BX283" s="791">
        <v>581.49163564788921</v>
      </c>
      <c r="BY283" s="791">
        <v>581.49163564788921</v>
      </c>
      <c r="BZ283" s="791">
        <v>581.49163564788921</v>
      </c>
      <c r="CA283" s="791">
        <v>581.49163564788921</v>
      </c>
      <c r="CB283" s="791">
        <v>581.49163564788921</v>
      </c>
      <c r="CC283" s="791">
        <v>581.49163564788921</v>
      </c>
      <c r="CD283" s="791">
        <v>581.49163564788921</v>
      </c>
      <c r="CE283" s="791">
        <v>581.49163564788921</v>
      </c>
      <c r="CF283" s="791">
        <v>581.49163564788921</v>
      </c>
      <c r="CG283" s="791">
        <v>581.49163564788921</v>
      </c>
      <c r="CH283" s="791">
        <v>581.49163564788921</v>
      </c>
      <c r="CI283" s="791">
        <v>581.49163564788921</v>
      </c>
      <c r="CJ283" s="791">
        <v>581.49163564788921</v>
      </c>
      <c r="CK283" s="791">
        <v>581.49163564788921</v>
      </c>
      <c r="CL283" s="791">
        <v>581.49163564788921</v>
      </c>
      <c r="CM283" s="791">
        <v>581.49163564788921</v>
      </c>
      <c r="CN283" s="791">
        <v>581.49163564788921</v>
      </c>
      <c r="CO283" s="706"/>
      <c r="CP283" s="706"/>
      <c r="CQ283" s="706"/>
      <c r="CR283" s="706"/>
    </row>
    <row r="284" spans="1:96">
      <c r="A284" s="694" t="s">
        <v>3</v>
      </c>
      <c r="B284" s="794">
        <v>41962</v>
      </c>
      <c r="C284" s="743">
        <v>2014</v>
      </c>
      <c r="D284" s="746" t="s">
        <v>15</v>
      </c>
      <c r="E284" s="746" t="s">
        <v>25</v>
      </c>
      <c r="F284" s="746" t="s">
        <v>17</v>
      </c>
      <c r="G284" s="746" t="s">
        <v>58</v>
      </c>
      <c r="H284" s="694" t="s">
        <v>959</v>
      </c>
      <c r="I284" s="746" t="s">
        <v>5</v>
      </c>
      <c r="J284" s="746" t="s">
        <v>376</v>
      </c>
      <c r="K284" s="706">
        <v>1</v>
      </c>
      <c r="L284" s="745" t="s">
        <v>58</v>
      </c>
      <c r="M284" s="706" t="s">
        <v>988</v>
      </c>
      <c r="N284" s="706">
        <v>19</v>
      </c>
      <c r="O284" s="706"/>
      <c r="P284" s="706"/>
      <c r="Q284" s="706"/>
      <c r="R284" s="706"/>
      <c r="S284" s="706"/>
      <c r="T284" s="706"/>
      <c r="U284" s="738">
        <v>0.62806842093767556</v>
      </c>
      <c r="V284" s="738">
        <v>1227.8974155200376</v>
      </c>
      <c r="W284" s="793">
        <v>0.62806842093767556</v>
      </c>
      <c r="X284" s="708">
        <v>1227.8974155200376</v>
      </c>
      <c r="Y284" s="719">
        <v>23330.050894880715</v>
      </c>
      <c r="Z284" s="719">
        <v>11048.341077309895</v>
      </c>
      <c r="AA284" s="719">
        <v>581.49163564788921</v>
      </c>
      <c r="AB284" s="738">
        <v>0.29743244734753344</v>
      </c>
      <c r="AC284" s="792">
        <v>1</v>
      </c>
      <c r="AD284" s="792">
        <v>1</v>
      </c>
      <c r="AE284" s="717">
        <v>0.56884057971014501</v>
      </c>
      <c r="AF284" s="714">
        <v>4.2407531067898789E-2</v>
      </c>
      <c r="AG284" s="706"/>
      <c r="AH284" s="792">
        <v>0.47356695135775378</v>
      </c>
      <c r="AI284" s="748">
        <v>0.56884057971014501</v>
      </c>
      <c r="AJ284" s="748">
        <v>4.2407531067898789E-2</v>
      </c>
      <c r="AK284" s="748"/>
      <c r="AL284" s="714">
        <v>0.47356695135775378</v>
      </c>
      <c r="AM284" s="706"/>
      <c r="AN284" s="706"/>
      <c r="AO284" s="706"/>
      <c r="AP284" s="706"/>
      <c r="AQ284" s="706"/>
      <c r="AR284" s="706" t="s">
        <v>957</v>
      </c>
      <c r="AS284" s="706"/>
      <c r="AT284" s="706"/>
      <c r="AU284" s="706"/>
      <c r="AV284" s="706">
        <v>0.29743244734753344</v>
      </c>
      <c r="AW284" s="706">
        <v>0.29743244734753344</v>
      </c>
      <c r="AX284" s="706">
        <v>0.29743244734753344</v>
      </c>
      <c r="AY284" s="706">
        <v>0.29743244734753344</v>
      </c>
      <c r="AZ284" s="706">
        <v>0.29743244734753344</v>
      </c>
      <c r="BA284" s="706">
        <v>0.29743244734753344</v>
      </c>
      <c r="BB284" s="706">
        <v>0.29743244734753344</v>
      </c>
      <c r="BC284" s="706">
        <v>0.29743244734753344</v>
      </c>
      <c r="BD284" s="706">
        <v>0.29743244734753344</v>
      </c>
      <c r="BE284" s="706">
        <v>0.29743244734753344</v>
      </c>
      <c r="BF284" s="706">
        <v>0.29743244734753344</v>
      </c>
      <c r="BG284" s="706">
        <v>0.29743244734753344</v>
      </c>
      <c r="BH284" s="706">
        <v>0.29743244734753344</v>
      </c>
      <c r="BI284" s="706">
        <v>0.29743244734753344</v>
      </c>
      <c r="BJ284" s="706">
        <v>0.29743244734753344</v>
      </c>
      <c r="BK284" s="706">
        <v>0.29743244734753344</v>
      </c>
      <c r="BL284" s="706">
        <v>0.29743244734753344</v>
      </c>
      <c r="BM284" s="706">
        <v>0.29743244734753344</v>
      </c>
      <c r="BN284" s="706">
        <v>0.29743244734753344</v>
      </c>
      <c r="BO284" s="706"/>
      <c r="BP284" s="706"/>
      <c r="BQ284" s="706"/>
      <c r="BR284" s="706"/>
      <c r="BS284" s="706"/>
      <c r="BT284" s="706"/>
      <c r="BU284" s="706"/>
      <c r="BV284" s="791">
        <v>581.49163564788921</v>
      </c>
      <c r="BW284" s="791">
        <v>581.49163564788921</v>
      </c>
      <c r="BX284" s="791">
        <v>581.49163564788921</v>
      </c>
      <c r="BY284" s="791">
        <v>581.49163564788921</v>
      </c>
      <c r="BZ284" s="791">
        <v>581.49163564788921</v>
      </c>
      <c r="CA284" s="791">
        <v>581.49163564788921</v>
      </c>
      <c r="CB284" s="791">
        <v>581.49163564788921</v>
      </c>
      <c r="CC284" s="791">
        <v>581.49163564788921</v>
      </c>
      <c r="CD284" s="791">
        <v>581.49163564788921</v>
      </c>
      <c r="CE284" s="791">
        <v>581.49163564788921</v>
      </c>
      <c r="CF284" s="791">
        <v>581.49163564788921</v>
      </c>
      <c r="CG284" s="791">
        <v>581.49163564788921</v>
      </c>
      <c r="CH284" s="791">
        <v>581.49163564788921</v>
      </c>
      <c r="CI284" s="791">
        <v>581.49163564788921</v>
      </c>
      <c r="CJ284" s="791">
        <v>581.49163564788921</v>
      </c>
      <c r="CK284" s="791">
        <v>581.49163564788921</v>
      </c>
      <c r="CL284" s="791">
        <v>581.49163564788921</v>
      </c>
      <c r="CM284" s="791">
        <v>581.49163564788921</v>
      </c>
      <c r="CN284" s="791">
        <v>581.49163564788921</v>
      </c>
      <c r="CO284" s="706"/>
      <c r="CP284" s="706"/>
      <c r="CQ284" s="706"/>
      <c r="CR284" s="706"/>
    </row>
    <row r="285" spans="1:96">
      <c r="A285" s="694" t="s">
        <v>3</v>
      </c>
      <c r="B285" s="794">
        <v>41964</v>
      </c>
      <c r="C285" s="743">
        <v>2014</v>
      </c>
      <c r="D285" s="746" t="s">
        <v>15</v>
      </c>
      <c r="E285" s="746" t="s">
        <v>25</v>
      </c>
      <c r="F285" s="746" t="s">
        <v>17</v>
      </c>
      <c r="G285" s="746" t="s">
        <v>58</v>
      </c>
      <c r="H285" s="694" t="s">
        <v>959</v>
      </c>
      <c r="I285" s="746" t="s">
        <v>5</v>
      </c>
      <c r="J285" s="746" t="s">
        <v>376</v>
      </c>
      <c r="K285" s="706">
        <v>1</v>
      </c>
      <c r="L285" s="745" t="s">
        <v>58</v>
      </c>
      <c r="M285" s="706" t="s">
        <v>987</v>
      </c>
      <c r="N285" s="706">
        <v>19</v>
      </c>
      <c r="O285" s="706"/>
      <c r="P285" s="706"/>
      <c r="Q285" s="706"/>
      <c r="R285" s="706"/>
      <c r="S285" s="706"/>
      <c r="T285" s="706"/>
      <c r="U285" s="738">
        <v>0.62806842093767556</v>
      </c>
      <c r="V285" s="738">
        <v>1227.8974155200376</v>
      </c>
      <c r="W285" s="793">
        <v>0.62806842093767556</v>
      </c>
      <c r="X285" s="708">
        <v>1227.8974155200376</v>
      </c>
      <c r="Y285" s="719">
        <v>23330.050894880715</v>
      </c>
      <c r="Z285" s="719">
        <v>11048.341077309895</v>
      </c>
      <c r="AA285" s="719">
        <v>581.49163564788921</v>
      </c>
      <c r="AB285" s="738">
        <v>0.29743244734753344</v>
      </c>
      <c r="AC285" s="792">
        <v>1</v>
      </c>
      <c r="AD285" s="792">
        <v>1</v>
      </c>
      <c r="AE285" s="717">
        <v>0.56884057971014501</v>
      </c>
      <c r="AF285" s="714">
        <v>4.2407531067898789E-2</v>
      </c>
      <c r="AG285" s="706"/>
      <c r="AH285" s="792">
        <v>0.47356695135775378</v>
      </c>
      <c r="AI285" s="748">
        <v>0.56884057971014501</v>
      </c>
      <c r="AJ285" s="748">
        <v>4.2407531067898789E-2</v>
      </c>
      <c r="AK285" s="748"/>
      <c r="AL285" s="714">
        <v>0.47356695135775378</v>
      </c>
      <c r="AM285" s="706"/>
      <c r="AN285" s="706"/>
      <c r="AO285" s="706"/>
      <c r="AP285" s="706"/>
      <c r="AQ285" s="706"/>
      <c r="AR285" s="706" t="s">
        <v>957</v>
      </c>
      <c r="AS285" s="706"/>
      <c r="AT285" s="706"/>
      <c r="AU285" s="706"/>
      <c r="AV285" s="706">
        <v>0.29743244734753344</v>
      </c>
      <c r="AW285" s="706">
        <v>0.29743244734753344</v>
      </c>
      <c r="AX285" s="706">
        <v>0.29743244734753344</v>
      </c>
      <c r="AY285" s="706">
        <v>0.29743244734753344</v>
      </c>
      <c r="AZ285" s="706">
        <v>0.29743244734753344</v>
      </c>
      <c r="BA285" s="706">
        <v>0.29743244734753344</v>
      </c>
      <c r="BB285" s="706">
        <v>0.29743244734753344</v>
      </c>
      <c r="BC285" s="706">
        <v>0.29743244734753344</v>
      </c>
      <c r="BD285" s="706">
        <v>0.29743244734753344</v>
      </c>
      <c r="BE285" s="706">
        <v>0.29743244734753344</v>
      </c>
      <c r="BF285" s="706">
        <v>0.29743244734753344</v>
      </c>
      <c r="BG285" s="706">
        <v>0.29743244734753344</v>
      </c>
      <c r="BH285" s="706">
        <v>0.29743244734753344</v>
      </c>
      <c r="BI285" s="706">
        <v>0.29743244734753344</v>
      </c>
      <c r="BJ285" s="706">
        <v>0.29743244734753344</v>
      </c>
      <c r="BK285" s="706">
        <v>0.29743244734753344</v>
      </c>
      <c r="BL285" s="706">
        <v>0.29743244734753344</v>
      </c>
      <c r="BM285" s="706">
        <v>0.29743244734753344</v>
      </c>
      <c r="BN285" s="706">
        <v>0.29743244734753344</v>
      </c>
      <c r="BO285" s="706"/>
      <c r="BP285" s="706"/>
      <c r="BQ285" s="706"/>
      <c r="BR285" s="706"/>
      <c r="BS285" s="706"/>
      <c r="BT285" s="706"/>
      <c r="BU285" s="706"/>
      <c r="BV285" s="791">
        <v>581.49163564788921</v>
      </c>
      <c r="BW285" s="791">
        <v>581.49163564788921</v>
      </c>
      <c r="BX285" s="791">
        <v>581.49163564788921</v>
      </c>
      <c r="BY285" s="791">
        <v>581.49163564788921</v>
      </c>
      <c r="BZ285" s="791">
        <v>581.49163564788921</v>
      </c>
      <c r="CA285" s="791">
        <v>581.49163564788921</v>
      </c>
      <c r="CB285" s="791">
        <v>581.49163564788921</v>
      </c>
      <c r="CC285" s="791">
        <v>581.49163564788921</v>
      </c>
      <c r="CD285" s="791">
        <v>581.49163564788921</v>
      </c>
      <c r="CE285" s="791">
        <v>581.49163564788921</v>
      </c>
      <c r="CF285" s="791">
        <v>581.49163564788921</v>
      </c>
      <c r="CG285" s="791">
        <v>581.49163564788921</v>
      </c>
      <c r="CH285" s="791">
        <v>581.49163564788921</v>
      </c>
      <c r="CI285" s="791">
        <v>581.49163564788921</v>
      </c>
      <c r="CJ285" s="791">
        <v>581.49163564788921</v>
      </c>
      <c r="CK285" s="791">
        <v>581.49163564788921</v>
      </c>
      <c r="CL285" s="791">
        <v>581.49163564788921</v>
      </c>
      <c r="CM285" s="791">
        <v>581.49163564788921</v>
      </c>
      <c r="CN285" s="791">
        <v>581.49163564788921</v>
      </c>
      <c r="CO285" s="706"/>
      <c r="CP285" s="706"/>
      <c r="CQ285" s="706"/>
      <c r="CR285" s="706"/>
    </row>
    <row r="286" spans="1:96">
      <c r="A286" s="694" t="s">
        <v>3</v>
      </c>
      <c r="B286" s="794">
        <v>41960</v>
      </c>
      <c r="C286" s="743">
        <v>2014</v>
      </c>
      <c r="D286" s="746" t="s">
        <v>15</v>
      </c>
      <c r="E286" s="746" t="s">
        <v>25</v>
      </c>
      <c r="F286" s="746" t="s">
        <v>17</v>
      </c>
      <c r="G286" s="746" t="s">
        <v>58</v>
      </c>
      <c r="H286" s="694" t="s">
        <v>959</v>
      </c>
      <c r="I286" s="746" t="s">
        <v>5</v>
      </c>
      <c r="J286" s="746" t="s">
        <v>376</v>
      </c>
      <c r="K286" s="706">
        <v>1</v>
      </c>
      <c r="L286" s="745" t="s">
        <v>58</v>
      </c>
      <c r="M286" s="706" t="s">
        <v>986</v>
      </c>
      <c r="N286" s="706">
        <v>19</v>
      </c>
      <c r="O286" s="706"/>
      <c r="P286" s="706"/>
      <c r="Q286" s="706"/>
      <c r="R286" s="706"/>
      <c r="S286" s="706"/>
      <c r="T286" s="706"/>
      <c r="U286" s="738">
        <v>0.62806842093767556</v>
      </c>
      <c r="V286" s="738">
        <v>1227.8974155200376</v>
      </c>
      <c r="W286" s="793">
        <v>0.62806842093767556</v>
      </c>
      <c r="X286" s="708">
        <v>1227.8974155200376</v>
      </c>
      <c r="Y286" s="719">
        <v>23330.050894880715</v>
      </c>
      <c r="Z286" s="719">
        <v>11048.341077309895</v>
      </c>
      <c r="AA286" s="719">
        <v>581.49163564788921</v>
      </c>
      <c r="AB286" s="738">
        <v>0.29743244734753344</v>
      </c>
      <c r="AC286" s="792">
        <v>1</v>
      </c>
      <c r="AD286" s="792">
        <v>1</v>
      </c>
      <c r="AE286" s="717">
        <v>0.56884057971014501</v>
      </c>
      <c r="AF286" s="714">
        <v>4.2407531067898789E-2</v>
      </c>
      <c r="AG286" s="706"/>
      <c r="AH286" s="792">
        <v>0.47356695135775378</v>
      </c>
      <c r="AI286" s="748">
        <v>0.56884057971014501</v>
      </c>
      <c r="AJ286" s="748">
        <v>4.2407531067898789E-2</v>
      </c>
      <c r="AK286" s="748"/>
      <c r="AL286" s="714">
        <v>0.47356695135775378</v>
      </c>
      <c r="AM286" s="706"/>
      <c r="AN286" s="706"/>
      <c r="AO286" s="706"/>
      <c r="AP286" s="706"/>
      <c r="AQ286" s="706"/>
      <c r="AR286" s="706" t="s">
        <v>957</v>
      </c>
      <c r="AS286" s="706"/>
      <c r="AT286" s="706"/>
      <c r="AU286" s="706"/>
      <c r="AV286" s="706">
        <v>0.29743244734753344</v>
      </c>
      <c r="AW286" s="706">
        <v>0.29743244734753344</v>
      </c>
      <c r="AX286" s="706">
        <v>0.29743244734753344</v>
      </c>
      <c r="AY286" s="706">
        <v>0.29743244734753344</v>
      </c>
      <c r="AZ286" s="706">
        <v>0.29743244734753344</v>
      </c>
      <c r="BA286" s="706">
        <v>0.29743244734753344</v>
      </c>
      <c r="BB286" s="706">
        <v>0.29743244734753344</v>
      </c>
      <c r="BC286" s="706">
        <v>0.29743244734753344</v>
      </c>
      <c r="BD286" s="706">
        <v>0.29743244734753344</v>
      </c>
      <c r="BE286" s="706">
        <v>0.29743244734753344</v>
      </c>
      <c r="BF286" s="706">
        <v>0.29743244734753344</v>
      </c>
      <c r="BG286" s="706">
        <v>0.29743244734753344</v>
      </c>
      <c r="BH286" s="706">
        <v>0.29743244734753344</v>
      </c>
      <c r="BI286" s="706">
        <v>0.29743244734753344</v>
      </c>
      <c r="BJ286" s="706">
        <v>0.29743244734753344</v>
      </c>
      <c r="BK286" s="706">
        <v>0.29743244734753344</v>
      </c>
      <c r="BL286" s="706">
        <v>0.29743244734753344</v>
      </c>
      <c r="BM286" s="706">
        <v>0.29743244734753344</v>
      </c>
      <c r="BN286" s="706">
        <v>0.29743244734753344</v>
      </c>
      <c r="BO286" s="706"/>
      <c r="BP286" s="706"/>
      <c r="BQ286" s="706"/>
      <c r="BR286" s="706"/>
      <c r="BS286" s="706"/>
      <c r="BT286" s="706"/>
      <c r="BU286" s="706"/>
      <c r="BV286" s="791">
        <v>581.49163564788921</v>
      </c>
      <c r="BW286" s="791">
        <v>581.49163564788921</v>
      </c>
      <c r="BX286" s="791">
        <v>581.49163564788921</v>
      </c>
      <c r="BY286" s="791">
        <v>581.49163564788921</v>
      </c>
      <c r="BZ286" s="791">
        <v>581.49163564788921</v>
      </c>
      <c r="CA286" s="791">
        <v>581.49163564788921</v>
      </c>
      <c r="CB286" s="791">
        <v>581.49163564788921</v>
      </c>
      <c r="CC286" s="791">
        <v>581.49163564788921</v>
      </c>
      <c r="CD286" s="791">
        <v>581.49163564788921</v>
      </c>
      <c r="CE286" s="791">
        <v>581.49163564788921</v>
      </c>
      <c r="CF286" s="791">
        <v>581.49163564788921</v>
      </c>
      <c r="CG286" s="791">
        <v>581.49163564788921</v>
      </c>
      <c r="CH286" s="791">
        <v>581.49163564788921</v>
      </c>
      <c r="CI286" s="791">
        <v>581.49163564788921</v>
      </c>
      <c r="CJ286" s="791">
        <v>581.49163564788921</v>
      </c>
      <c r="CK286" s="791">
        <v>581.49163564788921</v>
      </c>
      <c r="CL286" s="791">
        <v>581.49163564788921</v>
      </c>
      <c r="CM286" s="791">
        <v>581.49163564788921</v>
      </c>
      <c r="CN286" s="791">
        <v>581.49163564788921</v>
      </c>
      <c r="CO286" s="706"/>
      <c r="CP286" s="706"/>
      <c r="CQ286" s="706"/>
      <c r="CR286" s="706"/>
    </row>
    <row r="287" spans="1:96">
      <c r="A287" s="694" t="s">
        <v>3</v>
      </c>
      <c r="B287" s="794">
        <v>41953</v>
      </c>
      <c r="C287" s="743">
        <v>2014</v>
      </c>
      <c r="D287" s="746" t="s">
        <v>15</v>
      </c>
      <c r="E287" s="746" t="s">
        <v>25</v>
      </c>
      <c r="F287" s="746" t="s">
        <v>17</v>
      </c>
      <c r="G287" s="746" t="s">
        <v>58</v>
      </c>
      <c r="H287" s="694" t="s">
        <v>959</v>
      </c>
      <c r="I287" s="746" t="s">
        <v>5</v>
      </c>
      <c r="J287" s="746" t="s">
        <v>376</v>
      </c>
      <c r="K287" s="706">
        <v>1</v>
      </c>
      <c r="L287" s="745" t="s">
        <v>58</v>
      </c>
      <c r="M287" s="706" t="s">
        <v>882</v>
      </c>
      <c r="N287" s="706">
        <v>19</v>
      </c>
      <c r="O287" s="706"/>
      <c r="P287" s="706"/>
      <c r="Q287" s="706"/>
      <c r="R287" s="706"/>
      <c r="S287" s="706"/>
      <c r="T287" s="706"/>
      <c r="U287" s="738">
        <v>0.62806842093767556</v>
      </c>
      <c r="V287" s="738">
        <v>1227.8974155200376</v>
      </c>
      <c r="W287" s="793">
        <v>0.62806842093767556</v>
      </c>
      <c r="X287" s="708">
        <v>1227.8974155200376</v>
      </c>
      <c r="Y287" s="719">
        <v>23330.050894880715</v>
      </c>
      <c r="Z287" s="719">
        <v>11048.341077309895</v>
      </c>
      <c r="AA287" s="719">
        <v>581.49163564788921</v>
      </c>
      <c r="AB287" s="738">
        <v>0.29743244734753344</v>
      </c>
      <c r="AC287" s="792">
        <v>1</v>
      </c>
      <c r="AD287" s="792">
        <v>1</v>
      </c>
      <c r="AE287" s="717">
        <v>0.56884057971014501</v>
      </c>
      <c r="AF287" s="714">
        <v>4.2407531067898789E-2</v>
      </c>
      <c r="AG287" s="706"/>
      <c r="AH287" s="792">
        <v>0.47356695135775378</v>
      </c>
      <c r="AI287" s="748">
        <v>0.56884057971014501</v>
      </c>
      <c r="AJ287" s="748">
        <v>4.2407531067898789E-2</v>
      </c>
      <c r="AK287" s="748"/>
      <c r="AL287" s="714">
        <v>0.47356695135775378</v>
      </c>
      <c r="AM287" s="706"/>
      <c r="AN287" s="706"/>
      <c r="AO287" s="706"/>
      <c r="AP287" s="706"/>
      <c r="AQ287" s="706"/>
      <c r="AR287" s="706" t="s">
        <v>957</v>
      </c>
      <c r="AS287" s="706"/>
      <c r="AT287" s="706"/>
      <c r="AU287" s="706"/>
      <c r="AV287" s="706">
        <v>0.29743244734753344</v>
      </c>
      <c r="AW287" s="706">
        <v>0.29743244734753344</v>
      </c>
      <c r="AX287" s="706">
        <v>0.29743244734753344</v>
      </c>
      <c r="AY287" s="706">
        <v>0.29743244734753344</v>
      </c>
      <c r="AZ287" s="706">
        <v>0.29743244734753344</v>
      </c>
      <c r="BA287" s="706">
        <v>0.29743244734753344</v>
      </c>
      <c r="BB287" s="706">
        <v>0.29743244734753344</v>
      </c>
      <c r="BC287" s="706">
        <v>0.29743244734753344</v>
      </c>
      <c r="BD287" s="706">
        <v>0.29743244734753344</v>
      </c>
      <c r="BE287" s="706">
        <v>0.29743244734753344</v>
      </c>
      <c r="BF287" s="706">
        <v>0.29743244734753344</v>
      </c>
      <c r="BG287" s="706">
        <v>0.29743244734753344</v>
      </c>
      <c r="BH287" s="706">
        <v>0.29743244734753344</v>
      </c>
      <c r="BI287" s="706">
        <v>0.29743244734753344</v>
      </c>
      <c r="BJ287" s="706">
        <v>0.29743244734753344</v>
      </c>
      <c r="BK287" s="706">
        <v>0.29743244734753344</v>
      </c>
      <c r="BL287" s="706">
        <v>0.29743244734753344</v>
      </c>
      <c r="BM287" s="706">
        <v>0.29743244734753344</v>
      </c>
      <c r="BN287" s="706">
        <v>0.29743244734753344</v>
      </c>
      <c r="BO287" s="706"/>
      <c r="BP287" s="706"/>
      <c r="BQ287" s="706"/>
      <c r="BR287" s="706"/>
      <c r="BS287" s="706"/>
      <c r="BT287" s="706"/>
      <c r="BU287" s="706"/>
      <c r="BV287" s="791">
        <v>581.49163564788921</v>
      </c>
      <c r="BW287" s="791">
        <v>581.49163564788921</v>
      </c>
      <c r="BX287" s="791">
        <v>581.49163564788921</v>
      </c>
      <c r="BY287" s="791">
        <v>581.49163564788921</v>
      </c>
      <c r="BZ287" s="791">
        <v>581.49163564788921</v>
      </c>
      <c r="CA287" s="791">
        <v>581.49163564788921</v>
      </c>
      <c r="CB287" s="791">
        <v>581.49163564788921</v>
      </c>
      <c r="CC287" s="791">
        <v>581.49163564788921</v>
      </c>
      <c r="CD287" s="791">
        <v>581.49163564788921</v>
      </c>
      <c r="CE287" s="791">
        <v>581.49163564788921</v>
      </c>
      <c r="CF287" s="791">
        <v>581.49163564788921</v>
      </c>
      <c r="CG287" s="791">
        <v>581.49163564788921</v>
      </c>
      <c r="CH287" s="791">
        <v>581.49163564788921</v>
      </c>
      <c r="CI287" s="791">
        <v>581.49163564788921</v>
      </c>
      <c r="CJ287" s="791">
        <v>581.49163564788921</v>
      </c>
      <c r="CK287" s="791">
        <v>581.49163564788921</v>
      </c>
      <c r="CL287" s="791">
        <v>581.49163564788921</v>
      </c>
      <c r="CM287" s="791">
        <v>581.49163564788921</v>
      </c>
      <c r="CN287" s="791">
        <v>581.49163564788921</v>
      </c>
      <c r="CO287" s="706"/>
      <c r="CP287" s="706"/>
      <c r="CQ287" s="706"/>
      <c r="CR287" s="706"/>
    </row>
    <row r="288" spans="1:96">
      <c r="A288" s="694" t="s">
        <v>3</v>
      </c>
      <c r="B288" s="794">
        <v>41964</v>
      </c>
      <c r="C288" s="743">
        <v>2014</v>
      </c>
      <c r="D288" s="746" t="s">
        <v>15</v>
      </c>
      <c r="E288" s="746" t="s">
        <v>25</v>
      </c>
      <c r="F288" s="746" t="s">
        <v>17</v>
      </c>
      <c r="G288" s="746" t="s">
        <v>58</v>
      </c>
      <c r="H288" s="694" t="s">
        <v>959</v>
      </c>
      <c r="I288" s="746" t="s">
        <v>5</v>
      </c>
      <c r="J288" s="746" t="s">
        <v>376</v>
      </c>
      <c r="K288" s="706">
        <v>1</v>
      </c>
      <c r="L288" s="745" t="s">
        <v>58</v>
      </c>
      <c r="M288" s="706" t="s">
        <v>985</v>
      </c>
      <c r="N288" s="706">
        <v>19</v>
      </c>
      <c r="O288" s="706"/>
      <c r="P288" s="706"/>
      <c r="Q288" s="706"/>
      <c r="R288" s="706"/>
      <c r="S288" s="706"/>
      <c r="T288" s="706"/>
      <c r="U288" s="738">
        <v>0.62806842093767556</v>
      </c>
      <c r="V288" s="738">
        <v>1227.8974155200376</v>
      </c>
      <c r="W288" s="793">
        <v>0.62806842093767556</v>
      </c>
      <c r="X288" s="708">
        <v>1227.8974155200376</v>
      </c>
      <c r="Y288" s="719">
        <v>23330.050894880715</v>
      </c>
      <c r="Z288" s="719">
        <v>11048.341077309895</v>
      </c>
      <c r="AA288" s="719">
        <v>581.49163564788921</v>
      </c>
      <c r="AB288" s="738">
        <v>0.29743244734753344</v>
      </c>
      <c r="AC288" s="792">
        <v>1</v>
      </c>
      <c r="AD288" s="792">
        <v>1</v>
      </c>
      <c r="AE288" s="717">
        <v>0.56884057971014501</v>
      </c>
      <c r="AF288" s="714">
        <v>4.2407531067898789E-2</v>
      </c>
      <c r="AG288" s="706"/>
      <c r="AH288" s="792">
        <v>0.47356695135775378</v>
      </c>
      <c r="AI288" s="748">
        <v>0.56884057971014501</v>
      </c>
      <c r="AJ288" s="748">
        <v>4.2407531067898789E-2</v>
      </c>
      <c r="AK288" s="748"/>
      <c r="AL288" s="714">
        <v>0.47356695135775378</v>
      </c>
      <c r="AM288" s="706"/>
      <c r="AN288" s="706"/>
      <c r="AO288" s="706"/>
      <c r="AP288" s="706"/>
      <c r="AQ288" s="706"/>
      <c r="AR288" s="706" t="s">
        <v>957</v>
      </c>
      <c r="AS288" s="706"/>
      <c r="AT288" s="706"/>
      <c r="AU288" s="706"/>
      <c r="AV288" s="706">
        <v>0.29743244734753344</v>
      </c>
      <c r="AW288" s="706">
        <v>0.29743244734753344</v>
      </c>
      <c r="AX288" s="706">
        <v>0.29743244734753344</v>
      </c>
      <c r="AY288" s="706">
        <v>0.29743244734753344</v>
      </c>
      <c r="AZ288" s="706">
        <v>0.29743244734753344</v>
      </c>
      <c r="BA288" s="706">
        <v>0.29743244734753344</v>
      </c>
      <c r="BB288" s="706">
        <v>0.29743244734753344</v>
      </c>
      <c r="BC288" s="706">
        <v>0.29743244734753344</v>
      </c>
      <c r="BD288" s="706">
        <v>0.29743244734753344</v>
      </c>
      <c r="BE288" s="706">
        <v>0.29743244734753344</v>
      </c>
      <c r="BF288" s="706">
        <v>0.29743244734753344</v>
      </c>
      <c r="BG288" s="706">
        <v>0.29743244734753344</v>
      </c>
      <c r="BH288" s="706">
        <v>0.29743244734753344</v>
      </c>
      <c r="BI288" s="706">
        <v>0.29743244734753344</v>
      </c>
      <c r="BJ288" s="706">
        <v>0.29743244734753344</v>
      </c>
      <c r="BK288" s="706">
        <v>0.29743244734753344</v>
      </c>
      <c r="BL288" s="706">
        <v>0.29743244734753344</v>
      </c>
      <c r="BM288" s="706">
        <v>0.29743244734753344</v>
      </c>
      <c r="BN288" s="706">
        <v>0.29743244734753344</v>
      </c>
      <c r="BO288" s="706"/>
      <c r="BP288" s="706"/>
      <c r="BQ288" s="706"/>
      <c r="BR288" s="706"/>
      <c r="BS288" s="706"/>
      <c r="BT288" s="706"/>
      <c r="BU288" s="706"/>
      <c r="BV288" s="791">
        <v>581.49163564788921</v>
      </c>
      <c r="BW288" s="791">
        <v>581.49163564788921</v>
      </c>
      <c r="BX288" s="791">
        <v>581.49163564788921</v>
      </c>
      <c r="BY288" s="791">
        <v>581.49163564788921</v>
      </c>
      <c r="BZ288" s="791">
        <v>581.49163564788921</v>
      </c>
      <c r="CA288" s="791">
        <v>581.49163564788921</v>
      </c>
      <c r="CB288" s="791">
        <v>581.49163564788921</v>
      </c>
      <c r="CC288" s="791">
        <v>581.49163564788921</v>
      </c>
      <c r="CD288" s="791">
        <v>581.49163564788921</v>
      </c>
      <c r="CE288" s="791">
        <v>581.49163564788921</v>
      </c>
      <c r="CF288" s="791">
        <v>581.49163564788921</v>
      </c>
      <c r="CG288" s="791">
        <v>581.49163564788921</v>
      </c>
      <c r="CH288" s="791">
        <v>581.49163564788921</v>
      </c>
      <c r="CI288" s="791">
        <v>581.49163564788921</v>
      </c>
      <c r="CJ288" s="791">
        <v>581.49163564788921</v>
      </c>
      <c r="CK288" s="791">
        <v>581.49163564788921</v>
      </c>
      <c r="CL288" s="791">
        <v>581.49163564788921</v>
      </c>
      <c r="CM288" s="791">
        <v>581.49163564788921</v>
      </c>
      <c r="CN288" s="791">
        <v>581.49163564788921</v>
      </c>
      <c r="CO288" s="706"/>
      <c r="CP288" s="706"/>
      <c r="CQ288" s="706"/>
      <c r="CR288" s="706"/>
    </row>
    <row r="289" spans="1:96">
      <c r="A289" s="694" t="s">
        <v>3</v>
      </c>
      <c r="B289" s="794">
        <v>41967</v>
      </c>
      <c r="C289" s="743">
        <v>2014</v>
      </c>
      <c r="D289" s="746" t="s">
        <v>15</v>
      </c>
      <c r="E289" s="746" t="s">
        <v>25</v>
      </c>
      <c r="F289" s="746" t="s">
        <v>17</v>
      </c>
      <c r="G289" s="746" t="s">
        <v>58</v>
      </c>
      <c r="H289" s="694" t="s">
        <v>959</v>
      </c>
      <c r="I289" s="746" t="s">
        <v>5</v>
      </c>
      <c r="J289" s="746" t="s">
        <v>376</v>
      </c>
      <c r="K289" s="706">
        <v>1</v>
      </c>
      <c r="L289" s="745" t="s">
        <v>58</v>
      </c>
      <c r="M289" s="706" t="s">
        <v>984</v>
      </c>
      <c r="N289" s="706">
        <v>19</v>
      </c>
      <c r="O289" s="706"/>
      <c r="P289" s="706"/>
      <c r="Q289" s="706"/>
      <c r="R289" s="706"/>
      <c r="S289" s="706"/>
      <c r="T289" s="706"/>
      <c r="U289" s="738">
        <v>0.62806842093767556</v>
      </c>
      <c r="V289" s="738">
        <v>1227.8974155200376</v>
      </c>
      <c r="W289" s="793">
        <v>0.62806842093767556</v>
      </c>
      <c r="X289" s="708">
        <v>1227.8974155200376</v>
      </c>
      <c r="Y289" s="719">
        <v>23330.050894880715</v>
      </c>
      <c r="Z289" s="719">
        <v>11048.341077309895</v>
      </c>
      <c r="AA289" s="719">
        <v>581.49163564788921</v>
      </c>
      <c r="AB289" s="738">
        <v>0.29743244734753344</v>
      </c>
      <c r="AC289" s="792">
        <v>1</v>
      </c>
      <c r="AD289" s="792">
        <v>1</v>
      </c>
      <c r="AE289" s="717">
        <v>0.56884057971014501</v>
      </c>
      <c r="AF289" s="714">
        <v>4.2407531067898789E-2</v>
      </c>
      <c r="AG289" s="706"/>
      <c r="AH289" s="792">
        <v>0.47356695135775378</v>
      </c>
      <c r="AI289" s="748">
        <v>0.56884057971014501</v>
      </c>
      <c r="AJ289" s="748">
        <v>4.2407531067898789E-2</v>
      </c>
      <c r="AK289" s="748"/>
      <c r="AL289" s="714">
        <v>0.47356695135775378</v>
      </c>
      <c r="AM289" s="706"/>
      <c r="AN289" s="706"/>
      <c r="AO289" s="706"/>
      <c r="AP289" s="706"/>
      <c r="AQ289" s="706"/>
      <c r="AR289" s="706" t="s">
        <v>957</v>
      </c>
      <c r="AS289" s="706"/>
      <c r="AT289" s="706"/>
      <c r="AU289" s="706"/>
      <c r="AV289" s="706">
        <v>0.29743244734753344</v>
      </c>
      <c r="AW289" s="706">
        <v>0.29743244734753344</v>
      </c>
      <c r="AX289" s="706">
        <v>0.29743244734753344</v>
      </c>
      <c r="AY289" s="706">
        <v>0.29743244734753344</v>
      </c>
      <c r="AZ289" s="706">
        <v>0.29743244734753344</v>
      </c>
      <c r="BA289" s="706">
        <v>0.29743244734753344</v>
      </c>
      <c r="BB289" s="706">
        <v>0.29743244734753344</v>
      </c>
      <c r="BC289" s="706">
        <v>0.29743244734753344</v>
      </c>
      <c r="BD289" s="706">
        <v>0.29743244734753344</v>
      </c>
      <c r="BE289" s="706">
        <v>0.29743244734753344</v>
      </c>
      <c r="BF289" s="706">
        <v>0.29743244734753344</v>
      </c>
      <c r="BG289" s="706">
        <v>0.29743244734753344</v>
      </c>
      <c r="BH289" s="706">
        <v>0.29743244734753344</v>
      </c>
      <c r="BI289" s="706">
        <v>0.29743244734753344</v>
      </c>
      <c r="BJ289" s="706">
        <v>0.29743244734753344</v>
      </c>
      <c r="BK289" s="706">
        <v>0.29743244734753344</v>
      </c>
      <c r="BL289" s="706">
        <v>0.29743244734753344</v>
      </c>
      <c r="BM289" s="706">
        <v>0.29743244734753344</v>
      </c>
      <c r="BN289" s="706">
        <v>0.29743244734753344</v>
      </c>
      <c r="BO289" s="706"/>
      <c r="BP289" s="706"/>
      <c r="BQ289" s="706"/>
      <c r="BR289" s="706"/>
      <c r="BS289" s="706"/>
      <c r="BT289" s="706"/>
      <c r="BU289" s="706"/>
      <c r="BV289" s="791">
        <v>581.49163564788921</v>
      </c>
      <c r="BW289" s="791">
        <v>581.49163564788921</v>
      </c>
      <c r="BX289" s="791">
        <v>581.49163564788921</v>
      </c>
      <c r="BY289" s="791">
        <v>581.49163564788921</v>
      </c>
      <c r="BZ289" s="791">
        <v>581.49163564788921</v>
      </c>
      <c r="CA289" s="791">
        <v>581.49163564788921</v>
      </c>
      <c r="CB289" s="791">
        <v>581.49163564788921</v>
      </c>
      <c r="CC289" s="791">
        <v>581.49163564788921</v>
      </c>
      <c r="CD289" s="791">
        <v>581.49163564788921</v>
      </c>
      <c r="CE289" s="791">
        <v>581.49163564788921</v>
      </c>
      <c r="CF289" s="791">
        <v>581.49163564788921</v>
      </c>
      <c r="CG289" s="791">
        <v>581.49163564788921</v>
      </c>
      <c r="CH289" s="791">
        <v>581.49163564788921</v>
      </c>
      <c r="CI289" s="791">
        <v>581.49163564788921</v>
      </c>
      <c r="CJ289" s="791">
        <v>581.49163564788921</v>
      </c>
      <c r="CK289" s="791">
        <v>581.49163564788921</v>
      </c>
      <c r="CL289" s="791">
        <v>581.49163564788921</v>
      </c>
      <c r="CM289" s="791">
        <v>581.49163564788921</v>
      </c>
      <c r="CN289" s="791">
        <v>581.49163564788921</v>
      </c>
      <c r="CO289" s="706"/>
      <c r="CP289" s="706"/>
      <c r="CQ289" s="706"/>
      <c r="CR289" s="706"/>
    </row>
    <row r="290" spans="1:96">
      <c r="A290" s="694" t="s">
        <v>3</v>
      </c>
      <c r="B290" s="794">
        <v>41953</v>
      </c>
      <c r="C290" s="743">
        <v>2014</v>
      </c>
      <c r="D290" s="746" t="s">
        <v>15</v>
      </c>
      <c r="E290" s="746" t="s">
        <v>25</v>
      </c>
      <c r="F290" s="746" t="s">
        <v>17</v>
      </c>
      <c r="G290" s="746" t="s">
        <v>58</v>
      </c>
      <c r="H290" s="694" t="s">
        <v>959</v>
      </c>
      <c r="I290" s="746" t="s">
        <v>5</v>
      </c>
      <c r="J290" s="746" t="s">
        <v>376</v>
      </c>
      <c r="K290" s="706">
        <v>1</v>
      </c>
      <c r="L290" s="745" t="s">
        <v>58</v>
      </c>
      <c r="M290" s="706" t="s">
        <v>983</v>
      </c>
      <c r="N290" s="706">
        <v>19</v>
      </c>
      <c r="O290" s="706"/>
      <c r="P290" s="706"/>
      <c r="Q290" s="706"/>
      <c r="R290" s="706"/>
      <c r="S290" s="706"/>
      <c r="T290" s="706"/>
      <c r="U290" s="738">
        <v>0.62806842093767556</v>
      </c>
      <c r="V290" s="738">
        <v>1227.8974155200376</v>
      </c>
      <c r="W290" s="793">
        <v>0.62806842093767556</v>
      </c>
      <c r="X290" s="708">
        <v>1227.8974155200376</v>
      </c>
      <c r="Y290" s="719">
        <v>23330.050894880715</v>
      </c>
      <c r="Z290" s="719">
        <v>11048.341077309895</v>
      </c>
      <c r="AA290" s="719">
        <v>581.49163564788921</v>
      </c>
      <c r="AB290" s="738">
        <v>0.29743244734753344</v>
      </c>
      <c r="AC290" s="792">
        <v>1</v>
      </c>
      <c r="AD290" s="792">
        <v>1</v>
      </c>
      <c r="AE290" s="717">
        <v>0.56884057971014501</v>
      </c>
      <c r="AF290" s="714">
        <v>4.2407531067898789E-2</v>
      </c>
      <c r="AG290" s="706"/>
      <c r="AH290" s="792">
        <v>0.47356695135775378</v>
      </c>
      <c r="AI290" s="748">
        <v>0.56884057971014501</v>
      </c>
      <c r="AJ290" s="748">
        <v>4.2407531067898789E-2</v>
      </c>
      <c r="AK290" s="748"/>
      <c r="AL290" s="714">
        <v>0.47356695135775378</v>
      </c>
      <c r="AM290" s="706"/>
      <c r="AN290" s="706"/>
      <c r="AO290" s="706"/>
      <c r="AP290" s="706"/>
      <c r="AQ290" s="706"/>
      <c r="AR290" s="706" t="s">
        <v>957</v>
      </c>
      <c r="AS290" s="706"/>
      <c r="AT290" s="706"/>
      <c r="AU290" s="706"/>
      <c r="AV290" s="706">
        <v>0.29743244734753344</v>
      </c>
      <c r="AW290" s="706">
        <v>0.29743244734753344</v>
      </c>
      <c r="AX290" s="706">
        <v>0.29743244734753344</v>
      </c>
      <c r="AY290" s="706">
        <v>0.29743244734753344</v>
      </c>
      <c r="AZ290" s="706">
        <v>0.29743244734753344</v>
      </c>
      <c r="BA290" s="706">
        <v>0.29743244734753344</v>
      </c>
      <c r="BB290" s="706">
        <v>0.29743244734753344</v>
      </c>
      <c r="BC290" s="706">
        <v>0.29743244734753344</v>
      </c>
      <c r="BD290" s="706">
        <v>0.29743244734753344</v>
      </c>
      <c r="BE290" s="706">
        <v>0.29743244734753344</v>
      </c>
      <c r="BF290" s="706">
        <v>0.29743244734753344</v>
      </c>
      <c r="BG290" s="706">
        <v>0.29743244734753344</v>
      </c>
      <c r="BH290" s="706">
        <v>0.29743244734753344</v>
      </c>
      <c r="BI290" s="706">
        <v>0.29743244734753344</v>
      </c>
      <c r="BJ290" s="706">
        <v>0.29743244734753344</v>
      </c>
      <c r="BK290" s="706">
        <v>0.29743244734753344</v>
      </c>
      <c r="BL290" s="706">
        <v>0.29743244734753344</v>
      </c>
      <c r="BM290" s="706">
        <v>0.29743244734753344</v>
      </c>
      <c r="BN290" s="706">
        <v>0.29743244734753344</v>
      </c>
      <c r="BO290" s="706"/>
      <c r="BP290" s="706"/>
      <c r="BQ290" s="706"/>
      <c r="BR290" s="706"/>
      <c r="BS290" s="706"/>
      <c r="BT290" s="706"/>
      <c r="BU290" s="706"/>
      <c r="BV290" s="791">
        <v>581.49163564788921</v>
      </c>
      <c r="BW290" s="791">
        <v>581.49163564788921</v>
      </c>
      <c r="BX290" s="791">
        <v>581.49163564788921</v>
      </c>
      <c r="BY290" s="791">
        <v>581.49163564788921</v>
      </c>
      <c r="BZ290" s="791">
        <v>581.49163564788921</v>
      </c>
      <c r="CA290" s="791">
        <v>581.49163564788921</v>
      </c>
      <c r="CB290" s="791">
        <v>581.49163564788921</v>
      </c>
      <c r="CC290" s="791">
        <v>581.49163564788921</v>
      </c>
      <c r="CD290" s="791">
        <v>581.49163564788921</v>
      </c>
      <c r="CE290" s="791">
        <v>581.49163564788921</v>
      </c>
      <c r="CF290" s="791">
        <v>581.49163564788921</v>
      </c>
      <c r="CG290" s="791">
        <v>581.49163564788921</v>
      </c>
      <c r="CH290" s="791">
        <v>581.49163564788921</v>
      </c>
      <c r="CI290" s="791">
        <v>581.49163564788921</v>
      </c>
      <c r="CJ290" s="791">
        <v>581.49163564788921</v>
      </c>
      <c r="CK290" s="791">
        <v>581.49163564788921</v>
      </c>
      <c r="CL290" s="791">
        <v>581.49163564788921</v>
      </c>
      <c r="CM290" s="791">
        <v>581.49163564788921</v>
      </c>
      <c r="CN290" s="791">
        <v>581.49163564788921</v>
      </c>
      <c r="CO290" s="706"/>
      <c r="CP290" s="706"/>
      <c r="CQ290" s="706"/>
      <c r="CR290" s="706"/>
    </row>
    <row r="291" spans="1:96">
      <c r="A291" s="694" t="s">
        <v>3</v>
      </c>
      <c r="B291" s="794">
        <v>41969</v>
      </c>
      <c r="C291" s="743">
        <v>2014</v>
      </c>
      <c r="D291" s="746" t="s">
        <v>15</v>
      </c>
      <c r="E291" s="746" t="s">
        <v>25</v>
      </c>
      <c r="F291" s="746" t="s">
        <v>17</v>
      </c>
      <c r="G291" s="746" t="s">
        <v>58</v>
      </c>
      <c r="H291" s="694" t="s">
        <v>959</v>
      </c>
      <c r="I291" s="746" t="s">
        <v>5</v>
      </c>
      <c r="J291" s="746" t="s">
        <v>376</v>
      </c>
      <c r="K291" s="706">
        <v>1</v>
      </c>
      <c r="L291" s="745" t="s">
        <v>58</v>
      </c>
      <c r="M291" s="706" t="s">
        <v>982</v>
      </c>
      <c r="N291" s="706">
        <v>19</v>
      </c>
      <c r="O291" s="706"/>
      <c r="P291" s="706"/>
      <c r="Q291" s="706"/>
      <c r="R291" s="706"/>
      <c r="S291" s="706"/>
      <c r="T291" s="706"/>
      <c r="U291" s="738">
        <v>0.62806842093767556</v>
      </c>
      <c r="V291" s="738">
        <v>1227.8974155200376</v>
      </c>
      <c r="W291" s="793">
        <v>0.62806842093767556</v>
      </c>
      <c r="X291" s="708">
        <v>1227.8974155200376</v>
      </c>
      <c r="Y291" s="719">
        <v>23330.050894880715</v>
      </c>
      <c r="Z291" s="719">
        <v>11048.341077309895</v>
      </c>
      <c r="AA291" s="719">
        <v>581.49163564788921</v>
      </c>
      <c r="AB291" s="738">
        <v>0.29743244734753344</v>
      </c>
      <c r="AC291" s="792">
        <v>1</v>
      </c>
      <c r="AD291" s="792">
        <v>1</v>
      </c>
      <c r="AE291" s="717">
        <v>0.56884057971014501</v>
      </c>
      <c r="AF291" s="714">
        <v>4.2407531067898789E-2</v>
      </c>
      <c r="AG291" s="706"/>
      <c r="AH291" s="792">
        <v>0.47356695135775378</v>
      </c>
      <c r="AI291" s="748">
        <v>0.56884057971014501</v>
      </c>
      <c r="AJ291" s="748">
        <v>4.2407531067898789E-2</v>
      </c>
      <c r="AK291" s="748"/>
      <c r="AL291" s="714">
        <v>0.47356695135775378</v>
      </c>
      <c r="AM291" s="706"/>
      <c r="AN291" s="706"/>
      <c r="AO291" s="706"/>
      <c r="AP291" s="706"/>
      <c r="AQ291" s="706"/>
      <c r="AR291" s="706" t="s">
        <v>957</v>
      </c>
      <c r="AS291" s="706"/>
      <c r="AT291" s="706"/>
      <c r="AU291" s="706"/>
      <c r="AV291" s="706">
        <v>0.29743244734753344</v>
      </c>
      <c r="AW291" s="706">
        <v>0.29743244734753344</v>
      </c>
      <c r="AX291" s="706">
        <v>0.29743244734753344</v>
      </c>
      <c r="AY291" s="706">
        <v>0.29743244734753344</v>
      </c>
      <c r="AZ291" s="706">
        <v>0.29743244734753344</v>
      </c>
      <c r="BA291" s="706">
        <v>0.29743244734753344</v>
      </c>
      <c r="BB291" s="706">
        <v>0.29743244734753344</v>
      </c>
      <c r="BC291" s="706">
        <v>0.29743244734753344</v>
      </c>
      <c r="BD291" s="706">
        <v>0.29743244734753344</v>
      </c>
      <c r="BE291" s="706">
        <v>0.29743244734753344</v>
      </c>
      <c r="BF291" s="706">
        <v>0.29743244734753344</v>
      </c>
      <c r="BG291" s="706">
        <v>0.29743244734753344</v>
      </c>
      <c r="BH291" s="706">
        <v>0.29743244734753344</v>
      </c>
      <c r="BI291" s="706">
        <v>0.29743244734753344</v>
      </c>
      <c r="BJ291" s="706">
        <v>0.29743244734753344</v>
      </c>
      <c r="BK291" s="706">
        <v>0.29743244734753344</v>
      </c>
      <c r="BL291" s="706">
        <v>0.29743244734753344</v>
      </c>
      <c r="BM291" s="706">
        <v>0.29743244734753344</v>
      </c>
      <c r="BN291" s="706">
        <v>0.29743244734753344</v>
      </c>
      <c r="BO291" s="706"/>
      <c r="BP291" s="706"/>
      <c r="BQ291" s="706"/>
      <c r="BR291" s="706"/>
      <c r="BS291" s="706"/>
      <c r="BT291" s="706"/>
      <c r="BU291" s="706"/>
      <c r="BV291" s="791">
        <v>581.49163564788921</v>
      </c>
      <c r="BW291" s="791">
        <v>581.49163564788921</v>
      </c>
      <c r="BX291" s="791">
        <v>581.49163564788921</v>
      </c>
      <c r="BY291" s="791">
        <v>581.49163564788921</v>
      </c>
      <c r="BZ291" s="791">
        <v>581.49163564788921</v>
      </c>
      <c r="CA291" s="791">
        <v>581.49163564788921</v>
      </c>
      <c r="CB291" s="791">
        <v>581.49163564788921</v>
      </c>
      <c r="CC291" s="791">
        <v>581.49163564788921</v>
      </c>
      <c r="CD291" s="791">
        <v>581.49163564788921</v>
      </c>
      <c r="CE291" s="791">
        <v>581.49163564788921</v>
      </c>
      <c r="CF291" s="791">
        <v>581.49163564788921</v>
      </c>
      <c r="CG291" s="791">
        <v>581.49163564788921</v>
      </c>
      <c r="CH291" s="791">
        <v>581.49163564788921</v>
      </c>
      <c r="CI291" s="791">
        <v>581.49163564788921</v>
      </c>
      <c r="CJ291" s="791">
        <v>581.49163564788921</v>
      </c>
      <c r="CK291" s="791">
        <v>581.49163564788921</v>
      </c>
      <c r="CL291" s="791">
        <v>581.49163564788921</v>
      </c>
      <c r="CM291" s="791">
        <v>581.49163564788921</v>
      </c>
      <c r="CN291" s="791">
        <v>581.49163564788921</v>
      </c>
      <c r="CO291" s="706"/>
      <c r="CP291" s="706"/>
      <c r="CQ291" s="706"/>
      <c r="CR291" s="706"/>
    </row>
    <row r="292" spans="1:96">
      <c r="A292" s="694" t="s">
        <v>3</v>
      </c>
      <c r="B292" s="794">
        <v>41971</v>
      </c>
      <c r="C292" s="743">
        <v>2014</v>
      </c>
      <c r="D292" s="746" t="s">
        <v>15</v>
      </c>
      <c r="E292" s="746" t="s">
        <v>25</v>
      </c>
      <c r="F292" s="746" t="s">
        <v>17</v>
      </c>
      <c r="G292" s="746" t="s">
        <v>58</v>
      </c>
      <c r="H292" s="694" t="s">
        <v>959</v>
      </c>
      <c r="I292" s="746" t="s">
        <v>5</v>
      </c>
      <c r="J292" s="746" t="s">
        <v>376</v>
      </c>
      <c r="K292" s="706">
        <v>1</v>
      </c>
      <c r="L292" s="745" t="s">
        <v>58</v>
      </c>
      <c r="M292" s="706" t="s">
        <v>981</v>
      </c>
      <c r="N292" s="706">
        <v>19</v>
      </c>
      <c r="O292" s="706"/>
      <c r="P292" s="706"/>
      <c r="Q292" s="706"/>
      <c r="R292" s="706"/>
      <c r="S292" s="706"/>
      <c r="T292" s="706"/>
      <c r="U292" s="738">
        <v>0.62806842093767556</v>
      </c>
      <c r="V292" s="738">
        <v>1227.8974155200376</v>
      </c>
      <c r="W292" s="793">
        <v>0.62806842093767556</v>
      </c>
      <c r="X292" s="708">
        <v>1227.8974155200376</v>
      </c>
      <c r="Y292" s="719">
        <v>23330.050894880715</v>
      </c>
      <c r="Z292" s="719">
        <v>11048.341077309895</v>
      </c>
      <c r="AA292" s="719">
        <v>581.49163564788921</v>
      </c>
      <c r="AB292" s="738">
        <v>0.29743244734753344</v>
      </c>
      <c r="AC292" s="792">
        <v>1</v>
      </c>
      <c r="AD292" s="792">
        <v>1</v>
      </c>
      <c r="AE292" s="717">
        <v>0.56884057971014501</v>
      </c>
      <c r="AF292" s="714">
        <v>4.2407531067898789E-2</v>
      </c>
      <c r="AG292" s="706"/>
      <c r="AH292" s="792">
        <v>0.47356695135775378</v>
      </c>
      <c r="AI292" s="748">
        <v>0.56884057971014501</v>
      </c>
      <c r="AJ292" s="748">
        <v>4.2407531067898789E-2</v>
      </c>
      <c r="AK292" s="748"/>
      <c r="AL292" s="714">
        <v>0.47356695135775378</v>
      </c>
      <c r="AM292" s="706"/>
      <c r="AN292" s="706"/>
      <c r="AO292" s="706"/>
      <c r="AP292" s="706"/>
      <c r="AQ292" s="706"/>
      <c r="AR292" s="706" t="s">
        <v>957</v>
      </c>
      <c r="AS292" s="706"/>
      <c r="AT292" s="706"/>
      <c r="AU292" s="706"/>
      <c r="AV292" s="706">
        <v>0.29743244734753344</v>
      </c>
      <c r="AW292" s="706">
        <v>0.29743244734753344</v>
      </c>
      <c r="AX292" s="706">
        <v>0.29743244734753344</v>
      </c>
      <c r="AY292" s="706">
        <v>0.29743244734753344</v>
      </c>
      <c r="AZ292" s="706">
        <v>0.29743244734753344</v>
      </c>
      <c r="BA292" s="706">
        <v>0.29743244734753344</v>
      </c>
      <c r="BB292" s="706">
        <v>0.29743244734753344</v>
      </c>
      <c r="BC292" s="706">
        <v>0.29743244734753344</v>
      </c>
      <c r="BD292" s="706">
        <v>0.29743244734753344</v>
      </c>
      <c r="BE292" s="706">
        <v>0.29743244734753344</v>
      </c>
      <c r="BF292" s="706">
        <v>0.29743244734753344</v>
      </c>
      <c r="BG292" s="706">
        <v>0.29743244734753344</v>
      </c>
      <c r="BH292" s="706">
        <v>0.29743244734753344</v>
      </c>
      <c r="BI292" s="706">
        <v>0.29743244734753344</v>
      </c>
      <c r="BJ292" s="706">
        <v>0.29743244734753344</v>
      </c>
      <c r="BK292" s="706">
        <v>0.29743244734753344</v>
      </c>
      <c r="BL292" s="706">
        <v>0.29743244734753344</v>
      </c>
      <c r="BM292" s="706">
        <v>0.29743244734753344</v>
      </c>
      <c r="BN292" s="706">
        <v>0.29743244734753344</v>
      </c>
      <c r="BO292" s="706"/>
      <c r="BP292" s="706"/>
      <c r="BQ292" s="706"/>
      <c r="BR292" s="706"/>
      <c r="BS292" s="706"/>
      <c r="BT292" s="706"/>
      <c r="BU292" s="706"/>
      <c r="BV292" s="791">
        <v>581.49163564788921</v>
      </c>
      <c r="BW292" s="791">
        <v>581.49163564788921</v>
      </c>
      <c r="BX292" s="791">
        <v>581.49163564788921</v>
      </c>
      <c r="BY292" s="791">
        <v>581.49163564788921</v>
      </c>
      <c r="BZ292" s="791">
        <v>581.49163564788921</v>
      </c>
      <c r="CA292" s="791">
        <v>581.49163564788921</v>
      </c>
      <c r="CB292" s="791">
        <v>581.49163564788921</v>
      </c>
      <c r="CC292" s="791">
        <v>581.49163564788921</v>
      </c>
      <c r="CD292" s="791">
        <v>581.49163564788921</v>
      </c>
      <c r="CE292" s="791">
        <v>581.49163564788921</v>
      </c>
      <c r="CF292" s="791">
        <v>581.49163564788921</v>
      </c>
      <c r="CG292" s="791">
        <v>581.49163564788921</v>
      </c>
      <c r="CH292" s="791">
        <v>581.49163564788921</v>
      </c>
      <c r="CI292" s="791">
        <v>581.49163564788921</v>
      </c>
      <c r="CJ292" s="791">
        <v>581.49163564788921</v>
      </c>
      <c r="CK292" s="791">
        <v>581.49163564788921</v>
      </c>
      <c r="CL292" s="791">
        <v>581.49163564788921</v>
      </c>
      <c r="CM292" s="791">
        <v>581.49163564788921</v>
      </c>
      <c r="CN292" s="791">
        <v>581.49163564788921</v>
      </c>
      <c r="CO292" s="706"/>
      <c r="CP292" s="706"/>
      <c r="CQ292" s="706"/>
      <c r="CR292" s="706"/>
    </row>
    <row r="293" spans="1:96">
      <c r="A293" s="694" t="s">
        <v>3</v>
      </c>
      <c r="B293" s="794">
        <v>41971</v>
      </c>
      <c r="C293" s="743">
        <v>2014</v>
      </c>
      <c r="D293" s="746" t="s">
        <v>15</v>
      </c>
      <c r="E293" s="746" t="s">
        <v>25</v>
      </c>
      <c r="F293" s="746" t="s">
        <v>17</v>
      </c>
      <c r="G293" s="746" t="s">
        <v>58</v>
      </c>
      <c r="H293" s="694" t="s">
        <v>959</v>
      </c>
      <c r="I293" s="746" t="s">
        <v>5</v>
      </c>
      <c r="J293" s="746" t="s">
        <v>376</v>
      </c>
      <c r="K293" s="706">
        <v>1</v>
      </c>
      <c r="L293" s="745" t="s">
        <v>58</v>
      </c>
      <c r="M293" s="706" t="s">
        <v>980</v>
      </c>
      <c r="N293" s="706">
        <v>19</v>
      </c>
      <c r="O293" s="706"/>
      <c r="P293" s="706"/>
      <c r="Q293" s="706"/>
      <c r="R293" s="706"/>
      <c r="S293" s="706"/>
      <c r="T293" s="706"/>
      <c r="U293" s="738">
        <v>0.62806842093767556</v>
      </c>
      <c r="V293" s="738">
        <v>1227.8974155200376</v>
      </c>
      <c r="W293" s="793">
        <v>0.62806842093767556</v>
      </c>
      <c r="X293" s="708">
        <v>1227.8974155200376</v>
      </c>
      <c r="Y293" s="719">
        <v>23330.050894880715</v>
      </c>
      <c r="Z293" s="719">
        <v>11048.341077309895</v>
      </c>
      <c r="AA293" s="719">
        <v>581.49163564788921</v>
      </c>
      <c r="AB293" s="738">
        <v>0.29743244734753344</v>
      </c>
      <c r="AC293" s="792">
        <v>1</v>
      </c>
      <c r="AD293" s="792">
        <v>1</v>
      </c>
      <c r="AE293" s="717">
        <v>0.56884057971014501</v>
      </c>
      <c r="AF293" s="714">
        <v>4.2407531067898789E-2</v>
      </c>
      <c r="AG293" s="706"/>
      <c r="AH293" s="792">
        <v>0.47356695135775378</v>
      </c>
      <c r="AI293" s="748">
        <v>0.56884057971014501</v>
      </c>
      <c r="AJ293" s="748">
        <v>4.2407531067898789E-2</v>
      </c>
      <c r="AK293" s="748"/>
      <c r="AL293" s="714">
        <v>0.47356695135775378</v>
      </c>
      <c r="AM293" s="706"/>
      <c r="AN293" s="706"/>
      <c r="AO293" s="706"/>
      <c r="AP293" s="706"/>
      <c r="AQ293" s="706"/>
      <c r="AR293" s="706" t="s">
        <v>957</v>
      </c>
      <c r="AS293" s="706"/>
      <c r="AT293" s="706"/>
      <c r="AU293" s="706"/>
      <c r="AV293" s="706">
        <v>0.29743244734753344</v>
      </c>
      <c r="AW293" s="706">
        <v>0.29743244734753344</v>
      </c>
      <c r="AX293" s="706">
        <v>0.29743244734753344</v>
      </c>
      <c r="AY293" s="706">
        <v>0.29743244734753344</v>
      </c>
      <c r="AZ293" s="706">
        <v>0.29743244734753344</v>
      </c>
      <c r="BA293" s="706">
        <v>0.29743244734753344</v>
      </c>
      <c r="BB293" s="706">
        <v>0.29743244734753344</v>
      </c>
      <c r="BC293" s="706">
        <v>0.29743244734753344</v>
      </c>
      <c r="BD293" s="706">
        <v>0.29743244734753344</v>
      </c>
      <c r="BE293" s="706">
        <v>0.29743244734753344</v>
      </c>
      <c r="BF293" s="706">
        <v>0.29743244734753344</v>
      </c>
      <c r="BG293" s="706">
        <v>0.29743244734753344</v>
      </c>
      <c r="BH293" s="706">
        <v>0.29743244734753344</v>
      </c>
      <c r="BI293" s="706">
        <v>0.29743244734753344</v>
      </c>
      <c r="BJ293" s="706">
        <v>0.29743244734753344</v>
      </c>
      <c r="BK293" s="706">
        <v>0.29743244734753344</v>
      </c>
      <c r="BL293" s="706">
        <v>0.29743244734753344</v>
      </c>
      <c r="BM293" s="706">
        <v>0.29743244734753344</v>
      </c>
      <c r="BN293" s="706">
        <v>0.29743244734753344</v>
      </c>
      <c r="BO293" s="706"/>
      <c r="BP293" s="706"/>
      <c r="BQ293" s="706"/>
      <c r="BR293" s="706"/>
      <c r="BS293" s="706"/>
      <c r="BT293" s="706"/>
      <c r="BU293" s="706"/>
      <c r="BV293" s="791">
        <v>581.49163564788921</v>
      </c>
      <c r="BW293" s="791">
        <v>581.49163564788921</v>
      </c>
      <c r="BX293" s="791">
        <v>581.49163564788921</v>
      </c>
      <c r="BY293" s="791">
        <v>581.49163564788921</v>
      </c>
      <c r="BZ293" s="791">
        <v>581.49163564788921</v>
      </c>
      <c r="CA293" s="791">
        <v>581.49163564788921</v>
      </c>
      <c r="CB293" s="791">
        <v>581.49163564788921</v>
      </c>
      <c r="CC293" s="791">
        <v>581.49163564788921</v>
      </c>
      <c r="CD293" s="791">
        <v>581.49163564788921</v>
      </c>
      <c r="CE293" s="791">
        <v>581.49163564788921</v>
      </c>
      <c r="CF293" s="791">
        <v>581.49163564788921</v>
      </c>
      <c r="CG293" s="791">
        <v>581.49163564788921</v>
      </c>
      <c r="CH293" s="791">
        <v>581.49163564788921</v>
      </c>
      <c r="CI293" s="791">
        <v>581.49163564788921</v>
      </c>
      <c r="CJ293" s="791">
        <v>581.49163564788921</v>
      </c>
      <c r="CK293" s="791">
        <v>581.49163564788921</v>
      </c>
      <c r="CL293" s="791">
        <v>581.49163564788921</v>
      </c>
      <c r="CM293" s="791">
        <v>581.49163564788921</v>
      </c>
      <c r="CN293" s="791">
        <v>581.49163564788921</v>
      </c>
      <c r="CO293" s="706"/>
      <c r="CP293" s="706"/>
      <c r="CQ293" s="706"/>
      <c r="CR293" s="706"/>
    </row>
    <row r="294" spans="1:96">
      <c r="A294" s="694" t="s">
        <v>3</v>
      </c>
      <c r="B294" s="794">
        <v>41962</v>
      </c>
      <c r="C294" s="743">
        <v>2014</v>
      </c>
      <c r="D294" s="746" t="s">
        <v>15</v>
      </c>
      <c r="E294" s="746" t="s">
        <v>25</v>
      </c>
      <c r="F294" s="746" t="s">
        <v>17</v>
      </c>
      <c r="G294" s="746" t="s">
        <v>58</v>
      </c>
      <c r="H294" s="694" t="s">
        <v>959</v>
      </c>
      <c r="I294" s="746" t="s">
        <v>5</v>
      </c>
      <c r="J294" s="746" t="s">
        <v>376</v>
      </c>
      <c r="K294" s="706">
        <v>1</v>
      </c>
      <c r="L294" s="745" t="s">
        <v>58</v>
      </c>
      <c r="M294" s="706" t="s">
        <v>979</v>
      </c>
      <c r="N294" s="706">
        <v>19</v>
      </c>
      <c r="O294" s="706"/>
      <c r="P294" s="706"/>
      <c r="Q294" s="706"/>
      <c r="R294" s="706"/>
      <c r="S294" s="706"/>
      <c r="T294" s="706"/>
      <c r="U294" s="738">
        <v>0.62806842093767556</v>
      </c>
      <c r="V294" s="738">
        <v>1227.8974155200376</v>
      </c>
      <c r="W294" s="793">
        <v>0.62806842093767556</v>
      </c>
      <c r="X294" s="708">
        <v>1227.8974155200376</v>
      </c>
      <c r="Y294" s="719">
        <v>23330.050894880715</v>
      </c>
      <c r="Z294" s="719">
        <v>11048.341077309895</v>
      </c>
      <c r="AA294" s="719">
        <v>581.49163564788921</v>
      </c>
      <c r="AB294" s="738">
        <v>0.29743244734753344</v>
      </c>
      <c r="AC294" s="792">
        <v>1</v>
      </c>
      <c r="AD294" s="792">
        <v>1</v>
      </c>
      <c r="AE294" s="717">
        <v>0.56884057971014501</v>
      </c>
      <c r="AF294" s="714">
        <v>4.2407531067898789E-2</v>
      </c>
      <c r="AG294" s="706"/>
      <c r="AH294" s="792">
        <v>0.47356695135775378</v>
      </c>
      <c r="AI294" s="748">
        <v>0.56884057971014501</v>
      </c>
      <c r="AJ294" s="748">
        <v>4.2407531067898789E-2</v>
      </c>
      <c r="AK294" s="748"/>
      <c r="AL294" s="714">
        <v>0.47356695135775378</v>
      </c>
      <c r="AM294" s="706"/>
      <c r="AN294" s="706"/>
      <c r="AO294" s="706"/>
      <c r="AP294" s="706"/>
      <c r="AQ294" s="706"/>
      <c r="AR294" s="706" t="s">
        <v>957</v>
      </c>
      <c r="AS294" s="706"/>
      <c r="AT294" s="706"/>
      <c r="AU294" s="706"/>
      <c r="AV294" s="706">
        <v>0.29743244734753344</v>
      </c>
      <c r="AW294" s="706">
        <v>0.29743244734753344</v>
      </c>
      <c r="AX294" s="706">
        <v>0.29743244734753344</v>
      </c>
      <c r="AY294" s="706">
        <v>0.29743244734753344</v>
      </c>
      <c r="AZ294" s="706">
        <v>0.29743244734753344</v>
      </c>
      <c r="BA294" s="706">
        <v>0.29743244734753344</v>
      </c>
      <c r="BB294" s="706">
        <v>0.29743244734753344</v>
      </c>
      <c r="BC294" s="706">
        <v>0.29743244734753344</v>
      </c>
      <c r="BD294" s="706">
        <v>0.29743244734753344</v>
      </c>
      <c r="BE294" s="706">
        <v>0.29743244734753344</v>
      </c>
      <c r="BF294" s="706">
        <v>0.29743244734753344</v>
      </c>
      <c r="BG294" s="706">
        <v>0.29743244734753344</v>
      </c>
      <c r="BH294" s="706">
        <v>0.29743244734753344</v>
      </c>
      <c r="BI294" s="706">
        <v>0.29743244734753344</v>
      </c>
      <c r="BJ294" s="706">
        <v>0.29743244734753344</v>
      </c>
      <c r="BK294" s="706">
        <v>0.29743244734753344</v>
      </c>
      <c r="BL294" s="706">
        <v>0.29743244734753344</v>
      </c>
      <c r="BM294" s="706">
        <v>0.29743244734753344</v>
      </c>
      <c r="BN294" s="706">
        <v>0.29743244734753344</v>
      </c>
      <c r="BO294" s="706"/>
      <c r="BP294" s="706"/>
      <c r="BQ294" s="706"/>
      <c r="BR294" s="706"/>
      <c r="BS294" s="706"/>
      <c r="BT294" s="706"/>
      <c r="BU294" s="706"/>
      <c r="BV294" s="791">
        <v>581.49163564788921</v>
      </c>
      <c r="BW294" s="791">
        <v>581.49163564788921</v>
      </c>
      <c r="BX294" s="791">
        <v>581.49163564788921</v>
      </c>
      <c r="BY294" s="791">
        <v>581.49163564788921</v>
      </c>
      <c r="BZ294" s="791">
        <v>581.49163564788921</v>
      </c>
      <c r="CA294" s="791">
        <v>581.49163564788921</v>
      </c>
      <c r="CB294" s="791">
        <v>581.49163564788921</v>
      </c>
      <c r="CC294" s="791">
        <v>581.49163564788921</v>
      </c>
      <c r="CD294" s="791">
        <v>581.49163564788921</v>
      </c>
      <c r="CE294" s="791">
        <v>581.49163564788921</v>
      </c>
      <c r="CF294" s="791">
        <v>581.49163564788921</v>
      </c>
      <c r="CG294" s="791">
        <v>581.49163564788921</v>
      </c>
      <c r="CH294" s="791">
        <v>581.49163564788921</v>
      </c>
      <c r="CI294" s="791">
        <v>581.49163564788921</v>
      </c>
      <c r="CJ294" s="791">
        <v>581.49163564788921</v>
      </c>
      <c r="CK294" s="791">
        <v>581.49163564788921</v>
      </c>
      <c r="CL294" s="791">
        <v>581.49163564788921</v>
      </c>
      <c r="CM294" s="791">
        <v>581.49163564788921</v>
      </c>
      <c r="CN294" s="791">
        <v>581.49163564788921</v>
      </c>
      <c r="CO294" s="706"/>
      <c r="CP294" s="706"/>
      <c r="CQ294" s="706"/>
      <c r="CR294" s="706"/>
    </row>
    <row r="295" spans="1:96">
      <c r="A295" s="694" t="s">
        <v>3</v>
      </c>
      <c r="B295" s="794">
        <v>41970</v>
      </c>
      <c r="C295" s="743">
        <v>2014</v>
      </c>
      <c r="D295" s="746" t="s">
        <v>15</v>
      </c>
      <c r="E295" s="746" t="s">
        <v>25</v>
      </c>
      <c r="F295" s="746" t="s">
        <v>17</v>
      </c>
      <c r="G295" s="746" t="s">
        <v>58</v>
      </c>
      <c r="H295" s="694" t="s">
        <v>959</v>
      </c>
      <c r="I295" s="746" t="s">
        <v>5</v>
      </c>
      <c r="J295" s="746" t="s">
        <v>376</v>
      </c>
      <c r="K295" s="706">
        <v>1</v>
      </c>
      <c r="L295" s="745" t="s">
        <v>58</v>
      </c>
      <c r="M295" s="706" t="s">
        <v>881</v>
      </c>
      <c r="N295" s="706">
        <v>19</v>
      </c>
      <c r="O295" s="706"/>
      <c r="P295" s="706"/>
      <c r="Q295" s="706"/>
      <c r="R295" s="706"/>
      <c r="S295" s="706"/>
      <c r="T295" s="706"/>
      <c r="U295" s="738">
        <v>0.62806842093767556</v>
      </c>
      <c r="V295" s="738">
        <v>1227.8974155200376</v>
      </c>
      <c r="W295" s="793">
        <v>0.62806842093767556</v>
      </c>
      <c r="X295" s="708">
        <v>1227.8974155200376</v>
      </c>
      <c r="Y295" s="719">
        <v>23330.050894880715</v>
      </c>
      <c r="Z295" s="719">
        <v>11048.341077309895</v>
      </c>
      <c r="AA295" s="719">
        <v>581.49163564788921</v>
      </c>
      <c r="AB295" s="738">
        <v>0.29743244734753344</v>
      </c>
      <c r="AC295" s="792">
        <v>1</v>
      </c>
      <c r="AD295" s="792">
        <v>1</v>
      </c>
      <c r="AE295" s="717">
        <v>0.56884057971014501</v>
      </c>
      <c r="AF295" s="714">
        <v>4.2407531067898789E-2</v>
      </c>
      <c r="AG295" s="706"/>
      <c r="AH295" s="792">
        <v>0.47356695135775378</v>
      </c>
      <c r="AI295" s="748">
        <v>0.56884057971014501</v>
      </c>
      <c r="AJ295" s="748">
        <v>4.2407531067898789E-2</v>
      </c>
      <c r="AK295" s="748"/>
      <c r="AL295" s="714">
        <v>0.47356695135775378</v>
      </c>
      <c r="AM295" s="706"/>
      <c r="AN295" s="706"/>
      <c r="AO295" s="706"/>
      <c r="AP295" s="706"/>
      <c r="AQ295" s="706"/>
      <c r="AR295" s="706" t="s">
        <v>957</v>
      </c>
      <c r="AS295" s="706"/>
      <c r="AT295" s="706"/>
      <c r="AU295" s="706"/>
      <c r="AV295" s="706">
        <v>0.29743244734753344</v>
      </c>
      <c r="AW295" s="706">
        <v>0.29743244734753344</v>
      </c>
      <c r="AX295" s="706">
        <v>0.29743244734753344</v>
      </c>
      <c r="AY295" s="706">
        <v>0.29743244734753344</v>
      </c>
      <c r="AZ295" s="706">
        <v>0.29743244734753344</v>
      </c>
      <c r="BA295" s="706">
        <v>0.29743244734753344</v>
      </c>
      <c r="BB295" s="706">
        <v>0.29743244734753344</v>
      </c>
      <c r="BC295" s="706">
        <v>0.29743244734753344</v>
      </c>
      <c r="BD295" s="706">
        <v>0.29743244734753344</v>
      </c>
      <c r="BE295" s="706">
        <v>0.29743244734753344</v>
      </c>
      <c r="BF295" s="706">
        <v>0.29743244734753344</v>
      </c>
      <c r="BG295" s="706">
        <v>0.29743244734753344</v>
      </c>
      <c r="BH295" s="706">
        <v>0.29743244734753344</v>
      </c>
      <c r="BI295" s="706">
        <v>0.29743244734753344</v>
      </c>
      <c r="BJ295" s="706">
        <v>0.29743244734753344</v>
      </c>
      <c r="BK295" s="706">
        <v>0.29743244734753344</v>
      </c>
      <c r="BL295" s="706">
        <v>0.29743244734753344</v>
      </c>
      <c r="BM295" s="706">
        <v>0.29743244734753344</v>
      </c>
      <c r="BN295" s="706">
        <v>0.29743244734753344</v>
      </c>
      <c r="BO295" s="706"/>
      <c r="BP295" s="706"/>
      <c r="BQ295" s="706"/>
      <c r="BR295" s="706"/>
      <c r="BS295" s="706"/>
      <c r="BT295" s="706"/>
      <c r="BU295" s="706"/>
      <c r="BV295" s="791">
        <v>581.49163564788921</v>
      </c>
      <c r="BW295" s="791">
        <v>581.49163564788921</v>
      </c>
      <c r="BX295" s="791">
        <v>581.49163564788921</v>
      </c>
      <c r="BY295" s="791">
        <v>581.49163564788921</v>
      </c>
      <c r="BZ295" s="791">
        <v>581.49163564788921</v>
      </c>
      <c r="CA295" s="791">
        <v>581.49163564788921</v>
      </c>
      <c r="CB295" s="791">
        <v>581.49163564788921</v>
      </c>
      <c r="CC295" s="791">
        <v>581.49163564788921</v>
      </c>
      <c r="CD295" s="791">
        <v>581.49163564788921</v>
      </c>
      <c r="CE295" s="791">
        <v>581.49163564788921</v>
      </c>
      <c r="CF295" s="791">
        <v>581.49163564788921</v>
      </c>
      <c r="CG295" s="791">
        <v>581.49163564788921</v>
      </c>
      <c r="CH295" s="791">
        <v>581.49163564788921</v>
      </c>
      <c r="CI295" s="791">
        <v>581.49163564788921</v>
      </c>
      <c r="CJ295" s="791">
        <v>581.49163564788921</v>
      </c>
      <c r="CK295" s="791">
        <v>581.49163564788921</v>
      </c>
      <c r="CL295" s="791">
        <v>581.49163564788921</v>
      </c>
      <c r="CM295" s="791">
        <v>581.49163564788921</v>
      </c>
      <c r="CN295" s="791">
        <v>581.49163564788921</v>
      </c>
      <c r="CO295" s="706"/>
      <c r="CP295" s="706"/>
      <c r="CQ295" s="706"/>
      <c r="CR295" s="706"/>
    </row>
    <row r="296" spans="1:96">
      <c r="A296" s="694" t="s">
        <v>3</v>
      </c>
      <c r="B296" s="794">
        <v>41970</v>
      </c>
      <c r="C296" s="743">
        <v>2014</v>
      </c>
      <c r="D296" s="746" t="s">
        <v>15</v>
      </c>
      <c r="E296" s="746" t="s">
        <v>25</v>
      </c>
      <c r="F296" s="746" t="s">
        <v>17</v>
      </c>
      <c r="G296" s="746" t="s">
        <v>58</v>
      </c>
      <c r="H296" s="694" t="s">
        <v>959</v>
      </c>
      <c r="I296" s="746" t="s">
        <v>5</v>
      </c>
      <c r="J296" s="746" t="s">
        <v>376</v>
      </c>
      <c r="K296" s="706">
        <v>1</v>
      </c>
      <c r="L296" s="745" t="s">
        <v>58</v>
      </c>
      <c r="M296" s="706" t="s">
        <v>978</v>
      </c>
      <c r="N296" s="706">
        <v>19</v>
      </c>
      <c r="O296" s="706"/>
      <c r="P296" s="706"/>
      <c r="Q296" s="706"/>
      <c r="R296" s="706"/>
      <c r="S296" s="706"/>
      <c r="T296" s="706"/>
      <c r="U296" s="738">
        <v>0.62806842093767556</v>
      </c>
      <c r="V296" s="738">
        <v>1227.8974155200376</v>
      </c>
      <c r="W296" s="793">
        <v>0.62806842093767556</v>
      </c>
      <c r="X296" s="708">
        <v>1227.8974155200376</v>
      </c>
      <c r="Y296" s="719">
        <v>23330.050894880715</v>
      </c>
      <c r="Z296" s="719">
        <v>11048.341077309895</v>
      </c>
      <c r="AA296" s="719">
        <v>581.49163564788921</v>
      </c>
      <c r="AB296" s="738">
        <v>0.29743244734753344</v>
      </c>
      <c r="AC296" s="792">
        <v>1</v>
      </c>
      <c r="AD296" s="792">
        <v>1</v>
      </c>
      <c r="AE296" s="717">
        <v>0.56884057971014501</v>
      </c>
      <c r="AF296" s="714">
        <v>4.2407531067898789E-2</v>
      </c>
      <c r="AG296" s="706"/>
      <c r="AH296" s="792">
        <v>0.47356695135775378</v>
      </c>
      <c r="AI296" s="748">
        <v>0.56884057971014501</v>
      </c>
      <c r="AJ296" s="748">
        <v>4.2407531067898789E-2</v>
      </c>
      <c r="AK296" s="748"/>
      <c r="AL296" s="714">
        <v>0.47356695135775378</v>
      </c>
      <c r="AM296" s="706"/>
      <c r="AN296" s="706"/>
      <c r="AO296" s="706"/>
      <c r="AP296" s="706"/>
      <c r="AQ296" s="706"/>
      <c r="AR296" s="706" t="s">
        <v>957</v>
      </c>
      <c r="AS296" s="706"/>
      <c r="AT296" s="706"/>
      <c r="AU296" s="706"/>
      <c r="AV296" s="706">
        <v>0.29743244734753344</v>
      </c>
      <c r="AW296" s="706">
        <v>0.29743244734753344</v>
      </c>
      <c r="AX296" s="706">
        <v>0.29743244734753344</v>
      </c>
      <c r="AY296" s="706">
        <v>0.29743244734753344</v>
      </c>
      <c r="AZ296" s="706">
        <v>0.29743244734753344</v>
      </c>
      <c r="BA296" s="706">
        <v>0.29743244734753344</v>
      </c>
      <c r="BB296" s="706">
        <v>0.29743244734753344</v>
      </c>
      <c r="BC296" s="706">
        <v>0.29743244734753344</v>
      </c>
      <c r="BD296" s="706">
        <v>0.29743244734753344</v>
      </c>
      <c r="BE296" s="706">
        <v>0.29743244734753344</v>
      </c>
      <c r="BF296" s="706">
        <v>0.29743244734753344</v>
      </c>
      <c r="BG296" s="706">
        <v>0.29743244734753344</v>
      </c>
      <c r="BH296" s="706">
        <v>0.29743244734753344</v>
      </c>
      <c r="BI296" s="706">
        <v>0.29743244734753344</v>
      </c>
      <c r="BJ296" s="706">
        <v>0.29743244734753344</v>
      </c>
      <c r="BK296" s="706">
        <v>0.29743244734753344</v>
      </c>
      <c r="BL296" s="706">
        <v>0.29743244734753344</v>
      </c>
      <c r="BM296" s="706">
        <v>0.29743244734753344</v>
      </c>
      <c r="BN296" s="706">
        <v>0.29743244734753344</v>
      </c>
      <c r="BO296" s="706"/>
      <c r="BP296" s="706"/>
      <c r="BQ296" s="706"/>
      <c r="BR296" s="706"/>
      <c r="BS296" s="706"/>
      <c r="BT296" s="706"/>
      <c r="BU296" s="706"/>
      <c r="BV296" s="791">
        <v>581.49163564788921</v>
      </c>
      <c r="BW296" s="791">
        <v>581.49163564788921</v>
      </c>
      <c r="BX296" s="791">
        <v>581.49163564788921</v>
      </c>
      <c r="BY296" s="791">
        <v>581.49163564788921</v>
      </c>
      <c r="BZ296" s="791">
        <v>581.49163564788921</v>
      </c>
      <c r="CA296" s="791">
        <v>581.49163564788921</v>
      </c>
      <c r="CB296" s="791">
        <v>581.49163564788921</v>
      </c>
      <c r="CC296" s="791">
        <v>581.49163564788921</v>
      </c>
      <c r="CD296" s="791">
        <v>581.49163564788921</v>
      </c>
      <c r="CE296" s="791">
        <v>581.49163564788921</v>
      </c>
      <c r="CF296" s="791">
        <v>581.49163564788921</v>
      </c>
      <c r="CG296" s="791">
        <v>581.49163564788921</v>
      </c>
      <c r="CH296" s="791">
        <v>581.49163564788921</v>
      </c>
      <c r="CI296" s="791">
        <v>581.49163564788921</v>
      </c>
      <c r="CJ296" s="791">
        <v>581.49163564788921</v>
      </c>
      <c r="CK296" s="791">
        <v>581.49163564788921</v>
      </c>
      <c r="CL296" s="791">
        <v>581.49163564788921</v>
      </c>
      <c r="CM296" s="791">
        <v>581.49163564788921</v>
      </c>
      <c r="CN296" s="791">
        <v>581.49163564788921</v>
      </c>
      <c r="CO296" s="706"/>
      <c r="CP296" s="706"/>
      <c r="CQ296" s="706"/>
      <c r="CR296" s="706"/>
    </row>
    <row r="297" spans="1:96">
      <c r="A297" s="694" t="s">
        <v>3</v>
      </c>
      <c r="B297" s="794">
        <v>41947</v>
      </c>
      <c r="C297" s="743">
        <v>2014</v>
      </c>
      <c r="D297" s="746" t="s">
        <v>15</v>
      </c>
      <c r="E297" s="746" t="s">
        <v>25</v>
      </c>
      <c r="F297" s="746" t="s">
        <v>17</v>
      </c>
      <c r="G297" s="746" t="s">
        <v>58</v>
      </c>
      <c r="H297" s="694" t="s">
        <v>959</v>
      </c>
      <c r="I297" s="746" t="s">
        <v>5</v>
      </c>
      <c r="J297" s="746" t="s">
        <v>376</v>
      </c>
      <c r="K297" s="706">
        <v>1</v>
      </c>
      <c r="L297" s="745" t="s">
        <v>58</v>
      </c>
      <c r="M297" s="706" t="s">
        <v>977</v>
      </c>
      <c r="N297" s="706">
        <v>19</v>
      </c>
      <c r="O297" s="706"/>
      <c r="P297" s="706"/>
      <c r="Q297" s="706"/>
      <c r="R297" s="706"/>
      <c r="S297" s="706"/>
      <c r="T297" s="706"/>
      <c r="U297" s="738">
        <v>0.62806842093767556</v>
      </c>
      <c r="V297" s="738">
        <v>1227.8974155200376</v>
      </c>
      <c r="W297" s="793">
        <v>0.62806842093767556</v>
      </c>
      <c r="X297" s="708">
        <v>1227.8974155200376</v>
      </c>
      <c r="Y297" s="719">
        <v>23330.050894880715</v>
      </c>
      <c r="Z297" s="719">
        <v>11048.341077309895</v>
      </c>
      <c r="AA297" s="719">
        <v>581.49163564788921</v>
      </c>
      <c r="AB297" s="738">
        <v>0.29743244734753344</v>
      </c>
      <c r="AC297" s="792">
        <v>1</v>
      </c>
      <c r="AD297" s="792">
        <v>1</v>
      </c>
      <c r="AE297" s="717">
        <v>0.56884057971014501</v>
      </c>
      <c r="AF297" s="714">
        <v>4.2407531067898789E-2</v>
      </c>
      <c r="AG297" s="706"/>
      <c r="AH297" s="792">
        <v>0.47356695135775378</v>
      </c>
      <c r="AI297" s="748">
        <v>0.56884057971014501</v>
      </c>
      <c r="AJ297" s="748">
        <v>4.2407531067898789E-2</v>
      </c>
      <c r="AK297" s="748"/>
      <c r="AL297" s="714">
        <v>0.47356695135775378</v>
      </c>
      <c r="AM297" s="706"/>
      <c r="AN297" s="706"/>
      <c r="AO297" s="706"/>
      <c r="AP297" s="706"/>
      <c r="AQ297" s="706"/>
      <c r="AR297" s="706" t="s">
        <v>957</v>
      </c>
      <c r="AS297" s="706"/>
      <c r="AT297" s="706"/>
      <c r="AU297" s="706"/>
      <c r="AV297" s="706">
        <v>0.29743244734753344</v>
      </c>
      <c r="AW297" s="706">
        <v>0.29743244734753344</v>
      </c>
      <c r="AX297" s="706">
        <v>0.29743244734753344</v>
      </c>
      <c r="AY297" s="706">
        <v>0.29743244734753344</v>
      </c>
      <c r="AZ297" s="706">
        <v>0.29743244734753344</v>
      </c>
      <c r="BA297" s="706">
        <v>0.29743244734753344</v>
      </c>
      <c r="BB297" s="706">
        <v>0.29743244734753344</v>
      </c>
      <c r="BC297" s="706">
        <v>0.29743244734753344</v>
      </c>
      <c r="BD297" s="706">
        <v>0.29743244734753344</v>
      </c>
      <c r="BE297" s="706">
        <v>0.29743244734753344</v>
      </c>
      <c r="BF297" s="706">
        <v>0.29743244734753344</v>
      </c>
      <c r="BG297" s="706">
        <v>0.29743244734753344</v>
      </c>
      <c r="BH297" s="706">
        <v>0.29743244734753344</v>
      </c>
      <c r="BI297" s="706">
        <v>0.29743244734753344</v>
      </c>
      <c r="BJ297" s="706">
        <v>0.29743244734753344</v>
      </c>
      <c r="BK297" s="706">
        <v>0.29743244734753344</v>
      </c>
      <c r="BL297" s="706">
        <v>0.29743244734753344</v>
      </c>
      <c r="BM297" s="706">
        <v>0.29743244734753344</v>
      </c>
      <c r="BN297" s="706">
        <v>0.29743244734753344</v>
      </c>
      <c r="BO297" s="706"/>
      <c r="BP297" s="706"/>
      <c r="BQ297" s="706"/>
      <c r="BR297" s="706"/>
      <c r="BS297" s="706"/>
      <c r="BT297" s="706"/>
      <c r="BU297" s="706"/>
      <c r="BV297" s="791">
        <v>581.49163564788921</v>
      </c>
      <c r="BW297" s="791">
        <v>581.49163564788921</v>
      </c>
      <c r="BX297" s="791">
        <v>581.49163564788921</v>
      </c>
      <c r="BY297" s="791">
        <v>581.49163564788921</v>
      </c>
      <c r="BZ297" s="791">
        <v>581.49163564788921</v>
      </c>
      <c r="CA297" s="791">
        <v>581.49163564788921</v>
      </c>
      <c r="CB297" s="791">
        <v>581.49163564788921</v>
      </c>
      <c r="CC297" s="791">
        <v>581.49163564788921</v>
      </c>
      <c r="CD297" s="791">
        <v>581.49163564788921</v>
      </c>
      <c r="CE297" s="791">
        <v>581.49163564788921</v>
      </c>
      <c r="CF297" s="791">
        <v>581.49163564788921</v>
      </c>
      <c r="CG297" s="791">
        <v>581.49163564788921</v>
      </c>
      <c r="CH297" s="791">
        <v>581.49163564788921</v>
      </c>
      <c r="CI297" s="791">
        <v>581.49163564788921</v>
      </c>
      <c r="CJ297" s="791">
        <v>581.49163564788921</v>
      </c>
      <c r="CK297" s="791">
        <v>581.49163564788921</v>
      </c>
      <c r="CL297" s="791">
        <v>581.49163564788921</v>
      </c>
      <c r="CM297" s="791">
        <v>581.49163564788921</v>
      </c>
      <c r="CN297" s="791">
        <v>581.49163564788921</v>
      </c>
      <c r="CO297" s="706"/>
      <c r="CP297" s="706"/>
      <c r="CQ297" s="706"/>
      <c r="CR297" s="706"/>
    </row>
    <row r="298" spans="1:96">
      <c r="A298" s="694" t="s">
        <v>3</v>
      </c>
      <c r="B298" s="794">
        <v>41953</v>
      </c>
      <c r="C298" s="743">
        <v>2014</v>
      </c>
      <c r="D298" s="746" t="s">
        <v>15</v>
      </c>
      <c r="E298" s="746" t="s">
        <v>25</v>
      </c>
      <c r="F298" s="746" t="s">
        <v>17</v>
      </c>
      <c r="G298" s="746" t="s">
        <v>58</v>
      </c>
      <c r="H298" s="694" t="s">
        <v>959</v>
      </c>
      <c r="I298" s="746" t="s">
        <v>5</v>
      </c>
      <c r="J298" s="746" t="s">
        <v>376</v>
      </c>
      <c r="K298" s="706">
        <v>1</v>
      </c>
      <c r="L298" s="745" t="s">
        <v>58</v>
      </c>
      <c r="M298" s="706" t="s">
        <v>976</v>
      </c>
      <c r="N298" s="706">
        <v>19</v>
      </c>
      <c r="O298" s="706"/>
      <c r="P298" s="706"/>
      <c r="Q298" s="706"/>
      <c r="R298" s="706"/>
      <c r="S298" s="706"/>
      <c r="T298" s="706"/>
      <c r="U298" s="738">
        <v>0.62806842093767556</v>
      </c>
      <c r="V298" s="738">
        <v>1227.8974155200376</v>
      </c>
      <c r="W298" s="793">
        <v>0.62806842093767556</v>
      </c>
      <c r="X298" s="708">
        <v>1227.8974155200376</v>
      </c>
      <c r="Y298" s="719">
        <v>23330.050894880715</v>
      </c>
      <c r="Z298" s="719">
        <v>11048.341077309895</v>
      </c>
      <c r="AA298" s="719">
        <v>581.49163564788921</v>
      </c>
      <c r="AB298" s="738">
        <v>0.29743244734753344</v>
      </c>
      <c r="AC298" s="792">
        <v>1</v>
      </c>
      <c r="AD298" s="792">
        <v>1</v>
      </c>
      <c r="AE298" s="717">
        <v>0.56884057971014501</v>
      </c>
      <c r="AF298" s="714">
        <v>4.2407531067898789E-2</v>
      </c>
      <c r="AG298" s="706"/>
      <c r="AH298" s="792">
        <v>0.47356695135775378</v>
      </c>
      <c r="AI298" s="748">
        <v>0.56884057971014501</v>
      </c>
      <c r="AJ298" s="748">
        <v>4.2407531067898789E-2</v>
      </c>
      <c r="AK298" s="748"/>
      <c r="AL298" s="714">
        <v>0.47356695135775378</v>
      </c>
      <c r="AM298" s="706"/>
      <c r="AN298" s="706"/>
      <c r="AO298" s="706"/>
      <c r="AP298" s="706"/>
      <c r="AQ298" s="706"/>
      <c r="AR298" s="706" t="s">
        <v>957</v>
      </c>
      <c r="AS298" s="706"/>
      <c r="AT298" s="706"/>
      <c r="AU298" s="706"/>
      <c r="AV298" s="706">
        <v>0.29743244734753344</v>
      </c>
      <c r="AW298" s="706">
        <v>0.29743244734753344</v>
      </c>
      <c r="AX298" s="706">
        <v>0.29743244734753344</v>
      </c>
      <c r="AY298" s="706">
        <v>0.29743244734753344</v>
      </c>
      <c r="AZ298" s="706">
        <v>0.29743244734753344</v>
      </c>
      <c r="BA298" s="706">
        <v>0.29743244734753344</v>
      </c>
      <c r="BB298" s="706">
        <v>0.29743244734753344</v>
      </c>
      <c r="BC298" s="706">
        <v>0.29743244734753344</v>
      </c>
      <c r="BD298" s="706">
        <v>0.29743244734753344</v>
      </c>
      <c r="BE298" s="706">
        <v>0.29743244734753344</v>
      </c>
      <c r="BF298" s="706">
        <v>0.29743244734753344</v>
      </c>
      <c r="BG298" s="706">
        <v>0.29743244734753344</v>
      </c>
      <c r="BH298" s="706">
        <v>0.29743244734753344</v>
      </c>
      <c r="BI298" s="706">
        <v>0.29743244734753344</v>
      </c>
      <c r="BJ298" s="706">
        <v>0.29743244734753344</v>
      </c>
      <c r="BK298" s="706">
        <v>0.29743244734753344</v>
      </c>
      <c r="BL298" s="706">
        <v>0.29743244734753344</v>
      </c>
      <c r="BM298" s="706">
        <v>0.29743244734753344</v>
      </c>
      <c r="BN298" s="706">
        <v>0.29743244734753344</v>
      </c>
      <c r="BO298" s="706"/>
      <c r="BP298" s="706"/>
      <c r="BQ298" s="706"/>
      <c r="BR298" s="706"/>
      <c r="BS298" s="706"/>
      <c r="BT298" s="706"/>
      <c r="BU298" s="706"/>
      <c r="BV298" s="791">
        <v>581.49163564788921</v>
      </c>
      <c r="BW298" s="791">
        <v>581.49163564788921</v>
      </c>
      <c r="BX298" s="791">
        <v>581.49163564788921</v>
      </c>
      <c r="BY298" s="791">
        <v>581.49163564788921</v>
      </c>
      <c r="BZ298" s="791">
        <v>581.49163564788921</v>
      </c>
      <c r="CA298" s="791">
        <v>581.49163564788921</v>
      </c>
      <c r="CB298" s="791">
        <v>581.49163564788921</v>
      </c>
      <c r="CC298" s="791">
        <v>581.49163564788921</v>
      </c>
      <c r="CD298" s="791">
        <v>581.49163564788921</v>
      </c>
      <c r="CE298" s="791">
        <v>581.49163564788921</v>
      </c>
      <c r="CF298" s="791">
        <v>581.49163564788921</v>
      </c>
      <c r="CG298" s="791">
        <v>581.49163564788921</v>
      </c>
      <c r="CH298" s="791">
        <v>581.49163564788921</v>
      </c>
      <c r="CI298" s="791">
        <v>581.49163564788921</v>
      </c>
      <c r="CJ298" s="791">
        <v>581.49163564788921</v>
      </c>
      <c r="CK298" s="791">
        <v>581.49163564788921</v>
      </c>
      <c r="CL298" s="791">
        <v>581.49163564788921</v>
      </c>
      <c r="CM298" s="791">
        <v>581.49163564788921</v>
      </c>
      <c r="CN298" s="791">
        <v>581.49163564788921</v>
      </c>
      <c r="CO298" s="706"/>
      <c r="CP298" s="706"/>
      <c r="CQ298" s="706"/>
      <c r="CR298" s="706"/>
    </row>
    <row r="299" spans="1:96">
      <c r="A299" s="694" t="s">
        <v>3</v>
      </c>
      <c r="B299" s="794">
        <v>41961</v>
      </c>
      <c r="C299" s="743">
        <v>2014</v>
      </c>
      <c r="D299" s="746" t="s">
        <v>15</v>
      </c>
      <c r="E299" s="746" t="s">
        <v>25</v>
      </c>
      <c r="F299" s="746" t="s">
        <v>17</v>
      </c>
      <c r="G299" s="746" t="s">
        <v>58</v>
      </c>
      <c r="H299" s="694" t="s">
        <v>959</v>
      </c>
      <c r="I299" s="746" t="s">
        <v>5</v>
      </c>
      <c r="J299" s="746" t="s">
        <v>376</v>
      </c>
      <c r="K299" s="706">
        <v>1</v>
      </c>
      <c r="L299" s="745" t="s">
        <v>58</v>
      </c>
      <c r="M299" s="706" t="s">
        <v>975</v>
      </c>
      <c r="N299" s="706">
        <v>19</v>
      </c>
      <c r="O299" s="706"/>
      <c r="P299" s="706"/>
      <c r="Q299" s="706"/>
      <c r="R299" s="706"/>
      <c r="S299" s="706"/>
      <c r="T299" s="706"/>
      <c r="U299" s="738">
        <v>0.62806842093767556</v>
      </c>
      <c r="V299" s="738">
        <v>1227.8974155200376</v>
      </c>
      <c r="W299" s="793">
        <v>0.62806842093767556</v>
      </c>
      <c r="X299" s="708">
        <v>1227.8974155200376</v>
      </c>
      <c r="Y299" s="719">
        <v>23330.050894880715</v>
      </c>
      <c r="Z299" s="719">
        <v>11048.341077309895</v>
      </c>
      <c r="AA299" s="719">
        <v>581.49163564788921</v>
      </c>
      <c r="AB299" s="738">
        <v>0.29743244734753344</v>
      </c>
      <c r="AC299" s="792">
        <v>1</v>
      </c>
      <c r="AD299" s="792">
        <v>1</v>
      </c>
      <c r="AE299" s="717">
        <v>0.56884057971014501</v>
      </c>
      <c r="AF299" s="714">
        <v>4.2407531067898789E-2</v>
      </c>
      <c r="AG299" s="706"/>
      <c r="AH299" s="792">
        <v>0.47356695135775378</v>
      </c>
      <c r="AI299" s="748">
        <v>0.56884057971014501</v>
      </c>
      <c r="AJ299" s="748">
        <v>4.2407531067898789E-2</v>
      </c>
      <c r="AK299" s="748"/>
      <c r="AL299" s="714">
        <v>0.47356695135775378</v>
      </c>
      <c r="AM299" s="706"/>
      <c r="AN299" s="706"/>
      <c r="AO299" s="706"/>
      <c r="AP299" s="706"/>
      <c r="AQ299" s="706"/>
      <c r="AR299" s="706" t="s">
        <v>957</v>
      </c>
      <c r="AS299" s="706"/>
      <c r="AT299" s="706"/>
      <c r="AU299" s="706"/>
      <c r="AV299" s="706">
        <v>0.29743244734753344</v>
      </c>
      <c r="AW299" s="706">
        <v>0.29743244734753344</v>
      </c>
      <c r="AX299" s="706">
        <v>0.29743244734753344</v>
      </c>
      <c r="AY299" s="706">
        <v>0.29743244734753344</v>
      </c>
      <c r="AZ299" s="706">
        <v>0.29743244734753344</v>
      </c>
      <c r="BA299" s="706">
        <v>0.29743244734753344</v>
      </c>
      <c r="BB299" s="706">
        <v>0.29743244734753344</v>
      </c>
      <c r="BC299" s="706">
        <v>0.29743244734753344</v>
      </c>
      <c r="BD299" s="706">
        <v>0.29743244734753344</v>
      </c>
      <c r="BE299" s="706">
        <v>0.29743244734753344</v>
      </c>
      <c r="BF299" s="706">
        <v>0.29743244734753344</v>
      </c>
      <c r="BG299" s="706">
        <v>0.29743244734753344</v>
      </c>
      <c r="BH299" s="706">
        <v>0.29743244734753344</v>
      </c>
      <c r="BI299" s="706">
        <v>0.29743244734753344</v>
      </c>
      <c r="BJ299" s="706">
        <v>0.29743244734753344</v>
      </c>
      <c r="BK299" s="706">
        <v>0.29743244734753344</v>
      </c>
      <c r="BL299" s="706">
        <v>0.29743244734753344</v>
      </c>
      <c r="BM299" s="706">
        <v>0.29743244734753344</v>
      </c>
      <c r="BN299" s="706">
        <v>0.29743244734753344</v>
      </c>
      <c r="BO299" s="706"/>
      <c r="BP299" s="706"/>
      <c r="BQ299" s="706"/>
      <c r="BR299" s="706"/>
      <c r="BS299" s="706"/>
      <c r="BT299" s="706"/>
      <c r="BU299" s="706"/>
      <c r="BV299" s="791">
        <v>581.49163564788921</v>
      </c>
      <c r="BW299" s="791">
        <v>581.49163564788921</v>
      </c>
      <c r="BX299" s="791">
        <v>581.49163564788921</v>
      </c>
      <c r="BY299" s="791">
        <v>581.49163564788921</v>
      </c>
      <c r="BZ299" s="791">
        <v>581.49163564788921</v>
      </c>
      <c r="CA299" s="791">
        <v>581.49163564788921</v>
      </c>
      <c r="CB299" s="791">
        <v>581.49163564788921</v>
      </c>
      <c r="CC299" s="791">
        <v>581.49163564788921</v>
      </c>
      <c r="CD299" s="791">
        <v>581.49163564788921</v>
      </c>
      <c r="CE299" s="791">
        <v>581.49163564788921</v>
      </c>
      <c r="CF299" s="791">
        <v>581.49163564788921</v>
      </c>
      <c r="CG299" s="791">
        <v>581.49163564788921</v>
      </c>
      <c r="CH299" s="791">
        <v>581.49163564788921</v>
      </c>
      <c r="CI299" s="791">
        <v>581.49163564788921</v>
      </c>
      <c r="CJ299" s="791">
        <v>581.49163564788921</v>
      </c>
      <c r="CK299" s="791">
        <v>581.49163564788921</v>
      </c>
      <c r="CL299" s="791">
        <v>581.49163564788921</v>
      </c>
      <c r="CM299" s="791">
        <v>581.49163564788921</v>
      </c>
      <c r="CN299" s="791">
        <v>581.49163564788921</v>
      </c>
      <c r="CO299" s="706"/>
      <c r="CP299" s="706"/>
      <c r="CQ299" s="706"/>
      <c r="CR299" s="706"/>
    </row>
    <row r="300" spans="1:96">
      <c r="A300" s="694" t="s">
        <v>3</v>
      </c>
      <c r="B300" s="794">
        <v>41981</v>
      </c>
      <c r="C300" s="743">
        <v>2014</v>
      </c>
      <c r="D300" s="746" t="s">
        <v>15</v>
      </c>
      <c r="E300" s="746" t="s">
        <v>25</v>
      </c>
      <c r="F300" s="746" t="s">
        <v>17</v>
      </c>
      <c r="G300" s="746" t="s">
        <v>58</v>
      </c>
      <c r="H300" s="694" t="s">
        <v>959</v>
      </c>
      <c r="I300" s="746" t="s">
        <v>5</v>
      </c>
      <c r="J300" s="746" t="s">
        <v>376</v>
      </c>
      <c r="K300" s="706">
        <v>1</v>
      </c>
      <c r="L300" s="745" t="s">
        <v>58</v>
      </c>
      <c r="M300" s="706" t="s">
        <v>974</v>
      </c>
      <c r="N300" s="706">
        <v>19</v>
      </c>
      <c r="O300" s="706"/>
      <c r="P300" s="706"/>
      <c r="Q300" s="706"/>
      <c r="R300" s="706"/>
      <c r="S300" s="706"/>
      <c r="T300" s="706"/>
      <c r="U300" s="738">
        <v>0.62806842093767556</v>
      </c>
      <c r="V300" s="738">
        <v>1227.8974155200376</v>
      </c>
      <c r="W300" s="793">
        <v>0.62806842093767556</v>
      </c>
      <c r="X300" s="708">
        <v>1227.8974155200376</v>
      </c>
      <c r="Y300" s="719">
        <v>23330.050894880715</v>
      </c>
      <c r="Z300" s="719">
        <v>11048.341077309895</v>
      </c>
      <c r="AA300" s="719">
        <v>581.49163564788921</v>
      </c>
      <c r="AB300" s="738">
        <v>0.29743244734753344</v>
      </c>
      <c r="AC300" s="792">
        <v>1</v>
      </c>
      <c r="AD300" s="792">
        <v>1</v>
      </c>
      <c r="AE300" s="717">
        <v>0.56884057971014501</v>
      </c>
      <c r="AF300" s="714">
        <v>4.2407531067898789E-2</v>
      </c>
      <c r="AG300" s="706"/>
      <c r="AH300" s="792">
        <v>0.47356695135775378</v>
      </c>
      <c r="AI300" s="748">
        <v>0.56884057971014501</v>
      </c>
      <c r="AJ300" s="748">
        <v>4.2407531067898789E-2</v>
      </c>
      <c r="AK300" s="748"/>
      <c r="AL300" s="714">
        <v>0.47356695135775378</v>
      </c>
      <c r="AM300" s="706"/>
      <c r="AN300" s="706"/>
      <c r="AO300" s="706"/>
      <c r="AP300" s="706"/>
      <c r="AQ300" s="706"/>
      <c r="AR300" s="706" t="s">
        <v>957</v>
      </c>
      <c r="AS300" s="706"/>
      <c r="AT300" s="706"/>
      <c r="AU300" s="706"/>
      <c r="AV300" s="706">
        <v>0.29743244734753344</v>
      </c>
      <c r="AW300" s="706">
        <v>0.29743244734753344</v>
      </c>
      <c r="AX300" s="706">
        <v>0.29743244734753344</v>
      </c>
      <c r="AY300" s="706">
        <v>0.29743244734753344</v>
      </c>
      <c r="AZ300" s="706">
        <v>0.29743244734753344</v>
      </c>
      <c r="BA300" s="706">
        <v>0.29743244734753344</v>
      </c>
      <c r="BB300" s="706">
        <v>0.29743244734753344</v>
      </c>
      <c r="BC300" s="706">
        <v>0.29743244734753344</v>
      </c>
      <c r="BD300" s="706">
        <v>0.29743244734753344</v>
      </c>
      <c r="BE300" s="706">
        <v>0.29743244734753344</v>
      </c>
      <c r="BF300" s="706">
        <v>0.29743244734753344</v>
      </c>
      <c r="BG300" s="706">
        <v>0.29743244734753344</v>
      </c>
      <c r="BH300" s="706">
        <v>0.29743244734753344</v>
      </c>
      <c r="BI300" s="706">
        <v>0.29743244734753344</v>
      </c>
      <c r="BJ300" s="706">
        <v>0.29743244734753344</v>
      </c>
      <c r="BK300" s="706">
        <v>0.29743244734753344</v>
      </c>
      <c r="BL300" s="706">
        <v>0.29743244734753344</v>
      </c>
      <c r="BM300" s="706">
        <v>0.29743244734753344</v>
      </c>
      <c r="BN300" s="706">
        <v>0.29743244734753344</v>
      </c>
      <c r="BO300" s="706"/>
      <c r="BP300" s="706"/>
      <c r="BQ300" s="706"/>
      <c r="BR300" s="706"/>
      <c r="BS300" s="706"/>
      <c r="BT300" s="706"/>
      <c r="BU300" s="706"/>
      <c r="BV300" s="791">
        <v>581.49163564788921</v>
      </c>
      <c r="BW300" s="791">
        <v>581.49163564788921</v>
      </c>
      <c r="BX300" s="791">
        <v>581.49163564788921</v>
      </c>
      <c r="BY300" s="791">
        <v>581.49163564788921</v>
      </c>
      <c r="BZ300" s="791">
        <v>581.49163564788921</v>
      </c>
      <c r="CA300" s="791">
        <v>581.49163564788921</v>
      </c>
      <c r="CB300" s="791">
        <v>581.49163564788921</v>
      </c>
      <c r="CC300" s="791">
        <v>581.49163564788921</v>
      </c>
      <c r="CD300" s="791">
        <v>581.49163564788921</v>
      </c>
      <c r="CE300" s="791">
        <v>581.49163564788921</v>
      </c>
      <c r="CF300" s="791">
        <v>581.49163564788921</v>
      </c>
      <c r="CG300" s="791">
        <v>581.49163564788921</v>
      </c>
      <c r="CH300" s="791">
        <v>581.49163564788921</v>
      </c>
      <c r="CI300" s="791">
        <v>581.49163564788921</v>
      </c>
      <c r="CJ300" s="791">
        <v>581.49163564788921</v>
      </c>
      <c r="CK300" s="791">
        <v>581.49163564788921</v>
      </c>
      <c r="CL300" s="791">
        <v>581.49163564788921</v>
      </c>
      <c r="CM300" s="791">
        <v>581.49163564788921</v>
      </c>
      <c r="CN300" s="791">
        <v>581.49163564788921</v>
      </c>
      <c r="CO300" s="706"/>
      <c r="CP300" s="706"/>
      <c r="CQ300" s="706"/>
      <c r="CR300" s="706"/>
    </row>
    <row r="301" spans="1:96">
      <c r="A301" s="694" t="s">
        <v>3</v>
      </c>
      <c r="B301" s="794">
        <v>41983</v>
      </c>
      <c r="C301" s="743">
        <v>2014</v>
      </c>
      <c r="D301" s="746" t="s">
        <v>15</v>
      </c>
      <c r="E301" s="746" t="s">
        <v>25</v>
      </c>
      <c r="F301" s="746" t="s">
        <v>17</v>
      </c>
      <c r="G301" s="746" t="s">
        <v>58</v>
      </c>
      <c r="H301" s="694" t="s">
        <v>959</v>
      </c>
      <c r="I301" s="746" t="s">
        <v>5</v>
      </c>
      <c r="J301" s="746" t="s">
        <v>376</v>
      </c>
      <c r="K301" s="706">
        <v>1</v>
      </c>
      <c r="L301" s="745" t="s">
        <v>58</v>
      </c>
      <c r="M301" s="706" t="s">
        <v>973</v>
      </c>
      <c r="N301" s="706">
        <v>19</v>
      </c>
      <c r="O301" s="706"/>
      <c r="P301" s="706"/>
      <c r="Q301" s="706"/>
      <c r="R301" s="706"/>
      <c r="S301" s="706"/>
      <c r="T301" s="706"/>
      <c r="U301" s="738">
        <v>0.62806842093767556</v>
      </c>
      <c r="V301" s="738">
        <v>1227.8974155200376</v>
      </c>
      <c r="W301" s="793">
        <v>0.62806842093767556</v>
      </c>
      <c r="X301" s="708">
        <v>1227.8974155200376</v>
      </c>
      <c r="Y301" s="719">
        <v>23330.050894880715</v>
      </c>
      <c r="Z301" s="719">
        <v>11048.341077309895</v>
      </c>
      <c r="AA301" s="719">
        <v>581.49163564788921</v>
      </c>
      <c r="AB301" s="738">
        <v>0.29743244734753344</v>
      </c>
      <c r="AC301" s="792">
        <v>1</v>
      </c>
      <c r="AD301" s="792">
        <v>1</v>
      </c>
      <c r="AE301" s="717">
        <v>0.56884057971014501</v>
      </c>
      <c r="AF301" s="714">
        <v>4.2407531067898789E-2</v>
      </c>
      <c r="AG301" s="706"/>
      <c r="AH301" s="792">
        <v>0.47356695135775378</v>
      </c>
      <c r="AI301" s="748">
        <v>0.56884057971014501</v>
      </c>
      <c r="AJ301" s="748">
        <v>4.2407531067898789E-2</v>
      </c>
      <c r="AK301" s="748"/>
      <c r="AL301" s="714">
        <v>0.47356695135775378</v>
      </c>
      <c r="AM301" s="706"/>
      <c r="AN301" s="706"/>
      <c r="AO301" s="706"/>
      <c r="AP301" s="706"/>
      <c r="AQ301" s="706"/>
      <c r="AR301" s="706" t="s">
        <v>957</v>
      </c>
      <c r="AS301" s="706"/>
      <c r="AT301" s="706"/>
      <c r="AU301" s="706"/>
      <c r="AV301" s="706">
        <v>0.29743244734753344</v>
      </c>
      <c r="AW301" s="706">
        <v>0.29743244734753344</v>
      </c>
      <c r="AX301" s="706">
        <v>0.29743244734753344</v>
      </c>
      <c r="AY301" s="706">
        <v>0.29743244734753344</v>
      </c>
      <c r="AZ301" s="706">
        <v>0.29743244734753344</v>
      </c>
      <c r="BA301" s="706">
        <v>0.29743244734753344</v>
      </c>
      <c r="BB301" s="706">
        <v>0.29743244734753344</v>
      </c>
      <c r="BC301" s="706">
        <v>0.29743244734753344</v>
      </c>
      <c r="BD301" s="706">
        <v>0.29743244734753344</v>
      </c>
      <c r="BE301" s="706">
        <v>0.29743244734753344</v>
      </c>
      <c r="BF301" s="706">
        <v>0.29743244734753344</v>
      </c>
      <c r="BG301" s="706">
        <v>0.29743244734753344</v>
      </c>
      <c r="BH301" s="706">
        <v>0.29743244734753344</v>
      </c>
      <c r="BI301" s="706">
        <v>0.29743244734753344</v>
      </c>
      <c r="BJ301" s="706">
        <v>0.29743244734753344</v>
      </c>
      <c r="BK301" s="706">
        <v>0.29743244734753344</v>
      </c>
      <c r="BL301" s="706">
        <v>0.29743244734753344</v>
      </c>
      <c r="BM301" s="706">
        <v>0.29743244734753344</v>
      </c>
      <c r="BN301" s="706">
        <v>0.29743244734753344</v>
      </c>
      <c r="BO301" s="706"/>
      <c r="BP301" s="706"/>
      <c r="BQ301" s="706"/>
      <c r="BR301" s="706"/>
      <c r="BS301" s="706"/>
      <c r="BT301" s="706"/>
      <c r="BU301" s="706"/>
      <c r="BV301" s="791">
        <v>581.49163564788921</v>
      </c>
      <c r="BW301" s="791">
        <v>581.49163564788921</v>
      </c>
      <c r="BX301" s="791">
        <v>581.49163564788921</v>
      </c>
      <c r="BY301" s="791">
        <v>581.49163564788921</v>
      </c>
      <c r="BZ301" s="791">
        <v>581.49163564788921</v>
      </c>
      <c r="CA301" s="791">
        <v>581.49163564788921</v>
      </c>
      <c r="CB301" s="791">
        <v>581.49163564788921</v>
      </c>
      <c r="CC301" s="791">
        <v>581.49163564788921</v>
      </c>
      <c r="CD301" s="791">
        <v>581.49163564788921</v>
      </c>
      <c r="CE301" s="791">
        <v>581.49163564788921</v>
      </c>
      <c r="CF301" s="791">
        <v>581.49163564788921</v>
      </c>
      <c r="CG301" s="791">
        <v>581.49163564788921</v>
      </c>
      <c r="CH301" s="791">
        <v>581.49163564788921</v>
      </c>
      <c r="CI301" s="791">
        <v>581.49163564788921</v>
      </c>
      <c r="CJ301" s="791">
        <v>581.49163564788921</v>
      </c>
      <c r="CK301" s="791">
        <v>581.49163564788921</v>
      </c>
      <c r="CL301" s="791">
        <v>581.49163564788921</v>
      </c>
      <c r="CM301" s="791">
        <v>581.49163564788921</v>
      </c>
      <c r="CN301" s="791">
        <v>581.49163564788921</v>
      </c>
      <c r="CO301" s="706"/>
      <c r="CP301" s="706"/>
      <c r="CQ301" s="706"/>
      <c r="CR301" s="706"/>
    </row>
    <row r="302" spans="1:96">
      <c r="A302" s="694" t="s">
        <v>3</v>
      </c>
      <c r="B302" s="794">
        <v>41983</v>
      </c>
      <c r="C302" s="743">
        <v>2014</v>
      </c>
      <c r="D302" s="746" t="s">
        <v>15</v>
      </c>
      <c r="E302" s="746" t="s">
        <v>25</v>
      </c>
      <c r="F302" s="746" t="s">
        <v>17</v>
      </c>
      <c r="G302" s="746" t="s">
        <v>58</v>
      </c>
      <c r="H302" s="694" t="s">
        <v>959</v>
      </c>
      <c r="I302" s="746" t="s">
        <v>5</v>
      </c>
      <c r="J302" s="746" t="s">
        <v>376</v>
      </c>
      <c r="K302" s="706">
        <v>1</v>
      </c>
      <c r="L302" s="745" t="s">
        <v>58</v>
      </c>
      <c r="M302" s="706" t="s">
        <v>972</v>
      </c>
      <c r="N302" s="706">
        <v>19</v>
      </c>
      <c r="O302" s="706"/>
      <c r="P302" s="706"/>
      <c r="Q302" s="706"/>
      <c r="R302" s="706"/>
      <c r="S302" s="706"/>
      <c r="T302" s="706"/>
      <c r="U302" s="738">
        <v>0.62806842093767556</v>
      </c>
      <c r="V302" s="738">
        <v>1227.8974155200376</v>
      </c>
      <c r="W302" s="793">
        <v>0.62806842093767556</v>
      </c>
      <c r="X302" s="708">
        <v>1227.8974155200376</v>
      </c>
      <c r="Y302" s="719">
        <v>23330.050894880715</v>
      </c>
      <c r="Z302" s="719">
        <v>11048.341077309895</v>
      </c>
      <c r="AA302" s="719">
        <v>581.49163564788921</v>
      </c>
      <c r="AB302" s="738">
        <v>0.29743244734753344</v>
      </c>
      <c r="AC302" s="792">
        <v>1</v>
      </c>
      <c r="AD302" s="792">
        <v>1</v>
      </c>
      <c r="AE302" s="717">
        <v>0.56884057971014501</v>
      </c>
      <c r="AF302" s="714">
        <v>4.2407531067898789E-2</v>
      </c>
      <c r="AG302" s="706"/>
      <c r="AH302" s="792">
        <v>0.47356695135775378</v>
      </c>
      <c r="AI302" s="748">
        <v>0.56884057971014501</v>
      </c>
      <c r="AJ302" s="748">
        <v>4.2407531067898789E-2</v>
      </c>
      <c r="AK302" s="748"/>
      <c r="AL302" s="714">
        <v>0.47356695135775378</v>
      </c>
      <c r="AM302" s="706"/>
      <c r="AN302" s="706"/>
      <c r="AO302" s="706"/>
      <c r="AP302" s="706"/>
      <c r="AQ302" s="706"/>
      <c r="AR302" s="706" t="s">
        <v>957</v>
      </c>
      <c r="AS302" s="706"/>
      <c r="AT302" s="706"/>
      <c r="AU302" s="706"/>
      <c r="AV302" s="706">
        <v>0.29743244734753344</v>
      </c>
      <c r="AW302" s="706">
        <v>0.29743244734753344</v>
      </c>
      <c r="AX302" s="706">
        <v>0.29743244734753344</v>
      </c>
      <c r="AY302" s="706">
        <v>0.29743244734753344</v>
      </c>
      <c r="AZ302" s="706">
        <v>0.29743244734753344</v>
      </c>
      <c r="BA302" s="706">
        <v>0.29743244734753344</v>
      </c>
      <c r="BB302" s="706">
        <v>0.29743244734753344</v>
      </c>
      <c r="BC302" s="706">
        <v>0.29743244734753344</v>
      </c>
      <c r="BD302" s="706">
        <v>0.29743244734753344</v>
      </c>
      <c r="BE302" s="706">
        <v>0.29743244734753344</v>
      </c>
      <c r="BF302" s="706">
        <v>0.29743244734753344</v>
      </c>
      <c r="BG302" s="706">
        <v>0.29743244734753344</v>
      </c>
      <c r="BH302" s="706">
        <v>0.29743244734753344</v>
      </c>
      <c r="BI302" s="706">
        <v>0.29743244734753344</v>
      </c>
      <c r="BJ302" s="706">
        <v>0.29743244734753344</v>
      </c>
      <c r="BK302" s="706">
        <v>0.29743244734753344</v>
      </c>
      <c r="BL302" s="706">
        <v>0.29743244734753344</v>
      </c>
      <c r="BM302" s="706">
        <v>0.29743244734753344</v>
      </c>
      <c r="BN302" s="706">
        <v>0.29743244734753344</v>
      </c>
      <c r="BO302" s="706"/>
      <c r="BP302" s="706"/>
      <c r="BQ302" s="706"/>
      <c r="BR302" s="706"/>
      <c r="BS302" s="706"/>
      <c r="BT302" s="706"/>
      <c r="BU302" s="706"/>
      <c r="BV302" s="791">
        <v>581.49163564788921</v>
      </c>
      <c r="BW302" s="791">
        <v>581.49163564788921</v>
      </c>
      <c r="BX302" s="791">
        <v>581.49163564788921</v>
      </c>
      <c r="BY302" s="791">
        <v>581.49163564788921</v>
      </c>
      <c r="BZ302" s="791">
        <v>581.49163564788921</v>
      </c>
      <c r="CA302" s="791">
        <v>581.49163564788921</v>
      </c>
      <c r="CB302" s="791">
        <v>581.49163564788921</v>
      </c>
      <c r="CC302" s="791">
        <v>581.49163564788921</v>
      </c>
      <c r="CD302" s="791">
        <v>581.49163564788921</v>
      </c>
      <c r="CE302" s="791">
        <v>581.49163564788921</v>
      </c>
      <c r="CF302" s="791">
        <v>581.49163564788921</v>
      </c>
      <c r="CG302" s="791">
        <v>581.49163564788921</v>
      </c>
      <c r="CH302" s="791">
        <v>581.49163564788921</v>
      </c>
      <c r="CI302" s="791">
        <v>581.49163564788921</v>
      </c>
      <c r="CJ302" s="791">
        <v>581.49163564788921</v>
      </c>
      <c r="CK302" s="791">
        <v>581.49163564788921</v>
      </c>
      <c r="CL302" s="791">
        <v>581.49163564788921</v>
      </c>
      <c r="CM302" s="791">
        <v>581.49163564788921</v>
      </c>
      <c r="CN302" s="791">
        <v>581.49163564788921</v>
      </c>
      <c r="CO302" s="706"/>
      <c r="CP302" s="706"/>
      <c r="CQ302" s="706"/>
      <c r="CR302" s="706"/>
    </row>
    <row r="303" spans="1:96">
      <c r="A303" s="694" t="s">
        <v>3</v>
      </c>
      <c r="B303" s="794">
        <v>41983</v>
      </c>
      <c r="C303" s="743">
        <v>2014</v>
      </c>
      <c r="D303" s="746" t="s">
        <v>15</v>
      </c>
      <c r="E303" s="746" t="s">
        <v>25</v>
      </c>
      <c r="F303" s="746" t="s">
        <v>17</v>
      </c>
      <c r="G303" s="746" t="s">
        <v>58</v>
      </c>
      <c r="H303" s="694" t="s">
        <v>959</v>
      </c>
      <c r="I303" s="746" t="s">
        <v>5</v>
      </c>
      <c r="J303" s="746" t="s">
        <v>376</v>
      </c>
      <c r="K303" s="706">
        <v>1</v>
      </c>
      <c r="L303" s="745" t="s">
        <v>58</v>
      </c>
      <c r="M303" s="706" t="s">
        <v>971</v>
      </c>
      <c r="N303" s="706">
        <v>19</v>
      </c>
      <c r="O303" s="706"/>
      <c r="P303" s="706"/>
      <c r="Q303" s="706"/>
      <c r="R303" s="706"/>
      <c r="S303" s="706"/>
      <c r="T303" s="706"/>
      <c r="U303" s="738">
        <v>0.62806842093767556</v>
      </c>
      <c r="V303" s="738">
        <v>1227.8974155200376</v>
      </c>
      <c r="W303" s="793">
        <v>0.62806842093767556</v>
      </c>
      <c r="X303" s="708">
        <v>1227.8974155200376</v>
      </c>
      <c r="Y303" s="719">
        <v>23330.050894880715</v>
      </c>
      <c r="Z303" s="719">
        <v>11048.341077309895</v>
      </c>
      <c r="AA303" s="719">
        <v>581.49163564788921</v>
      </c>
      <c r="AB303" s="738">
        <v>0.29743244734753344</v>
      </c>
      <c r="AC303" s="792">
        <v>1</v>
      </c>
      <c r="AD303" s="792">
        <v>1</v>
      </c>
      <c r="AE303" s="717">
        <v>0.56884057971014501</v>
      </c>
      <c r="AF303" s="714">
        <v>4.2407531067898789E-2</v>
      </c>
      <c r="AG303" s="706"/>
      <c r="AH303" s="792">
        <v>0.47356695135775378</v>
      </c>
      <c r="AI303" s="748">
        <v>0.56884057971014501</v>
      </c>
      <c r="AJ303" s="748">
        <v>4.2407531067898789E-2</v>
      </c>
      <c r="AK303" s="748"/>
      <c r="AL303" s="714">
        <v>0.47356695135775378</v>
      </c>
      <c r="AM303" s="706"/>
      <c r="AN303" s="706"/>
      <c r="AO303" s="706"/>
      <c r="AP303" s="706"/>
      <c r="AQ303" s="706"/>
      <c r="AR303" s="706" t="s">
        <v>957</v>
      </c>
      <c r="AS303" s="706"/>
      <c r="AT303" s="706"/>
      <c r="AU303" s="706"/>
      <c r="AV303" s="706">
        <v>0.29743244734753344</v>
      </c>
      <c r="AW303" s="706">
        <v>0.29743244734753344</v>
      </c>
      <c r="AX303" s="706">
        <v>0.29743244734753344</v>
      </c>
      <c r="AY303" s="706">
        <v>0.29743244734753344</v>
      </c>
      <c r="AZ303" s="706">
        <v>0.29743244734753344</v>
      </c>
      <c r="BA303" s="706">
        <v>0.29743244734753344</v>
      </c>
      <c r="BB303" s="706">
        <v>0.29743244734753344</v>
      </c>
      <c r="BC303" s="706">
        <v>0.29743244734753344</v>
      </c>
      <c r="BD303" s="706">
        <v>0.29743244734753344</v>
      </c>
      <c r="BE303" s="706">
        <v>0.29743244734753344</v>
      </c>
      <c r="BF303" s="706">
        <v>0.29743244734753344</v>
      </c>
      <c r="BG303" s="706">
        <v>0.29743244734753344</v>
      </c>
      <c r="BH303" s="706">
        <v>0.29743244734753344</v>
      </c>
      <c r="BI303" s="706">
        <v>0.29743244734753344</v>
      </c>
      <c r="BJ303" s="706">
        <v>0.29743244734753344</v>
      </c>
      <c r="BK303" s="706">
        <v>0.29743244734753344</v>
      </c>
      <c r="BL303" s="706">
        <v>0.29743244734753344</v>
      </c>
      <c r="BM303" s="706">
        <v>0.29743244734753344</v>
      </c>
      <c r="BN303" s="706">
        <v>0.29743244734753344</v>
      </c>
      <c r="BO303" s="706"/>
      <c r="BP303" s="706"/>
      <c r="BQ303" s="706"/>
      <c r="BR303" s="706"/>
      <c r="BS303" s="706"/>
      <c r="BT303" s="706"/>
      <c r="BU303" s="706"/>
      <c r="BV303" s="791">
        <v>581.49163564788921</v>
      </c>
      <c r="BW303" s="791">
        <v>581.49163564788921</v>
      </c>
      <c r="BX303" s="791">
        <v>581.49163564788921</v>
      </c>
      <c r="BY303" s="791">
        <v>581.49163564788921</v>
      </c>
      <c r="BZ303" s="791">
        <v>581.49163564788921</v>
      </c>
      <c r="CA303" s="791">
        <v>581.49163564788921</v>
      </c>
      <c r="CB303" s="791">
        <v>581.49163564788921</v>
      </c>
      <c r="CC303" s="791">
        <v>581.49163564788921</v>
      </c>
      <c r="CD303" s="791">
        <v>581.49163564788921</v>
      </c>
      <c r="CE303" s="791">
        <v>581.49163564788921</v>
      </c>
      <c r="CF303" s="791">
        <v>581.49163564788921</v>
      </c>
      <c r="CG303" s="791">
        <v>581.49163564788921</v>
      </c>
      <c r="CH303" s="791">
        <v>581.49163564788921</v>
      </c>
      <c r="CI303" s="791">
        <v>581.49163564788921</v>
      </c>
      <c r="CJ303" s="791">
        <v>581.49163564788921</v>
      </c>
      <c r="CK303" s="791">
        <v>581.49163564788921</v>
      </c>
      <c r="CL303" s="791">
        <v>581.49163564788921</v>
      </c>
      <c r="CM303" s="791">
        <v>581.49163564788921</v>
      </c>
      <c r="CN303" s="791">
        <v>581.49163564788921</v>
      </c>
      <c r="CO303" s="706"/>
      <c r="CP303" s="706"/>
      <c r="CQ303" s="706"/>
      <c r="CR303" s="706"/>
    </row>
    <row r="304" spans="1:96">
      <c r="A304" s="694" t="s">
        <v>3</v>
      </c>
      <c r="B304" s="794">
        <v>41978</v>
      </c>
      <c r="C304" s="743">
        <v>2014</v>
      </c>
      <c r="D304" s="746" t="s">
        <v>15</v>
      </c>
      <c r="E304" s="746" t="s">
        <v>25</v>
      </c>
      <c r="F304" s="746" t="s">
        <v>17</v>
      </c>
      <c r="G304" s="746" t="s">
        <v>58</v>
      </c>
      <c r="H304" s="694" t="s">
        <v>959</v>
      </c>
      <c r="I304" s="746" t="s">
        <v>5</v>
      </c>
      <c r="J304" s="746" t="s">
        <v>376</v>
      </c>
      <c r="K304" s="706">
        <v>1</v>
      </c>
      <c r="L304" s="745" t="s">
        <v>58</v>
      </c>
      <c r="M304" s="706" t="s">
        <v>970</v>
      </c>
      <c r="N304" s="706">
        <v>19</v>
      </c>
      <c r="O304" s="706"/>
      <c r="P304" s="706"/>
      <c r="Q304" s="706"/>
      <c r="R304" s="706"/>
      <c r="S304" s="706"/>
      <c r="T304" s="706"/>
      <c r="U304" s="738">
        <v>0.62806842093767556</v>
      </c>
      <c r="V304" s="738">
        <v>1227.8974155200376</v>
      </c>
      <c r="W304" s="793">
        <v>0.62806842093767556</v>
      </c>
      <c r="X304" s="708">
        <v>1227.8974155200376</v>
      </c>
      <c r="Y304" s="719">
        <v>23330.050894880715</v>
      </c>
      <c r="Z304" s="719">
        <v>11048.341077309895</v>
      </c>
      <c r="AA304" s="719">
        <v>581.49163564788921</v>
      </c>
      <c r="AB304" s="738">
        <v>0.29743244734753344</v>
      </c>
      <c r="AC304" s="792">
        <v>1</v>
      </c>
      <c r="AD304" s="792">
        <v>1</v>
      </c>
      <c r="AE304" s="717">
        <v>0.56884057971014501</v>
      </c>
      <c r="AF304" s="714">
        <v>4.2407531067898789E-2</v>
      </c>
      <c r="AG304" s="706"/>
      <c r="AH304" s="792">
        <v>0.47356695135775378</v>
      </c>
      <c r="AI304" s="748">
        <v>0.56884057971014501</v>
      </c>
      <c r="AJ304" s="748">
        <v>4.2407531067898789E-2</v>
      </c>
      <c r="AK304" s="748"/>
      <c r="AL304" s="714">
        <v>0.47356695135775378</v>
      </c>
      <c r="AM304" s="706"/>
      <c r="AN304" s="706"/>
      <c r="AO304" s="706"/>
      <c r="AP304" s="706"/>
      <c r="AQ304" s="706"/>
      <c r="AR304" s="706" t="s">
        <v>957</v>
      </c>
      <c r="AS304" s="706"/>
      <c r="AT304" s="706"/>
      <c r="AU304" s="706"/>
      <c r="AV304" s="706">
        <v>0.29743244734753344</v>
      </c>
      <c r="AW304" s="706">
        <v>0.29743244734753344</v>
      </c>
      <c r="AX304" s="706">
        <v>0.29743244734753344</v>
      </c>
      <c r="AY304" s="706">
        <v>0.29743244734753344</v>
      </c>
      <c r="AZ304" s="706">
        <v>0.29743244734753344</v>
      </c>
      <c r="BA304" s="706">
        <v>0.29743244734753344</v>
      </c>
      <c r="BB304" s="706">
        <v>0.29743244734753344</v>
      </c>
      <c r="BC304" s="706">
        <v>0.29743244734753344</v>
      </c>
      <c r="BD304" s="706">
        <v>0.29743244734753344</v>
      </c>
      <c r="BE304" s="706">
        <v>0.29743244734753344</v>
      </c>
      <c r="BF304" s="706">
        <v>0.29743244734753344</v>
      </c>
      <c r="BG304" s="706">
        <v>0.29743244734753344</v>
      </c>
      <c r="BH304" s="706">
        <v>0.29743244734753344</v>
      </c>
      <c r="BI304" s="706">
        <v>0.29743244734753344</v>
      </c>
      <c r="BJ304" s="706">
        <v>0.29743244734753344</v>
      </c>
      <c r="BK304" s="706">
        <v>0.29743244734753344</v>
      </c>
      <c r="BL304" s="706">
        <v>0.29743244734753344</v>
      </c>
      <c r="BM304" s="706">
        <v>0.29743244734753344</v>
      </c>
      <c r="BN304" s="706">
        <v>0.29743244734753344</v>
      </c>
      <c r="BO304" s="706"/>
      <c r="BP304" s="706"/>
      <c r="BQ304" s="706"/>
      <c r="BR304" s="706"/>
      <c r="BS304" s="706"/>
      <c r="BT304" s="706"/>
      <c r="BU304" s="706"/>
      <c r="BV304" s="791">
        <v>581.49163564788921</v>
      </c>
      <c r="BW304" s="791">
        <v>581.49163564788921</v>
      </c>
      <c r="BX304" s="791">
        <v>581.49163564788921</v>
      </c>
      <c r="BY304" s="791">
        <v>581.49163564788921</v>
      </c>
      <c r="BZ304" s="791">
        <v>581.49163564788921</v>
      </c>
      <c r="CA304" s="791">
        <v>581.49163564788921</v>
      </c>
      <c r="CB304" s="791">
        <v>581.49163564788921</v>
      </c>
      <c r="CC304" s="791">
        <v>581.49163564788921</v>
      </c>
      <c r="CD304" s="791">
        <v>581.49163564788921</v>
      </c>
      <c r="CE304" s="791">
        <v>581.49163564788921</v>
      </c>
      <c r="CF304" s="791">
        <v>581.49163564788921</v>
      </c>
      <c r="CG304" s="791">
        <v>581.49163564788921</v>
      </c>
      <c r="CH304" s="791">
        <v>581.49163564788921</v>
      </c>
      <c r="CI304" s="791">
        <v>581.49163564788921</v>
      </c>
      <c r="CJ304" s="791">
        <v>581.49163564788921</v>
      </c>
      <c r="CK304" s="791">
        <v>581.49163564788921</v>
      </c>
      <c r="CL304" s="791">
        <v>581.49163564788921</v>
      </c>
      <c r="CM304" s="791">
        <v>581.49163564788921</v>
      </c>
      <c r="CN304" s="791">
        <v>581.49163564788921</v>
      </c>
      <c r="CO304" s="706"/>
      <c r="CP304" s="706"/>
      <c r="CQ304" s="706"/>
      <c r="CR304" s="706"/>
    </row>
    <row r="305" spans="1:96">
      <c r="A305" s="694" t="s">
        <v>3</v>
      </c>
      <c r="B305" s="794">
        <v>41939</v>
      </c>
      <c r="C305" s="743">
        <v>2014</v>
      </c>
      <c r="D305" s="746" t="s">
        <v>15</v>
      </c>
      <c r="E305" s="746" t="s">
        <v>25</v>
      </c>
      <c r="F305" s="746" t="s">
        <v>17</v>
      </c>
      <c r="G305" s="746" t="s">
        <v>58</v>
      </c>
      <c r="H305" s="694" t="s">
        <v>959</v>
      </c>
      <c r="I305" s="746" t="s">
        <v>5</v>
      </c>
      <c r="J305" s="746" t="s">
        <v>376</v>
      </c>
      <c r="K305" s="706">
        <v>1</v>
      </c>
      <c r="L305" s="745" t="s">
        <v>58</v>
      </c>
      <c r="M305" s="706" t="s">
        <v>969</v>
      </c>
      <c r="N305" s="706">
        <v>19</v>
      </c>
      <c r="O305" s="706"/>
      <c r="P305" s="706"/>
      <c r="Q305" s="706"/>
      <c r="R305" s="706"/>
      <c r="S305" s="706"/>
      <c r="T305" s="706"/>
      <c r="U305" s="738">
        <v>0.62806842093767556</v>
      </c>
      <c r="V305" s="738">
        <v>1227.8974155200376</v>
      </c>
      <c r="W305" s="793">
        <v>0.62806842093767556</v>
      </c>
      <c r="X305" s="708">
        <v>1227.8974155200376</v>
      </c>
      <c r="Y305" s="719">
        <v>23330.050894880715</v>
      </c>
      <c r="Z305" s="719">
        <v>11048.341077309895</v>
      </c>
      <c r="AA305" s="719">
        <v>581.49163564788921</v>
      </c>
      <c r="AB305" s="738">
        <v>0.29743244734753344</v>
      </c>
      <c r="AC305" s="792">
        <v>1</v>
      </c>
      <c r="AD305" s="792">
        <v>1</v>
      </c>
      <c r="AE305" s="717">
        <v>0.56884057971014501</v>
      </c>
      <c r="AF305" s="714">
        <v>4.2407531067898789E-2</v>
      </c>
      <c r="AG305" s="706"/>
      <c r="AH305" s="792">
        <v>0.47356695135775378</v>
      </c>
      <c r="AI305" s="748">
        <v>0.56884057971014501</v>
      </c>
      <c r="AJ305" s="748">
        <v>4.2407531067898789E-2</v>
      </c>
      <c r="AK305" s="748"/>
      <c r="AL305" s="714">
        <v>0.47356695135775378</v>
      </c>
      <c r="AM305" s="706"/>
      <c r="AN305" s="706"/>
      <c r="AO305" s="706"/>
      <c r="AP305" s="706"/>
      <c r="AQ305" s="706"/>
      <c r="AR305" s="706" t="s">
        <v>957</v>
      </c>
      <c r="AS305" s="706"/>
      <c r="AT305" s="706"/>
      <c r="AU305" s="706"/>
      <c r="AV305" s="706">
        <v>0.29743244734753344</v>
      </c>
      <c r="AW305" s="706">
        <v>0.29743244734753344</v>
      </c>
      <c r="AX305" s="706">
        <v>0.29743244734753344</v>
      </c>
      <c r="AY305" s="706">
        <v>0.29743244734753344</v>
      </c>
      <c r="AZ305" s="706">
        <v>0.29743244734753344</v>
      </c>
      <c r="BA305" s="706">
        <v>0.29743244734753344</v>
      </c>
      <c r="BB305" s="706">
        <v>0.29743244734753344</v>
      </c>
      <c r="BC305" s="706">
        <v>0.29743244734753344</v>
      </c>
      <c r="BD305" s="706">
        <v>0.29743244734753344</v>
      </c>
      <c r="BE305" s="706">
        <v>0.29743244734753344</v>
      </c>
      <c r="BF305" s="706">
        <v>0.29743244734753344</v>
      </c>
      <c r="BG305" s="706">
        <v>0.29743244734753344</v>
      </c>
      <c r="BH305" s="706">
        <v>0.29743244734753344</v>
      </c>
      <c r="BI305" s="706">
        <v>0.29743244734753344</v>
      </c>
      <c r="BJ305" s="706">
        <v>0.29743244734753344</v>
      </c>
      <c r="BK305" s="706">
        <v>0.29743244734753344</v>
      </c>
      <c r="BL305" s="706">
        <v>0.29743244734753344</v>
      </c>
      <c r="BM305" s="706">
        <v>0.29743244734753344</v>
      </c>
      <c r="BN305" s="706">
        <v>0.29743244734753344</v>
      </c>
      <c r="BO305" s="706"/>
      <c r="BP305" s="706"/>
      <c r="BQ305" s="706"/>
      <c r="BR305" s="706"/>
      <c r="BS305" s="706"/>
      <c r="BT305" s="706"/>
      <c r="BU305" s="706"/>
      <c r="BV305" s="791">
        <v>581.49163564788921</v>
      </c>
      <c r="BW305" s="791">
        <v>581.49163564788921</v>
      </c>
      <c r="BX305" s="791">
        <v>581.49163564788921</v>
      </c>
      <c r="BY305" s="791">
        <v>581.49163564788921</v>
      </c>
      <c r="BZ305" s="791">
        <v>581.49163564788921</v>
      </c>
      <c r="CA305" s="791">
        <v>581.49163564788921</v>
      </c>
      <c r="CB305" s="791">
        <v>581.49163564788921</v>
      </c>
      <c r="CC305" s="791">
        <v>581.49163564788921</v>
      </c>
      <c r="CD305" s="791">
        <v>581.49163564788921</v>
      </c>
      <c r="CE305" s="791">
        <v>581.49163564788921</v>
      </c>
      <c r="CF305" s="791">
        <v>581.49163564788921</v>
      </c>
      <c r="CG305" s="791">
        <v>581.49163564788921</v>
      </c>
      <c r="CH305" s="791">
        <v>581.49163564788921</v>
      </c>
      <c r="CI305" s="791">
        <v>581.49163564788921</v>
      </c>
      <c r="CJ305" s="791">
        <v>581.49163564788921</v>
      </c>
      <c r="CK305" s="791">
        <v>581.49163564788921</v>
      </c>
      <c r="CL305" s="791">
        <v>581.49163564788921</v>
      </c>
      <c r="CM305" s="791">
        <v>581.49163564788921</v>
      </c>
      <c r="CN305" s="791">
        <v>581.49163564788921</v>
      </c>
      <c r="CO305" s="706"/>
      <c r="CP305" s="706"/>
      <c r="CQ305" s="706"/>
      <c r="CR305" s="706"/>
    </row>
    <row r="306" spans="1:96">
      <c r="A306" s="694" t="s">
        <v>3</v>
      </c>
      <c r="B306" s="794">
        <v>41988</v>
      </c>
      <c r="C306" s="743">
        <v>2014</v>
      </c>
      <c r="D306" s="746" t="s">
        <v>15</v>
      </c>
      <c r="E306" s="746" t="s">
        <v>25</v>
      </c>
      <c r="F306" s="746" t="s">
        <v>17</v>
      </c>
      <c r="G306" s="746" t="s">
        <v>58</v>
      </c>
      <c r="H306" s="694" t="s">
        <v>959</v>
      </c>
      <c r="I306" s="746" t="s">
        <v>5</v>
      </c>
      <c r="J306" s="746" t="s">
        <v>376</v>
      </c>
      <c r="K306" s="706">
        <v>1</v>
      </c>
      <c r="L306" s="745" t="s">
        <v>58</v>
      </c>
      <c r="M306" s="706" t="s">
        <v>968</v>
      </c>
      <c r="N306" s="706">
        <v>19</v>
      </c>
      <c r="O306" s="706"/>
      <c r="P306" s="706"/>
      <c r="Q306" s="706"/>
      <c r="R306" s="706"/>
      <c r="S306" s="706"/>
      <c r="T306" s="706"/>
      <c r="U306" s="738">
        <v>0.62806842093767556</v>
      </c>
      <c r="V306" s="738">
        <v>1227.8974155200376</v>
      </c>
      <c r="W306" s="793">
        <v>0.62806842093767556</v>
      </c>
      <c r="X306" s="708">
        <v>1227.8974155200376</v>
      </c>
      <c r="Y306" s="719">
        <v>23330.050894880715</v>
      </c>
      <c r="Z306" s="719">
        <v>11048.341077309895</v>
      </c>
      <c r="AA306" s="719">
        <v>581.49163564788921</v>
      </c>
      <c r="AB306" s="738">
        <v>0.29743244734753344</v>
      </c>
      <c r="AC306" s="792">
        <v>1</v>
      </c>
      <c r="AD306" s="792">
        <v>1</v>
      </c>
      <c r="AE306" s="717">
        <v>0.56884057971014501</v>
      </c>
      <c r="AF306" s="714">
        <v>4.2407531067898789E-2</v>
      </c>
      <c r="AG306" s="706"/>
      <c r="AH306" s="792">
        <v>0.47356695135775378</v>
      </c>
      <c r="AI306" s="748">
        <v>0.56884057971014501</v>
      </c>
      <c r="AJ306" s="748">
        <v>4.2407531067898789E-2</v>
      </c>
      <c r="AK306" s="748"/>
      <c r="AL306" s="714">
        <v>0.47356695135775378</v>
      </c>
      <c r="AM306" s="706"/>
      <c r="AN306" s="706"/>
      <c r="AO306" s="706"/>
      <c r="AP306" s="706"/>
      <c r="AQ306" s="706"/>
      <c r="AR306" s="706" t="s">
        <v>957</v>
      </c>
      <c r="AS306" s="706"/>
      <c r="AT306" s="706"/>
      <c r="AU306" s="706"/>
      <c r="AV306" s="706">
        <v>0.29743244734753344</v>
      </c>
      <c r="AW306" s="706">
        <v>0.29743244734753344</v>
      </c>
      <c r="AX306" s="706">
        <v>0.29743244734753344</v>
      </c>
      <c r="AY306" s="706">
        <v>0.29743244734753344</v>
      </c>
      <c r="AZ306" s="706">
        <v>0.29743244734753344</v>
      </c>
      <c r="BA306" s="706">
        <v>0.29743244734753344</v>
      </c>
      <c r="BB306" s="706">
        <v>0.29743244734753344</v>
      </c>
      <c r="BC306" s="706">
        <v>0.29743244734753344</v>
      </c>
      <c r="BD306" s="706">
        <v>0.29743244734753344</v>
      </c>
      <c r="BE306" s="706">
        <v>0.29743244734753344</v>
      </c>
      <c r="BF306" s="706">
        <v>0.29743244734753344</v>
      </c>
      <c r="BG306" s="706">
        <v>0.29743244734753344</v>
      </c>
      <c r="BH306" s="706">
        <v>0.29743244734753344</v>
      </c>
      <c r="BI306" s="706">
        <v>0.29743244734753344</v>
      </c>
      <c r="BJ306" s="706">
        <v>0.29743244734753344</v>
      </c>
      <c r="BK306" s="706">
        <v>0.29743244734753344</v>
      </c>
      <c r="BL306" s="706">
        <v>0.29743244734753344</v>
      </c>
      <c r="BM306" s="706">
        <v>0.29743244734753344</v>
      </c>
      <c r="BN306" s="706">
        <v>0.29743244734753344</v>
      </c>
      <c r="BO306" s="706"/>
      <c r="BP306" s="706"/>
      <c r="BQ306" s="706"/>
      <c r="BR306" s="706"/>
      <c r="BS306" s="706"/>
      <c r="BT306" s="706"/>
      <c r="BU306" s="706"/>
      <c r="BV306" s="791">
        <v>581.49163564788921</v>
      </c>
      <c r="BW306" s="791">
        <v>581.49163564788921</v>
      </c>
      <c r="BX306" s="791">
        <v>581.49163564788921</v>
      </c>
      <c r="BY306" s="791">
        <v>581.49163564788921</v>
      </c>
      <c r="BZ306" s="791">
        <v>581.49163564788921</v>
      </c>
      <c r="CA306" s="791">
        <v>581.49163564788921</v>
      </c>
      <c r="CB306" s="791">
        <v>581.49163564788921</v>
      </c>
      <c r="CC306" s="791">
        <v>581.49163564788921</v>
      </c>
      <c r="CD306" s="791">
        <v>581.49163564788921</v>
      </c>
      <c r="CE306" s="791">
        <v>581.49163564788921</v>
      </c>
      <c r="CF306" s="791">
        <v>581.49163564788921</v>
      </c>
      <c r="CG306" s="791">
        <v>581.49163564788921</v>
      </c>
      <c r="CH306" s="791">
        <v>581.49163564788921</v>
      </c>
      <c r="CI306" s="791">
        <v>581.49163564788921</v>
      </c>
      <c r="CJ306" s="791">
        <v>581.49163564788921</v>
      </c>
      <c r="CK306" s="791">
        <v>581.49163564788921</v>
      </c>
      <c r="CL306" s="791">
        <v>581.49163564788921</v>
      </c>
      <c r="CM306" s="791">
        <v>581.49163564788921</v>
      </c>
      <c r="CN306" s="791">
        <v>581.49163564788921</v>
      </c>
      <c r="CO306" s="706"/>
      <c r="CP306" s="706"/>
      <c r="CQ306" s="706"/>
      <c r="CR306" s="706"/>
    </row>
    <row r="307" spans="1:96">
      <c r="A307" s="694" t="s">
        <v>3</v>
      </c>
      <c r="B307" s="794">
        <v>41912</v>
      </c>
      <c r="C307" s="743">
        <v>2014</v>
      </c>
      <c r="D307" s="746" t="s">
        <v>15</v>
      </c>
      <c r="E307" s="746" t="s">
        <v>25</v>
      </c>
      <c r="F307" s="746" t="s">
        <v>17</v>
      </c>
      <c r="G307" s="746" t="s">
        <v>58</v>
      </c>
      <c r="H307" s="694" t="s">
        <v>959</v>
      </c>
      <c r="I307" s="746" t="s">
        <v>5</v>
      </c>
      <c r="J307" s="746" t="s">
        <v>376</v>
      </c>
      <c r="K307" s="706">
        <v>1</v>
      </c>
      <c r="L307" s="745" t="s">
        <v>58</v>
      </c>
      <c r="M307" s="706" t="s">
        <v>946</v>
      </c>
      <c r="N307" s="706">
        <v>19</v>
      </c>
      <c r="O307" s="706"/>
      <c r="P307" s="706"/>
      <c r="Q307" s="706"/>
      <c r="R307" s="706"/>
      <c r="S307" s="706"/>
      <c r="T307" s="706"/>
      <c r="U307" s="738">
        <v>0.62806842093767556</v>
      </c>
      <c r="V307" s="738">
        <v>1227.8974155200376</v>
      </c>
      <c r="W307" s="793">
        <v>0.62806842093767556</v>
      </c>
      <c r="X307" s="708">
        <v>1227.8974155200376</v>
      </c>
      <c r="Y307" s="719">
        <v>23330.050894880715</v>
      </c>
      <c r="Z307" s="719">
        <v>11048.341077309895</v>
      </c>
      <c r="AA307" s="719">
        <v>581.49163564788921</v>
      </c>
      <c r="AB307" s="738">
        <v>0.29743244734753344</v>
      </c>
      <c r="AC307" s="792">
        <v>1</v>
      </c>
      <c r="AD307" s="792">
        <v>1</v>
      </c>
      <c r="AE307" s="717">
        <v>0.56884057971014501</v>
      </c>
      <c r="AF307" s="714">
        <v>4.2407531067898789E-2</v>
      </c>
      <c r="AG307" s="706"/>
      <c r="AH307" s="792">
        <v>0.47356695135775378</v>
      </c>
      <c r="AI307" s="748">
        <v>0.56884057971014501</v>
      </c>
      <c r="AJ307" s="748">
        <v>4.2407531067898789E-2</v>
      </c>
      <c r="AK307" s="748"/>
      <c r="AL307" s="714">
        <v>0.47356695135775378</v>
      </c>
      <c r="AM307" s="706"/>
      <c r="AN307" s="706"/>
      <c r="AO307" s="706"/>
      <c r="AP307" s="706"/>
      <c r="AQ307" s="706"/>
      <c r="AR307" s="706" t="s">
        <v>957</v>
      </c>
      <c r="AS307" s="706"/>
      <c r="AT307" s="706"/>
      <c r="AU307" s="706"/>
      <c r="AV307" s="706">
        <v>0.29743244734753344</v>
      </c>
      <c r="AW307" s="706">
        <v>0.29743244734753344</v>
      </c>
      <c r="AX307" s="706">
        <v>0.29743244734753344</v>
      </c>
      <c r="AY307" s="706">
        <v>0.29743244734753344</v>
      </c>
      <c r="AZ307" s="706">
        <v>0.29743244734753344</v>
      </c>
      <c r="BA307" s="706">
        <v>0.29743244734753344</v>
      </c>
      <c r="BB307" s="706">
        <v>0.29743244734753344</v>
      </c>
      <c r="BC307" s="706">
        <v>0.29743244734753344</v>
      </c>
      <c r="BD307" s="706">
        <v>0.29743244734753344</v>
      </c>
      <c r="BE307" s="706">
        <v>0.29743244734753344</v>
      </c>
      <c r="BF307" s="706">
        <v>0.29743244734753344</v>
      </c>
      <c r="BG307" s="706">
        <v>0.29743244734753344</v>
      </c>
      <c r="BH307" s="706">
        <v>0.29743244734753344</v>
      </c>
      <c r="BI307" s="706">
        <v>0.29743244734753344</v>
      </c>
      <c r="BJ307" s="706">
        <v>0.29743244734753344</v>
      </c>
      <c r="BK307" s="706">
        <v>0.29743244734753344</v>
      </c>
      <c r="BL307" s="706">
        <v>0.29743244734753344</v>
      </c>
      <c r="BM307" s="706">
        <v>0.29743244734753344</v>
      </c>
      <c r="BN307" s="706">
        <v>0.29743244734753344</v>
      </c>
      <c r="BO307" s="706"/>
      <c r="BP307" s="706"/>
      <c r="BQ307" s="706"/>
      <c r="BR307" s="706"/>
      <c r="BS307" s="706"/>
      <c r="BT307" s="706"/>
      <c r="BU307" s="706"/>
      <c r="BV307" s="791">
        <v>581.49163564788921</v>
      </c>
      <c r="BW307" s="791">
        <v>581.49163564788921</v>
      </c>
      <c r="BX307" s="791">
        <v>581.49163564788921</v>
      </c>
      <c r="BY307" s="791">
        <v>581.49163564788921</v>
      </c>
      <c r="BZ307" s="791">
        <v>581.49163564788921</v>
      </c>
      <c r="CA307" s="791">
        <v>581.49163564788921</v>
      </c>
      <c r="CB307" s="791">
        <v>581.49163564788921</v>
      </c>
      <c r="CC307" s="791">
        <v>581.49163564788921</v>
      </c>
      <c r="CD307" s="791">
        <v>581.49163564788921</v>
      </c>
      <c r="CE307" s="791">
        <v>581.49163564788921</v>
      </c>
      <c r="CF307" s="791">
        <v>581.49163564788921</v>
      </c>
      <c r="CG307" s="791">
        <v>581.49163564788921</v>
      </c>
      <c r="CH307" s="791">
        <v>581.49163564788921</v>
      </c>
      <c r="CI307" s="791">
        <v>581.49163564788921</v>
      </c>
      <c r="CJ307" s="791">
        <v>581.49163564788921</v>
      </c>
      <c r="CK307" s="791">
        <v>581.49163564788921</v>
      </c>
      <c r="CL307" s="791">
        <v>581.49163564788921</v>
      </c>
      <c r="CM307" s="791">
        <v>581.49163564788921</v>
      </c>
      <c r="CN307" s="791">
        <v>581.49163564788921</v>
      </c>
      <c r="CO307" s="706"/>
      <c r="CP307" s="706"/>
      <c r="CQ307" s="706"/>
      <c r="CR307" s="706"/>
    </row>
    <row r="308" spans="1:96">
      <c r="A308" s="694" t="s">
        <v>3</v>
      </c>
      <c r="B308" s="794">
        <v>42004</v>
      </c>
      <c r="C308" s="743">
        <v>2014</v>
      </c>
      <c r="D308" s="746" t="s">
        <v>15</v>
      </c>
      <c r="E308" s="746" t="s">
        <v>25</v>
      </c>
      <c r="F308" s="746" t="s">
        <v>17</v>
      </c>
      <c r="G308" s="746" t="s">
        <v>58</v>
      </c>
      <c r="H308" s="694" t="s">
        <v>959</v>
      </c>
      <c r="I308" s="746" t="s">
        <v>5</v>
      </c>
      <c r="J308" s="746" t="s">
        <v>376</v>
      </c>
      <c r="K308" s="706">
        <v>1</v>
      </c>
      <c r="L308" s="745" t="s">
        <v>58</v>
      </c>
      <c r="M308" s="706" t="s">
        <v>967</v>
      </c>
      <c r="N308" s="706">
        <v>19</v>
      </c>
      <c r="O308" s="706"/>
      <c r="P308" s="706"/>
      <c r="Q308" s="706"/>
      <c r="R308" s="706"/>
      <c r="S308" s="706"/>
      <c r="T308" s="706"/>
      <c r="U308" s="738">
        <v>0.62806842093767556</v>
      </c>
      <c r="V308" s="738">
        <v>1227.8974155200376</v>
      </c>
      <c r="W308" s="793">
        <v>0.62806842093767556</v>
      </c>
      <c r="X308" s="708">
        <v>1227.8974155200376</v>
      </c>
      <c r="Y308" s="719">
        <v>23330.050894880715</v>
      </c>
      <c r="Z308" s="719">
        <v>11048.341077309895</v>
      </c>
      <c r="AA308" s="719">
        <v>581.49163564788921</v>
      </c>
      <c r="AB308" s="738">
        <v>0.29743244734753344</v>
      </c>
      <c r="AC308" s="792">
        <v>1</v>
      </c>
      <c r="AD308" s="792">
        <v>1</v>
      </c>
      <c r="AE308" s="717">
        <v>0.56884057971014501</v>
      </c>
      <c r="AF308" s="714">
        <v>4.2407531067898789E-2</v>
      </c>
      <c r="AG308" s="706"/>
      <c r="AH308" s="792">
        <v>0.47356695135775378</v>
      </c>
      <c r="AI308" s="748">
        <v>0.56884057971014501</v>
      </c>
      <c r="AJ308" s="748">
        <v>4.2407531067898789E-2</v>
      </c>
      <c r="AK308" s="748"/>
      <c r="AL308" s="714">
        <v>0.47356695135775378</v>
      </c>
      <c r="AM308" s="706"/>
      <c r="AN308" s="706"/>
      <c r="AO308" s="706"/>
      <c r="AP308" s="706"/>
      <c r="AQ308" s="706"/>
      <c r="AR308" s="706" t="s">
        <v>957</v>
      </c>
      <c r="AS308" s="706"/>
      <c r="AT308" s="706"/>
      <c r="AU308" s="706"/>
      <c r="AV308" s="706">
        <v>0.29743244734753344</v>
      </c>
      <c r="AW308" s="706">
        <v>0.29743244734753344</v>
      </c>
      <c r="AX308" s="706">
        <v>0.29743244734753344</v>
      </c>
      <c r="AY308" s="706">
        <v>0.29743244734753344</v>
      </c>
      <c r="AZ308" s="706">
        <v>0.29743244734753344</v>
      </c>
      <c r="BA308" s="706">
        <v>0.29743244734753344</v>
      </c>
      <c r="BB308" s="706">
        <v>0.29743244734753344</v>
      </c>
      <c r="BC308" s="706">
        <v>0.29743244734753344</v>
      </c>
      <c r="BD308" s="706">
        <v>0.29743244734753344</v>
      </c>
      <c r="BE308" s="706">
        <v>0.29743244734753344</v>
      </c>
      <c r="BF308" s="706">
        <v>0.29743244734753344</v>
      </c>
      <c r="BG308" s="706">
        <v>0.29743244734753344</v>
      </c>
      <c r="BH308" s="706">
        <v>0.29743244734753344</v>
      </c>
      <c r="BI308" s="706">
        <v>0.29743244734753344</v>
      </c>
      <c r="BJ308" s="706">
        <v>0.29743244734753344</v>
      </c>
      <c r="BK308" s="706">
        <v>0.29743244734753344</v>
      </c>
      <c r="BL308" s="706">
        <v>0.29743244734753344</v>
      </c>
      <c r="BM308" s="706">
        <v>0.29743244734753344</v>
      </c>
      <c r="BN308" s="706">
        <v>0.29743244734753344</v>
      </c>
      <c r="BO308" s="706"/>
      <c r="BP308" s="706"/>
      <c r="BQ308" s="706"/>
      <c r="BR308" s="706"/>
      <c r="BS308" s="706"/>
      <c r="BT308" s="706"/>
      <c r="BU308" s="706"/>
      <c r="BV308" s="791">
        <v>581.49163564788921</v>
      </c>
      <c r="BW308" s="791">
        <v>581.49163564788921</v>
      </c>
      <c r="BX308" s="791">
        <v>581.49163564788921</v>
      </c>
      <c r="BY308" s="791">
        <v>581.49163564788921</v>
      </c>
      <c r="BZ308" s="791">
        <v>581.49163564788921</v>
      </c>
      <c r="CA308" s="791">
        <v>581.49163564788921</v>
      </c>
      <c r="CB308" s="791">
        <v>581.49163564788921</v>
      </c>
      <c r="CC308" s="791">
        <v>581.49163564788921</v>
      </c>
      <c r="CD308" s="791">
        <v>581.49163564788921</v>
      </c>
      <c r="CE308" s="791">
        <v>581.49163564788921</v>
      </c>
      <c r="CF308" s="791">
        <v>581.49163564788921</v>
      </c>
      <c r="CG308" s="791">
        <v>581.49163564788921</v>
      </c>
      <c r="CH308" s="791">
        <v>581.49163564788921</v>
      </c>
      <c r="CI308" s="791">
        <v>581.49163564788921</v>
      </c>
      <c r="CJ308" s="791">
        <v>581.49163564788921</v>
      </c>
      <c r="CK308" s="791">
        <v>581.49163564788921</v>
      </c>
      <c r="CL308" s="791">
        <v>581.49163564788921</v>
      </c>
      <c r="CM308" s="791">
        <v>581.49163564788921</v>
      </c>
      <c r="CN308" s="791">
        <v>581.49163564788921</v>
      </c>
      <c r="CO308" s="706"/>
      <c r="CP308" s="706"/>
      <c r="CQ308" s="706"/>
      <c r="CR308" s="706"/>
    </row>
    <row r="309" spans="1:96">
      <c r="A309" s="694" t="s">
        <v>3</v>
      </c>
      <c r="B309" s="794">
        <v>41722</v>
      </c>
      <c r="C309" s="743">
        <v>2014</v>
      </c>
      <c r="D309" s="746" t="s">
        <v>15</v>
      </c>
      <c r="E309" s="746" t="s">
        <v>25</v>
      </c>
      <c r="F309" s="746" t="s">
        <v>17</v>
      </c>
      <c r="G309" s="746" t="s">
        <v>58</v>
      </c>
      <c r="H309" s="694" t="s">
        <v>959</v>
      </c>
      <c r="I309" s="746" t="s">
        <v>5</v>
      </c>
      <c r="J309" s="746" t="s">
        <v>376</v>
      </c>
      <c r="K309" s="706">
        <v>1</v>
      </c>
      <c r="L309" s="745" t="s">
        <v>58</v>
      </c>
      <c r="M309" s="706" t="s">
        <v>880</v>
      </c>
      <c r="N309" s="706">
        <v>19</v>
      </c>
      <c r="O309" s="706"/>
      <c r="P309" s="706"/>
      <c r="Q309" s="706"/>
      <c r="R309" s="706"/>
      <c r="S309" s="706"/>
      <c r="T309" s="706"/>
      <c r="U309" s="738">
        <v>0.62806842093767556</v>
      </c>
      <c r="V309" s="738">
        <v>1227.8974155200376</v>
      </c>
      <c r="W309" s="793">
        <v>0.62806842093767556</v>
      </c>
      <c r="X309" s="708">
        <v>1227.8974155200376</v>
      </c>
      <c r="Y309" s="719">
        <v>23330.050894880715</v>
      </c>
      <c r="Z309" s="719">
        <v>11048.341077309895</v>
      </c>
      <c r="AA309" s="719">
        <v>581.49163564788921</v>
      </c>
      <c r="AB309" s="738">
        <v>0.29743244734753344</v>
      </c>
      <c r="AC309" s="792">
        <v>1</v>
      </c>
      <c r="AD309" s="792">
        <v>1</v>
      </c>
      <c r="AE309" s="717">
        <v>0.56884057971014501</v>
      </c>
      <c r="AF309" s="714">
        <v>4.2407531067898789E-2</v>
      </c>
      <c r="AG309" s="706"/>
      <c r="AH309" s="792">
        <v>0.47356695135775378</v>
      </c>
      <c r="AI309" s="748">
        <v>0.56884057971014501</v>
      </c>
      <c r="AJ309" s="748">
        <v>4.2407531067898789E-2</v>
      </c>
      <c r="AK309" s="748"/>
      <c r="AL309" s="714">
        <v>0.47356695135775378</v>
      </c>
      <c r="AM309" s="706"/>
      <c r="AN309" s="706"/>
      <c r="AO309" s="706"/>
      <c r="AP309" s="706"/>
      <c r="AQ309" s="706"/>
      <c r="AR309" s="706" t="s">
        <v>957</v>
      </c>
      <c r="AS309" s="706"/>
      <c r="AT309" s="706"/>
      <c r="AU309" s="706"/>
      <c r="AV309" s="706">
        <v>0.29743244734753344</v>
      </c>
      <c r="AW309" s="706">
        <v>0.29743244734753344</v>
      </c>
      <c r="AX309" s="706">
        <v>0.29743244734753344</v>
      </c>
      <c r="AY309" s="706">
        <v>0.29743244734753344</v>
      </c>
      <c r="AZ309" s="706">
        <v>0.29743244734753344</v>
      </c>
      <c r="BA309" s="706">
        <v>0.29743244734753344</v>
      </c>
      <c r="BB309" s="706">
        <v>0.29743244734753344</v>
      </c>
      <c r="BC309" s="706">
        <v>0.29743244734753344</v>
      </c>
      <c r="BD309" s="706">
        <v>0.29743244734753344</v>
      </c>
      <c r="BE309" s="706">
        <v>0.29743244734753344</v>
      </c>
      <c r="BF309" s="706">
        <v>0.29743244734753344</v>
      </c>
      <c r="BG309" s="706">
        <v>0.29743244734753344</v>
      </c>
      <c r="BH309" s="706">
        <v>0.29743244734753344</v>
      </c>
      <c r="BI309" s="706">
        <v>0.29743244734753344</v>
      </c>
      <c r="BJ309" s="706">
        <v>0.29743244734753344</v>
      </c>
      <c r="BK309" s="706">
        <v>0.29743244734753344</v>
      </c>
      <c r="BL309" s="706">
        <v>0.29743244734753344</v>
      </c>
      <c r="BM309" s="706">
        <v>0.29743244734753344</v>
      </c>
      <c r="BN309" s="706">
        <v>0.29743244734753344</v>
      </c>
      <c r="BO309" s="706"/>
      <c r="BP309" s="706"/>
      <c r="BQ309" s="706"/>
      <c r="BR309" s="706"/>
      <c r="BS309" s="706"/>
      <c r="BT309" s="706"/>
      <c r="BU309" s="706"/>
      <c r="BV309" s="791">
        <v>581.49163564788921</v>
      </c>
      <c r="BW309" s="791">
        <v>581.49163564788921</v>
      </c>
      <c r="BX309" s="791">
        <v>581.49163564788921</v>
      </c>
      <c r="BY309" s="791">
        <v>581.49163564788921</v>
      </c>
      <c r="BZ309" s="791">
        <v>581.49163564788921</v>
      </c>
      <c r="CA309" s="791">
        <v>581.49163564788921</v>
      </c>
      <c r="CB309" s="791">
        <v>581.49163564788921</v>
      </c>
      <c r="CC309" s="791">
        <v>581.49163564788921</v>
      </c>
      <c r="CD309" s="791">
        <v>581.49163564788921</v>
      </c>
      <c r="CE309" s="791">
        <v>581.49163564788921</v>
      </c>
      <c r="CF309" s="791">
        <v>581.49163564788921</v>
      </c>
      <c r="CG309" s="791">
        <v>581.49163564788921</v>
      </c>
      <c r="CH309" s="791">
        <v>581.49163564788921</v>
      </c>
      <c r="CI309" s="791">
        <v>581.49163564788921</v>
      </c>
      <c r="CJ309" s="791">
        <v>581.49163564788921</v>
      </c>
      <c r="CK309" s="791">
        <v>581.49163564788921</v>
      </c>
      <c r="CL309" s="791">
        <v>581.49163564788921</v>
      </c>
      <c r="CM309" s="791">
        <v>581.49163564788921</v>
      </c>
      <c r="CN309" s="791">
        <v>581.49163564788921</v>
      </c>
      <c r="CO309" s="706"/>
      <c r="CP309" s="706"/>
      <c r="CQ309" s="706"/>
      <c r="CR309" s="706"/>
    </row>
    <row r="310" spans="1:96">
      <c r="A310" s="694" t="s">
        <v>3</v>
      </c>
      <c r="B310" s="794">
        <v>41968</v>
      </c>
      <c r="C310" s="743">
        <v>2014</v>
      </c>
      <c r="D310" s="746" t="s">
        <v>15</v>
      </c>
      <c r="E310" s="746" t="s">
        <v>25</v>
      </c>
      <c r="F310" s="746" t="s">
        <v>17</v>
      </c>
      <c r="G310" s="746" t="s">
        <v>58</v>
      </c>
      <c r="H310" s="694" t="s">
        <v>959</v>
      </c>
      <c r="I310" s="746" t="s">
        <v>5</v>
      </c>
      <c r="J310" s="746" t="s">
        <v>376</v>
      </c>
      <c r="K310" s="706">
        <v>1</v>
      </c>
      <c r="L310" s="745" t="s">
        <v>58</v>
      </c>
      <c r="M310" s="706" t="s">
        <v>966</v>
      </c>
      <c r="N310" s="706">
        <v>19</v>
      </c>
      <c r="O310" s="706"/>
      <c r="P310" s="706"/>
      <c r="Q310" s="706"/>
      <c r="R310" s="706"/>
      <c r="S310" s="706"/>
      <c r="T310" s="706"/>
      <c r="U310" s="738">
        <v>0.62806842093767556</v>
      </c>
      <c r="V310" s="738">
        <v>1227.8974155200376</v>
      </c>
      <c r="W310" s="793">
        <v>0.62806842093767556</v>
      </c>
      <c r="X310" s="708">
        <v>1227.8974155200376</v>
      </c>
      <c r="Y310" s="719">
        <v>23330.050894880715</v>
      </c>
      <c r="Z310" s="719">
        <v>11048.341077309895</v>
      </c>
      <c r="AA310" s="719">
        <v>581.49163564788921</v>
      </c>
      <c r="AB310" s="738">
        <v>0.29743244734753344</v>
      </c>
      <c r="AC310" s="792">
        <v>1</v>
      </c>
      <c r="AD310" s="792">
        <v>1</v>
      </c>
      <c r="AE310" s="717">
        <v>0.56884057971014501</v>
      </c>
      <c r="AF310" s="714">
        <v>4.2407531067898789E-2</v>
      </c>
      <c r="AG310" s="706"/>
      <c r="AH310" s="792">
        <v>0.47356695135775378</v>
      </c>
      <c r="AI310" s="748">
        <v>0.56884057971014501</v>
      </c>
      <c r="AJ310" s="748">
        <v>4.2407531067898789E-2</v>
      </c>
      <c r="AK310" s="748"/>
      <c r="AL310" s="714">
        <v>0.47356695135775378</v>
      </c>
      <c r="AM310" s="706"/>
      <c r="AN310" s="706"/>
      <c r="AO310" s="706"/>
      <c r="AP310" s="706"/>
      <c r="AQ310" s="706"/>
      <c r="AR310" s="706" t="s">
        <v>957</v>
      </c>
      <c r="AS310" s="706"/>
      <c r="AT310" s="706"/>
      <c r="AU310" s="706"/>
      <c r="AV310" s="706">
        <v>0.29743244734753344</v>
      </c>
      <c r="AW310" s="706">
        <v>0.29743244734753344</v>
      </c>
      <c r="AX310" s="706">
        <v>0.29743244734753344</v>
      </c>
      <c r="AY310" s="706">
        <v>0.29743244734753344</v>
      </c>
      <c r="AZ310" s="706">
        <v>0.29743244734753344</v>
      </c>
      <c r="BA310" s="706">
        <v>0.29743244734753344</v>
      </c>
      <c r="BB310" s="706">
        <v>0.29743244734753344</v>
      </c>
      <c r="BC310" s="706">
        <v>0.29743244734753344</v>
      </c>
      <c r="BD310" s="706">
        <v>0.29743244734753344</v>
      </c>
      <c r="BE310" s="706">
        <v>0.29743244734753344</v>
      </c>
      <c r="BF310" s="706">
        <v>0.29743244734753344</v>
      </c>
      <c r="BG310" s="706">
        <v>0.29743244734753344</v>
      </c>
      <c r="BH310" s="706">
        <v>0.29743244734753344</v>
      </c>
      <c r="BI310" s="706">
        <v>0.29743244734753344</v>
      </c>
      <c r="BJ310" s="706">
        <v>0.29743244734753344</v>
      </c>
      <c r="BK310" s="706">
        <v>0.29743244734753344</v>
      </c>
      <c r="BL310" s="706">
        <v>0.29743244734753344</v>
      </c>
      <c r="BM310" s="706">
        <v>0.29743244734753344</v>
      </c>
      <c r="BN310" s="706">
        <v>0.29743244734753344</v>
      </c>
      <c r="BO310" s="706"/>
      <c r="BP310" s="706"/>
      <c r="BQ310" s="706"/>
      <c r="BR310" s="706"/>
      <c r="BS310" s="706"/>
      <c r="BT310" s="706"/>
      <c r="BU310" s="706"/>
      <c r="BV310" s="791">
        <v>581.49163564788921</v>
      </c>
      <c r="BW310" s="791">
        <v>581.49163564788921</v>
      </c>
      <c r="BX310" s="791">
        <v>581.49163564788921</v>
      </c>
      <c r="BY310" s="791">
        <v>581.49163564788921</v>
      </c>
      <c r="BZ310" s="791">
        <v>581.49163564788921</v>
      </c>
      <c r="CA310" s="791">
        <v>581.49163564788921</v>
      </c>
      <c r="CB310" s="791">
        <v>581.49163564788921</v>
      </c>
      <c r="CC310" s="791">
        <v>581.49163564788921</v>
      </c>
      <c r="CD310" s="791">
        <v>581.49163564788921</v>
      </c>
      <c r="CE310" s="791">
        <v>581.49163564788921</v>
      </c>
      <c r="CF310" s="791">
        <v>581.49163564788921</v>
      </c>
      <c r="CG310" s="791">
        <v>581.49163564788921</v>
      </c>
      <c r="CH310" s="791">
        <v>581.49163564788921</v>
      </c>
      <c r="CI310" s="791">
        <v>581.49163564788921</v>
      </c>
      <c r="CJ310" s="791">
        <v>581.49163564788921</v>
      </c>
      <c r="CK310" s="791">
        <v>581.49163564788921</v>
      </c>
      <c r="CL310" s="791">
        <v>581.49163564788921</v>
      </c>
      <c r="CM310" s="791">
        <v>581.49163564788921</v>
      </c>
      <c r="CN310" s="791">
        <v>581.49163564788921</v>
      </c>
      <c r="CO310" s="706"/>
      <c r="CP310" s="706"/>
      <c r="CQ310" s="706"/>
      <c r="CR310" s="706"/>
    </row>
    <row r="311" spans="1:96">
      <c r="A311" s="694" t="s">
        <v>3</v>
      </c>
      <c r="B311" s="794">
        <v>41941</v>
      </c>
      <c r="C311" s="743">
        <v>2014</v>
      </c>
      <c r="D311" s="746" t="s">
        <v>15</v>
      </c>
      <c r="E311" s="746" t="s">
        <v>25</v>
      </c>
      <c r="F311" s="746" t="s">
        <v>17</v>
      </c>
      <c r="G311" s="746" t="s">
        <v>58</v>
      </c>
      <c r="H311" s="694" t="s">
        <v>959</v>
      </c>
      <c r="I311" s="746" t="s">
        <v>5</v>
      </c>
      <c r="J311" s="746" t="s">
        <v>376</v>
      </c>
      <c r="K311" s="706">
        <v>1</v>
      </c>
      <c r="L311" s="745" t="s">
        <v>58</v>
      </c>
      <c r="M311" s="706" t="s">
        <v>965</v>
      </c>
      <c r="N311" s="706">
        <v>19</v>
      </c>
      <c r="O311" s="706"/>
      <c r="P311" s="706"/>
      <c r="Q311" s="706"/>
      <c r="R311" s="706"/>
      <c r="S311" s="706"/>
      <c r="T311" s="706"/>
      <c r="U311" s="738">
        <v>0.62806842093767556</v>
      </c>
      <c r="V311" s="738">
        <v>1227.8974155200376</v>
      </c>
      <c r="W311" s="793">
        <v>0.62806842093767556</v>
      </c>
      <c r="X311" s="708">
        <v>1227.8974155200376</v>
      </c>
      <c r="Y311" s="719">
        <v>23330.050894880715</v>
      </c>
      <c r="Z311" s="719">
        <v>11048.341077309895</v>
      </c>
      <c r="AA311" s="719">
        <v>581.49163564788921</v>
      </c>
      <c r="AB311" s="738">
        <v>0.29743244734753344</v>
      </c>
      <c r="AC311" s="792">
        <v>1</v>
      </c>
      <c r="AD311" s="792">
        <v>1</v>
      </c>
      <c r="AE311" s="717">
        <v>0.56884057971014501</v>
      </c>
      <c r="AF311" s="714">
        <v>4.2407531067898789E-2</v>
      </c>
      <c r="AG311" s="706"/>
      <c r="AH311" s="792">
        <v>0.47356695135775378</v>
      </c>
      <c r="AI311" s="748">
        <v>0.56884057971014501</v>
      </c>
      <c r="AJ311" s="748">
        <v>4.2407531067898789E-2</v>
      </c>
      <c r="AK311" s="748"/>
      <c r="AL311" s="714">
        <v>0.47356695135775378</v>
      </c>
      <c r="AM311" s="706"/>
      <c r="AN311" s="706"/>
      <c r="AO311" s="706"/>
      <c r="AP311" s="706"/>
      <c r="AQ311" s="706"/>
      <c r="AR311" s="706" t="s">
        <v>957</v>
      </c>
      <c r="AS311" s="706"/>
      <c r="AT311" s="706"/>
      <c r="AU311" s="706"/>
      <c r="AV311" s="706">
        <v>0.29743244734753344</v>
      </c>
      <c r="AW311" s="706">
        <v>0.29743244734753344</v>
      </c>
      <c r="AX311" s="706">
        <v>0.29743244734753344</v>
      </c>
      <c r="AY311" s="706">
        <v>0.29743244734753344</v>
      </c>
      <c r="AZ311" s="706">
        <v>0.29743244734753344</v>
      </c>
      <c r="BA311" s="706">
        <v>0.29743244734753344</v>
      </c>
      <c r="BB311" s="706">
        <v>0.29743244734753344</v>
      </c>
      <c r="BC311" s="706">
        <v>0.29743244734753344</v>
      </c>
      <c r="BD311" s="706">
        <v>0.29743244734753344</v>
      </c>
      <c r="BE311" s="706">
        <v>0.29743244734753344</v>
      </c>
      <c r="BF311" s="706">
        <v>0.29743244734753344</v>
      </c>
      <c r="BG311" s="706">
        <v>0.29743244734753344</v>
      </c>
      <c r="BH311" s="706">
        <v>0.29743244734753344</v>
      </c>
      <c r="BI311" s="706">
        <v>0.29743244734753344</v>
      </c>
      <c r="BJ311" s="706">
        <v>0.29743244734753344</v>
      </c>
      <c r="BK311" s="706">
        <v>0.29743244734753344</v>
      </c>
      <c r="BL311" s="706">
        <v>0.29743244734753344</v>
      </c>
      <c r="BM311" s="706">
        <v>0.29743244734753344</v>
      </c>
      <c r="BN311" s="706">
        <v>0.29743244734753344</v>
      </c>
      <c r="BO311" s="706"/>
      <c r="BP311" s="706"/>
      <c r="BQ311" s="706"/>
      <c r="BR311" s="706"/>
      <c r="BS311" s="706"/>
      <c r="BT311" s="706"/>
      <c r="BU311" s="706"/>
      <c r="BV311" s="791">
        <v>581.49163564788921</v>
      </c>
      <c r="BW311" s="791">
        <v>581.49163564788921</v>
      </c>
      <c r="BX311" s="791">
        <v>581.49163564788921</v>
      </c>
      <c r="BY311" s="791">
        <v>581.49163564788921</v>
      </c>
      <c r="BZ311" s="791">
        <v>581.49163564788921</v>
      </c>
      <c r="CA311" s="791">
        <v>581.49163564788921</v>
      </c>
      <c r="CB311" s="791">
        <v>581.49163564788921</v>
      </c>
      <c r="CC311" s="791">
        <v>581.49163564788921</v>
      </c>
      <c r="CD311" s="791">
        <v>581.49163564788921</v>
      </c>
      <c r="CE311" s="791">
        <v>581.49163564788921</v>
      </c>
      <c r="CF311" s="791">
        <v>581.49163564788921</v>
      </c>
      <c r="CG311" s="791">
        <v>581.49163564788921</v>
      </c>
      <c r="CH311" s="791">
        <v>581.49163564788921</v>
      </c>
      <c r="CI311" s="791">
        <v>581.49163564788921</v>
      </c>
      <c r="CJ311" s="791">
        <v>581.49163564788921</v>
      </c>
      <c r="CK311" s="791">
        <v>581.49163564788921</v>
      </c>
      <c r="CL311" s="791">
        <v>581.49163564788921</v>
      </c>
      <c r="CM311" s="791">
        <v>581.49163564788921</v>
      </c>
      <c r="CN311" s="791">
        <v>581.49163564788921</v>
      </c>
      <c r="CO311" s="706"/>
      <c r="CP311" s="706"/>
      <c r="CQ311" s="706"/>
      <c r="CR311" s="706"/>
    </row>
    <row r="312" spans="1:96">
      <c r="A312" s="694" t="s">
        <v>3</v>
      </c>
      <c r="B312" s="794">
        <v>41929</v>
      </c>
      <c r="C312" s="743">
        <v>2014</v>
      </c>
      <c r="D312" s="746" t="s">
        <v>15</v>
      </c>
      <c r="E312" s="746" t="s">
        <v>25</v>
      </c>
      <c r="F312" s="746" t="s">
        <v>17</v>
      </c>
      <c r="G312" s="746" t="s">
        <v>58</v>
      </c>
      <c r="H312" s="694" t="s">
        <v>959</v>
      </c>
      <c r="I312" s="746" t="s">
        <v>5</v>
      </c>
      <c r="J312" s="746" t="s">
        <v>376</v>
      </c>
      <c r="K312" s="706">
        <v>1</v>
      </c>
      <c r="L312" s="745" t="s">
        <v>58</v>
      </c>
      <c r="M312" s="706" t="s">
        <v>964</v>
      </c>
      <c r="N312" s="706">
        <v>19</v>
      </c>
      <c r="O312" s="706"/>
      <c r="P312" s="706"/>
      <c r="Q312" s="706"/>
      <c r="R312" s="706"/>
      <c r="S312" s="706"/>
      <c r="T312" s="706"/>
      <c r="U312" s="738">
        <v>0.62806842093767556</v>
      </c>
      <c r="V312" s="738">
        <v>1227.8974155200376</v>
      </c>
      <c r="W312" s="793">
        <v>0.62806842093767556</v>
      </c>
      <c r="X312" s="708">
        <v>1227.8974155200376</v>
      </c>
      <c r="Y312" s="719">
        <v>23330.050894880715</v>
      </c>
      <c r="Z312" s="719">
        <v>11048.341077309895</v>
      </c>
      <c r="AA312" s="719">
        <v>581.49163564788921</v>
      </c>
      <c r="AB312" s="738">
        <v>0.29743244734753344</v>
      </c>
      <c r="AC312" s="792">
        <v>1</v>
      </c>
      <c r="AD312" s="792">
        <v>1</v>
      </c>
      <c r="AE312" s="717">
        <v>0.56884057971014501</v>
      </c>
      <c r="AF312" s="714">
        <v>4.2407531067898789E-2</v>
      </c>
      <c r="AG312" s="706"/>
      <c r="AH312" s="792">
        <v>0.47356695135775378</v>
      </c>
      <c r="AI312" s="748">
        <v>0.56884057971014501</v>
      </c>
      <c r="AJ312" s="748">
        <v>4.2407531067898789E-2</v>
      </c>
      <c r="AK312" s="748"/>
      <c r="AL312" s="714">
        <v>0.47356695135775378</v>
      </c>
      <c r="AM312" s="706"/>
      <c r="AN312" s="706"/>
      <c r="AO312" s="706"/>
      <c r="AP312" s="706"/>
      <c r="AQ312" s="706"/>
      <c r="AR312" s="706" t="s">
        <v>957</v>
      </c>
      <c r="AS312" s="706"/>
      <c r="AT312" s="706"/>
      <c r="AU312" s="706"/>
      <c r="AV312" s="706">
        <v>0.29743244734753344</v>
      </c>
      <c r="AW312" s="706">
        <v>0.29743244734753344</v>
      </c>
      <c r="AX312" s="706">
        <v>0.29743244734753344</v>
      </c>
      <c r="AY312" s="706">
        <v>0.29743244734753344</v>
      </c>
      <c r="AZ312" s="706">
        <v>0.29743244734753344</v>
      </c>
      <c r="BA312" s="706">
        <v>0.29743244734753344</v>
      </c>
      <c r="BB312" s="706">
        <v>0.29743244734753344</v>
      </c>
      <c r="BC312" s="706">
        <v>0.29743244734753344</v>
      </c>
      <c r="BD312" s="706">
        <v>0.29743244734753344</v>
      </c>
      <c r="BE312" s="706">
        <v>0.29743244734753344</v>
      </c>
      <c r="BF312" s="706">
        <v>0.29743244734753344</v>
      </c>
      <c r="BG312" s="706">
        <v>0.29743244734753344</v>
      </c>
      <c r="BH312" s="706">
        <v>0.29743244734753344</v>
      </c>
      <c r="BI312" s="706">
        <v>0.29743244734753344</v>
      </c>
      <c r="BJ312" s="706">
        <v>0.29743244734753344</v>
      </c>
      <c r="BK312" s="706">
        <v>0.29743244734753344</v>
      </c>
      <c r="BL312" s="706">
        <v>0.29743244734753344</v>
      </c>
      <c r="BM312" s="706">
        <v>0.29743244734753344</v>
      </c>
      <c r="BN312" s="706">
        <v>0.29743244734753344</v>
      </c>
      <c r="BO312" s="706"/>
      <c r="BP312" s="706"/>
      <c r="BQ312" s="706"/>
      <c r="BR312" s="706"/>
      <c r="BS312" s="706"/>
      <c r="BT312" s="706"/>
      <c r="BU312" s="706"/>
      <c r="BV312" s="791">
        <v>581.49163564788921</v>
      </c>
      <c r="BW312" s="791">
        <v>581.49163564788921</v>
      </c>
      <c r="BX312" s="791">
        <v>581.49163564788921</v>
      </c>
      <c r="BY312" s="791">
        <v>581.49163564788921</v>
      </c>
      <c r="BZ312" s="791">
        <v>581.49163564788921</v>
      </c>
      <c r="CA312" s="791">
        <v>581.49163564788921</v>
      </c>
      <c r="CB312" s="791">
        <v>581.49163564788921</v>
      </c>
      <c r="CC312" s="791">
        <v>581.49163564788921</v>
      </c>
      <c r="CD312" s="791">
        <v>581.49163564788921</v>
      </c>
      <c r="CE312" s="791">
        <v>581.49163564788921</v>
      </c>
      <c r="CF312" s="791">
        <v>581.49163564788921</v>
      </c>
      <c r="CG312" s="791">
        <v>581.49163564788921</v>
      </c>
      <c r="CH312" s="791">
        <v>581.49163564788921</v>
      </c>
      <c r="CI312" s="791">
        <v>581.49163564788921</v>
      </c>
      <c r="CJ312" s="791">
        <v>581.49163564788921</v>
      </c>
      <c r="CK312" s="791">
        <v>581.49163564788921</v>
      </c>
      <c r="CL312" s="791">
        <v>581.49163564788921</v>
      </c>
      <c r="CM312" s="791">
        <v>581.49163564788921</v>
      </c>
      <c r="CN312" s="791">
        <v>581.49163564788921</v>
      </c>
      <c r="CO312" s="706"/>
      <c r="CP312" s="706"/>
      <c r="CQ312" s="706"/>
      <c r="CR312" s="706"/>
    </row>
    <row r="313" spans="1:96">
      <c r="A313" s="694" t="s">
        <v>3</v>
      </c>
      <c r="B313" s="794">
        <v>41991</v>
      </c>
      <c r="C313" s="743">
        <v>2014</v>
      </c>
      <c r="D313" s="746" t="s">
        <v>15</v>
      </c>
      <c r="E313" s="746" t="s">
        <v>25</v>
      </c>
      <c r="F313" s="746" t="s">
        <v>17</v>
      </c>
      <c r="G313" s="746" t="s">
        <v>58</v>
      </c>
      <c r="H313" s="694" t="s">
        <v>959</v>
      </c>
      <c r="I313" s="746" t="s">
        <v>5</v>
      </c>
      <c r="J313" s="746" t="s">
        <v>376</v>
      </c>
      <c r="K313" s="706">
        <v>1</v>
      </c>
      <c r="L313" s="745" t="s">
        <v>58</v>
      </c>
      <c r="M313" s="706" t="s">
        <v>963</v>
      </c>
      <c r="N313" s="706">
        <v>19</v>
      </c>
      <c r="O313" s="706"/>
      <c r="P313" s="706"/>
      <c r="Q313" s="706"/>
      <c r="R313" s="706"/>
      <c r="S313" s="706"/>
      <c r="T313" s="706"/>
      <c r="U313" s="738">
        <v>0.62806842093767556</v>
      </c>
      <c r="V313" s="738">
        <v>1227.8974155200376</v>
      </c>
      <c r="W313" s="793">
        <v>0.62806842093767556</v>
      </c>
      <c r="X313" s="708">
        <v>1227.8974155200376</v>
      </c>
      <c r="Y313" s="719">
        <v>23330.050894880715</v>
      </c>
      <c r="Z313" s="719">
        <v>11048.341077309895</v>
      </c>
      <c r="AA313" s="719">
        <v>581.49163564788921</v>
      </c>
      <c r="AB313" s="738">
        <v>0.29743244734753344</v>
      </c>
      <c r="AC313" s="792">
        <v>1</v>
      </c>
      <c r="AD313" s="792">
        <v>1</v>
      </c>
      <c r="AE313" s="717">
        <v>0.56884057971014501</v>
      </c>
      <c r="AF313" s="714">
        <v>4.2407531067898789E-2</v>
      </c>
      <c r="AG313" s="706"/>
      <c r="AH313" s="792">
        <v>0.47356695135775378</v>
      </c>
      <c r="AI313" s="748">
        <v>0.56884057971014501</v>
      </c>
      <c r="AJ313" s="748">
        <v>4.2407531067898789E-2</v>
      </c>
      <c r="AK313" s="748"/>
      <c r="AL313" s="714">
        <v>0.47356695135775378</v>
      </c>
      <c r="AM313" s="706"/>
      <c r="AN313" s="706"/>
      <c r="AO313" s="706"/>
      <c r="AP313" s="706"/>
      <c r="AQ313" s="706"/>
      <c r="AR313" s="706" t="s">
        <v>957</v>
      </c>
      <c r="AS313" s="706"/>
      <c r="AT313" s="706"/>
      <c r="AU313" s="706"/>
      <c r="AV313" s="706">
        <v>0.29743244734753344</v>
      </c>
      <c r="AW313" s="706">
        <v>0.29743244734753344</v>
      </c>
      <c r="AX313" s="706">
        <v>0.29743244734753344</v>
      </c>
      <c r="AY313" s="706">
        <v>0.29743244734753344</v>
      </c>
      <c r="AZ313" s="706">
        <v>0.29743244734753344</v>
      </c>
      <c r="BA313" s="706">
        <v>0.29743244734753344</v>
      </c>
      <c r="BB313" s="706">
        <v>0.29743244734753344</v>
      </c>
      <c r="BC313" s="706">
        <v>0.29743244734753344</v>
      </c>
      <c r="BD313" s="706">
        <v>0.29743244734753344</v>
      </c>
      <c r="BE313" s="706">
        <v>0.29743244734753344</v>
      </c>
      <c r="BF313" s="706">
        <v>0.29743244734753344</v>
      </c>
      <c r="BG313" s="706">
        <v>0.29743244734753344</v>
      </c>
      <c r="BH313" s="706">
        <v>0.29743244734753344</v>
      </c>
      <c r="BI313" s="706">
        <v>0.29743244734753344</v>
      </c>
      <c r="BJ313" s="706">
        <v>0.29743244734753344</v>
      </c>
      <c r="BK313" s="706">
        <v>0.29743244734753344</v>
      </c>
      <c r="BL313" s="706">
        <v>0.29743244734753344</v>
      </c>
      <c r="BM313" s="706">
        <v>0.29743244734753344</v>
      </c>
      <c r="BN313" s="706">
        <v>0.29743244734753344</v>
      </c>
      <c r="BO313" s="706"/>
      <c r="BP313" s="706"/>
      <c r="BQ313" s="706"/>
      <c r="BR313" s="706"/>
      <c r="BS313" s="706"/>
      <c r="BT313" s="706"/>
      <c r="BU313" s="706"/>
      <c r="BV313" s="791">
        <v>581.49163564788921</v>
      </c>
      <c r="BW313" s="791">
        <v>581.49163564788921</v>
      </c>
      <c r="BX313" s="791">
        <v>581.49163564788921</v>
      </c>
      <c r="BY313" s="791">
        <v>581.49163564788921</v>
      </c>
      <c r="BZ313" s="791">
        <v>581.49163564788921</v>
      </c>
      <c r="CA313" s="791">
        <v>581.49163564788921</v>
      </c>
      <c r="CB313" s="791">
        <v>581.49163564788921</v>
      </c>
      <c r="CC313" s="791">
        <v>581.49163564788921</v>
      </c>
      <c r="CD313" s="791">
        <v>581.49163564788921</v>
      </c>
      <c r="CE313" s="791">
        <v>581.49163564788921</v>
      </c>
      <c r="CF313" s="791">
        <v>581.49163564788921</v>
      </c>
      <c r="CG313" s="791">
        <v>581.49163564788921</v>
      </c>
      <c r="CH313" s="791">
        <v>581.49163564788921</v>
      </c>
      <c r="CI313" s="791">
        <v>581.49163564788921</v>
      </c>
      <c r="CJ313" s="791">
        <v>581.49163564788921</v>
      </c>
      <c r="CK313" s="791">
        <v>581.49163564788921</v>
      </c>
      <c r="CL313" s="791">
        <v>581.49163564788921</v>
      </c>
      <c r="CM313" s="791">
        <v>581.49163564788921</v>
      </c>
      <c r="CN313" s="791">
        <v>581.49163564788921</v>
      </c>
      <c r="CO313" s="706"/>
      <c r="CP313" s="706"/>
      <c r="CQ313" s="706"/>
      <c r="CR313" s="706"/>
    </row>
    <row r="314" spans="1:96">
      <c r="A314" s="694" t="s">
        <v>3</v>
      </c>
      <c r="B314" s="794">
        <v>41992</v>
      </c>
      <c r="C314" s="743">
        <v>2014</v>
      </c>
      <c r="D314" s="746" t="s">
        <v>15</v>
      </c>
      <c r="E314" s="746" t="s">
        <v>25</v>
      </c>
      <c r="F314" s="746" t="s">
        <v>17</v>
      </c>
      <c r="G314" s="746" t="s">
        <v>58</v>
      </c>
      <c r="H314" s="694" t="s">
        <v>959</v>
      </c>
      <c r="I314" s="746" t="s">
        <v>5</v>
      </c>
      <c r="J314" s="746" t="s">
        <v>376</v>
      </c>
      <c r="K314" s="706">
        <v>1</v>
      </c>
      <c r="L314" s="745" t="s">
        <v>58</v>
      </c>
      <c r="M314" s="706" t="s">
        <v>879</v>
      </c>
      <c r="N314" s="706">
        <v>19</v>
      </c>
      <c r="O314" s="706"/>
      <c r="P314" s="706"/>
      <c r="Q314" s="706"/>
      <c r="R314" s="706"/>
      <c r="S314" s="706"/>
      <c r="T314" s="706"/>
      <c r="U314" s="738">
        <v>0.62806842093767556</v>
      </c>
      <c r="V314" s="738">
        <v>1227.8974155200376</v>
      </c>
      <c r="W314" s="793">
        <v>0.62806842093767556</v>
      </c>
      <c r="X314" s="708">
        <v>1227.8974155200376</v>
      </c>
      <c r="Y314" s="719">
        <v>23330.050894880715</v>
      </c>
      <c r="Z314" s="719">
        <v>11048.341077309895</v>
      </c>
      <c r="AA314" s="719">
        <v>581.49163564788921</v>
      </c>
      <c r="AB314" s="738">
        <v>0.29743244734753344</v>
      </c>
      <c r="AC314" s="792">
        <v>1</v>
      </c>
      <c r="AD314" s="792">
        <v>1</v>
      </c>
      <c r="AE314" s="717">
        <v>0.56884057971014501</v>
      </c>
      <c r="AF314" s="714">
        <v>4.2407531067898789E-2</v>
      </c>
      <c r="AG314" s="706"/>
      <c r="AH314" s="792">
        <v>0.47356695135775378</v>
      </c>
      <c r="AI314" s="748">
        <v>0.56884057971014501</v>
      </c>
      <c r="AJ314" s="748">
        <v>4.2407531067898789E-2</v>
      </c>
      <c r="AK314" s="748"/>
      <c r="AL314" s="714">
        <v>0.47356695135775378</v>
      </c>
      <c r="AM314" s="706"/>
      <c r="AN314" s="706"/>
      <c r="AO314" s="706"/>
      <c r="AP314" s="706"/>
      <c r="AQ314" s="706"/>
      <c r="AR314" s="706" t="s">
        <v>957</v>
      </c>
      <c r="AS314" s="706"/>
      <c r="AT314" s="706"/>
      <c r="AU314" s="706"/>
      <c r="AV314" s="706">
        <v>0.29743244734753344</v>
      </c>
      <c r="AW314" s="706">
        <v>0.29743244734753344</v>
      </c>
      <c r="AX314" s="706">
        <v>0.29743244734753344</v>
      </c>
      <c r="AY314" s="706">
        <v>0.29743244734753344</v>
      </c>
      <c r="AZ314" s="706">
        <v>0.29743244734753344</v>
      </c>
      <c r="BA314" s="706">
        <v>0.29743244734753344</v>
      </c>
      <c r="BB314" s="706">
        <v>0.29743244734753344</v>
      </c>
      <c r="BC314" s="706">
        <v>0.29743244734753344</v>
      </c>
      <c r="BD314" s="706">
        <v>0.29743244734753344</v>
      </c>
      <c r="BE314" s="706">
        <v>0.29743244734753344</v>
      </c>
      <c r="BF314" s="706">
        <v>0.29743244734753344</v>
      </c>
      <c r="BG314" s="706">
        <v>0.29743244734753344</v>
      </c>
      <c r="BH314" s="706">
        <v>0.29743244734753344</v>
      </c>
      <c r="BI314" s="706">
        <v>0.29743244734753344</v>
      </c>
      <c r="BJ314" s="706">
        <v>0.29743244734753344</v>
      </c>
      <c r="BK314" s="706">
        <v>0.29743244734753344</v>
      </c>
      <c r="BL314" s="706">
        <v>0.29743244734753344</v>
      </c>
      <c r="BM314" s="706">
        <v>0.29743244734753344</v>
      </c>
      <c r="BN314" s="706">
        <v>0.29743244734753344</v>
      </c>
      <c r="BO314" s="706"/>
      <c r="BP314" s="706"/>
      <c r="BQ314" s="706"/>
      <c r="BR314" s="706"/>
      <c r="BS314" s="706"/>
      <c r="BT314" s="706"/>
      <c r="BU314" s="706"/>
      <c r="BV314" s="791">
        <v>581.49163564788921</v>
      </c>
      <c r="BW314" s="791">
        <v>581.49163564788921</v>
      </c>
      <c r="BX314" s="791">
        <v>581.49163564788921</v>
      </c>
      <c r="BY314" s="791">
        <v>581.49163564788921</v>
      </c>
      <c r="BZ314" s="791">
        <v>581.49163564788921</v>
      </c>
      <c r="CA314" s="791">
        <v>581.49163564788921</v>
      </c>
      <c r="CB314" s="791">
        <v>581.49163564788921</v>
      </c>
      <c r="CC314" s="791">
        <v>581.49163564788921</v>
      </c>
      <c r="CD314" s="791">
        <v>581.49163564788921</v>
      </c>
      <c r="CE314" s="791">
        <v>581.49163564788921</v>
      </c>
      <c r="CF314" s="791">
        <v>581.49163564788921</v>
      </c>
      <c r="CG314" s="791">
        <v>581.49163564788921</v>
      </c>
      <c r="CH314" s="791">
        <v>581.49163564788921</v>
      </c>
      <c r="CI314" s="791">
        <v>581.49163564788921</v>
      </c>
      <c r="CJ314" s="791">
        <v>581.49163564788921</v>
      </c>
      <c r="CK314" s="791">
        <v>581.49163564788921</v>
      </c>
      <c r="CL314" s="791">
        <v>581.49163564788921</v>
      </c>
      <c r="CM314" s="791">
        <v>581.49163564788921</v>
      </c>
      <c r="CN314" s="791">
        <v>581.49163564788921</v>
      </c>
      <c r="CO314" s="706"/>
      <c r="CP314" s="706"/>
      <c r="CQ314" s="706"/>
      <c r="CR314" s="706"/>
    </row>
    <row r="315" spans="1:96">
      <c r="A315" s="694" t="s">
        <v>3</v>
      </c>
      <c r="B315" s="794">
        <v>41941</v>
      </c>
      <c r="C315" s="743">
        <v>2014</v>
      </c>
      <c r="D315" s="746" t="s">
        <v>15</v>
      </c>
      <c r="E315" s="746" t="s">
        <v>25</v>
      </c>
      <c r="F315" s="746" t="s">
        <v>17</v>
      </c>
      <c r="G315" s="746" t="s">
        <v>58</v>
      </c>
      <c r="H315" s="694" t="s">
        <v>959</v>
      </c>
      <c r="I315" s="746" t="s">
        <v>5</v>
      </c>
      <c r="J315" s="746" t="s">
        <v>376</v>
      </c>
      <c r="K315" s="706">
        <v>1</v>
      </c>
      <c r="L315" s="745" t="s">
        <v>58</v>
      </c>
      <c r="M315" s="706" t="s">
        <v>962</v>
      </c>
      <c r="N315" s="706">
        <v>19</v>
      </c>
      <c r="O315" s="706"/>
      <c r="P315" s="706"/>
      <c r="Q315" s="706"/>
      <c r="R315" s="706"/>
      <c r="S315" s="706"/>
      <c r="T315" s="706"/>
      <c r="U315" s="738">
        <v>0.62806842093767556</v>
      </c>
      <c r="V315" s="738">
        <v>1227.8974155200376</v>
      </c>
      <c r="W315" s="793">
        <v>0.62806842093767556</v>
      </c>
      <c r="X315" s="708">
        <v>1227.8974155200376</v>
      </c>
      <c r="Y315" s="719">
        <v>23330.050894880715</v>
      </c>
      <c r="Z315" s="719">
        <v>11048.341077309895</v>
      </c>
      <c r="AA315" s="719">
        <v>581.49163564788921</v>
      </c>
      <c r="AB315" s="738">
        <v>0.29743244734753344</v>
      </c>
      <c r="AC315" s="792">
        <v>1</v>
      </c>
      <c r="AD315" s="792">
        <v>1</v>
      </c>
      <c r="AE315" s="717">
        <v>0.56884057971014501</v>
      </c>
      <c r="AF315" s="714">
        <v>4.2407531067898789E-2</v>
      </c>
      <c r="AG315" s="706"/>
      <c r="AH315" s="792">
        <v>0.47356695135775378</v>
      </c>
      <c r="AI315" s="748">
        <v>0.56884057971014501</v>
      </c>
      <c r="AJ315" s="748">
        <v>4.2407531067898789E-2</v>
      </c>
      <c r="AK315" s="748"/>
      <c r="AL315" s="714">
        <v>0.47356695135775378</v>
      </c>
      <c r="AM315" s="706"/>
      <c r="AN315" s="706"/>
      <c r="AO315" s="706"/>
      <c r="AP315" s="706"/>
      <c r="AQ315" s="706"/>
      <c r="AR315" s="706" t="s">
        <v>957</v>
      </c>
      <c r="AS315" s="706"/>
      <c r="AT315" s="706"/>
      <c r="AU315" s="706"/>
      <c r="AV315" s="706">
        <v>0.29743244734753344</v>
      </c>
      <c r="AW315" s="706">
        <v>0.29743244734753344</v>
      </c>
      <c r="AX315" s="706">
        <v>0.29743244734753344</v>
      </c>
      <c r="AY315" s="706">
        <v>0.29743244734753344</v>
      </c>
      <c r="AZ315" s="706">
        <v>0.29743244734753344</v>
      </c>
      <c r="BA315" s="706">
        <v>0.29743244734753344</v>
      </c>
      <c r="BB315" s="706">
        <v>0.29743244734753344</v>
      </c>
      <c r="BC315" s="706">
        <v>0.29743244734753344</v>
      </c>
      <c r="BD315" s="706">
        <v>0.29743244734753344</v>
      </c>
      <c r="BE315" s="706">
        <v>0.29743244734753344</v>
      </c>
      <c r="BF315" s="706">
        <v>0.29743244734753344</v>
      </c>
      <c r="BG315" s="706">
        <v>0.29743244734753344</v>
      </c>
      <c r="BH315" s="706">
        <v>0.29743244734753344</v>
      </c>
      <c r="BI315" s="706">
        <v>0.29743244734753344</v>
      </c>
      <c r="BJ315" s="706">
        <v>0.29743244734753344</v>
      </c>
      <c r="BK315" s="706">
        <v>0.29743244734753344</v>
      </c>
      <c r="BL315" s="706">
        <v>0.29743244734753344</v>
      </c>
      <c r="BM315" s="706">
        <v>0.29743244734753344</v>
      </c>
      <c r="BN315" s="706">
        <v>0.29743244734753344</v>
      </c>
      <c r="BO315" s="706"/>
      <c r="BP315" s="706"/>
      <c r="BQ315" s="706"/>
      <c r="BR315" s="706"/>
      <c r="BS315" s="706"/>
      <c r="BT315" s="706"/>
      <c r="BU315" s="706"/>
      <c r="BV315" s="791">
        <v>581.49163564788921</v>
      </c>
      <c r="BW315" s="791">
        <v>581.49163564788921</v>
      </c>
      <c r="BX315" s="791">
        <v>581.49163564788921</v>
      </c>
      <c r="BY315" s="791">
        <v>581.49163564788921</v>
      </c>
      <c r="BZ315" s="791">
        <v>581.49163564788921</v>
      </c>
      <c r="CA315" s="791">
        <v>581.49163564788921</v>
      </c>
      <c r="CB315" s="791">
        <v>581.49163564788921</v>
      </c>
      <c r="CC315" s="791">
        <v>581.49163564788921</v>
      </c>
      <c r="CD315" s="791">
        <v>581.49163564788921</v>
      </c>
      <c r="CE315" s="791">
        <v>581.49163564788921</v>
      </c>
      <c r="CF315" s="791">
        <v>581.49163564788921</v>
      </c>
      <c r="CG315" s="791">
        <v>581.49163564788921</v>
      </c>
      <c r="CH315" s="791">
        <v>581.49163564788921</v>
      </c>
      <c r="CI315" s="791">
        <v>581.49163564788921</v>
      </c>
      <c r="CJ315" s="791">
        <v>581.49163564788921</v>
      </c>
      <c r="CK315" s="791">
        <v>581.49163564788921</v>
      </c>
      <c r="CL315" s="791">
        <v>581.49163564788921</v>
      </c>
      <c r="CM315" s="791">
        <v>581.49163564788921</v>
      </c>
      <c r="CN315" s="791">
        <v>581.49163564788921</v>
      </c>
      <c r="CO315" s="706"/>
      <c r="CP315" s="706"/>
      <c r="CQ315" s="706"/>
      <c r="CR315" s="706"/>
    </row>
    <row r="316" spans="1:96">
      <c r="A316" s="694" t="s">
        <v>3</v>
      </c>
      <c r="B316" s="794">
        <v>41991</v>
      </c>
      <c r="C316" s="743">
        <v>2014</v>
      </c>
      <c r="D316" s="746" t="s">
        <v>15</v>
      </c>
      <c r="E316" s="746" t="s">
        <v>25</v>
      </c>
      <c r="F316" s="746" t="s">
        <v>17</v>
      </c>
      <c r="G316" s="746" t="s">
        <v>58</v>
      </c>
      <c r="H316" s="694" t="s">
        <v>959</v>
      </c>
      <c r="I316" s="746" t="s">
        <v>5</v>
      </c>
      <c r="J316" s="746" t="s">
        <v>376</v>
      </c>
      <c r="K316" s="706">
        <v>1</v>
      </c>
      <c r="L316" s="745" t="s">
        <v>58</v>
      </c>
      <c r="M316" s="706" t="s">
        <v>961</v>
      </c>
      <c r="N316" s="706">
        <v>19</v>
      </c>
      <c r="O316" s="706"/>
      <c r="P316" s="706"/>
      <c r="Q316" s="706"/>
      <c r="R316" s="706"/>
      <c r="S316" s="706"/>
      <c r="T316" s="706"/>
      <c r="U316" s="738">
        <v>0.62806842093767556</v>
      </c>
      <c r="V316" s="738">
        <v>1227.8974155200376</v>
      </c>
      <c r="W316" s="793">
        <v>0.62806842093767556</v>
      </c>
      <c r="X316" s="708">
        <v>1227.8974155200376</v>
      </c>
      <c r="Y316" s="719">
        <v>23330.050894880715</v>
      </c>
      <c r="Z316" s="719">
        <v>11048.341077309895</v>
      </c>
      <c r="AA316" s="719">
        <v>581.49163564788921</v>
      </c>
      <c r="AB316" s="738">
        <v>0.29743244734753344</v>
      </c>
      <c r="AC316" s="792">
        <v>1</v>
      </c>
      <c r="AD316" s="792">
        <v>1</v>
      </c>
      <c r="AE316" s="717">
        <v>0.56884057971014501</v>
      </c>
      <c r="AF316" s="714">
        <v>4.2407531067898789E-2</v>
      </c>
      <c r="AG316" s="706"/>
      <c r="AH316" s="792">
        <v>0.47356695135775378</v>
      </c>
      <c r="AI316" s="748">
        <v>0.56884057971014501</v>
      </c>
      <c r="AJ316" s="748">
        <v>4.2407531067898789E-2</v>
      </c>
      <c r="AK316" s="748"/>
      <c r="AL316" s="714">
        <v>0.47356695135775378</v>
      </c>
      <c r="AM316" s="706"/>
      <c r="AN316" s="706"/>
      <c r="AO316" s="706"/>
      <c r="AP316" s="706"/>
      <c r="AQ316" s="706"/>
      <c r="AR316" s="706" t="s">
        <v>957</v>
      </c>
      <c r="AS316" s="706"/>
      <c r="AT316" s="706"/>
      <c r="AU316" s="706"/>
      <c r="AV316" s="706">
        <v>0.29743244734753344</v>
      </c>
      <c r="AW316" s="706">
        <v>0.29743244734753344</v>
      </c>
      <c r="AX316" s="706">
        <v>0.29743244734753344</v>
      </c>
      <c r="AY316" s="706">
        <v>0.29743244734753344</v>
      </c>
      <c r="AZ316" s="706">
        <v>0.29743244734753344</v>
      </c>
      <c r="BA316" s="706">
        <v>0.29743244734753344</v>
      </c>
      <c r="BB316" s="706">
        <v>0.29743244734753344</v>
      </c>
      <c r="BC316" s="706">
        <v>0.29743244734753344</v>
      </c>
      <c r="BD316" s="706">
        <v>0.29743244734753344</v>
      </c>
      <c r="BE316" s="706">
        <v>0.29743244734753344</v>
      </c>
      <c r="BF316" s="706">
        <v>0.29743244734753344</v>
      </c>
      <c r="BG316" s="706">
        <v>0.29743244734753344</v>
      </c>
      <c r="BH316" s="706">
        <v>0.29743244734753344</v>
      </c>
      <c r="BI316" s="706">
        <v>0.29743244734753344</v>
      </c>
      <c r="BJ316" s="706">
        <v>0.29743244734753344</v>
      </c>
      <c r="BK316" s="706">
        <v>0.29743244734753344</v>
      </c>
      <c r="BL316" s="706">
        <v>0.29743244734753344</v>
      </c>
      <c r="BM316" s="706">
        <v>0.29743244734753344</v>
      </c>
      <c r="BN316" s="706">
        <v>0.29743244734753344</v>
      </c>
      <c r="BO316" s="706"/>
      <c r="BP316" s="706"/>
      <c r="BQ316" s="706"/>
      <c r="BR316" s="706"/>
      <c r="BS316" s="706"/>
      <c r="BT316" s="706"/>
      <c r="BU316" s="706"/>
      <c r="BV316" s="791">
        <v>581.49163564788921</v>
      </c>
      <c r="BW316" s="791">
        <v>581.49163564788921</v>
      </c>
      <c r="BX316" s="791">
        <v>581.49163564788921</v>
      </c>
      <c r="BY316" s="791">
        <v>581.49163564788921</v>
      </c>
      <c r="BZ316" s="791">
        <v>581.49163564788921</v>
      </c>
      <c r="CA316" s="791">
        <v>581.49163564788921</v>
      </c>
      <c r="CB316" s="791">
        <v>581.49163564788921</v>
      </c>
      <c r="CC316" s="791">
        <v>581.49163564788921</v>
      </c>
      <c r="CD316" s="791">
        <v>581.49163564788921</v>
      </c>
      <c r="CE316" s="791">
        <v>581.49163564788921</v>
      </c>
      <c r="CF316" s="791">
        <v>581.49163564788921</v>
      </c>
      <c r="CG316" s="791">
        <v>581.49163564788921</v>
      </c>
      <c r="CH316" s="791">
        <v>581.49163564788921</v>
      </c>
      <c r="CI316" s="791">
        <v>581.49163564788921</v>
      </c>
      <c r="CJ316" s="791">
        <v>581.49163564788921</v>
      </c>
      <c r="CK316" s="791">
        <v>581.49163564788921</v>
      </c>
      <c r="CL316" s="791">
        <v>581.49163564788921</v>
      </c>
      <c r="CM316" s="791">
        <v>581.49163564788921</v>
      </c>
      <c r="CN316" s="791">
        <v>581.49163564788921</v>
      </c>
      <c r="CO316" s="706"/>
      <c r="CP316" s="706"/>
      <c r="CQ316" s="706"/>
      <c r="CR316" s="706"/>
    </row>
    <row r="317" spans="1:96">
      <c r="A317" s="694" t="s">
        <v>3</v>
      </c>
      <c r="B317" s="794">
        <v>41940</v>
      </c>
      <c r="C317" s="743">
        <v>2014</v>
      </c>
      <c r="D317" s="746" t="s">
        <v>15</v>
      </c>
      <c r="E317" s="746" t="s">
        <v>25</v>
      </c>
      <c r="F317" s="746" t="s">
        <v>17</v>
      </c>
      <c r="G317" s="746" t="s">
        <v>58</v>
      </c>
      <c r="H317" s="694" t="s">
        <v>959</v>
      </c>
      <c r="I317" s="746" t="s">
        <v>5</v>
      </c>
      <c r="J317" s="746" t="s">
        <v>376</v>
      </c>
      <c r="K317" s="706">
        <v>1</v>
      </c>
      <c r="L317" s="745" t="s">
        <v>58</v>
      </c>
      <c r="M317" s="706" t="s">
        <v>960</v>
      </c>
      <c r="N317" s="706">
        <v>19</v>
      </c>
      <c r="O317" s="706"/>
      <c r="P317" s="706"/>
      <c r="Q317" s="706"/>
      <c r="R317" s="706"/>
      <c r="S317" s="706"/>
      <c r="T317" s="706"/>
      <c r="U317" s="738">
        <v>0.62806842093767556</v>
      </c>
      <c r="V317" s="738">
        <v>1227.8974155200376</v>
      </c>
      <c r="W317" s="793">
        <v>0.62806842093767556</v>
      </c>
      <c r="X317" s="708">
        <v>1227.8974155200376</v>
      </c>
      <c r="Y317" s="719">
        <v>23330.050894880715</v>
      </c>
      <c r="Z317" s="719">
        <v>11048.341077309895</v>
      </c>
      <c r="AA317" s="719">
        <v>581.49163564788921</v>
      </c>
      <c r="AB317" s="738">
        <v>0.29743244734753344</v>
      </c>
      <c r="AC317" s="792">
        <v>1</v>
      </c>
      <c r="AD317" s="792">
        <v>1</v>
      </c>
      <c r="AE317" s="717">
        <v>0.56884057971014501</v>
      </c>
      <c r="AF317" s="714">
        <v>4.2407531067898789E-2</v>
      </c>
      <c r="AG317" s="706"/>
      <c r="AH317" s="792">
        <v>0.47356695135775378</v>
      </c>
      <c r="AI317" s="748">
        <v>0.56884057971014501</v>
      </c>
      <c r="AJ317" s="748">
        <v>4.2407531067898789E-2</v>
      </c>
      <c r="AK317" s="748"/>
      <c r="AL317" s="714">
        <v>0.47356695135775378</v>
      </c>
      <c r="AM317" s="706"/>
      <c r="AN317" s="706"/>
      <c r="AO317" s="706"/>
      <c r="AP317" s="706"/>
      <c r="AQ317" s="706"/>
      <c r="AR317" s="706" t="s">
        <v>957</v>
      </c>
      <c r="AS317" s="706"/>
      <c r="AT317" s="706"/>
      <c r="AU317" s="706"/>
      <c r="AV317" s="706">
        <v>0.29743244734753344</v>
      </c>
      <c r="AW317" s="706">
        <v>0.29743244734753344</v>
      </c>
      <c r="AX317" s="706">
        <v>0.29743244734753344</v>
      </c>
      <c r="AY317" s="706">
        <v>0.29743244734753344</v>
      </c>
      <c r="AZ317" s="706">
        <v>0.29743244734753344</v>
      </c>
      <c r="BA317" s="706">
        <v>0.29743244734753344</v>
      </c>
      <c r="BB317" s="706">
        <v>0.29743244734753344</v>
      </c>
      <c r="BC317" s="706">
        <v>0.29743244734753344</v>
      </c>
      <c r="BD317" s="706">
        <v>0.29743244734753344</v>
      </c>
      <c r="BE317" s="706">
        <v>0.29743244734753344</v>
      </c>
      <c r="BF317" s="706">
        <v>0.29743244734753344</v>
      </c>
      <c r="BG317" s="706">
        <v>0.29743244734753344</v>
      </c>
      <c r="BH317" s="706">
        <v>0.29743244734753344</v>
      </c>
      <c r="BI317" s="706">
        <v>0.29743244734753344</v>
      </c>
      <c r="BJ317" s="706">
        <v>0.29743244734753344</v>
      </c>
      <c r="BK317" s="706">
        <v>0.29743244734753344</v>
      </c>
      <c r="BL317" s="706">
        <v>0.29743244734753344</v>
      </c>
      <c r="BM317" s="706">
        <v>0.29743244734753344</v>
      </c>
      <c r="BN317" s="706">
        <v>0.29743244734753344</v>
      </c>
      <c r="BO317" s="706"/>
      <c r="BP317" s="706"/>
      <c r="BQ317" s="706"/>
      <c r="BR317" s="706"/>
      <c r="BS317" s="706"/>
      <c r="BT317" s="706"/>
      <c r="BU317" s="706"/>
      <c r="BV317" s="791">
        <v>581.49163564788921</v>
      </c>
      <c r="BW317" s="791">
        <v>581.49163564788921</v>
      </c>
      <c r="BX317" s="791">
        <v>581.49163564788921</v>
      </c>
      <c r="BY317" s="791">
        <v>581.49163564788921</v>
      </c>
      <c r="BZ317" s="791">
        <v>581.49163564788921</v>
      </c>
      <c r="CA317" s="791">
        <v>581.49163564788921</v>
      </c>
      <c r="CB317" s="791">
        <v>581.49163564788921</v>
      </c>
      <c r="CC317" s="791">
        <v>581.49163564788921</v>
      </c>
      <c r="CD317" s="791">
        <v>581.49163564788921</v>
      </c>
      <c r="CE317" s="791">
        <v>581.49163564788921</v>
      </c>
      <c r="CF317" s="791">
        <v>581.49163564788921</v>
      </c>
      <c r="CG317" s="791">
        <v>581.49163564788921</v>
      </c>
      <c r="CH317" s="791">
        <v>581.49163564788921</v>
      </c>
      <c r="CI317" s="791">
        <v>581.49163564788921</v>
      </c>
      <c r="CJ317" s="791">
        <v>581.49163564788921</v>
      </c>
      <c r="CK317" s="791">
        <v>581.49163564788921</v>
      </c>
      <c r="CL317" s="791">
        <v>581.49163564788921</v>
      </c>
      <c r="CM317" s="791">
        <v>581.49163564788921</v>
      </c>
      <c r="CN317" s="791">
        <v>581.49163564788921</v>
      </c>
      <c r="CO317" s="706"/>
      <c r="CP317" s="706"/>
      <c r="CQ317" s="706"/>
      <c r="CR317" s="706"/>
    </row>
    <row r="318" spans="1:96">
      <c r="A318" s="694" t="s">
        <v>3</v>
      </c>
      <c r="B318" s="794">
        <v>41996</v>
      </c>
      <c r="C318" s="743">
        <v>2014</v>
      </c>
      <c r="D318" s="746" t="s">
        <v>15</v>
      </c>
      <c r="E318" s="746" t="s">
        <v>25</v>
      </c>
      <c r="F318" s="746" t="s">
        <v>17</v>
      </c>
      <c r="G318" s="746" t="s">
        <v>58</v>
      </c>
      <c r="H318" s="694" t="s">
        <v>959</v>
      </c>
      <c r="I318" s="746" t="s">
        <v>5</v>
      </c>
      <c r="J318" s="746" t="s">
        <v>376</v>
      </c>
      <c r="K318" s="706">
        <v>1</v>
      </c>
      <c r="L318" s="745" t="s">
        <v>58</v>
      </c>
      <c r="M318" s="706" t="s">
        <v>958</v>
      </c>
      <c r="N318" s="706">
        <v>19</v>
      </c>
      <c r="O318" s="706"/>
      <c r="P318" s="706"/>
      <c r="Q318" s="706"/>
      <c r="R318" s="706"/>
      <c r="S318" s="706"/>
      <c r="T318" s="706"/>
      <c r="U318" s="738">
        <v>0.62806842093767556</v>
      </c>
      <c r="V318" s="738">
        <v>1227.8974155200376</v>
      </c>
      <c r="W318" s="793">
        <v>0.62806842093767556</v>
      </c>
      <c r="X318" s="708">
        <v>1227.8974155200376</v>
      </c>
      <c r="Y318" s="719">
        <v>23330.050894880715</v>
      </c>
      <c r="Z318" s="719">
        <v>11048.341077309895</v>
      </c>
      <c r="AA318" s="719">
        <v>581.49163564788921</v>
      </c>
      <c r="AB318" s="738">
        <v>0.29743244734753344</v>
      </c>
      <c r="AC318" s="792">
        <v>1</v>
      </c>
      <c r="AD318" s="792">
        <v>1</v>
      </c>
      <c r="AE318" s="717">
        <v>0.56884057971014501</v>
      </c>
      <c r="AF318" s="714">
        <v>4.2407531067898789E-2</v>
      </c>
      <c r="AG318" s="706"/>
      <c r="AH318" s="792">
        <v>0.47356695135775378</v>
      </c>
      <c r="AI318" s="748">
        <v>0.56884057971014501</v>
      </c>
      <c r="AJ318" s="748">
        <v>4.2407531067898789E-2</v>
      </c>
      <c r="AK318" s="748"/>
      <c r="AL318" s="714">
        <v>0.47356695135775378</v>
      </c>
      <c r="AM318" s="706"/>
      <c r="AN318" s="706"/>
      <c r="AO318" s="706"/>
      <c r="AP318" s="706"/>
      <c r="AQ318" s="706"/>
      <c r="AR318" s="706" t="s">
        <v>957</v>
      </c>
      <c r="AS318" s="706"/>
      <c r="AT318" s="706"/>
      <c r="AU318" s="706"/>
      <c r="AV318" s="706">
        <v>0.29743244734753344</v>
      </c>
      <c r="AW318" s="706">
        <v>0.29743244734753344</v>
      </c>
      <c r="AX318" s="706">
        <v>0.29743244734753344</v>
      </c>
      <c r="AY318" s="706">
        <v>0.29743244734753344</v>
      </c>
      <c r="AZ318" s="706">
        <v>0.29743244734753344</v>
      </c>
      <c r="BA318" s="706">
        <v>0.29743244734753344</v>
      </c>
      <c r="BB318" s="706">
        <v>0.29743244734753344</v>
      </c>
      <c r="BC318" s="706">
        <v>0.29743244734753344</v>
      </c>
      <c r="BD318" s="706">
        <v>0.29743244734753344</v>
      </c>
      <c r="BE318" s="706">
        <v>0.29743244734753344</v>
      </c>
      <c r="BF318" s="706">
        <v>0.29743244734753344</v>
      </c>
      <c r="BG318" s="706">
        <v>0.29743244734753344</v>
      </c>
      <c r="BH318" s="706">
        <v>0.29743244734753344</v>
      </c>
      <c r="BI318" s="706">
        <v>0.29743244734753344</v>
      </c>
      <c r="BJ318" s="706">
        <v>0.29743244734753344</v>
      </c>
      <c r="BK318" s="706">
        <v>0.29743244734753344</v>
      </c>
      <c r="BL318" s="706">
        <v>0.29743244734753344</v>
      </c>
      <c r="BM318" s="706">
        <v>0.29743244734753344</v>
      </c>
      <c r="BN318" s="706">
        <v>0.29743244734753344</v>
      </c>
      <c r="BO318" s="706"/>
      <c r="BP318" s="706"/>
      <c r="BQ318" s="706"/>
      <c r="BR318" s="706"/>
      <c r="BS318" s="706"/>
      <c r="BT318" s="706"/>
      <c r="BU318" s="706"/>
      <c r="BV318" s="791">
        <v>581.49163564788921</v>
      </c>
      <c r="BW318" s="791">
        <v>581.49163564788921</v>
      </c>
      <c r="BX318" s="791">
        <v>581.49163564788921</v>
      </c>
      <c r="BY318" s="791">
        <v>581.49163564788921</v>
      </c>
      <c r="BZ318" s="791">
        <v>581.49163564788921</v>
      </c>
      <c r="CA318" s="791">
        <v>581.49163564788921</v>
      </c>
      <c r="CB318" s="791">
        <v>581.49163564788921</v>
      </c>
      <c r="CC318" s="791">
        <v>581.49163564788921</v>
      </c>
      <c r="CD318" s="791">
        <v>581.49163564788921</v>
      </c>
      <c r="CE318" s="791">
        <v>581.49163564788921</v>
      </c>
      <c r="CF318" s="791">
        <v>581.49163564788921</v>
      </c>
      <c r="CG318" s="791">
        <v>581.49163564788921</v>
      </c>
      <c r="CH318" s="791">
        <v>581.49163564788921</v>
      </c>
      <c r="CI318" s="791">
        <v>581.49163564788921</v>
      </c>
      <c r="CJ318" s="791">
        <v>581.49163564788921</v>
      </c>
      <c r="CK318" s="791">
        <v>581.49163564788921</v>
      </c>
      <c r="CL318" s="791">
        <v>581.49163564788921</v>
      </c>
      <c r="CM318" s="791">
        <v>581.49163564788921</v>
      </c>
      <c r="CN318" s="791">
        <v>581.49163564788921</v>
      </c>
      <c r="CO318" s="706"/>
      <c r="CP318" s="706"/>
      <c r="CQ318" s="706"/>
      <c r="CR318" s="706"/>
    </row>
    <row r="319" spans="1:96">
      <c r="A319" s="694" t="s">
        <v>3</v>
      </c>
      <c r="B319" s="794">
        <v>41858</v>
      </c>
      <c r="C319" s="743">
        <v>2014</v>
      </c>
      <c r="D319" s="746" t="s">
        <v>15</v>
      </c>
      <c r="E319" s="746" t="s">
        <v>25</v>
      </c>
      <c r="F319" s="746" t="s">
        <v>17</v>
      </c>
      <c r="G319" s="746" t="s">
        <v>58</v>
      </c>
      <c r="H319" s="694" t="s">
        <v>390</v>
      </c>
      <c r="I319" s="746" t="s">
        <v>5</v>
      </c>
      <c r="J319" s="746" t="s">
        <v>376</v>
      </c>
      <c r="K319" s="706">
        <v>1</v>
      </c>
      <c r="L319" s="745" t="s">
        <v>58</v>
      </c>
      <c r="M319" s="706" t="s">
        <v>956</v>
      </c>
      <c r="N319" s="706">
        <v>18</v>
      </c>
      <c r="O319" s="706"/>
      <c r="P319" s="706"/>
      <c r="Q319" s="706"/>
      <c r="R319" s="706"/>
      <c r="S319" s="706"/>
      <c r="T319" s="706"/>
      <c r="U319" s="738">
        <v>7.29372853114508E-2</v>
      </c>
      <c r="V319" s="738">
        <v>65.224489795918373</v>
      </c>
      <c r="W319" s="793">
        <v>7.29372853114508E-2</v>
      </c>
      <c r="X319" s="708">
        <v>65.224489795918373</v>
      </c>
      <c r="Y319" s="719">
        <v>1174.0408163265306</v>
      </c>
      <c r="Z319" s="719">
        <v>658.71232712986966</v>
      </c>
      <c r="AA319" s="719">
        <v>36.595129284992758</v>
      </c>
      <c r="AB319" s="738">
        <v>4.0922503096926882E-2</v>
      </c>
      <c r="AC319" s="792">
        <v>1</v>
      </c>
      <c r="AD319" s="792">
        <v>1</v>
      </c>
      <c r="AE319" s="717">
        <v>0.48134328358208994</v>
      </c>
      <c r="AF319" s="714">
        <v>4.2407531067898789E-2</v>
      </c>
      <c r="AG319" s="706"/>
      <c r="AH319" s="792">
        <v>0.56106424748580885</v>
      </c>
      <c r="AI319" s="748">
        <v>0.48134328358208994</v>
      </c>
      <c r="AJ319" s="748">
        <v>4.2407531067898789E-2</v>
      </c>
      <c r="AK319" s="748"/>
      <c r="AL319" s="714">
        <v>0.56106424748580885</v>
      </c>
      <c r="AM319" s="706"/>
      <c r="AN319" s="706"/>
      <c r="AO319" s="706"/>
      <c r="AP319" s="706"/>
      <c r="AQ319" s="706"/>
      <c r="AR319" s="706" t="s">
        <v>877</v>
      </c>
      <c r="AS319" s="706"/>
      <c r="AT319" s="706"/>
      <c r="AU319" s="706"/>
      <c r="AV319" s="706">
        <v>4.0922503096926882E-2</v>
      </c>
      <c r="AW319" s="706">
        <v>4.0922503096926882E-2</v>
      </c>
      <c r="AX319" s="706">
        <v>4.0922503096926882E-2</v>
      </c>
      <c r="AY319" s="706">
        <v>4.0922503096926882E-2</v>
      </c>
      <c r="AZ319" s="706">
        <v>4.0922503096926882E-2</v>
      </c>
      <c r="BA319" s="706">
        <v>4.0922503096926882E-2</v>
      </c>
      <c r="BB319" s="706">
        <v>4.0922503096926882E-2</v>
      </c>
      <c r="BC319" s="706">
        <v>4.0922503096926882E-2</v>
      </c>
      <c r="BD319" s="706">
        <v>4.0922503096926882E-2</v>
      </c>
      <c r="BE319" s="706">
        <v>4.0922503096926882E-2</v>
      </c>
      <c r="BF319" s="706">
        <v>4.0922503096926882E-2</v>
      </c>
      <c r="BG319" s="706">
        <v>4.0922503096926882E-2</v>
      </c>
      <c r="BH319" s="706">
        <v>4.0922503096926882E-2</v>
      </c>
      <c r="BI319" s="706">
        <v>4.0922503096926882E-2</v>
      </c>
      <c r="BJ319" s="706">
        <v>4.0922503096926882E-2</v>
      </c>
      <c r="BK319" s="706">
        <v>4.0922503096926882E-2</v>
      </c>
      <c r="BL319" s="706">
        <v>4.0922503096926882E-2</v>
      </c>
      <c r="BM319" s="706">
        <v>4.0922503096926882E-2</v>
      </c>
      <c r="BN319" s="706"/>
      <c r="BO319" s="706"/>
      <c r="BP319" s="706"/>
      <c r="BQ319" s="706"/>
      <c r="BR319" s="706"/>
      <c r="BS319" s="706"/>
      <c r="BT319" s="706"/>
      <c r="BU319" s="706"/>
      <c r="BV319" s="791">
        <v>36.595129284992758</v>
      </c>
      <c r="BW319" s="791">
        <v>36.595129284992758</v>
      </c>
      <c r="BX319" s="791">
        <v>36.595129284992758</v>
      </c>
      <c r="BY319" s="791">
        <v>36.595129284992758</v>
      </c>
      <c r="BZ319" s="791">
        <v>36.595129284992758</v>
      </c>
      <c r="CA319" s="791">
        <v>36.595129284992758</v>
      </c>
      <c r="CB319" s="791">
        <v>36.595129284992758</v>
      </c>
      <c r="CC319" s="791">
        <v>36.595129284992758</v>
      </c>
      <c r="CD319" s="791">
        <v>36.595129284992758</v>
      </c>
      <c r="CE319" s="791">
        <v>36.595129284992758</v>
      </c>
      <c r="CF319" s="791">
        <v>36.595129284992758</v>
      </c>
      <c r="CG319" s="791">
        <v>36.595129284992758</v>
      </c>
      <c r="CH319" s="791">
        <v>36.595129284992758</v>
      </c>
      <c r="CI319" s="791">
        <v>36.595129284992758</v>
      </c>
      <c r="CJ319" s="791">
        <v>36.595129284992758</v>
      </c>
      <c r="CK319" s="791">
        <v>36.595129284992758</v>
      </c>
      <c r="CL319" s="791">
        <v>36.595129284992758</v>
      </c>
      <c r="CM319" s="791">
        <v>36.595129284992758</v>
      </c>
      <c r="CN319" s="791"/>
      <c r="CO319" s="706"/>
      <c r="CP319" s="706"/>
      <c r="CQ319" s="706"/>
      <c r="CR319" s="706"/>
    </row>
    <row r="320" spans="1:96">
      <c r="A320" s="694" t="s">
        <v>3</v>
      </c>
      <c r="B320" s="794">
        <v>41928</v>
      </c>
      <c r="C320" s="743">
        <v>2014</v>
      </c>
      <c r="D320" s="746" t="s">
        <v>15</v>
      </c>
      <c r="E320" s="746" t="s">
        <v>25</v>
      </c>
      <c r="F320" s="746" t="s">
        <v>17</v>
      </c>
      <c r="G320" s="746" t="s">
        <v>58</v>
      </c>
      <c r="H320" s="694" t="s">
        <v>390</v>
      </c>
      <c r="I320" s="746" t="s">
        <v>5</v>
      </c>
      <c r="J320" s="746" t="s">
        <v>376</v>
      </c>
      <c r="K320" s="706">
        <v>1</v>
      </c>
      <c r="L320" s="745" t="s">
        <v>58</v>
      </c>
      <c r="M320" s="706" t="s">
        <v>955</v>
      </c>
      <c r="N320" s="706">
        <v>18</v>
      </c>
      <c r="O320" s="706"/>
      <c r="P320" s="706"/>
      <c r="Q320" s="706"/>
      <c r="R320" s="706"/>
      <c r="S320" s="706"/>
      <c r="T320" s="706"/>
      <c r="U320" s="738">
        <v>7.29372853114508E-2</v>
      </c>
      <c r="V320" s="738">
        <v>65.224489795918373</v>
      </c>
      <c r="W320" s="793">
        <v>7.29372853114508E-2</v>
      </c>
      <c r="X320" s="708">
        <v>65.224489795918373</v>
      </c>
      <c r="Y320" s="719">
        <v>1174.0408163265306</v>
      </c>
      <c r="Z320" s="719">
        <v>658.71232712986966</v>
      </c>
      <c r="AA320" s="719">
        <v>36.595129284992758</v>
      </c>
      <c r="AB320" s="738">
        <v>4.0922503096926882E-2</v>
      </c>
      <c r="AC320" s="792">
        <v>1</v>
      </c>
      <c r="AD320" s="792">
        <v>1</v>
      </c>
      <c r="AE320" s="717">
        <v>0.48134328358208994</v>
      </c>
      <c r="AF320" s="714">
        <v>4.2407531067898789E-2</v>
      </c>
      <c r="AG320" s="706"/>
      <c r="AH320" s="792">
        <v>0.56106424748580885</v>
      </c>
      <c r="AI320" s="748">
        <v>0.48134328358208994</v>
      </c>
      <c r="AJ320" s="748">
        <v>4.2407531067898789E-2</v>
      </c>
      <c r="AK320" s="748"/>
      <c r="AL320" s="714">
        <v>0.56106424748580885</v>
      </c>
      <c r="AM320" s="706"/>
      <c r="AN320" s="706"/>
      <c r="AO320" s="706"/>
      <c r="AP320" s="706"/>
      <c r="AQ320" s="706"/>
      <c r="AR320" s="706" t="s">
        <v>877</v>
      </c>
      <c r="AS320" s="706"/>
      <c r="AT320" s="706"/>
      <c r="AU320" s="706"/>
      <c r="AV320" s="706">
        <v>4.0922503096926882E-2</v>
      </c>
      <c r="AW320" s="706">
        <v>4.0922503096926882E-2</v>
      </c>
      <c r="AX320" s="706">
        <v>4.0922503096926882E-2</v>
      </c>
      <c r="AY320" s="706">
        <v>4.0922503096926882E-2</v>
      </c>
      <c r="AZ320" s="706">
        <v>4.0922503096926882E-2</v>
      </c>
      <c r="BA320" s="706">
        <v>4.0922503096926882E-2</v>
      </c>
      <c r="BB320" s="706">
        <v>4.0922503096926882E-2</v>
      </c>
      <c r="BC320" s="706">
        <v>4.0922503096926882E-2</v>
      </c>
      <c r="BD320" s="706">
        <v>4.0922503096926882E-2</v>
      </c>
      <c r="BE320" s="706">
        <v>4.0922503096926882E-2</v>
      </c>
      <c r="BF320" s="706">
        <v>4.0922503096926882E-2</v>
      </c>
      <c r="BG320" s="706">
        <v>4.0922503096926882E-2</v>
      </c>
      <c r="BH320" s="706">
        <v>4.0922503096926882E-2</v>
      </c>
      <c r="BI320" s="706">
        <v>4.0922503096926882E-2</v>
      </c>
      <c r="BJ320" s="706">
        <v>4.0922503096926882E-2</v>
      </c>
      <c r="BK320" s="706">
        <v>4.0922503096926882E-2</v>
      </c>
      <c r="BL320" s="706">
        <v>4.0922503096926882E-2</v>
      </c>
      <c r="BM320" s="706">
        <v>4.0922503096926882E-2</v>
      </c>
      <c r="BN320" s="706"/>
      <c r="BO320" s="706"/>
      <c r="BP320" s="706"/>
      <c r="BQ320" s="706"/>
      <c r="BR320" s="706"/>
      <c r="BS320" s="706"/>
      <c r="BT320" s="706"/>
      <c r="BU320" s="706"/>
      <c r="BV320" s="791">
        <v>36.595129284992758</v>
      </c>
      <c r="BW320" s="791">
        <v>36.595129284992758</v>
      </c>
      <c r="BX320" s="791">
        <v>36.595129284992758</v>
      </c>
      <c r="BY320" s="791">
        <v>36.595129284992758</v>
      </c>
      <c r="BZ320" s="791">
        <v>36.595129284992758</v>
      </c>
      <c r="CA320" s="791">
        <v>36.595129284992758</v>
      </c>
      <c r="CB320" s="791">
        <v>36.595129284992758</v>
      </c>
      <c r="CC320" s="791">
        <v>36.595129284992758</v>
      </c>
      <c r="CD320" s="791">
        <v>36.595129284992758</v>
      </c>
      <c r="CE320" s="791">
        <v>36.595129284992758</v>
      </c>
      <c r="CF320" s="791">
        <v>36.595129284992758</v>
      </c>
      <c r="CG320" s="791">
        <v>36.595129284992758</v>
      </c>
      <c r="CH320" s="791">
        <v>36.595129284992758</v>
      </c>
      <c r="CI320" s="791">
        <v>36.595129284992758</v>
      </c>
      <c r="CJ320" s="791">
        <v>36.595129284992758</v>
      </c>
      <c r="CK320" s="791">
        <v>36.595129284992758</v>
      </c>
      <c r="CL320" s="791">
        <v>36.595129284992758</v>
      </c>
      <c r="CM320" s="791">
        <v>36.595129284992758</v>
      </c>
      <c r="CN320" s="791"/>
      <c r="CO320" s="706"/>
      <c r="CP320" s="706"/>
      <c r="CQ320" s="706"/>
      <c r="CR320" s="706"/>
    </row>
    <row r="321" spans="1:96">
      <c r="A321" s="694" t="s">
        <v>3</v>
      </c>
      <c r="B321" s="794">
        <v>41766</v>
      </c>
      <c r="C321" s="743">
        <v>2014</v>
      </c>
      <c r="D321" s="746" t="s">
        <v>15</v>
      </c>
      <c r="E321" s="746" t="s">
        <v>25</v>
      </c>
      <c r="F321" s="746" t="s">
        <v>17</v>
      </c>
      <c r="G321" s="746" t="s">
        <v>58</v>
      </c>
      <c r="H321" s="694" t="s">
        <v>390</v>
      </c>
      <c r="I321" s="746" t="s">
        <v>5</v>
      </c>
      <c r="J321" s="746" t="s">
        <v>376</v>
      </c>
      <c r="K321" s="706">
        <v>1</v>
      </c>
      <c r="L321" s="745" t="s">
        <v>58</v>
      </c>
      <c r="M321" s="706" t="s">
        <v>954</v>
      </c>
      <c r="N321" s="706">
        <v>18</v>
      </c>
      <c r="O321" s="706"/>
      <c r="P321" s="706"/>
      <c r="Q321" s="706"/>
      <c r="R321" s="706"/>
      <c r="S321" s="706"/>
      <c r="T321" s="706"/>
      <c r="U321" s="738">
        <v>7.29372853114508E-2</v>
      </c>
      <c r="V321" s="738">
        <v>65.224489795918373</v>
      </c>
      <c r="W321" s="793">
        <v>7.29372853114508E-2</v>
      </c>
      <c r="X321" s="708">
        <v>65.224489795918373</v>
      </c>
      <c r="Y321" s="719">
        <v>1174.0408163265306</v>
      </c>
      <c r="Z321" s="719">
        <v>658.71232712986966</v>
      </c>
      <c r="AA321" s="719">
        <v>36.595129284992758</v>
      </c>
      <c r="AB321" s="738">
        <v>4.0922503096926882E-2</v>
      </c>
      <c r="AC321" s="792">
        <v>1</v>
      </c>
      <c r="AD321" s="792">
        <v>1</v>
      </c>
      <c r="AE321" s="717">
        <v>0.48134328358208994</v>
      </c>
      <c r="AF321" s="714">
        <v>4.2407531067898789E-2</v>
      </c>
      <c r="AG321" s="706"/>
      <c r="AH321" s="792">
        <v>0.56106424748580885</v>
      </c>
      <c r="AI321" s="748">
        <v>0.48134328358208994</v>
      </c>
      <c r="AJ321" s="748">
        <v>4.2407531067898789E-2</v>
      </c>
      <c r="AK321" s="748"/>
      <c r="AL321" s="714">
        <v>0.56106424748580885</v>
      </c>
      <c r="AM321" s="706"/>
      <c r="AN321" s="706"/>
      <c r="AO321" s="706"/>
      <c r="AP321" s="706"/>
      <c r="AQ321" s="706"/>
      <c r="AR321" s="706" t="s">
        <v>877</v>
      </c>
      <c r="AS321" s="706"/>
      <c r="AT321" s="706"/>
      <c r="AU321" s="706"/>
      <c r="AV321" s="706">
        <v>4.0922503096926882E-2</v>
      </c>
      <c r="AW321" s="706">
        <v>4.0922503096926882E-2</v>
      </c>
      <c r="AX321" s="706">
        <v>4.0922503096926882E-2</v>
      </c>
      <c r="AY321" s="706">
        <v>4.0922503096926882E-2</v>
      </c>
      <c r="AZ321" s="706">
        <v>4.0922503096926882E-2</v>
      </c>
      <c r="BA321" s="706">
        <v>4.0922503096926882E-2</v>
      </c>
      <c r="BB321" s="706">
        <v>4.0922503096926882E-2</v>
      </c>
      <c r="BC321" s="706">
        <v>4.0922503096926882E-2</v>
      </c>
      <c r="BD321" s="706">
        <v>4.0922503096926882E-2</v>
      </c>
      <c r="BE321" s="706">
        <v>4.0922503096926882E-2</v>
      </c>
      <c r="BF321" s="706">
        <v>4.0922503096926882E-2</v>
      </c>
      <c r="BG321" s="706">
        <v>4.0922503096926882E-2</v>
      </c>
      <c r="BH321" s="706">
        <v>4.0922503096926882E-2</v>
      </c>
      <c r="BI321" s="706">
        <v>4.0922503096926882E-2</v>
      </c>
      <c r="BJ321" s="706">
        <v>4.0922503096926882E-2</v>
      </c>
      <c r="BK321" s="706">
        <v>4.0922503096926882E-2</v>
      </c>
      <c r="BL321" s="706">
        <v>4.0922503096926882E-2</v>
      </c>
      <c r="BM321" s="706">
        <v>4.0922503096926882E-2</v>
      </c>
      <c r="BN321" s="706"/>
      <c r="BO321" s="706"/>
      <c r="BP321" s="706"/>
      <c r="BQ321" s="706"/>
      <c r="BR321" s="706"/>
      <c r="BS321" s="706"/>
      <c r="BT321" s="706"/>
      <c r="BU321" s="706"/>
      <c r="BV321" s="791">
        <v>36.595129284992758</v>
      </c>
      <c r="BW321" s="791">
        <v>36.595129284992758</v>
      </c>
      <c r="BX321" s="791">
        <v>36.595129284992758</v>
      </c>
      <c r="BY321" s="791">
        <v>36.595129284992758</v>
      </c>
      <c r="BZ321" s="791">
        <v>36.595129284992758</v>
      </c>
      <c r="CA321" s="791">
        <v>36.595129284992758</v>
      </c>
      <c r="CB321" s="791">
        <v>36.595129284992758</v>
      </c>
      <c r="CC321" s="791">
        <v>36.595129284992758</v>
      </c>
      <c r="CD321" s="791">
        <v>36.595129284992758</v>
      </c>
      <c r="CE321" s="791">
        <v>36.595129284992758</v>
      </c>
      <c r="CF321" s="791">
        <v>36.595129284992758</v>
      </c>
      <c r="CG321" s="791">
        <v>36.595129284992758</v>
      </c>
      <c r="CH321" s="791">
        <v>36.595129284992758</v>
      </c>
      <c r="CI321" s="791">
        <v>36.595129284992758</v>
      </c>
      <c r="CJ321" s="791">
        <v>36.595129284992758</v>
      </c>
      <c r="CK321" s="791">
        <v>36.595129284992758</v>
      </c>
      <c r="CL321" s="791">
        <v>36.595129284992758</v>
      </c>
      <c r="CM321" s="791">
        <v>36.595129284992758</v>
      </c>
      <c r="CN321" s="791"/>
      <c r="CO321" s="706"/>
      <c r="CP321" s="706"/>
      <c r="CQ321" s="706"/>
      <c r="CR321" s="706"/>
    </row>
    <row r="322" spans="1:96">
      <c r="A322" s="694" t="s">
        <v>3</v>
      </c>
      <c r="B322" s="794">
        <v>41808</v>
      </c>
      <c r="C322" s="743">
        <v>2014</v>
      </c>
      <c r="D322" s="746" t="s">
        <v>15</v>
      </c>
      <c r="E322" s="746" t="s">
        <v>25</v>
      </c>
      <c r="F322" s="746" t="s">
        <v>17</v>
      </c>
      <c r="G322" s="746" t="s">
        <v>58</v>
      </c>
      <c r="H322" s="694" t="s">
        <v>390</v>
      </c>
      <c r="I322" s="746" t="s">
        <v>5</v>
      </c>
      <c r="J322" s="746" t="s">
        <v>376</v>
      </c>
      <c r="K322" s="706">
        <v>1</v>
      </c>
      <c r="L322" s="745" t="s">
        <v>58</v>
      </c>
      <c r="M322" s="706" t="s">
        <v>953</v>
      </c>
      <c r="N322" s="706">
        <v>18</v>
      </c>
      <c r="O322" s="706"/>
      <c r="P322" s="706"/>
      <c r="Q322" s="706"/>
      <c r="R322" s="706"/>
      <c r="S322" s="706"/>
      <c r="T322" s="706"/>
      <c r="U322" s="738">
        <v>7.29372853114508E-2</v>
      </c>
      <c r="V322" s="738">
        <v>65.224489795918373</v>
      </c>
      <c r="W322" s="793">
        <v>7.29372853114508E-2</v>
      </c>
      <c r="X322" s="708">
        <v>65.224489795918373</v>
      </c>
      <c r="Y322" s="719">
        <v>1174.0408163265306</v>
      </c>
      <c r="Z322" s="719">
        <v>658.71232712986966</v>
      </c>
      <c r="AA322" s="719">
        <v>36.595129284992758</v>
      </c>
      <c r="AB322" s="738">
        <v>4.0922503096926882E-2</v>
      </c>
      <c r="AC322" s="792">
        <v>1</v>
      </c>
      <c r="AD322" s="792">
        <v>1</v>
      </c>
      <c r="AE322" s="717">
        <v>0.48134328358208994</v>
      </c>
      <c r="AF322" s="714">
        <v>4.2407531067898789E-2</v>
      </c>
      <c r="AG322" s="706"/>
      <c r="AH322" s="792">
        <v>0.56106424748580885</v>
      </c>
      <c r="AI322" s="748">
        <v>0.48134328358208994</v>
      </c>
      <c r="AJ322" s="748">
        <v>4.2407531067898789E-2</v>
      </c>
      <c r="AK322" s="748"/>
      <c r="AL322" s="714">
        <v>0.56106424748580885</v>
      </c>
      <c r="AM322" s="706"/>
      <c r="AN322" s="706"/>
      <c r="AO322" s="706"/>
      <c r="AP322" s="706"/>
      <c r="AQ322" s="706"/>
      <c r="AR322" s="706" t="s">
        <v>877</v>
      </c>
      <c r="AS322" s="706"/>
      <c r="AT322" s="706"/>
      <c r="AU322" s="706"/>
      <c r="AV322" s="706">
        <v>4.0922503096926882E-2</v>
      </c>
      <c r="AW322" s="706">
        <v>4.0922503096926882E-2</v>
      </c>
      <c r="AX322" s="706">
        <v>4.0922503096926882E-2</v>
      </c>
      <c r="AY322" s="706">
        <v>4.0922503096926882E-2</v>
      </c>
      <c r="AZ322" s="706">
        <v>4.0922503096926882E-2</v>
      </c>
      <c r="BA322" s="706">
        <v>4.0922503096926882E-2</v>
      </c>
      <c r="BB322" s="706">
        <v>4.0922503096926882E-2</v>
      </c>
      <c r="BC322" s="706">
        <v>4.0922503096926882E-2</v>
      </c>
      <c r="BD322" s="706">
        <v>4.0922503096926882E-2</v>
      </c>
      <c r="BE322" s="706">
        <v>4.0922503096926882E-2</v>
      </c>
      <c r="BF322" s="706">
        <v>4.0922503096926882E-2</v>
      </c>
      <c r="BG322" s="706">
        <v>4.0922503096926882E-2</v>
      </c>
      <c r="BH322" s="706">
        <v>4.0922503096926882E-2</v>
      </c>
      <c r="BI322" s="706">
        <v>4.0922503096926882E-2</v>
      </c>
      <c r="BJ322" s="706">
        <v>4.0922503096926882E-2</v>
      </c>
      <c r="BK322" s="706">
        <v>4.0922503096926882E-2</v>
      </c>
      <c r="BL322" s="706">
        <v>4.0922503096926882E-2</v>
      </c>
      <c r="BM322" s="706">
        <v>4.0922503096926882E-2</v>
      </c>
      <c r="BN322" s="706"/>
      <c r="BO322" s="706"/>
      <c r="BP322" s="706"/>
      <c r="BQ322" s="706"/>
      <c r="BR322" s="706"/>
      <c r="BS322" s="706"/>
      <c r="BT322" s="706"/>
      <c r="BU322" s="706"/>
      <c r="BV322" s="791">
        <v>36.595129284992758</v>
      </c>
      <c r="BW322" s="791">
        <v>36.595129284992758</v>
      </c>
      <c r="BX322" s="791">
        <v>36.595129284992758</v>
      </c>
      <c r="BY322" s="791">
        <v>36.595129284992758</v>
      </c>
      <c r="BZ322" s="791">
        <v>36.595129284992758</v>
      </c>
      <c r="CA322" s="791">
        <v>36.595129284992758</v>
      </c>
      <c r="CB322" s="791">
        <v>36.595129284992758</v>
      </c>
      <c r="CC322" s="791">
        <v>36.595129284992758</v>
      </c>
      <c r="CD322" s="791">
        <v>36.595129284992758</v>
      </c>
      <c r="CE322" s="791">
        <v>36.595129284992758</v>
      </c>
      <c r="CF322" s="791">
        <v>36.595129284992758</v>
      </c>
      <c r="CG322" s="791">
        <v>36.595129284992758</v>
      </c>
      <c r="CH322" s="791">
        <v>36.595129284992758</v>
      </c>
      <c r="CI322" s="791">
        <v>36.595129284992758</v>
      </c>
      <c r="CJ322" s="791">
        <v>36.595129284992758</v>
      </c>
      <c r="CK322" s="791">
        <v>36.595129284992758</v>
      </c>
      <c r="CL322" s="791">
        <v>36.595129284992758</v>
      </c>
      <c r="CM322" s="791">
        <v>36.595129284992758</v>
      </c>
      <c r="CN322" s="791"/>
      <c r="CO322" s="706"/>
      <c r="CP322" s="706"/>
      <c r="CQ322" s="706"/>
      <c r="CR322" s="706"/>
    </row>
    <row r="323" spans="1:96">
      <c r="A323" s="694" t="s">
        <v>3</v>
      </c>
      <c r="B323" s="794">
        <v>41841</v>
      </c>
      <c r="C323" s="743">
        <v>2014</v>
      </c>
      <c r="D323" s="746" t="s">
        <v>15</v>
      </c>
      <c r="E323" s="746" t="s">
        <v>25</v>
      </c>
      <c r="F323" s="746" t="s">
        <v>17</v>
      </c>
      <c r="G323" s="746" t="s">
        <v>58</v>
      </c>
      <c r="H323" s="694" t="s">
        <v>390</v>
      </c>
      <c r="I323" s="746" t="s">
        <v>5</v>
      </c>
      <c r="J323" s="746" t="s">
        <v>376</v>
      </c>
      <c r="K323" s="706">
        <v>1</v>
      </c>
      <c r="L323" s="745" t="s">
        <v>58</v>
      </c>
      <c r="M323" s="706" t="s">
        <v>952</v>
      </c>
      <c r="N323" s="706">
        <v>18</v>
      </c>
      <c r="O323" s="706"/>
      <c r="P323" s="706"/>
      <c r="Q323" s="706"/>
      <c r="R323" s="706"/>
      <c r="S323" s="706"/>
      <c r="T323" s="706"/>
      <c r="U323" s="738">
        <v>7.29372853114508E-2</v>
      </c>
      <c r="V323" s="738">
        <v>65.224489795918373</v>
      </c>
      <c r="W323" s="793">
        <v>7.29372853114508E-2</v>
      </c>
      <c r="X323" s="708">
        <v>65.224489795918373</v>
      </c>
      <c r="Y323" s="719">
        <v>1174.0408163265306</v>
      </c>
      <c r="Z323" s="719">
        <v>658.71232712986966</v>
      </c>
      <c r="AA323" s="719">
        <v>36.595129284992758</v>
      </c>
      <c r="AB323" s="738">
        <v>4.0922503096926882E-2</v>
      </c>
      <c r="AC323" s="792">
        <v>1</v>
      </c>
      <c r="AD323" s="792">
        <v>1</v>
      </c>
      <c r="AE323" s="717">
        <v>0.48134328358208994</v>
      </c>
      <c r="AF323" s="714">
        <v>4.2407531067898789E-2</v>
      </c>
      <c r="AG323" s="706"/>
      <c r="AH323" s="792">
        <v>0.56106424748580885</v>
      </c>
      <c r="AI323" s="748">
        <v>0.48134328358208994</v>
      </c>
      <c r="AJ323" s="748">
        <v>4.2407531067898789E-2</v>
      </c>
      <c r="AK323" s="748"/>
      <c r="AL323" s="714">
        <v>0.56106424748580885</v>
      </c>
      <c r="AM323" s="706"/>
      <c r="AN323" s="706"/>
      <c r="AO323" s="706"/>
      <c r="AP323" s="706"/>
      <c r="AQ323" s="706"/>
      <c r="AR323" s="706" t="s">
        <v>877</v>
      </c>
      <c r="AS323" s="706"/>
      <c r="AT323" s="706"/>
      <c r="AU323" s="706"/>
      <c r="AV323" s="706">
        <v>4.0922503096926882E-2</v>
      </c>
      <c r="AW323" s="706">
        <v>4.0922503096926882E-2</v>
      </c>
      <c r="AX323" s="706">
        <v>4.0922503096926882E-2</v>
      </c>
      <c r="AY323" s="706">
        <v>4.0922503096926882E-2</v>
      </c>
      <c r="AZ323" s="706">
        <v>4.0922503096926882E-2</v>
      </c>
      <c r="BA323" s="706">
        <v>4.0922503096926882E-2</v>
      </c>
      <c r="BB323" s="706">
        <v>4.0922503096926882E-2</v>
      </c>
      <c r="BC323" s="706">
        <v>4.0922503096926882E-2</v>
      </c>
      <c r="BD323" s="706">
        <v>4.0922503096926882E-2</v>
      </c>
      <c r="BE323" s="706">
        <v>4.0922503096926882E-2</v>
      </c>
      <c r="BF323" s="706">
        <v>4.0922503096926882E-2</v>
      </c>
      <c r="BG323" s="706">
        <v>4.0922503096926882E-2</v>
      </c>
      <c r="BH323" s="706">
        <v>4.0922503096926882E-2</v>
      </c>
      <c r="BI323" s="706">
        <v>4.0922503096926882E-2</v>
      </c>
      <c r="BJ323" s="706">
        <v>4.0922503096926882E-2</v>
      </c>
      <c r="BK323" s="706">
        <v>4.0922503096926882E-2</v>
      </c>
      <c r="BL323" s="706">
        <v>4.0922503096926882E-2</v>
      </c>
      <c r="BM323" s="706">
        <v>4.0922503096926882E-2</v>
      </c>
      <c r="BN323" s="706"/>
      <c r="BO323" s="706"/>
      <c r="BP323" s="706"/>
      <c r="BQ323" s="706"/>
      <c r="BR323" s="706"/>
      <c r="BS323" s="706"/>
      <c r="BT323" s="706"/>
      <c r="BU323" s="706"/>
      <c r="BV323" s="791">
        <v>36.595129284992758</v>
      </c>
      <c r="BW323" s="791">
        <v>36.595129284992758</v>
      </c>
      <c r="BX323" s="791">
        <v>36.595129284992758</v>
      </c>
      <c r="BY323" s="791">
        <v>36.595129284992758</v>
      </c>
      <c r="BZ323" s="791">
        <v>36.595129284992758</v>
      </c>
      <c r="CA323" s="791">
        <v>36.595129284992758</v>
      </c>
      <c r="CB323" s="791">
        <v>36.595129284992758</v>
      </c>
      <c r="CC323" s="791">
        <v>36.595129284992758</v>
      </c>
      <c r="CD323" s="791">
        <v>36.595129284992758</v>
      </c>
      <c r="CE323" s="791">
        <v>36.595129284992758</v>
      </c>
      <c r="CF323" s="791">
        <v>36.595129284992758</v>
      </c>
      <c r="CG323" s="791">
        <v>36.595129284992758</v>
      </c>
      <c r="CH323" s="791">
        <v>36.595129284992758</v>
      </c>
      <c r="CI323" s="791">
        <v>36.595129284992758</v>
      </c>
      <c r="CJ323" s="791">
        <v>36.595129284992758</v>
      </c>
      <c r="CK323" s="791">
        <v>36.595129284992758</v>
      </c>
      <c r="CL323" s="791">
        <v>36.595129284992758</v>
      </c>
      <c r="CM323" s="791">
        <v>36.595129284992758</v>
      </c>
      <c r="CN323" s="791"/>
      <c r="CO323" s="706"/>
      <c r="CP323" s="706"/>
      <c r="CQ323" s="706"/>
      <c r="CR323" s="706"/>
    </row>
    <row r="324" spans="1:96">
      <c r="A324" s="694" t="s">
        <v>3</v>
      </c>
      <c r="B324" s="794">
        <v>41835</v>
      </c>
      <c r="C324" s="743">
        <v>2014</v>
      </c>
      <c r="D324" s="746" t="s">
        <v>15</v>
      </c>
      <c r="E324" s="746" t="s">
        <v>25</v>
      </c>
      <c r="F324" s="746" t="s">
        <v>17</v>
      </c>
      <c r="G324" s="746" t="s">
        <v>58</v>
      </c>
      <c r="H324" s="694" t="s">
        <v>390</v>
      </c>
      <c r="I324" s="746" t="s">
        <v>5</v>
      </c>
      <c r="J324" s="746" t="s">
        <v>376</v>
      </c>
      <c r="K324" s="706">
        <v>1</v>
      </c>
      <c r="L324" s="745" t="s">
        <v>58</v>
      </c>
      <c r="M324" s="706" t="s">
        <v>951</v>
      </c>
      <c r="N324" s="706">
        <v>18</v>
      </c>
      <c r="O324" s="706"/>
      <c r="P324" s="706"/>
      <c r="Q324" s="706"/>
      <c r="R324" s="706"/>
      <c r="S324" s="706"/>
      <c r="T324" s="706"/>
      <c r="U324" s="738">
        <v>7.29372853114508E-2</v>
      </c>
      <c r="V324" s="738">
        <v>65.224489795918373</v>
      </c>
      <c r="W324" s="793">
        <v>7.29372853114508E-2</v>
      </c>
      <c r="X324" s="708">
        <v>65.224489795918373</v>
      </c>
      <c r="Y324" s="719">
        <v>1174.0408163265306</v>
      </c>
      <c r="Z324" s="719">
        <v>658.71232712986966</v>
      </c>
      <c r="AA324" s="719">
        <v>36.595129284992758</v>
      </c>
      <c r="AB324" s="738">
        <v>4.0922503096926882E-2</v>
      </c>
      <c r="AC324" s="792">
        <v>1</v>
      </c>
      <c r="AD324" s="792">
        <v>1</v>
      </c>
      <c r="AE324" s="717">
        <v>0.48134328358208994</v>
      </c>
      <c r="AF324" s="714">
        <v>4.2407531067898789E-2</v>
      </c>
      <c r="AG324" s="706"/>
      <c r="AH324" s="792">
        <v>0.56106424748580885</v>
      </c>
      <c r="AI324" s="748">
        <v>0.48134328358208994</v>
      </c>
      <c r="AJ324" s="748">
        <v>4.2407531067898789E-2</v>
      </c>
      <c r="AK324" s="748"/>
      <c r="AL324" s="714">
        <v>0.56106424748580885</v>
      </c>
      <c r="AM324" s="706"/>
      <c r="AN324" s="706"/>
      <c r="AO324" s="706"/>
      <c r="AP324" s="706"/>
      <c r="AQ324" s="706"/>
      <c r="AR324" s="706" t="s">
        <v>877</v>
      </c>
      <c r="AS324" s="706"/>
      <c r="AT324" s="706"/>
      <c r="AU324" s="706"/>
      <c r="AV324" s="706">
        <v>4.0922503096926882E-2</v>
      </c>
      <c r="AW324" s="706">
        <v>4.0922503096926882E-2</v>
      </c>
      <c r="AX324" s="706">
        <v>4.0922503096926882E-2</v>
      </c>
      <c r="AY324" s="706">
        <v>4.0922503096926882E-2</v>
      </c>
      <c r="AZ324" s="706">
        <v>4.0922503096926882E-2</v>
      </c>
      <c r="BA324" s="706">
        <v>4.0922503096926882E-2</v>
      </c>
      <c r="BB324" s="706">
        <v>4.0922503096926882E-2</v>
      </c>
      <c r="BC324" s="706">
        <v>4.0922503096926882E-2</v>
      </c>
      <c r="BD324" s="706">
        <v>4.0922503096926882E-2</v>
      </c>
      <c r="BE324" s="706">
        <v>4.0922503096926882E-2</v>
      </c>
      <c r="BF324" s="706">
        <v>4.0922503096926882E-2</v>
      </c>
      <c r="BG324" s="706">
        <v>4.0922503096926882E-2</v>
      </c>
      <c r="BH324" s="706">
        <v>4.0922503096926882E-2</v>
      </c>
      <c r="BI324" s="706">
        <v>4.0922503096926882E-2</v>
      </c>
      <c r="BJ324" s="706">
        <v>4.0922503096926882E-2</v>
      </c>
      <c r="BK324" s="706">
        <v>4.0922503096926882E-2</v>
      </c>
      <c r="BL324" s="706">
        <v>4.0922503096926882E-2</v>
      </c>
      <c r="BM324" s="706">
        <v>4.0922503096926882E-2</v>
      </c>
      <c r="BN324" s="706"/>
      <c r="BO324" s="706"/>
      <c r="BP324" s="706"/>
      <c r="BQ324" s="706"/>
      <c r="BR324" s="706"/>
      <c r="BS324" s="706"/>
      <c r="BT324" s="706"/>
      <c r="BU324" s="706"/>
      <c r="BV324" s="791">
        <v>36.595129284992758</v>
      </c>
      <c r="BW324" s="791">
        <v>36.595129284992758</v>
      </c>
      <c r="BX324" s="791">
        <v>36.595129284992758</v>
      </c>
      <c r="BY324" s="791">
        <v>36.595129284992758</v>
      </c>
      <c r="BZ324" s="791">
        <v>36.595129284992758</v>
      </c>
      <c r="CA324" s="791">
        <v>36.595129284992758</v>
      </c>
      <c r="CB324" s="791">
        <v>36.595129284992758</v>
      </c>
      <c r="CC324" s="791">
        <v>36.595129284992758</v>
      </c>
      <c r="CD324" s="791">
        <v>36.595129284992758</v>
      </c>
      <c r="CE324" s="791">
        <v>36.595129284992758</v>
      </c>
      <c r="CF324" s="791">
        <v>36.595129284992758</v>
      </c>
      <c r="CG324" s="791">
        <v>36.595129284992758</v>
      </c>
      <c r="CH324" s="791">
        <v>36.595129284992758</v>
      </c>
      <c r="CI324" s="791">
        <v>36.595129284992758</v>
      </c>
      <c r="CJ324" s="791">
        <v>36.595129284992758</v>
      </c>
      <c r="CK324" s="791">
        <v>36.595129284992758</v>
      </c>
      <c r="CL324" s="791">
        <v>36.595129284992758</v>
      </c>
      <c r="CM324" s="791">
        <v>36.595129284992758</v>
      </c>
      <c r="CN324" s="791"/>
      <c r="CO324" s="706"/>
      <c r="CP324" s="706"/>
      <c r="CQ324" s="706"/>
      <c r="CR324" s="706"/>
    </row>
    <row r="325" spans="1:96">
      <c r="A325" s="694" t="s">
        <v>3</v>
      </c>
      <c r="B325" s="794">
        <v>41818</v>
      </c>
      <c r="C325" s="743">
        <v>2014</v>
      </c>
      <c r="D325" s="746" t="s">
        <v>15</v>
      </c>
      <c r="E325" s="746" t="s">
        <v>25</v>
      </c>
      <c r="F325" s="746" t="s">
        <v>17</v>
      </c>
      <c r="G325" s="746" t="s">
        <v>58</v>
      </c>
      <c r="H325" s="694" t="s">
        <v>390</v>
      </c>
      <c r="I325" s="746" t="s">
        <v>5</v>
      </c>
      <c r="J325" s="746" t="s">
        <v>376</v>
      </c>
      <c r="K325" s="706">
        <v>1</v>
      </c>
      <c r="L325" s="745" t="s">
        <v>58</v>
      </c>
      <c r="M325" s="706" t="s">
        <v>950</v>
      </c>
      <c r="N325" s="706">
        <v>18</v>
      </c>
      <c r="O325" s="706"/>
      <c r="P325" s="706"/>
      <c r="Q325" s="706"/>
      <c r="R325" s="706"/>
      <c r="S325" s="706"/>
      <c r="T325" s="706"/>
      <c r="U325" s="738">
        <v>7.29372853114508E-2</v>
      </c>
      <c r="V325" s="738">
        <v>65.224489795918373</v>
      </c>
      <c r="W325" s="793">
        <v>7.29372853114508E-2</v>
      </c>
      <c r="X325" s="708">
        <v>65.224489795918373</v>
      </c>
      <c r="Y325" s="719">
        <v>1174.0408163265306</v>
      </c>
      <c r="Z325" s="719">
        <v>658.71232712986966</v>
      </c>
      <c r="AA325" s="719">
        <v>36.595129284992758</v>
      </c>
      <c r="AB325" s="738">
        <v>4.0922503096926882E-2</v>
      </c>
      <c r="AC325" s="792">
        <v>1</v>
      </c>
      <c r="AD325" s="792">
        <v>1</v>
      </c>
      <c r="AE325" s="717">
        <v>0.48134328358208994</v>
      </c>
      <c r="AF325" s="714">
        <v>4.2407531067898789E-2</v>
      </c>
      <c r="AG325" s="706"/>
      <c r="AH325" s="792">
        <v>0.56106424748580885</v>
      </c>
      <c r="AI325" s="748">
        <v>0.48134328358208994</v>
      </c>
      <c r="AJ325" s="748">
        <v>4.2407531067898789E-2</v>
      </c>
      <c r="AK325" s="748"/>
      <c r="AL325" s="714">
        <v>0.56106424748580885</v>
      </c>
      <c r="AM325" s="706"/>
      <c r="AN325" s="706"/>
      <c r="AO325" s="706"/>
      <c r="AP325" s="706"/>
      <c r="AQ325" s="706"/>
      <c r="AR325" s="706" t="s">
        <v>877</v>
      </c>
      <c r="AS325" s="706"/>
      <c r="AT325" s="706"/>
      <c r="AU325" s="706"/>
      <c r="AV325" s="706">
        <v>4.0922503096926882E-2</v>
      </c>
      <c r="AW325" s="706">
        <v>4.0922503096926882E-2</v>
      </c>
      <c r="AX325" s="706">
        <v>4.0922503096926882E-2</v>
      </c>
      <c r="AY325" s="706">
        <v>4.0922503096926882E-2</v>
      </c>
      <c r="AZ325" s="706">
        <v>4.0922503096926882E-2</v>
      </c>
      <c r="BA325" s="706">
        <v>4.0922503096926882E-2</v>
      </c>
      <c r="BB325" s="706">
        <v>4.0922503096926882E-2</v>
      </c>
      <c r="BC325" s="706">
        <v>4.0922503096926882E-2</v>
      </c>
      <c r="BD325" s="706">
        <v>4.0922503096926882E-2</v>
      </c>
      <c r="BE325" s="706">
        <v>4.0922503096926882E-2</v>
      </c>
      <c r="BF325" s="706">
        <v>4.0922503096926882E-2</v>
      </c>
      <c r="BG325" s="706">
        <v>4.0922503096926882E-2</v>
      </c>
      <c r="BH325" s="706">
        <v>4.0922503096926882E-2</v>
      </c>
      <c r="BI325" s="706">
        <v>4.0922503096926882E-2</v>
      </c>
      <c r="BJ325" s="706">
        <v>4.0922503096926882E-2</v>
      </c>
      <c r="BK325" s="706">
        <v>4.0922503096926882E-2</v>
      </c>
      <c r="BL325" s="706">
        <v>4.0922503096926882E-2</v>
      </c>
      <c r="BM325" s="706">
        <v>4.0922503096926882E-2</v>
      </c>
      <c r="BN325" s="706"/>
      <c r="BO325" s="706"/>
      <c r="BP325" s="706"/>
      <c r="BQ325" s="706"/>
      <c r="BR325" s="706"/>
      <c r="BS325" s="706"/>
      <c r="BT325" s="706"/>
      <c r="BU325" s="706"/>
      <c r="BV325" s="791">
        <v>36.595129284992758</v>
      </c>
      <c r="BW325" s="791">
        <v>36.595129284992758</v>
      </c>
      <c r="BX325" s="791">
        <v>36.595129284992758</v>
      </c>
      <c r="BY325" s="791">
        <v>36.595129284992758</v>
      </c>
      <c r="BZ325" s="791">
        <v>36.595129284992758</v>
      </c>
      <c r="CA325" s="791">
        <v>36.595129284992758</v>
      </c>
      <c r="CB325" s="791">
        <v>36.595129284992758</v>
      </c>
      <c r="CC325" s="791">
        <v>36.595129284992758</v>
      </c>
      <c r="CD325" s="791">
        <v>36.595129284992758</v>
      </c>
      <c r="CE325" s="791">
        <v>36.595129284992758</v>
      </c>
      <c r="CF325" s="791">
        <v>36.595129284992758</v>
      </c>
      <c r="CG325" s="791">
        <v>36.595129284992758</v>
      </c>
      <c r="CH325" s="791">
        <v>36.595129284992758</v>
      </c>
      <c r="CI325" s="791">
        <v>36.595129284992758</v>
      </c>
      <c r="CJ325" s="791">
        <v>36.595129284992758</v>
      </c>
      <c r="CK325" s="791">
        <v>36.595129284992758</v>
      </c>
      <c r="CL325" s="791">
        <v>36.595129284992758</v>
      </c>
      <c r="CM325" s="791">
        <v>36.595129284992758</v>
      </c>
      <c r="CN325" s="791"/>
      <c r="CO325" s="706"/>
      <c r="CP325" s="706"/>
      <c r="CQ325" s="706"/>
      <c r="CR325" s="706"/>
    </row>
    <row r="326" spans="1:96">
      <c r="A326" s="694" t="s">
        <v>3</v>
      </c>
      <c r="B326" s="794">
        <v>41709</v>
      </c>
      <c r="C326" s="743">
        <v>2014</v>
      </c>
      <c r="D326" s="746" t="s">
        <v>15</v>
      </c>
      <c r="E326" s="746" t="s">
        <v>25</v>
      </c>
      <c r="F326" s="746" t="s">
        <v>17</v>
      </c>
      <c r="G326" s="746" t="s">
        <v>58</v>
      </c>
      <c r="H326" s="694" t="s">
        <v>390</v>
      </c>
      <c r="I326" s="746" t="s">
        <v>5</v>
      </c>
      <c r="J326" s="746" t="s">
        <v>376</v>
      </c>
      <c r="K326" s="706">
        <v>1</v>
      </c>
      <c r="L326" s="745" t="s">
        <v>58</v>
      </c>
      <c r="M326" s="706" t="s">
        <v>888</v>
      </c>
      <c r="N326" s="706">
        <v>18</v>
      </c>
      <c r="O326" s="706"/>
      <c r="P326" s="706"/>
      <c r="Q326" s="706"/>
      <c r="R326" s="706"/>
      <c r="S326" s="706"/>
      <c r="T326" s="706"/>
      <c r="U326" s="738">
        <v>7.29372853114508E-2</v>
      </c>
      <c r="V326" s="738">
        <v>65.224489795918373</v>
      </c>
      <c r="W326" s="793">
        <v>7.29372853114508E-2</v>
      </c>
      <c r="X326" s="708">
        <v>65.224489795918373</v>
      </c>
      <c r="Y326" s="719">
        <v>1174.0408163265306</v>
      </c>
      <c r="Z326" s="719">
        <v>658.71232712986966</v>
      </c>
      <c r="AA326" s="719">
        <v>36.595129284992758</v>
      </c>
      <c r="AB326" s="738">
        <v>4.0922503096926882E-2</v>
      </c>
      <c r="AC326" s="792">
        <v>1</v>
      </c>
      <c r="AD326" s="792">
        <v>1</v>
      </c>
      <c r="AE326" s="717">
        <v>0.48134328358208994</v>
      </c>
      <c r="AF326" s="714">
        <v>4.2407531067898789E-2</v>
      </c>
      <c r="AG326" s="706"/>
      <c r="AH326" s="792">
        <v>0.56106424748580885</v>
      </c>
      <c r="AI326" s="748">
        <v>0.48134328358208994</v>
      </c>
      <c r="AJ326" s="748">
        <v>4.2407531067898789E-2</v>
      </c>
      <c r="AK326" s="748"/>
      <c r="AL326" s="714">
        <v>0.56106424748580885</v>
      </c>
      <c r="AM326" s="706"/>
      <c r="AN326" s="706"/>
      <c r="AO326" s="706"/>
      <c r="AP326" s="706"/>
      <c r="AQ326" s="706"/>
      <c r="AR326" s="706" t="s">
        <v>877</v>
      </c>
      <c r="AS326" s="706"/>
      <c r="AT326" s="706"/>
      <c r="AU326" s="706"/>
      <c r="AV326" s="706">
        <v>4.0922503096926882E-2</v>
      </c>
      <c r="AW326" s="706">
        <v>4.0922503096926882E-2</v>
      </c>
      <c r="AX326" s="706">
        <v>4.0922503096926882E-2</v>
      </c>
      <c r="AY326" s="706">
        <v>4.0922503096926882E-2</v>
      </c>
      <c r="AZ326" s="706">
        <v>4.0922503096926882E-2</v>
      </c>
      <c r="BA326" s="706">
        <v>4.0922503096926882E-2</v>
      </c>
      <c r="BB326" s="706">
        <v>4.0922503096926882E-2</v>
      </c>
      <c r="BC326" s="706">
        <v>4.0922503096926882E-2</v>
      </c>
      <c r="BD326" s="706">
        <v>4.0922503096926882E-2</v>
      </c>
      <c r="BE326" s="706">
        <v>4.0922503096926882E-2</v>
      </c>
      <c r="BF326" s="706">
        <v>4.0922503096926882E-2</v>
      </c>
      <c r="BG326" s="706">
        <v>4.0922503096926882E-2</v>
      </c>
      <c r="BH326" s="706">
        <v>4.0922503096926882E-2</v>
      </c>
      <c r="BI326" s="706">
        <v>4.0922503096926882E-2</v>
      </c>
      <c r="BJ326" s="706">
        <v>4.0922503096926882E-2</v>
      </c>
      <c r="BK326" s="706">
        <v>4.0922503096926882E-2</v>
      </c>
      <c r="BL326" s="706">
        <v>4.0922503096926882E-2</v>
      </c>
      <c r="BM326" s="706">
        <v>4.0922503096926882E-2</v>
      </c>
      <c r="BN326" s="706"/>
      <c r="BO326" s="706"/>
      <c r="BP326" s="706"/>
      <c r="BQ326" s="706"/>
      <c r="BR326" s="706"/>
      <c r="BS326" s="706"/>
      <c r="BT326" s="706"/>
      <c r="BU326" s="706"/>
      <c r="BV326" s="791">
        <v>36.595129284992758</v>
      </c>
      <c r="BW326" s="791">
        <v>36.595129284992758</v>
      </c>
      <c r="BX326" s="791">
        <v>36.595129284992758</v>
      </c>
      <c r="BY326" s="791">
        <v>36.595129284992758</v>
      </c>
      <c r="BZ326" s="791">
        <v>36.595129284992758</v>
      </c>
      <c r="CA326" s="791">
        <v>36.595129284992758</v>
      </c>
      <c r="CB326" s="791">
        <v>36.595129284992758</v>
      </c>
      <c r="CC326" s="791">
        <v>36.595129284992758</v>
      </c>
      <c r="CD326" s="791">
        <v>36.595129284992758</v>
      </c>
      <c r="CE326" s="791">
        <v>36.595129284992758</v>
      </c>
      <c r="CF326" s="791">
        <v>36.595129284992758</v>
      </c>
      <c r="CG326" s="791">
        <v>36.595129284992758</v>
      </c>
      <c r="CH326" s="791">
        <v>36.595129284992758</v>
      </c>
      <c r="CI326" s="791">
        <v>36.595129284992758</v>
      </c>
      <c r="CJ326" s="791">
        <v>36.595129284992758</v>
      </c>
      <c r="CK326" s="791">
        <v>36.595129284992758</v>
      </c>
      <c r="CL326" s="791">
        <v>36.595129284992758</v>
      </c>
      <c r="CM326" s="791">
        <v>36.595129284992758</v>
      </c>
      <c r="CN326" s="791"/>
      <c r="CO326" s="706"/>
      <c r="CP326" s="706"/>
      <c r="CQ326" s="706"/>
      <c r="CR326" s="706"/>
    </row>
    <row r="327" spans="1:96">
      <c r="A327" s="694" t="s">
        <v>3</v>
      </c>
      <c r="B327" s="794">
        <v>41787</v>
      </c>
      <c r="C327" s="743">
        <v>2014</v>
      </c>
      <c r="D327" s="746" t="s">
        <v>15</v>
      </c>
      <c r="E327" s="746" t="s">
        <v>25</v>
      </c>
      <c r="F327" s="746" t="s">
        <v>17</v>
      </c>
      <c r="G327" s="746" t="s">
        <v>58</v>
      </c>
      <c r="H327" s="694" t="s">
        <v>390</v>
      </c>
      <c r="I327" s="746" t="s">
        <v>5</v>
      </c>
      <c r="J327" s="746" t="s">
        <v>376</v>
      </c>
      <c r="K327" s="706">
        <v>1</v>
      </c>
      <c r="L327" s="745" t="s">
        <v>58</v>
      </c>
      <c r="M327" s="706" t="s">
        <v>888</v>
      </c>
      <c r="N327" s="706">
        <v>18</v>
      </c>
      <c r="O327" s="706"/>
      <c r="P327" s="706"/>
      <c r="Q327" s="706"/>
      <c r="R327" s="706"/>
      <c r="S327" s="706"/>
      <c r="T327" s="706"/>
      <c r="U327" s="738">
        <v>7.29372853114508E-2</v>
      </c>
      <c r="V327" s="738">
        <v>65.224489795918373</v>
      </c>
      <c r="W327" s="793">
        <v>7.29372853114508E-2</v>
      </c>
      <c r="X327" s="708">
        <v>65.224489795918373</v>
      </c>
      <c r="Y327" s="719">
        <v>1174.0408163265306</v>
      </c>
      <c r="Z327" s="719">
        <v>658.71232712986966</v>
      </c>
      <c r="AA327" s="719">
        <v>36.595129284992758</v>
      </c>
      <c r="AB327" s="738">
        <v>4.0922503096926882E-2</v>
      </c>
      <c r="AC327" s="792">
        <v>1</v>
      </c>
      <c r="AD327" s="792">
        <v>1</v>
      </c>
      <c r="AE327" s="717">
        <v>0.48134328358208994</v>
      </c>
      <c r="AF327" s="714">
        <v>4.2407531067898789E-2</v>
      </c>
      <c r="AG327" s="706"/>
      <c r="AH327" s="792">
        <v>0.56106424748580885</v>
      </c>
      <c r="AI327" s="748">
        <v>0.48134328358208994</v>
      </c>
      <c r="AJ327" s="748">
        <v>4.2407531067898789E-2</v>
      </c>
      <c r="AK327" s="748"/>
      <c r="AL327" s="714">
        <v>0.56106424748580885</v>
      </c>
      <c r="AM327" s="706"/>
      <c r="AN327" s="706"/>
      <c r="AO327" s="706"/>
      <c r="AP327" s="706"/>
      <c r="AQ327" s="706"/>
      <c r="AR327" s="706" t="s">
        <v>877</v>
      </c>
      <c r="AS327" s="706"/>
      <c r="AT327" s="706"/>
      <c r="AU327" s="706"/>
      <c r="AV327" s="706">
        <v>4.0922503096926882E-2</v>
      </c>
      <c r="AW327" s="706">
        <v>4.0922503096926882E-2</v>
      </c>
      <c r="AX327" s="706">
        <v>4.0922503096926882E-2</v>
      </c>
      <c r="AY327" s="706">
        <v>4.0922503096926882E-2</v>
      </c>
      <c r="AZ327" s="706">
        <v>4.0922503096926882E-2</v>
      </c>
      <c r="BA327" s="706">
        <v>4.0922503096926882E-2</v>
      </c>
      <c r="BB327" s="706">
        <v>4.0922503096926882E-2</v>
      </c>
      <c r="BC327" s="706">
        <v>4.0922503096926882E-2</v>
      </c>
      <c r="BD327" s="706">
        <v>4.0922503096926882E-2</v>
      </c>
      <c r="BE327" s="706">
        <v>4.0922503096926882E-2</v>
      </c>
      <c r="BF327" s="706">
        <v>4.0922503096926882E-2</v>
      </c>
      <c r="BG327" s="706">
        <v>4.0922503096926882E-2</v>
      </c>
      <c r="BH327" s="706">
        <v>4.0922503096926882E-2</v>
      </c>
      <c r="BI327" s="706">
        <v>4.0922503096926882E-2</v>
      </c>
      <c r="BJ327" s="706">
        <v>4.0922503096926882E-2</v>
      </c>
      <c r="BK327" s="706">
        <v>4.0922503096926882E-2</v>
      </c>
      <c r="BL327" s="706">
        <v>4.0922503096926882E-2</v>
      </c>
      <c r="BM327" s="706">
        <v>4.0922503096926882E-2</v>
      </c>
      <c r="BN327" s="706"/>
      <c r="BO327" s="706"/>
      <c r="BP327" s="706"/>
      <c r="BQ327" s="706"/>
      <c r="BR327" s="706"/>
      <c r="BS327" s="706"/>
      <c r="BT327" s="706"/>
      <c r="BU327" s="706"/>
      <c r="BV327" s="791">
        <v>36.595129284992758</v>
      </c>
      <c r="BW327" s="791">
        <v>36.595129284992758</v>
      </c>
      <c r="BX327" s="791">
        <v>36.595129284992758</v>
      </c>
      <c r="BY327" s="791">
        <v>36.595129284992758</v>
      </c>
      <c r="BZ327" s="791">
        <v>36.595129284992758</v>
      </c>
      <c r="CA327" s="791">
        <v>36.595129284992758</v>
      </c>
      <c r="CB327" s="791">
        <v>36.595129284992758</v>
      </c>
      <c r="CC327" s="791">
        <v>36.595129284992758</v>
      </c>
      <c r="CD327" s="791">
        <v>36.595129284992758</v>
      </c>
      <c r="CE327" s="791">
        <v>36.595129284992758</v>
      </c>
      <c r="CF327" s="791">
        <v>36.595129284992758</v>
      </c>
      <c r="CG327" s="791">
        <v>36.595129284992758</v>
      </c>
      <c r="CH327" s="791">
        <v>36.595129284992758</v>
      </c>
      <c r="CI327" s="791">
        <v>36.595129284992758</v>
      </c>
      <c r="CJ327" s="791">
        <v>36.595129284992758</v>
      </c>
      <c r="CK327" s="791">
        <v>36.595129284992758</v>
      </c>
      <c r="CL327" s="791">
        <v>36.595129284992758</v>
      </c>
      <c r="CM327" s="791">
        <v>36.595129284992758</v>
      </c>
      <c r="CN327" s="791"/>
      <c r="CO327" s="706"/>
      <c r="CP327" s="706"/>
      <c r="CQ327" s="706"/>
      <c r="CR327" s="706"/>
    </row>
    <row r="328" spans="1:96">
      <c r="A328" s="694" t="s">
        <v>3</v>
      </c>
      <c r="B328" s="794">
        <v>41806</v>
      </c>
      <c r="C328" s="743">
        <v>2014</v>
      </c>
      <c r="D328" s="746" t="s">
        <v>15</v>
      </c>
      <c r="E328" s="746" t="s">
        <v>25</v>
      </c>
      <c r="F328" s="746" t="s">
        <v>17</v>
      </c>
      <c r="G328" s="746" t="s">
        <v>58</v>
      </c>
      <c r="H328" s="694" t="s">
        <v>390</v>
      </c>
      <c r="I328" s="746" t="s">
        <v>5</v>
      </c>
      <c r="J328" s="746" t="s">
        <v>376</v>
      </c>
      <c r="K328" s="706">
        <v>1</v>
      </c>
      <c r="L328" s="745" t="s">
        <v>58</v>
      </c>
      <c r="M328" s="706" t="s">
        <v>949</v>
      </c>
      <c r="N328" s="706">
        <v>18</v>
      </c>
      <c r="O328" s="706"/>
      <c r="P328" s="706"/>
      <c r="Q328" s="706"/>
      <c r="R328" s="706"/>
      <c r="S328" s="706"/>
      <c r="T328" s="706"/>
      <c r="U328" s="738">
        <v>7.29372853114508E-2</v>
      </c>
      <c r="V328" s="738">
        <v>65.224489795918373</v>
      </c>
      <c r="W328" s="793">
        <v>7.29372853114508E-2</v>
      </c>
      <c r="X328" s="708">
        <v>65.224489795918373</v>
      </c>
      <c r="Y328" s="719">
        <v>1174.0408163265306</v>
      </c>
      <c r="Z328" s="719">
        <v>658.71232712986966</v>
      </c>
      <c r="AA328" s="719">
        <v>36.595129284992758</v>
      </c>
      <c r="AB328" s="738">
        <v>4.0922503096926882E-2</v>
      </c>
      <c r="AC328" s="792">
        <v>1</v>
      </c>
      <c r="AD328" s="792">
        <v>1</v>
      </c>
      <c r="AE328" s="717">
        <v>0.48134328358208994</v>
      </c>
      <c r="AF328" s="714">
        <v>4.2407531067898789E-2</v>
      </c>
      <c r="AG328" s="706"/>
      <c r="AH328" s="792">
        <v>0.56106424748580885</v>
      </c>
      <c r="AI328" s="748">
        <v>0.48134328358208994</v>
      </c>
      <c r="AJ328" s="748">
        <v>4.2407531067898789E-2</v>
      </c>
      <c r="AK328" s="748"/>
      <c r="AL328" s="714">
        <v>0.56106424748580885</v>
      </c>
      <c r="AM328" s="706"/>
      <c r="AN328" s="706"/>
      <c r="AO328" s="706"/>
      <c r="AP328" s="706"/>
      <c r="AQ328" s="706"/>
      <c r="AR328" s="706" t="s">
        <v>877</v>
      </c>
      <c r="AS328" s="706"/>
      <c r="AT328" s="706"/>
      <c r="AU328" s="706"/>
      <c r="AV328" s="706">
        <v>4.0922503096926882E-2</v>
      </c>
      <c r="AW328" s="706">
        <v>4.0922503096926882E-2</v>
      </c>
      <c r="AX328" s="706">
        <v>4.0922503096926882E-2</v>
      </c>
      <c r="AY328" s="706">
        <v>4.0922503096926882E-2</v>
      </c>
      <c r="AZ328" s="706">
        <v>4.0922503096926882E-2</v>
      </c>
      <c r="BA328" s="706">
        <v>4.0922503096926882E-2</v>
      </c>
      <c r="BB328" s="706">
        <v>4.0922503096926882E-2</v>
      </c>
      <c r="BC328" s="706">
        <v>4.0922503096926882E-2</v>
      </c>
      <c r="BD328" s="706">
        <v>4.0922503096926882E-2</v>
      </c>
      <c r="BE328" s="706">
        <v>4.0922503096926882E-2</v>
      </c>
      <c r="BF328" s="706">
        <v>4.0922503096926882E-2</v>
      </c>
      <c r="BG328" s="706">
        <v>4.0922503096926882E-2</v>
      </c>
      <c r="BH328" s="706">
        <v>4.0922503096926882E-2</v>
      </c>
      <c r="BI328" s="706">
        <v>4.0922503096926882E-2</v>
      </c>
      <c r="BJ328" s="706">
        <v>4.0922503096926882E-2</v>
      </c>
      <c r="BK328" s="706">
        <v>4.0922503096926882E-2</v>
      </c>
      <c r="BL328" s="706">
        <v>4.0922503096926882E-2</v>
      </c>
      <c r="BM328" s="706">
        <v>4.0922503096926882E-2</v>
      </c>
      <c r="BN328" s="706"/>
      <c r="BO328" s="706"/>
      <c r="BP328" s="706"/>
      <c r="BQ328" s="706"/>
      <c r="BR328" s="706"/>
      <c r="BS328" s="706"/>
      <c r="BT328" s="706"/>
      <c r="BU328" s="706"/>
      <c r="BV328" s="791">
        <v>36.595129284992758</v>
      </c>
      <c r="BW328" s="791">
        <v>36.595129284992758</v>
      </c>
      <c r="BX328" s="791">
        <v>36.595129284992758</v>
      </c>
      <c r="BY328" s="791">
        <v>36.595129284992758</v>
      </c>
      <c r="BZ328" s="791">
        <v>36.595129284992758</v>
      </c>
      <c r="CA328" s="791">
        <v>36.595129284992758</v>
      </c>
      <c r="CB328" s="791">
        <v>36.595129284992758</v>
      </c>
      <c r="CC328" s="791">
        <v>36.595129284992758</v>
      </c>
      <c r="CD328" s="791">
        <v>36.595129284992758</v>
      </c>
      <c r="CE328" s="791">
        <v>36.595129284992758</v>
      </c>
      <c r="CF328" s="791">
        <v>36.595129284992758</v>
      </c>
      <c r="CG328" s="791">
        <v>36.595129284992758</v>
      </c>
      <c r="CH328" s="791">
        <v>36.595129284992758</v>
      </c>
      <c r="CI328" s="791">
        <v>36.595129284992758</v>
      </c>
      <c r="CJ328" s="791">
        <v>36.595129284992758</v>
      </c>
      <c r="CK328" s="791">
        <v>36.595129284992758</v>
      </c>
      <c r="CL328" s="791">
        <v>36.595129284992758</v>
      </c>
      <c r="CM328" s="791">
        <v>36.595129284992758</v>
      </c>
      <c r="CN328" s="791"/>
      <c r="CO328" s="706"/>
      <c r="CP328" s="706"/>
      <c r="CQ328" s="706"/>
      <c r="CR328" s="706"/>
    </row>
    <row r="329" spans="1:96">
      <c r="A329" s="694" t="s">
        <v>3</v>
      </c>
      <c r="B329" s="794">
        <v>41757</v>
      </c>
      <c r="C329" s="743">
        <v>2014</v>
      </c>
      <c r="D329" s="746" t="s">
        <v>15</v>
      </c>
      <c r="E329" s="746" t="s">
        <v>25</v>
      </c>
      <c r="F329" s="746" t="s">
        <v>17</v>
      </c>
      <c r="G329" s="746" t="s">
        <v>58</v>
      </c>
      <c r="H329" s="694" t="s">
        <v>390</v>
      </c>
      <c r="I329" s="746" t="s">
        <v>5</v>
      </c>
      <c r="J329" s="746" t="s">
        <v>376</v>
      </c>
      <c r="K329" s="706">
        <v>1</v>
      </c>
      <c r="L329" s="745" t="s">
        <v>58</v>
      </c>
      <c r="M329" s="706" t="s">
        <v>948</v>
      </c>
      <c r="N329" s="706">
        <v>18</v>
      </c>
      <c r="O329" s="706"/>
      <c r="P329" s="706"/>
      <c r="Q329" s="706"/>
      <c r="R329" s="706"/>
      <c r="S329" s="706"/>
      <c r="T329" s="706"/>
      <c r="U329" s="738">
        <v>7.29372853114508E-2</v>
      </c>
      <c r="V329" s="738">
        <v>65.224489795918373</v>
      </c>
      <c r="W329" s="793">
        <v>7.29372853114508E-2</v>
      </c>
      <c r="X329" s="708">
        <v>65.224489795918373</v>
      </c>
      <c r="Y329" s="719">
        <v>1174.0408163265306</v>
      </c>
      <c r="Z329" s="719">
        <v>658.71232712986966</v>
      </c>
      <c r="AA329" s="719">
        <v>36.595129284992758</v>
      </c>
      <c r="AB329" s="738">
        <v>4.0922503096926882E-2</v>
      </c>
      <c r="AC329" s="792">
        <v>1</v>
      </c>
      <c r="AD329" s="792">
        <v>1</v>
      </c>
      <c r="AE329" s="717">
        <v>0.48134328358208994</v>
      </c>
      <c r="AF329" s="714">
        <v>4.2407531067898789E-2</v>
      </c>
      <c r="AG329" s="706"/>
      <c r="AH329" s="792">
        <v>0.56106424748580885</v>
      </c>
      <c r="AI329" s="748">
        <v>0.48134328358208994</v>
      </c>
      <c r="AJ329" s="748">
        <v>4.2407531067898789E-2</v>
      </c>
      <c r="AK329" s="748"/>
      <c r="AL329" s="714">
        <v>0.56106424748580885</v>
      </c>
      <c r="AM329" s="706"/>
      <c r="AN329" s="706"/>
      <c r="AO329" s="706"/>
      <c r="AP329" s="706"/>
      <c r="AQ329" s="706"/>
      <c r="AR329" s="706" t="s">
        <v>877</v>
      </c>
      <c r="AS329" s="706"/>
      <c r="AT329" s="706"/>
      <c r="AU329" s="706"/>
      <c r="AV329" s="706">
        <v>4.0922503096926882E-2</v>
      </c>
      <c r="AW329" s="706">
        <v>4.0922503096926882E-2</v>
      </c>
      <c r="AX329" s="706">
        <v>4.0922503096926882E-2</v>
      </c>
      <c r="AY329" s="706">
        <v>4.0922503096926882E-2</v>
      </c>
      <c r="AZ329" s="706">
        <v>4.0922503096926882E-2</v>
      </c>
      <c r="BA329" s="706">
        <v>4.0922503096926882E-2</v>
      </c>
      <c r="BB329" s="706">
        <v>4.0922503096926882E-2</v>
      </c>
      <c r="BC329" s="706">
        <v>4.0922503096926882E-2</v>
      </c>
      <c r="BD329" s="706">
        <v>4.0922503096926882E-2</v>
      </c>
      <c r="BE329" s="706">
        <v>4.0922503096926882E-2</v>
      </c>
      <c r="BF329" s="706">
        <v>4.0922503096926882E-2</v>
      </c>
      <c r="BG329" s="706">
        <v>4.0922503096926882E-2</v>
      </c>
      <c r="BH329" s="706">
        <v>4.0922503096926882E-2</v>
      </c>
      <c r="BI329" s="706">
        <v>4.0922503096926882E-2</v>
      </c>
      <c r="BJ329" s="706">
        <v>4.0922503096926882E-2</v>
      </c>
      <c r="BK329" s="706">
        <v>4.0922503096926882E-2</v>
      </c>
      <c r="BL329" s="706">
        <v>4.0922503096926882E-2</v>
      </c>
      <c r="BM329" s="706">
        <v>4.0922503096926882E-2</v>
      </c>
      <c r="BN329" s="706"/>
      <c r="BO329" s="706"/>
      <c r="BP329" s="706"/>
      <c r="BQ329" s="706"/>
      <c r="BR329" s="706"/>
      <c r="BS329" s="706"/>
      <c r="BT329" s="706"/>
      <c r="BU329" s="706"/>
      <c r="BV329" s="791">
        <v>36.595129284992758</v>
      </c>
      <c r="BW329" s="791">
        <v>36.595129284992758</v>
      </c>
      <c r="BX329" s="791">
        <v>36.595129284992758</v>
      </c>
      <c r="BY329" s="791">
        <v>36.595129284992758</v>
      </c>
      <c r="BZ329" s="791">
        <v>36.595129284992758</v>
      </c>
      <c r="CA329" s="791">
        <v>36.595129284992758</v>
      </c>
      <c r="CB329" s="791">
        <v>36.595129284992758</v>
      </c>
      <c r="CC329" s="791">
        <v>36.595129284992758</v>
      </c>
      <c r="CD329" s="791">
        <v>36.595129284992758</v>
      </c>
      <c r="CE329" s="791">
        <v>36.595129284992758</v>
      </c>
      <c r="CF329" s="791">
        <v>36.595129284992758</v>
      </c>
      <c r="CG329" s="791">
        <v>36.595129284992758</v>
      </c>
      <c r="CH329" s="791">
        <v>36.595129284992758</v>
      </c>
      <c r="CI329" s="791">
        <v>36.595129284992758</v>
      </c>
      <c r="CJ329" s="791">
        <v>36.595129284992758</v>
      </c>
      <c r="CK329" s="791">
        <v>36.595129284992758</v>
      </c>
      <c r="CL329" s="791">
        <v>36.595129284992758</v>
      </c>
      <c r="CM329" s="791">
        <v>36.595129284992758</v>
      </c>
      <c r="CN329" s="791"/>
      <c r="CO329" s="706"/>
      <c r="CP329" s="706"/>
      <c r="CQ329" s="706"/>
      <c r="CR329" s="706"/>
    </row>
    <row r="330" spans="1:96">
      <c r="A330" s="694" t="s">
        <v>3</v>
      </c>
      <c r="B330" s="794">
        <v>41990</v>
      </c>
      <c r="C330" s="743">
        <v>2014</v>
      </c>
      <c r="D330" s="746" t="s">
        <v>15</v>
      </c>
      <c r="E330" s="746" t="s">
        <v>25</v>
      </c>
      <c r="F330" s="746" t="s">
        <v>17</v>
      </c>
      <c r="G330" s="746" t="s">
        <v>58</v>
      </c>
      <c r="H330" s="694" t="s">
        <v>390</v>
      </c>
      <c r="I330" s="746" t="s">
        <v>5</v>
      </c>
      <c r="J330" s="746" t="s">
        <v>376</v>
      </c>
      <c r="K330" s="706">
        <v>1</v>
      </c>
      <c r="L330" s="745" t="s">
        <v>58</v>
      </c>
      <c r="M330" s="706" t="s">
        <v>947</v>
      </c>
      <c r="N330" s="706">
        <v>18</v>
      </c>
      <c r="O330" s="706"/>
      <c r="P330" s="706"/>
      <c r="Q330" s="706"/>
      <c r="R330" s="706"/>
      <c r="S330" s="706"/>
      <c r="T330" s="706"/>
      <c r="U330" s="738">
        <v>7.29372853114508E-2</v>
      </c>
      <c r="V330" s="738">
        <v>65.224489795918373</v>
      </c>
      <c r="W330" s="793">
        <v>7.29372853114508E-2</v>
      </c>
      <c r="X330" s="708">
        <v>65.224489795918373</v>
      </c>
      <c r="Y330" s="719">
        <v>1174.0408163265306</v>
      </c>
      <c r="Z330" s="719">
        <v>658.71232712986966</v>
      </c>
      <c r="AA330" s="719">
        <v>36.595129284992758</v>
      </c>
      <c r="AB330" s="738">
        <v>4.0922503096926882E-2</v>
      </c>
      <c r="AC330" s="792">
        <v>1</v>
      </c>
      <c r="AD330" s="792">
        <v>1</v>
      </c>
      <c r="AE330" s="717">
        <v>0.48134328358208994</v>
      </c>
      <c r="AF330" s="714">
        <v>4.2407531067898789E-2</v>
      </c>
      <c r="AG330" s="706"/>
      <c r="AH330" s="792">
        <v>0.56106424748580885</v>
      </c>
      <c r="AI330" s="748">
        <v>0.48134328358208994</v>
      </c>
      <c r="AJ330" s="748">
        <v>4.2407531067898789E-2</v>
      </c>
      <c r="AK330" s="748"/>
      <c r="AL330" s="714">
        <v>0.56106424748580885</v>
      </c>
      <c r="AM330" s="706"/>
      <c r="AN330" s="706"/>
      <c r="AO330" s="706"/>
      <c r="AP330" s="706"/>
      <c r="AQ330" s="706"/>
      <c r="AR330" s="706" t="s">
        <v>877</v>
      </c>
      <c r="AS330" s="706"/>
      <c r="AT330" s="706"/>
      <c r="AU330" s="706"/>
      <c r="AV330" s="706">
        <v>4.0922503096926882E-2</v>
      </c>
      <c r="AW330" s="706">
        <v>4.0922503096926882E-2</v>
      </c>
      <c r="AX330" s="706">
        <v>4.0922503096926882E-2</v>
      </c>
      <c r="AY330" s="706">
        <v>4.0922503096926882E-2</v>
      </c>
      <c r="AZ330" s="706">
        <v>4.0922503096926882E-2</v>
      </c>
      <c r="BA330" s="706">
        <v>4.0922503096926882E-2</v>
      </c>
      <c r="BB330" s="706">
        <v>4.0922503096926882E-2</v>
      </c>
      <c r="BC330" s="706">
        <v>4.0922503096926882E-2</v>
      </c>
      <c r="BD330" s="706">
        <v>4.0922503096926882E-2</v>
      </c>
      <c r="BE330" s="706">
        <v>4.0922503096926882E-2</v>
      </c>
      <c r="BF330" s="706">
        <v>4.0922503096926882E-2</v>
      </c>
      <c r="BG330" s="706">
        <v>4.0922503096926882E-2</v>
      </c>
      <c r="BH330" s="706">
        <v>4.0922503096926882E-2</v>
      </c>
      <c r="BI330" s="706">
        <v>4.0922503096926882E-2</v>
      </c>
      <c r="BJ330" s="706">
        <v>4.0922503096926882E-2</v>
      </c>
      <c r="BK330" s="706">
        <v>4.0922503096926882E-2</v>
      </c>
      <c r="BL330" s="706">
        <v>4.0922503096926882E-2</v>
      </c>
      <c r="BM330" s="706">
        <v>4.0922503096926882E-2</v>
      </c>
      <c r="BN330" s="706"/>
      <c r="BO330" s="706"/>
      <c r="BP330" s="706"/>
      <c r="BQ330" s="706"/>
      <c r="BR330" s="706"/>
      <c r="BS330" s="706"/>
      <c r="BT330" s="706"/>
      <c r="BU330" s="706"/>
      <c r="BV330" s="791">
        <v>36.595129284992758</v>
      </c>
      <c r="BW330" s="791">
        <v>36.595129284992758</v>
      </c>
      <c r="BX330" s="791">
        <v>36.595129284992758</v>
      </c>
      <c r="BY330" s="791">
        <v>36.595129284992758</v>
      </c>
      <c r="BZ330" s="791">
        <v>36.595129284992758</v>
      </c>
      <c r="CA330" s="791">
        <v>36.595129284992758</v>
      </c>
      <c r="CB330" s="791">
        <v>36.595129284992758</v>
      </c>
      <c r="CC330" s="791">
        <v>36.595129284992758</v>
      </c>
      <c r="CD330" s="791">
        <v>36.595129284992758</v>
      </c>
      <c r="CE330" s="791">
        <v>36.595129284992758</v>
      </c>
      <c r="CF330" s="791">
        <v>36.595129284992758</v>
      </c>
      <c r="CG330" s="791">
        <v>36.595129284992758</v>
      </c>
      <c r="CH330" s="791">
        <v>36.595129284992758</v>
      </c>
      <c r="CI330" s="791">
        <v>36.595129284992758</v>
      </c>
      <c r="CJ330" s="791">
        <v>36.595129284992758</v>
      </c>
      <c r="CK330" s="791">
        <v>36.595129284992758</v>
      </c>
      <c r="CL330" s="791">
        <v>36.595129284992758</v>
      </c>
      <c r="CM330" s="791">
        <v>36.595129284992758</v>
      </c>
      <c r="CN330" s="791"/>
      <c r="CO330" s="706"/>
      <c r="CP330" s="706"/>
      <c r="CQ330" s="706"/>
      <c r="CR330" s="706"/>
    </row>
    <row r="331" spans="1:96">
      <c r="A331" s="694" t="s">
        <v>3</v>
      </c>
      <c r="B331" s="794">
        <v>41912</v>
      </c>
      <c r="C331" s="743">
        <v>2014</v>
      </c>
      <c r="D331" s="746" t="s">
        <v>15</v>
      </c>
      <c r="E331" s="746" t="s">
        <v>25</v>
      </c>
      <c r="F331" s="746" t="s">
        <v>17</v>
      </c>
      <c r="G331" s="746" t="s">
        <v>58</v>
      </c>
      <c r="H331" s="694" t="s">
        <v>390</v>
      </c>
      <c r="I331" s="746" t="s">
        <v>5</v>
      </c>
      <c r="J331" s="746" t="s">
        <v>376</v>
      </c>
      <c r="K331" s="706">
        <v>1</v>
      </c>
      <c r="L331" s="745" t="s">
        <v>58</v>
      </c>
      <c r="M331" s="706" t="s">
        <v>946</v>
      </c>
      <c r="N331" s="706">
        <v>18</v>
      </c>
      <c r="O331" s="706"/>
      <c r="P331" s="706"/>
      <c r="Q331" s="706"/>
      <c r="R331" s="706"/>
      <c r="S331" s="706"/>
      <c r="T331" s="706"/>
      <c r="U331" s="738">
        <v>7.29372853114508E-2</v>
      </c>
      <c r="V331" s="738">
        <v>65.224489795918373</v>
      </c>
      <c r="W331" s="793">
        <v>7.29372853114508E-2</v>
      </c>
      <c r="X331" s="708">
        <v>65.224489795918373</v>
      </c>
      <c r="Y331" s="719">
        <v>1174.0408163265306</v>
      </c>
      <c r="Z331" s="719">
        <v>658.71232712986966</v>
      </c>
      <c r="AA331" s="719">
        <v>36.595129284992758</v>
      </c>
      <c r="AB331" s="738">
        <v>4.0922503096926882E-2</v>
      </c>
      <c r="AC331" s="792">
        <v>1</v>
      </c>
      <c r="AD331" s="792">
        <v>1</v>
      </c>
      <c r="AE331" s="717">
        <v>0.48134328358208994</v>
      </c>
      <c r="AF331" s="714">
        <v>4.2407531067898789E-2</v>
      </c>
      <c r="AG331" s="706"/>
      <c r="AH331" s="792">
        <v>0.56106424748580885</v>
      </c>
      <c r="AI331" s="748">
        <v>0.48134328358208994</v>
      </c>
      <c r="AJ331" s="748">
        <v>4.2407531067898789E-2</v>
      </c>
      <c r="AK331" s="748"/>
      <c r="AL331" s="714">
        <v>0.56106424748580885</v>
      </c>
      <c r="AM331" s="706"/>
      <c r="AN331" s="706"/>
      <c r="AO331" s="706"/>
      <c r="AP331" s="706"/>
      <c r="AQ331" s="706"/>
      <c r="AR331" s="706" t="s">
        <v>877</v>
      </c>
      <c r="AS331" s="706"/>
      <c r="AT331" s="706"/>
      <c r="AU331" s="706"/>
      <c r="AV331" s="706">
        <v>4.0922503096926882E-2</v>
      </c>
      <c r="AW331" s="706">
        <v>4.0922503096926882E-2</v>
      </c>
      <c r="AX331" s="706">
        <v>4.0922503096926882E-2</v>
      </c>
      <c r="AY331" s="706">
        <v>4.0922503096926882E-2</v>
      </c>
      <c r="AZ331" s="706">
        <v>4.0922503096926882E-2</v>
      </c>
      <c r="BA331" s="706">
        <v>4.0922503096926882E-2</v>
      </c>
      <c r="BB331" s="706">
        <v>4.0922503096926882E-2</v>
      </c>
      <c r="BC331" s="706">
        <v>4.0922503096926882E-2</v>
      </c>
      <c r="BD331" s="706">
        <v>4.0922503096926882E-2</v>
      </c>
      <c r="BE331" s="706">
        <v>4.0922503096926882E-2</v>
      </c>
      <c r="BF331" s="706">
        <v>4.0922503096926882E-2</v>
      </c>
      <c r="BG331" s="706">
        <v>4.0922503096926882E-2</v>
      </c>
      <c r="BH331" s="706">
        <v>4.0922503096926882E-2</v>
      </c>
      <c r="BI331" s="706">
        <v>4.0922503096926882E-2</v>
      </c>
      <c r="BJ331" s="706">
        <v>4.0922503096926882E-2</v>
      </c>
      <c r="BK331" s="706">
        <v>4.0922503096926882E-2</v>
      </c>
      <c r="BL331" s="706">
        <v>4.0922503096926882E-2</v>
      </c>
      <c r="BM331" s="706">
        <v>4.0922503096926882E-2</v>
      </c>
      <c r="BN331" s="706"/>
      <c r="BO331" s="706"/>
      <c r="BP331" s="706"/>
      <c r="BQ331" s="706"/>
      <c r="BR331" s="706"/>
      <c r="BS331" s="706"/>
      <c r="BT331" s="706"/>
      <c r="BU331" s="706"/>
      <c r="BV331" s="791">
        <v>36.595129284992758</v>
      </c>
      <c r="BW331" s="791">
        <v>36.595129284992758</v>
      </c>
      <c r="BX331" s="791">
        <v>36.595129284992758</v>
      </c>
      <c r="BY331" s="791">
        <v>36.595129284992758</v>
      </c>
      <c r="BZ331" s="791">
        <v>36.595129284992758</v>
      </c>
      <c r="CA331" s="791">
        <v>36.595129284992758</v>
      </c>
      <c r="CB331" s="791">
        <v>36.595129284992758</v>
      </c>
      <c r="CC331" s="791">
        <v>36.595129284992758</v>
      </c>
      <c r="CD331" s="791">
        <v>36.595129284992758</v>
      </c>
      <c r="CE331" s="791">
        <v>36.595129284992758</v>
      </c>
      <c r="CF331" s="791">
        <v>36.595129284992758</v>
      </c>
      <c r="CG331" s="791">
        <v>36.595129284992758</v>
      </c>
      <c r="CH331" s="791">
        <v>36.595129284992758</v>
      </c>
      <c r="CI331" s="791">
        <v>36.595129284992758</v>
      </c>
      <c r="CJ331" s="791">
        <v>36.595129284992758</v>
      </c>
      <c r="CK331" s="791">
        <v>36.595129284992758</v>
      </c>
      <c r="CL331" s="791">
        <v>36.595129284992758</v>
      </c>
      <c r="CM331" s="791">
        <v>36.595129284992758</v>
      </c>
      <c r="CN331" s="791"/>
      <c r="CO331" s="706"/>
      <c r="CP331" s="706"/>
      <c r="CQ331" s="706"/>
      <c r="CR331" s="706"/>
    </row>
    <row r="332" spans="1:96">
      <c r="A332" s="694" t="s">
        <v>3</v>
      </c>
      <c r="B332" s="794">
        <v>41884</v>
      </c>
      <c r="C332" s="743">
        <v>2014</v>
      </c>
      <c r="D332" s="746" t="s">
        <v>15</v>
      </c>
      <c r="E332" s="746" t="s">
        <v>25</v>
      </c>
      <c r="F332" s="746" t="s">
        <v>17</v>
      </c>
      <c r="G332" s="746" t="s">
        <v>58</v>
      </c>
      <c r="H332" s="694" t="s">
        <v>393</v>
      </c>
      <c r="I332" s="746" t="s">
        <v>5</v>
      </c>
      <c r="J332" s="746" t="s">
        <v>376</v>
      </c>
      <c r="K332" s="706">
        <v>1</v>
      </c>
      <c r="L332" s="745" t="s">
        <v>58</v>
      </c>
      <c r="M332" s="706" t="s">
        <v>826</v>
      </c>
      <c r="N332" s="706">
        <v>18</v>
      </c>
      <c r="O332" s="706"/>
      <c r="P332" s="706"/>
      <c r="Q332" s="706"/>
      <c r="R332" s="706"/>
      <c r="S332" s="706"/>
      <c r="T332" s="706"/>
      <c r="U332" s="738">
        <v>0.1051154994194438</v>
      </c>
      <c r="V332" s="738">
        <v>94</v>
      </c>
      <c r="W332" s="793">
        <v>0.1051154994194438</v>
      </c>
      <c r="X332" s="708">
        <v>94</v>
      </c>
      <c r="Y332" s="719">
        <v>1692</v>
      </c>
      <c r="Z332" s="719">
        <v>849.23945805984226</v>
      </c>
      <c r="AA332" s="719">
        <v>47.179969892213457</v>
      </c>
      <c r="AB332" s="738">
        <v>5.2759001040578082E-2</v>
      </c>
      <c r="AC332" s="792">
        <v>1</v>
      </c>
      <c r="AD332" s="792">
        <v>1</v>
      </c>
      <c r="AE332" s="717">
        <v>0.54049295774647899</v>
      </c>
      <c r="AF332" s="714">
        <v>4.2407531067898789E-2</v>
      </c>
      <c r="AG332" s="706"/>
      <c r="AH332" s="792">
        <v>0.50191457332141975</v>
      </c>
      <c r="AI332" s="748">
        <v>0.54049295774647899</v>
      </c>
      <c r="AJ332" s="748">
        <v>4.2407531067898789E-2</v>
      </c>
      <c r="AK332" s="748"/>
      <c r="AL332" s="714">
        <v>0.50191457332141975</v>
      </c>
      <c r="AM332" s="706"/>
      <c r="AN332" s="706"/>
      <c r="AO332" s="706"/>
      <c r="AP332" s="706"/>
      <c r="AQ332" s="706"/>
      <c r="AR332" s="706" t="s">
        <v>877</v>
      </c>
      <c r="AS332" s="706"/>
      <c r="AT332" s="706"/>
      <c r="AU332" s="706"/>
      <c r="AV332" s="706">
        <v>5.2759001040578082E-2</v>
      </c>
      <c r="AW332" s="706">
        <v>5.2759001040578082E-2</v>
      </c>
      <c r="AX332" s="706">
        <v>5.2759001040578082E-2</v>
      </c>
      <c r="AY332" s="706">
        <v>5.2759001040578082E-2</v>
      </c>
      <c r="AZ332" s="706">
        <v>5.2759001040578082E-2</v>
      </c>
      <c r="BA332" s="706">
        <v>5.2759001040578082E-2</v>
      </c>
      <c r="BB332" s="706">
        <v>5.2759001040578082E-2</v>
      </c>
      <c r="BC332" s="706">
        <v>5.2759001040578082E-2</v>
      </c>
      <c r="BD332" s="706">
        <v>5.2759001040578082E-2</v>
      </c>
      <c r="BE332" s="706">
        <v>5.2759001040578082E-2</v>
      </c>
      <c r="BF332" s="706">
        <v>5.2759001040578082E-2</v>
      </c>
      <c r="BG332" s="706">
        <v>5.2759001040578082E-2</v>
      </c>
      <c r="BH332" s="706">
        <v>5.2759001040578082E-2</v>
      </c>
      <c r="BI332" s="706">
        <v>5.2759001040578082E-2</v>
      </c>
      <c r="BJ332" s="706">
        <v>5.2759001040578082E-2</v>
      </c>
      <c r="BK332" s="706">
        <v>5.2759001040578082E-2</v>
      </c>
      <c r="BL332" s="706">
        <v>5.2759001040578082E-2</v>
      </c>
      <c r="BM332" s="706">
        <v>5.2759001040578082E-2</v>
      </c>
      <c r="BN332" s="706"/>
      <c r="BO332" s="706"/>
      <c r="BP332" s="706"/>
      <c r="BQ332" s="706"/>
      <c r="BR332" s="706"/>
      <c r="BS332" s="706"/>
      <c r="BT332" s="706"/>
      <c r="BU332" s="706"/>
      <c r="BV332" s="791">
        <v>47.179969892213457</v>
      </c>
      <c r="BW332" s="791">
        <v>47.179969892213457</v>
      </c>
      <c r="BX332" s="791">
        <v>47.179969892213457</v>
      </c>
      <c r="BY332" s="791">
        <v>47.179969892213457</v>
      </c>
      <c r="BZ332" s="791">
        <v>47.179969892213457</v>
      </c>
      <c r="CA332" s="791">
        <v>47.179969892213457</v>
      </c>
      <c r="CB332" s="791">
        <v>47.179969892213457</v>
      </c>
      <c r="CC332" s="791">
        <v>47.179969892213457</v>
      </c>
      <c r="CD332" s="791">
        <v>47.179969892213457</v>
      </c>
      <c r="CE332" s="791">
        <v>47.179969892213457</v>
      </c>
      <c r="CF332" s="791">
        <v>47.179969892213457</v>
      </c>
      <c r="CG332" s="791">
        <v>47.179969892213457</v>
      </c>
      <c r="CH332" s="791">
        <v>47.179969892213457</v>
      </c>
      <c r="CI332" s="791">
        <v>47.179969892213457</v>
      </c>
      <c r="CJ332" s="791">
        <v>47.179969892213457</v>
      </c>
      <c r="CK332" s="791">
        <v>47.179969892213457</v>
      </c>
      <c r="CL332" s="791">
        <v>47.179969892213457</v>
      </c>
      <c r="CM332" s="791">
        <v>47.179969892213457</v>
      </c>
      <c r="CN332" s="791"/>
      <c r="CO332" s="706"/>
      <c r="CP332" s="706"/>
      <c r="CQ332" s="706"/>
      <c r="CR332" s="706"/>
    </row>
    <row r="333" spans="1:96">
      <c r="A333" s="694" t="s">
        <v>3</v>
      </c>
      <c r="B333" s="794">
        <v>41948</v>
      </c>
      <c r="C333" s="743">
        <v>2014</v>
      </c>
      <c r="D333" s="746" t="s">
        <v>15</v>
      </c>
      <c r="E333" s="746" t="s">
        <v>25</v>
      </c>
      <c r="F333" s="746" t="s">
        <v>17</v>
      </c>
      <c r="G333" s="746" t="s">
        <v>58</v>
      </c>
      <c r="H333" s="694" t="s">
        <v>393</v>
      </c>
      <c r="I333" s="746" t="s">
        <v>5</v>
      </c>
      <c r="J333" s="746" t="s">
        <v>376</v>
      </c>
      <c r="K333" s="706">
        <v>1</v>
      </c>
      <c r="L333" s="745" t="s">
        <v>58</v>
      </c>
      <c r="M333" s="706" t="s">
        <v>945</v>
      </c>
      <c r="N333" s="706">
        <v>18</v>
      </c>
      <c r="O333" s="706"/>
      <c r="P333" s="706"/>
      <c r="Q333" s="706"/>
      <c r="R333" s="706"/>
      <c r="S333" s="706"/>
      <c r="T333" s="706"/>
      <c r="U333" s="738">
        <v>0.1051154994194438</v>
      </c>
      <c r="V333" s="738">
        <v>94</v>
      </c>
      <c r="W333" s="793">
        <v>0.1051154994194438</v>
      </c>
      <c r="X333" s="708">
        <v>94</v>
      </c>
      <c r="Y333" s="719">
        <v>1692</v>
      </c>
      <c r="Z333" s="719">
        <v>849.23945805984226</v>
      </c>
      <c r="AA333" s="719">
        <v>47.179969892213457</v>
      </c>
      <c r="AB333" s="738">
        <v>5.2759001040578082E-2</v>
      </c>
      <c r="AC333" s="792">
        <v>1</v>
      </c>
      <c r="AD333" s="792">
        <v>1</v>
      </c>
      <c r="AE333" s="717">
        <v>0.54049295774647899</v>
      </c>
      <c r="AF333" s="714">
        <v>4.2407531067898789E-2</v>
      </c>
      <c r="AG333" s="706"/>
      <c r="AH333" s="792">
        <v>0.50191457332141975</v>
      </c>
      <c r="AI333" s="748">
        <v>0.54049295774647899</v>
      </c>
      <c r="AJ333" s="748">
        <v>4.2407531067898789E-2</v>
      </c>
      <c r="AK333" s="748"/>
      <c r="AL333" s="714">
        <v>0.50191457332141975</v>
      </c>
      <c r="AM333" s="706"/>
      <c r="AN333" s="706"/>
      <c r="AO333" s="706"/>
      <c r="AP333" s="706"/>
      <c r="AQ333" s="706"/>
      <c r="AR333" s="706" t="s">
        <v>877</v>
      </c>
      <c r="AS333" s="706"/>
      <c r="AT333" s="706"/>
      <c r="AU333" s="706"/>
      <c r="AV333" s="706">
        <v>5.2759001040578082E-2</v>
      </c>
      <c r="AW333" s="706">
        <v>5.2759001040578082E-2</v>
      </c>
      <c r="AX333" s="706">
        <v>5.2759001040578082E-2</v>
      </c>
      <c r="AY333" s="706">
        <v>5.2759001040578082E-2</v>
      </c>
      <c r="AZ333" s="706">
        <v>5.2759001040578082E-2</v>
      </c>
      <c r="BA333" s="706">
        <v>5.2759001040578082E-2</v>
      </c>
      <c r="BB333" s="706">
        <v>5.2759001040578082E-2</v>
      </c>
      <c r="BC333" s="706">
        <v>5.2759001040578082E-2</v>
      </c>
      <c r="BD333" s="706">
        <v>5.2759001040578082E-2</v>
      </c>
      <c r="BE333" s="706">
        <v>5.2759001040578082E-2</v>
      </c>
      <c r="BF333" s="706">
        <v>5.2759001040578082E-2</v>
      </c>
      <c r="BG333" s="706">
        <v>5.2759001040578082E-2</v>
      </c>
      <c r="BH333" s="706">
        <v>5.2759001040578082E-2</v>
      </c>
      <c r="BI333" s="706">
        <v>5.2759001040578082E-2</v>
      </c>
      <c r="BJ333" s="706">
        <v>5.2759001040578082E-2</v>
      </c>
      <c r="BK333" s="706">
        <v>5.2759001040578082E-2</v>
      </c>
      <c r="BL333" s="706">
        <v>5.2759001040578082E-2</v>
      </c>
      <c r="BM333" s="706">
        <v>5.2759001040578082E-2</v>
      </c>
      <c r="BN333" s="706"/>
      <c r="BO333" s="706"/>
      <c r="BP333" s="706"/>
      <c r="BQ333" s="706"/>
      <c r="BR333" s="706"/>
      <c r="BS333" s="706"/>
      <c r="BT333" s="706"/>
      <c r="BU333" s="706"/>
      <c r="BV333" s="791">
        <v>47.179969892213457</v>
      </c>
      <c r="BW333" s="791">
        <v>47.179969892213457</v>
      </c>
      <c r="BX333" s="791">
        <v>47.179969892213457</v>
      </c>
      <c r="BY333" s="791">
        <v>47.179969892213457</v>
      </c>
      <c r="BZ333" s="791">
        <v>47.179969892213457</v>
      </c>
      <c r="CA333" s="791">
        <v>47.179969892213457</v>
      </c>
      <c r="CB333" s="791">
        <v>47.179969892213457</v>
      </c>
      <c r="CC333" s="791">
        <v>47.179969892213457</v>
      </c>
      <c r="CD333" s="791">
        <v>47.179969892213457</v>
      </c>
      <c r="CE333" s="791">
        <v>47.179969892213457</v>
      </c>
      <c r="CF333" s="791">
        <v>47.179969892213457</v>
      </c>
      <c r="CG333" s="791">
        <v>47.179969892213457</v>
      </c>
      <c r="CH333" s="791">
        <v>47.179969892213457</v>
      </c>
      <c r="CI333" s="791">
        <v>47.179969892213457</v>
      </c>
      <c r="CJ333" s="791">
        <v>47.179969892213457</v>
      </c>
      <c r="CK333" s="791">
        <v>47.179969892213457</v>
      </c>
      <c r="CL333" s="791">
        <v>47.179969892213457</v>
      </c>
      <c r="CM333" s="791">
        <v>47.179969892213457</v>
      </c>
      <c r="CN333" s="791"/>
      <c r="CO333" s="706"/>
      <c r="CP333" s="706"/>
      <c r="CQ333" s="706"/>
      <c r="CR333" s="706"/>
    </row>
    <row r="334" spans="1:96">
      <c r="A334" s="694" t="s">
        <v>3</v>
      </c>
      <c r="B334" s="794">
        <v>41752</v>
      </c>
      <c r="C334" s="743">
        <v>2014</v>
      </c>
      <c r="D334" s="746" t="s">
        <v>15</v>
      </c>
      <c r="E334" s="746" t="s">
        <v>25</v>
      </c>
      <c r="F334" s="746" t="s">
        <v>17</v>
      </c>
      <c r="G334" s="746" t="s">
        <v>58</v>
      </c>
      <c r="H334" s="694" t="s">
        <v>393</v>
      </c>
      <c r="I334" s="746" t="s">
        <v>5</v>
      </c>
      <c r="J334" s="746" t="s">
        <v>376</v>
      </c>
      <c r="K334" s="706">
        <v>1</v>
      </c>
      <c r="L334" s="745" t="s">
        <v>58</v>
      </c>
      <c r="M334" s="706" t="s">
        <v>944</v>
      </c>
      <c r="N334" s="706">
        <v>18</v>
      </c>
      <c r="O334" s="706"/>
      <c r="P334" s="706"/>
      <c r="Q334" s="706"/>
      <c r="R334" s="706"/>
      <c r="S334" s="706"/>
      <c r="T334" s="706"/>
      <c r="U334" s="738">
        <v>0.1051154994194438</v>
      </c>
      <c r="V334" s="738">
        <v>94</v>
      </c>
      <c r="W334" s="793">
        <v>0.1051154994194438</v>
      </c>
      <c r="X334" s="708">
        <v>94</v>
      </c>
      <c r="Y334" s="719">
        <v>1692</v>
      </c>
      <c r="Z334" s="719">
        <v>849.23945805984226</v>
      </c>
      <c r="AA334" s="719">
        <v>47.179969892213457</v>
      </c>
      <c r="AB334" s="738">
        <v>5.2759001040578082E-2</v>
      </c>
      <c r="AC334" s="792">
        <v>1</v>
      </c>
      <c r="AD334" s="792">
        <v>1</v>
      </c>
      <c r="AE334" s="717">
        <v>0.54049295774647899</v>
      </c>
      <c r="AF334" s="714">
        <v>4.2407531067898789E-2</v>
      </c>
      <c r="AG334" s="706"/>
      <c r="AH334" s="792">
        <v>0.50191457332141975</v>
      </c>
      <c r="AI334" s="748">
        <v>0.54049295774647899</v>
      </c>
      <c r="AJ334" s="748">
        <v>4.2407531067898789E-2</v>
      </c>
      <c r="AK334" s="748"/>
      <c r="AL334" s="714">
        <v>0.50191457332141975</v>
      </c>
      <c r="AM334" s="706"/>
      <c r="AN334" s="706"/>
      <c r="AO334" s="706"/>
      <c r="AP334" s="706"/>
      <c r="AQ334" s="706"/>
      <c r="AR334" s="706" t="s">
        <v>877</v>
      </c>
      <c r="AS334" s="706"/>
      <c r="AT334" s="706"/>
      <c r="AU334" s="706"/>
      <c r="AV334" s="706">
        <v>5.2759001040578082E-2</v>
      </c>
      <c r="AW334" s="706">
        <v>5.2759001040578082E-2</v>
      </c>
      <c r="AX334" s="706">
        <v>5.2759001040578082E-2</v>
      </c>
      <c r="AY334" s="706">
        <v>5.2759001040578082E-2</v>
      </c>
      <c r="AZ334" s="706">
        <v>5.2759001040578082E-2</v>
      </c>
      <c r="BA334" s="706">
        <v>5.2759001040578082E-2</v>
      </c>
      <c r="BB334" s="706">
        <v>5.2759001040578082E-2</v>
      </c>
      <c r="BC334" s="706">
        <v>5.2759001040578082E-2</v>
      </c>
      <c r="BD334" s="706">
        <v>5.2759001040578082E-2</v>
      </c>
      <c r="BE334" s="706">
        <v>5.2759001040578082E-2</v>
      </c>
      <c r="BF334" s="706">
        <v>5.2759001040578082E-2</v>
      </c>
      <c r="BG334" s="706">
        <v>5.2759001040578082E-2</v>
      </c>
      <c r="BH334" s="706">
        <v>5.2759001040578082E-2</v>
      </c>
      <c r="BI334" s="706">
        <v>5.2759001040578082E-2</v>
      </c>
      <c r="BJ334" s="706">
        <v>5.2759001040578082E-2</v>
      </c>
      <c r="BK334" s="706">
        <v>5.2759001040578082E-2</v>
      </c>
      <c r="BL334" s="706">
        <v>5.2759001040578082E-2</v>
      </c>
      <c r="BM334" s="706">
        <v>5.2759001040578082E-2</v>
      </c>
      <c r="BN334" s="706"/>
      <c r="BO334" s="706"/>
      <c r="BP334" s="706"/>
      <c r="BQ334" s="706"/>
      <c r="BR334" s="706"/>
      <c r="BS334" s="706"/>
      <c r="BT334" s="706"/>
      <c r="BU334" s="706"/>
      <c r="BV334" s="791">
        <v>47.179969892213457</v>
      </c>
      <c r="BW334" s="791">
        <v>47.179969892213457</v>
      </c>
      <c r="BX334" s="791">
        <v>47.179969892213457</v>
      </c>
      <c r="BY334" s="791">
        <v>47.179969892213457</v>
      </c>
      <c r="BZ334" s="791">
        <v>47.179969892213457</v>
      </c>
      <c r="CA334" s="791">
        <v>47.179969892213457</v>
      </c>
      <c r="CB334" s="791">
        <v>47.179969892213457</v>
      </c>
      <c r="CC334" s="791">
        <v>47.179969892213457</v>
      </c>
      <c r="CD334" s="791">
        <v>47.179969892213457</v>
      </c>
      <c r="CE334" s="791">
        <v>47.179969892213457</v>
      </c>
      <c r="CF334" s="791">
        <v>47.179969892213457</v>
      </c>
      <c r="CG334" s="791">
        <v>47.179969892213457</v>
      </c>
      <c r="CH334" s="791">
        <v>47.179969892213457</v>
      </c>
      <c r="CI334" s="791">
        <v>47.179969892213457</v>
      </c>
      <c r="CJ334" s="791">
        <v>47.179969892213457</v>
      </c>
      <c r="CK334" s="791">
        <v>47.179969892213457</v>
      </c>
      <c r="CL334" s="791">
        <v>47.179969892213457</v>
      </c>
      <c r="CM334" s="791">
        <v>47.179969892213457</v>
      </c>
      <c r="CN334" s="791"/>
      <c r="CO334" s="706"/>
      <c r="CP334" s="706"/>
      <c r="CQ334" s="706"/>
      <c r="CR334" s="706"/>
    </row>
    <row r="335" spans="1:96">
      <c r="A335" s="694" t="s">
        <v>3</v>
      </c>
      <c r="B335" s="794">
        <v>41799</v>
      </c>
      <c r="C335" s="743">
        <v>2014</v>
      </c>
      <c r="D335" s="746" t="s">
        <v>15</v>
      </c>
      <c r="E335" s="746" t="s">
        <v>25</v>
      </c>
      <c r="F335" s="746" t="s">
        <v>17</v>
      </c>
      <c r="G335" s="746" t="s">
        <v>58</v>
      </c>
      <c r="H335" s="694" t="s">
        <v>393</v>
      </c>
      <c r="I335" s="746" t="s">
        <v>5</v>
      </c>
      <c r="J335" s="746" t="s">
        <v>376</v>
      </c>
      <c r="K335" s="706">
        <v>1</v>
      </c>
      <c r="L335" s="745" t="s">
        <v>58</v>
      </c>
      <c r="M335" s="706" t="s">
        <v>943</v>
      </c>
      <c r="N335" s="706">
        <v>18</v>
      </c>
      <c r="O335" s="706"/>
      <c r="P335" s="706"/>
      <c r="Q335" s="706"/>
      <c r="R335" s="706"/>
      <c r="S335" s="706"/>
      <c r="T335" s="706"/>
      <c r="U335" s="738">
        <v>0.1051154994194438</v>
      </c>
      <c r="V335" s="738">
        <v>94</v>
      </c>
      <c r="W335" s="793">
        <v>0.1051154994194438</v>
      </c>
      <c r="X335" s="708">
        <v>94</v>
      </c>
      <c r="Y335" s="719">
        <v>1692</v>
      </c>
      <c r="Z335" s="719">
        <v>849.23945805984226</v>
      </c>
      <c r="AA335" s="719">
        <v>47.179969892213457</v>
      </c>
      <c r="AB335" s="738">
        <v>5.2759001040578082E-2</v>
      </c>
      <c r="AC335" s="792">
        <v>1</v>
      </c>
      <c r="AD335" s="792">
        <v>1</v>
      </c>
      <c r="AE335" s="717">
        <v>0.54049295774647899</v>
      </c>
      <c r="AF335" s="714">
        <v>4.2407531067898789E-2</v>
      </c>
      <c r="AG335" s="706"/>
      <c r="AH335" s="792">
        <v>0.50191457332141975</v>
      </c>
      <c r="AI335" s="748">
        <v>0.54049295774647899</v>
      </c>
      <c r="AJ335" s="748">
        <v>4.2407531067898789E-2</v>
      </c>
      <c r="AK335" s="748"/>
      <c r="AL335" s="714">
        <v>0.50191457332141975</v>
      </c>
      <c r="AM335" s="706"/>
      <c r="AN335" s="706"/>
      <c r="AO335" s="706"/>
      <c r="AP335" s="706"/>
      <c r="AQ335" s="706"/>
      <c r="AR335" s="706" t="s">
        <v>877</v>
      </c>
      <c r="AS335" s="706"/>
      <c r="AT335" s="706"/>
      <c r="AU335" s="706"/>
      <c r="AV335" s="706">
        <v>5.2759001040578082E-2</v>
      </c>
      <c r="AW335" s="706">
        <v>5.2759001040578082E-2</v>
      </c>
      <c r="AX335" s="706">
        <v>5.2759001040578082E-2</v>
      </c>
      <c r="AY335" s="706">
        <v>5.2759001040578082E-2</v>
      </c>
      <c r="AZ335" s="706">
        <v>5.2759001040578082E-2</v>
      </c>
      <c r="BA335" s="706">
        <v>5.2759001040578082E-2</v>
      </c>
      <c r="BB335" s="706">
        <v>5.2759001040578082E-2</v>
      </c>
      <c r="BC335" s="706">
        <v>5.2759001040578082E-2</v>
      </c>
      <c r="BD335" s="706">
        <v>5.2759001040578082E-2</v>
      </c>
      <c r="BE335" s="706">
        <v>5.2759001040578082E-2</v>
      </c>
      <c r="BF335" s="706">
        <v>5.2759001040578082E-2</v>
      </c>
      <c r="BG335" s="706">
        <v>5.2759001040578082E-2</v>
      </c>
      <c r="BH335" s="706">
        <v>5.2759001040578082E-2</v>
      </c>
      <c r="BI335" s="706">
        <v>5.2759001040578082E-2</v>
      </c>
      <c r="BJ335" s="706">
        <v>5.2759001040578082E-2</v>
      </c>
      <c r="BK335" s="706">
        <v>5.2759001040578082E-2</v>
      </c>
      <c r="BL335" s="706">
        <v>5.2759001040578082E-2</v>
      </c>
      <c r="BM335" s="706">
        <v>5.2759001040578082E-2</v>
      </c>
      <c r="BN335" s="706"/>
      <c r="BO335" s="706"/>
      <c r="BP335" s="706"/>
      <c r="BQ335" s="706"/>
      <c r="BR335" s="706"/>
      <c r="BS335" s="706"/>
      <c r="BT335" s="706"/>
      <c r="BU335" s="706"/>
      <c r="BV335" s="791">
        <v>47.179969892213457</v>
      </c>
      <c r="BW335" s="791">
        <v>47.179969892213457</v>
      </c>
      <c r="BX335" s="791">
        <v>47.179969892213457</v>
      </c>
      <c r="BY335" s="791">
        <v>47.179969892213457</v>
      </c>
      <c r="BZ335" s="791">
        <v>47.179969892213457</v>
      </c>
      <c r="CA335" s="791">
        <v>47.179969892213457</v>
      </c>
      <c r="CB335" s="791">
        <v>47.179969892213457</v>
      </c>
      <c r="CC335" s="791">
        <v>47.179969892213457</v>
      </c>
      <c r="CD335" s="791">
        <v>47.179969892213457</v>
      </c>
      <c r="CE335" s="791">
        <v>47.179969892213457</v>
      </c>
      <c r="CF335" s="791">
        <v>47.179969892213457</v>
      </c>
      <c r="CG335" s="791">
        <v>47.179969892213457</v>
      </c>
      <c r="CH335" s="791">
        <v>47.179969892213457</v>
      </c>
      <c r="CI335" s="791">
        <v>47.179969892213457</v>
      </c>
      <c r="CJ335" s="791">
        <v>47.179969892213457</v>
      </c>
      <c r="CK335" s="791">
        <v>47.179969892213457</v>
      </c>
      <c r="CL335" s="791">
        <v>47.179969892213457</v>
      </c>
      <c r="CM335" s="791">
        <v>47.179969892213457</v>
      </c>
      <c r="CN335" s="791"/>
      <c r="CO335" s="706"/>
      <c r="CP335" s="706"/>
      <c r="CQ335" s="706"/>
      <c r="CR335" s="706"/>
    </row>
    <row r="336" spans="1:96">
      <c r="A336" s="694" t="s">
        <v>3</v>
      </c>
      <c r="B336" s="794">
        <v>41835</v>
      </c>
      <c r="C336" s="743">
        <v>2014</v>
      </c>
      <c r="D336" s="746" t="s">
        <v>15</v>
      </c>
      <c r="E336" s="746" t="s">
        <v>25</v>
      </c>
      <c r="F336" s="746" t="s">
        <v>17</v>
      </c>
      <c r="G336" s="746" t="s">
        <v>58</v>
      </c>
      <c r="H336" s="694" t="s">
        <v>393</v>
      </c>
      <c r="I336" s="746" t="s">
        <v>5</v>
      </c>
      <c r="J336" s="746" t="s">
        <v>376</v>
      </c>
      <c r="K336" s="706">
        <v>1</v>
      </c>
      <c r="L336" s="745" t="s">
        <v>58</v>
      </c>
      <c r="M336" s="706" t="s">
        <v>942</v>
      </c>
      <c r="N336" s="706">
        <v>18</v>
      </c>
      <c r="O336" s="706"/>
      <c r="P336" s="706"/>
      <c r="Q336" s="706"/>
      <c r="R336" s="706"/>
      <c r="S336" s="706"/>
      <c r="T336" s="706"/>
      <c r="U336" s="738">
        <v>0.1051154994194438</v>
      </c>
      <c r="V336" s="738">
        <v>94</v>
      </c>
      <c r="W336" s="793">
        <v>0.1051154994194438</v>
      </c>
      <c r="X336" s="708">
        <v>94</v>
      </c>
      <c r="Y336" s="719">
        <v>1692</v>
      </c>
      <c r="Z336" s="719">
        <v>849.23945805984226</v>
      </c>
      <c r="AA336" s="719">
        <v>47.179969892213457</v>
      </c>
      <c r="AB336" s="738">
        <v>5.2759001040578082E-2</v>
      </c>
      <c r="AC336" s="792">
        <v>1</v>
      </c>
      <c r="AD336" s="792">
        <v>1</v>
      </c>
      <c r="AE336" s="717">
        <v>0.54049295774647899</v>
      </c>
      <c r="AF336" s="714">
        <v>4.2407531067898789E-2</v>
      </c>
      <c r="AG336" s="706"/>
      <c r="AH336" s="792">
        <v>0.50191457332141975</v>
      </c>
      <c r="AI336" s="748">
        <v>0.54049295774647899</v>
      </c>
      <c r="AJ336" s="748">
        <v>4.2407531067898789E-2</v>
      </c>
      <c r="AK336" s="748"/>
      <c r="AL336" s="714">
        <v>0.50191457332141975</v>
      </c>
      <c r="AM336" s="706"/>
      <c r="AN336" s="706"/>
      <c r="AO336" s="706"/>
      <c r="AP336" s="706"/>
      <c r="AQ336" s="706"/>
      <c r="AR336" s="706" t="s">
        <v>877</v>
      </c>
      <c r="AS336" s="706"/>
      <c r="AT336" s="706"/>
      <c r="AU336" s="706"/>
      <c r="AV336" s="706">
        <v>5.2759001040578082E-2</v>
      </c>
      <c r="AW336" s="706">
        <v>5.2759001040578082E-2</v>
      </c>
      <c r="AX336" s="706">
        <v>5.2759001040578082E-2</v>
      </c>
      <c r="AY336" s="706">
        <v>5.2759001040578082E-2</v>
      </c>
      <c r="AZ336" s="706">
        <v>5.2759001040578082E-2</v>
      </c>
      <c r="BA336" s="706">
        <v>5.2759001040578082E-2</v>
      </c>
      <c r="BB336" s="706">
        <v>5.2759001040578082E-2</v>
      </c>
      <c r="BC336" s="706">
        <v>5.2759001040578082E-2</v>
      </c>
      <c r="BD336" s="706">
        <v>5.2759001040578082E-2</v>
      </c>
      <c r="BE336" s="706">
        <v>5.2759001040578082E-2</v>
      </c>
      <c r="BF336" s="706">
        <v>5.2759001040578082E-2</v>
      </c>
      <c r="BG336" s="706">
        <v>5.2759001040578082E-2</v>
      </c>
      <c r="BH336" s="706">
        <v>5.2759001040578082E-2</v>
      </c>
      <c r="BI336" s="706">
        <v>5.2759001040578082E-2</v>
      </c>
      <c r="BJ336" s="706">
        <v>5.2759001040578082E-2</v>
      </c>
      <c r="BK336" s="706">
        <v>5.2759001040578082E-2</v>
      </c>
      <c r="BL336" s="706">
        <v>5.2759001040578082E-2</v>
      </c>
      <c r="BM336" s="706">
        <v>5.2759001040578082E-2</v>
      </c>
      <c r="BN336" s="706"/>
      <c r="BO336" s="706"/>
      <c r="BP336" s="706"/>
      <c r="BQ336" s="706"/>
      <c r="BR336" s="706"/>
      <c r="BS336" s="706"/>
      <c r="BT336" s="706"/>
      <c r="BU336" s="706"/>
      <c r="BV336" s="791">
        <v>47.179969892213457</v>
      </c>
      <c r="BW336" s="791">
        <v>47.179969892213457</v>
      </c>
      <c r="BX336" s="791">
        <v>47.179969892213457</v>
      </c>
      <c r="BY336" s="791">
        <v>47.179969892213457</v>
      </c>
      <c r="BZ336" s="791">
        <v>47.179969892213457</v>
      </c>
      <c r="CA336" s="791">
        <v>47.179969892213457</v>
      </c>
      <c r="CB336" s="791">
        <v>47.179969892213457</v>
      </c>
      <c r="CC336" s="791">
        <v>47.179969892213457</v>
      </c>
      <c r="CD336" s="791">
        <v>47.179969892213457</v>
      </c>
      <c r="CE336" s="791">
        <v>47.179969892213457</v>
      </c>
      <c r="CF336" s="791">
        <v>47.179969892213457</v>
      </c>
      <c r="CG336" s="791">
        <v>47.179969892213457</v>
      </c>
      <c r="CH336" s="791">
        <v>47.179969892213457</v>
      </c>
      <c r="CI336" s="791">
        <v>47.179969892213457</v>
      </c>
      <c r="CJ336" s="791">
        <v>47.179969892213457</v>
      </c>
      <c r="CK336" s="791">
        <v>47.179969892213457</v>
      </c>
      <c r="CL336" s="791">
        <v>47.179969892213457</v>
      </c>
      <c r="CM336" s="791">
        <v>47.179969892213457</v>
      </c>
      <c r="CN336" s="791"/>
      <c r="CO336" s="706"/>
      <c r="CP336" s="706"/>
      <c r="CQ336" s="706"/>
      <c r="CR336" s="706"/>
    </row>
    <row r="337" spans="1:96">
      <c r="A337" s="694" t="s">
        <v>3</v>
      </c>
      <c r="B337" s="794">
        <v>41844</v>
      </c>
      <c r="C337" s="743">
        <v>2014</v>
      </c>
      <c r="D337" s="746" t="s">
        <v>15</v>
      </c>
      <c r="E337" s="746" t="s">
        <v>25</v>
      </c>
      <c r="F337" s="746" t="s">
        <v>17</v>
      </c>
      <c r="G337" s="746" t="s">
        <v>58</v>
      </c>
      <c r="H337" s="694" t="s">
        <v>393</v>
      </c>
      <c r="I337" s="746" t="s">
        <v>5</v>
      </c>
      <c r="J337" s="746" t="s">
        <v>376</v>
      </c>
      <c r="K337" s="706">
        <v>1</v>
      </c>
      <c r="L337" s="745" t="s">
        <v>58</v>
      </c>
      <c r="M337" s="706" t="s">
        <v>941</v>
      </c>
      <c r="N337" s="706">
        <v>18</v>
      </c>
      <c r="O337" s="706"/>
      <c r="P337" s="706"/>
      <c r="Q337" s="706"/>
      <c r="R337" s="706"/>
      <c r="S337" s="706"/>
      <c r="T337" s="706"/>
      <c r="U337" s="738">
        <v>0.1051154994194438</v>
      </c>
      <c r="V337" s="738">
        <v>94</v>
      </c>
      <c r="W337" s="793">
        <v>0.1051154994194438</v>
      </c>
      <c r="X337" s="708">
        <v>94</v>
      </c>
      <c r="Y337" s="719">
        <v>1692</v>
      </c>
      <c r="Z337" s="719">
        <v>849.23945805984226</v>
      </c>
      <c r="AA337" s="719">
        <v>47.179969892213457</v>
      </c>
      <c r="AB337" s="738">
        <v>5.2759001040578082E-2</v>
      </c>
      <c r="AC337" s="792">
        <v>1</v>
      </c>
      <c r="AD337" s="792">
        <v>1</v>
      </c>
      <c r="AE337" s="717">
        <v>0.54049295774647899</v>
      </c>
      <c r="AF337" s="714">
        <v>4.2407531067898789E-2</v>
      </c>
      <c r="AG337" s="706"/>
      <c r="AH337" s="792">
        <v>0.50191457332141975</v>
      </c>
      <c r="AI337" s="748">
        <v>0.54049295774647899</v>
      </c>
      <c r="AJ337" s="748">
        <v>4.2407531067898789E-2</v>
      </c>
      <c r="AK337" s="748"/>
      <c r="AL337" s="714">
        <v>0.50191457332141975</v>
      </c>
      <c r="AM337" s="706"/>
      <c r="AN337" s="706"/>
      <c r="AO337" s="706"/>
      <c r="AP337" s="706"/>
      <c r="AQ337" s="706"/>
      <c r="AR337" s="706" t="s">
        <v>877</v>
      </c>
      <c r="AS337" s="706"/>
      <c r="AT337" s="706"/>
      <c r="AU337" s="706"/>
      <c r="AV337" s="706">
        <v>5.2759001040578082E-2</v>
      </c>
      <c r="AW337" s="706">
        <v>5.2759001040578082E-2</v>
      </c>
      <c r="AX337" s="706">
        <v>5.2759001040578082E-2</v>
      </c>
      <c r="AY337" s="706">
        <v>5.2759001040578082E-2</v>
      </c>
      <c r="AZ337" s="706">
        <v>5.2759001040578082E-2</v>
      </c>
      <c r="BA337" s="706">
        <v>5.2759001040578082E-2</v>
      </c>
      <c r="BB337" s="706">
        <v>5.2759001040578082E-2</v>
      </c>
      <c r="BC337" s="706">
        <v>5.2759001040578082E-2</v>
      </c>
      <c r="BD337" s="706">
        <v>5.2759001040578082E-2</v>
      </c>
      <c r="BE337" s="706">
        <v>5.2759001040578082E-2</v>
      </c>
      <c r="BF337" s="706">
        <v>5.2759001040578082E-2</v>
      </c>
      <c r="BG337" s="706">
        <v>5.2759001040578082E-2</v>
      </c>
      <c r="BH337" s="706">
        <v>5.2759001040578082E-2</v>
      </c>
      <c r="BI337" s="706">
        <v>5.2759001040578082E-2</v>
      </c>
      <c r="BJ337" s="706">
        <v>5.2759001040578082E-2</v>
      </c>
      <c r="BK337" s="706">
        <v>5.2759001040578082E-2</v>
      </c>
      <c r="BL337" s="706">
        <v>5.2759001040578082E-2</v>
      </c>
      <c r="BM337" s="706">
        <v>5.2759001040578082E-2</v>
      </c>
      <c r="BN337" s="706"/>
      <c r="BO337" s="706"/>
      <c r="BP337" s="706"/>
      <c r="BQ337" s="706"/>
      <c r="BR337" s="706"/>
      <c r="BS337" s="706"/>
      <c r="BT337" s="706"/>
      <c r="BU337" s="706"/>
      <c r="BV337" s="791">
        <v>47.179969892213457</v>
      </c>
      <c r="BW337" s="791">
        <v>47.179969892213457</v>
      </c>
      <c r="BX337" s="791">
        <v>47.179969892213457</v>
      </c>
      <c r="BY337" s="791">
        <v>47.179969892213457</v>
      </c>
      <c r="BZ337" s="791">
        <v>47.179969892213457</v>
      </c>
      <c r="CA337" s="791">
        <v>47.179969892213457</v>
      </c>
      <c r="CB337" s="791">
        <v>47.179969892213457</v>
      </c>
      <c r="CC337" s="791">
        <v>47.179969892213457</v>
      </c>
      <c r="CD337" s="791">
        <v>47.179969892213457</v>
      </c>
      <c r="CE337" s="791">
        <v>47.179969892213457</v>
      </c>
      <c r="CF337" s="791">
        <v>47.179969892213457</v>
      </c>
      <c r="CG337" s="791">
        <v>47.179969892213457</v>
      </c>
      <c r="CH337" s="791">
        <v>47.179969892213457</v>
      </c>
      <c r="CI337" s="791">
        <v>47.179969892213457</v>
      </c>
      <c r="CJ337" s="791">
        <v>47.179969892213457</v>
      </c>
      <c r="CK337" s="791">
        <v>47.179969892213457</v>
      </c>
      <c r="CL337" s="791">
        <v>47.179969892213457</v>
      </c>
      <c r="CM337" s="791">
        <v>47.179969892213457</v>
      </c>
      <c r="CN337" s="791"/>
      <c r="CO337" s="706"/>
      <c r="CP337" s="706"/>
      <c r="CQ337" s="706"/>
      <c r="CR337" s="706"/>
    </row>
    <row r="338" spans="1:96">
      <c r="A338" s="694" t="s">
        <v>3</v>
      </c>
      <c r="B338" s="794">
        <v>41911</v>
      </c>
      <c r="C338" s="743">
        <v>2014</v>
      </c>
      <c r="D338" s="746" t="s">
        <v>15</v>
      </c>
      <c r="E338" s="746" t="s">
        <v>25</v>
      </c>
      <c r="F338" s="746" t="s">
        <v>17</v>
      </c>
      <c r="G338" s="746" t="s">
        <v>58</v>
      </c>
      <c r="H338" s="694" t="s">
        <v>393</v>
      </c>
      <c r="I338" s="746" t="s">
        <v>5</v>
      </c>
      <c r="J338" s="746" t="s">
        <v>376</v>
      </c>
      <c r="K338" s="706">
        <v>1</v>
      </c>
      <c r="L338" s="745" t="s">
        <v>58</v>
      </c>
      <c r="M338" s="706" t="s">
        <v>940</v>
      </c>
      <c r="N338" s="706">
        <v>18</v>
      </c>
      <c r="O338" s="706"/>
      <c r="P338" s="706"/>
      <c r="Q338" s="706"/>
      <c r="R338" s="706"/>
      <c r="S338" s="706"/>
      <c r="T338" s="706"/>
      <c r="U338" s="738">
        <v>0.1051154994194438</v>
      </c>
      <c r="V338" s="738">
        <v>94</v>
      </c>
      <c r="W338" s="793">
        <v>0.1051154994194438</v>
      </c>
      <c r="X338" s="708">
        <v>94</v>
      </c>
      <c r="Y338" s="719">
        <v>1692</v>
      </c>
      <c r="Z338" s="719">
        <v>849.23945805984226</v>
      </c>
      <c r="AA338" s="719">
        <v>47.179969892213457</v>
      </c>
      <c r="AB338" s="738">
        <v>5.2759001040578082E-2</v>
      </c>
      <c r="AC338" s="792">
        <v>1</v>
      </c>
      <c r="AD338" s="792">
        <v>1</v>
      </c>
      <c r="AE338" s="717">
        <v>0.54049295774647899</v>
      </c>
      <c r="AF338" s="714">
        <v>4.2407531067898789E-2</v>
      </c>
      <c r="AG338" s="706"/>
      <c r="AH338" s="792">
        <v>0.50191457332141975</v>
      </c>
      <c r="AI338" s="748">
        <v>0.54049295774647899</v>
      </c>
      <c r="AJ338" s="748">
        <v>4.2407531067898789E-2</v>
      </c>
      <c r="AK338" s="748"/>
      <c r="AL338" s="714">
        <v>0.50191457332141975</v>
      </c>
      <c r="AM338" s="706"/>
      <c r="AN338" s="706"/>
      <c r="AO338" s="706"/>
      <c r="AP338" s="706"/>
      <c r="AQ338" s="706"/>
      <c r="AR338" s="706" t="s">
        <v>877</v>
      </c>
      <c r="AS338" s="706"/>
      <c r="AT338" s="706"/>
      <c r="AU338" s="706"/>
      <c r="AV338" s="706">
        <v>5.2759001040578082E-2</v>
      </c>
      <c r="AW338" s="706">
        <v>5.2759001040578082E-2</v>
      </c>
      <c r="AX338" s="706">
        <v>5.2759001040578082E-2</v>
      </c>
      <c r="AY338" s="706">
        <v>5.2759001040578082E-2</v>
      </c>
      <c r="AZ338" s="706">
        <v>5.2759001040578082E-2</v>
      </c>
      <c r="BA338" s="706">
        <v>5.2759001040578082E-2</v>
      </c>
      <c r="BB338" s="706">
        <v>5.2759001040578082E-2</v>
      </c>
      <c r="BC338" s="706">
        <v>5.2759001040578082E-2</v>
      </c>
      <c r="BD338" s="706">
        <v>5.2759001040578082E-2</v>
      </c>
      <c r="BE338" s="706">
        <v>5.2759001040578082E-2</v>
      </c>
      <c r="BF338" s="706">
        <v>5.2759001040578082E-2</v>
      </c>
      <c r="BG338" s="706">
        <v>5.2759001040578082E-2</v>
      </c>
      <c r="BH338" s="706">
        <v>5.2759001040578082E-2</v>
      </c>
      <c r="BI338" s="706">
        <v>5.2759001040578082E-2</v>
      </c>
      <c r="BJ338" s="706">
        <v>5.2759001040578082E-2</v>
      </c>
      <c r="BK338" s="706">
        <v>5.2759001040578082E-2</v>
      </c>
      <c r="BL338" s="706">
        <v>5.2759001040578082E-2</v>
      </c>
      <c r="BM338" s="706">
        <v>5.2759001040578082E-2</v>
      </c>
      <c r="BN338" s="706"/>
      <c r="BO338" s="706"/>
      <c r="BP338" s="706"/>
      <c r="BQ338" s="706"/>
      <c r="BR338" s="706"/>
      <c r="BS338" s="706"/>
      <c r="BT338" s="706"/>
      <c r="BU338" s="706"/>
      <c r="BV338" s="791">
        <v>47.179969892213457</v>
      </c>
      <c r="BW338" s="791">
        <v>47.179969892213457</v>
      </c>
      <c r="BX338" s="791">
        <v>47.179969892213457</v>
      </c>
      <c r="BY338" s="791">
        <v>47.179969892213457</v>
      </c>
      <c r="BZ338" s="791">
        <v>47.179969892213457</v>
      </c>
      <c r="CA338" s="791">
        <v>47.179969892213457</v>
      </c>
      <c r="CB338" s="791">
        <v>47.179969892213457</v>
      </c>
      <c r="CC338" s="791">
        <v>47.179969892213457</v>
      </c>
      <c r="CD338" s="791">
        <v>47.179969892213457</v>
      </c>
      <c r="CE338" s="791">
        <v>47.179969892213457</v>
      </c>
      <c r="CF338" s="791">
        <v>47.179969892213457</v>
      </c>
      <c r="CG338" s="791">
        <v>47.179969892213457</v>
      </c>
      <c r="CH338" s="791">
        <v>47.179969892213457</v>
      </c>
      <c r="CI338" s="791">
        <v>47.179969892213457</v>
      </c>
      <c r="CJ338" s="791">
        <v>47.179969892213457</v>
      </c>
      <c r="CK338" s="791">
        <v>47.179969892213457</v>
      </c>
      <c r="CL338" s="791">
        <v>47.179969892213457</v>
      </c>
      <c r="CM338" s="791">
        <v>47.179969892213457</v>
      </c>
      <c r="CN338" s="791"/>
      <c r="CO338" s="706"/>
      <c r="CP338" s="706"/>
      <c r="CQ338" s="706"/>
      <c r="CR338" s="706"/>
    </row>
    <row r="339" spans="1:96">
      <c r="A339" s="694" t="s">
        <v>3</v>
      </c>
      <c r="B339" s="794">
        <v>41827</v>
      </c>
      <c r="C339" s="743">
        <v>2014</v>
      </c>
      <c r="D339" s="746" t="s">
        <v>15</v>
      </c>
      <c r="E339" s="746" t="s">
        <v>25</v>
      </c>
      <c r="F339" s="746" t="s">
        <v>17</v>
      </c>
      <c r="G339" s="746" t="s">
        <v>58</v>
      </c>
      <c r="H339" s="694" t="s">
        <v>393</v>
      </c>
      <c r="I339" s="746" t="s">
        <v>5</v>
      </c>
      <c r="J339" s="746" t="s">
        <v>376</v>
      </c>
      <c r="K339" s="706">
        <v>1</v>
      </c>
      <c r="L339" s="745" t="s">
        <v>58</v>
      </c>
      <c r="M339" s="706" t="s">
        <v>939</v>
      </c>
      <c r="N339" s="706">
        <v>18</v>
      </c>
      <c r="O339" s="706"/>
      <c r="P339" s="706"/>
      <c r="Q339" s="706"/>
      <c r="R339" s="706"/>
      <c r="S339" s="706"/>
      <c r="T339" s="706"/>
      <c r="U339" s="738">
        <v>0.1051154994194438</v>
      </c>
      <c r="V339" s="738">
        <v>94</v>
      </c>
      <c r="W339" s="793">
        <v>0.1051154994194438</v>
      </c>
      <c r="X339" s="708">
        <v>94</v>
      </c>
      <c r="Y339" s="719">
        <v>1692</v>
      </c>
      <c r="Z339" s="719">
        <v>849.23945805984226</v>
      </c>
      <c r="AA339" s="719">
        <v>47.179969892213457</v>
      </c>
      <c r="AB339" s="738">
        <v>5.2759001040578082E-2</v>
      </c>
      <c r="AC339" s="792">
        <v>1</v>
      </c>
      <c r="AD339" s="792">
        <v>1</v>
      </c>
      <c r="AE339" s="717">
        <v>0.54049295774647899</v>
      </c>
      <c r="AF339" s="714">
        <v>4.2407531067898789E-2</v>
      </c>
      <c r="AG339" s="706"/>
      <c r="AH339" s="792">
        <v>0.50191457332141975</v>
      </c>
      <c r="AI339" s="748">
        <v>0.54049295774647899</v>
      </c>
      <c r="AJ339" s="748">
        <v>4.2407531067898789E-2</v>
      </c>
      <c r="AK339" s="748"/>
      <c r="AL339" s="714">
        <v>0.50191457332141975</v>
      </c>
      <c r="AM339" s="706"/>
      <c r="AN339" s="706"/>
      <c r="AO339" s="706"/>
      <c r="AP339" s="706"/>
      <c r="AQ339" s="706"/>
      <c r="AR339" s="706" t="s">
        <v>877</v>
      </c>
      <c r="AS339" s="706"/>
      <c r="AT339" s="706"/>
      <c r="AU339" s="706"/>
      <c r="AV339" s="706">
        <v>5.2759001040578082E-2</v>
      </c>
      <c r="AW339" s="706">
        <v>5.2759001040578082E-2</v>
      </c>
      <c r="AX339" s="706">
        <v>5.2759001040578082E-2</v>
      </c>
      <c r="AY339" s="706">
        <v>5.2759001040578082E-2</v>
      </c>
      <c r="AZ339" s="706">
        <v>5.2759001040578082E-2</v>
      </c>
      <c r="BA339" s="706">
        <v>5.2759001040578082E-2</v>
      </c>
      <c r="BB339" s="706">
        <v>5.2759001040578082E-2</v>
      </c>
      <c r="BC339" s="706">
        <v>5.2759001040578082E-2</v>
      </c>
      <c r="BD339" s="706">
        <v>5.2759001040578082E-2</v>
      </c>
      <c r="BE339" s="706">
        <v>5.2759001040578082E-2</v>
      </c>
      <c r="BF339" s="706">
        <v>5.2759001040578082E-2</v>
      </c>
      <c r="BG339" s="706">
        <v>5.2759001040578082E-2</v>
      </c>
      <c r="BH339" s="706">
        <v>5.2759001040578082E-2</v>
      </c>
      <c r="BI339" s="706">
        <v>5.2759001040578082E-2</v>
      </c>
      <c r="BJ339" s="706">
        <v>5.2759001040578082E-2</v>
      </c>
      <c r="BK339" s="706">
        <v>5.2759001040578082E-2</v>
      </c>
      <c r="BL339" s="706">
        <v>5.2759001040578082E-2</v>
      </c>
      <c r="BM339" s="706">
        <v>5.2759001040578082E-2</v>
      </c>
      <c r="BN339" s="706"/>
      <c r="BO339" s="706"/>
      <c r="BP339" s="706"/>
      <c r="BQ339" s="706"/>
      <c r="BR339" s="706"/>
      <c r="BS339" s="706"/>
      <c r="BT339" s="706"/>
      <c r="BU339" s="706"/>
      <c r="BV339" s="791">
        <v>47.179969892213457</v>
      </c>
      <c r="BW339" s="791">
        <v>47.179969892213457</v>
      </c>
      <c r="BX339" s="791">
        <v>47.179969892213457</v>
      </c>
      <c r="BY339" s="791">
        <v>47.179969892213457</v>
      </c>
      <c r="BZ339" s="791">
        <v>47.179969892213457</v>
      </c>
      <c r="CA339" s="791">
        <v>47.179969892213457</v>
      </c>
      <c r="CB339" s="791">
        <v>47.179969892213457</v>
      </c>
      <c r="CC339" s="791">
        <v>47.179969892213457</v>
      </c>
      <c r="CD339" s="791">
        <v>47.179969892213457</v>
      </c>
      <c r="CE339" s="791">
        <v>47.179969892213457</v>
      </c>
      <c r="CF339" s="791">
        <v>47.179969892213457</v>
      </c>
      <c r="CG339" s="791">
        <v>47.179969892213457</v>
      </c>
      <c r="CH339" s="791">
        <v>47.179969892213457</v>
      </c>
      <c r="CI339" s="791">
        <v>47.179969892213457</v>
      </c>
      <c r="CJ339" s="791">
        <v>47.179969892213457</v>
      </c>
      <c r="CK339" s="791">
        <v>47.179969892213457</v>
      </c>
      <c r="CL339" s="791">
        <v>47.179969892213457</v>
      </c>
      <c r="CM339" s="791">
        <v>47.179969892213457</v>
      </c>
      <c r="CN339" s="791"/>
      <c r="CO339" s="706"/>
      <c r="CP339" s="706"/>
      <c r="CQ339" s="706"/>
      <c r="CR339" s="706"/>
    </row>
    <row r="340" spans="1:96">
      <c r="A340" s="694" t="s">
        <v>3</v>
      </c>
      <c r="B340" s="794">
        <v>41724</v>
      </c>
      <c r="C340" s="743">
        <v>2014</v>
      </c>
      <c r="D340" s="746" t="s">
        <v>15</v>
      </c>
      <c r="E340" s="746" t="s">
        <v>25</v>
      </c>
      <c r="F340" s="746" t="s">
        <v>17</v>
      </c>
      <c r="G340" s="746" t="s">
        <v>58</v>
      </c>
      <c r="H340" s="694" t="s">
        <v>393</v>
      </c>
      <c r="I340" s="746" t="s">
        <v>5</v>
      </c>
      <c r="J340" s="746" t="s">
        <v>376</v>
      </c>
      <c r="K340" s="706">
        <v>1</v>
      </c>
      <c r="L340" s="745" t="s">
        <v>58</v>
      </c>
      <c r="M340" s="706" t="s">
        <v>938</v>
      </c>
      <c r="N340" s="706">
        <v>18</v>
      </c>
      <c r="O340" s="706"/>
      <c r="P340" s="706"/>
      <c r="Q340" s="706"/>
      <c r="R340" s="706"/>
      <c r="S340" s="706"/>
      <c r="T340" s="706"/>
      <c r="U340" s="738">
        <v>0.1051154994194438</v>
      </c>
      <c r="V340" s="738">
        <v>94</v>
      </c>
      <c r="W340" s="793">
        <v>0.1051154994194438</v>
      </c>
      <c r="X340" s="708">
        <v>94</v>
      </c>
      <c r="Y340" s="719">
        <v>1692</v>
      </c>
      <c r="Z340" s="719">
        <v>849.23945805984226</v>
      </c>
      <c r="AA340" s="719">
        <v>47.179969892213457</v>
      </c>
      <c r="AB340" s="738">
        <v>5.2759001040578082E-2</v>
      </c>
      <c r="AC340" s="792">
        <v>1</v>
      </c>
      <c r="AD340" s="792">
        <v>1</v>
      </c>
      <c r="AE340" s="717">
        <v>0.54049295774647899</v>
      </c>
      <c r="AF340" s="714">
        <v>4.2407531067898789E-2</v>
      </c>
      <c r="AG340" s="706"/>
      <c r="AH340" s="792">
        <v>0.50191457332141975</v>
      </c>
      <c r="AI340" s="748">
        <v>0.54049295774647899</v>
      </c>
      <c r="AJ340" s="748">
        <v>4.2407531067898789E-2</v>
      </c>
      <c r="AK340" s="748"/>
      <c r="AL340" s="714">
        <v>0.50191457332141975</v>
      </c>
      <c r="AM340" s="706"/>
      <c r="AN340" s="706"/>
      <c r="AO340" s="706"/>
      <c r="AP340" s="706"/>
      <c r="AQ340" s="706"/>
      <c r="AR340" s="706" t="s">
        <v>877</v>
      </c>
      <c r="AS340" s="706"/>
      <c r="AT340" s="706"/>
      <c r="AU340" s="706"/>
      <c r="AV340" s="706">
        <v>5.2759001040578082E-2</v>
      </c>
      <c r="AW340" s="706">
        <v>5.2759001040578082E-2</v>
      </c>
      <c r="AX340" s="706">
        <v>5.2759001040578082E-2</v>
      </c>
      <c r="AY340" s="706">
        <v>5.2759001040578082E-2</v>
      </c>
      <c r="AZ340" s="706">
        <v>5.2759001040578082E-2</v>
      </c>
      <c r="BA340" s="706">
        <v>5.2759001040578082E-2</v>
      </c>
      <c r="BB340" s="706">
        <v>5.2759001040578082E-2</v>
      </c>
      <c r="BC340" s="706">
        <v>5.2759001040578082E-2</v>
      </c>
      <c r="BD340" s="706">
        <v>5.2759001040578082E-2</v>
      </c>
      <c r="BE340" s="706">
        <v>5.2759001040578082E-2</v>
      </c>
      <c r="BF340" s="706">
        <v>5.2759001040578082E-2</v>
      </c>
      <c r="BG340" s="706">
        <v>5.2759001040578082E-2</v>
      </c>
      <c r="BH340" s="706">
        <v>5.2759001040578082E-2</v>
      </c>
      <c r="BI340" s="706">
        <v>5.2759001040578082E-2</v>
      </c>
      <c r="BJ340" s="706">
        <v>5.2759001040578082E-2</v>
      </c>
      <c r="BK340" s="706">
        <v>5.2759001040578082E-2</v>
      </c>
      <c r="BL340" s="706">
        <v>5.2759001040578082E-2</v>
      </c>
      <c r="BM340" s="706">
        <v>5.2759001040578082E-2</v>
      </c>
      <c r="BN340" s="706"/>
      <c r="BO340" s="706"/>
      <c r="BP340" s="706"/>
      <c r="BQ340" s="706"/>
      <c r="BR340" s="706"/>
      <c r="BS340" s="706"/>
      <c r="BT340" s="706"/>
      <c r="BU340" s="706"/>
      <c r="BV340" s="791">
        <v>47.179969892213457</v>
      </c>
      <c r="BW340" s="791">
        <v>47.179969892213457</v>
      </c>
      <c r="BX340" s="791">
        <v>47.179969892213457</v>
      </c>
      <c r="BY340" s="791">
        <v>47.179969892213457</v>
      </c>
      <c r="BZ340" s="791">
        <v>47.179969892213457</v>
      </c>
      <c r="CA340" s="791">
        <v>47.179969892213457</v>
      </c>
      <c r="CB340" s="791">
        <v>47.179969892213457</v>
      </c>
      <c r="CC340" s="791">
        <v>47.179969892213457</v>
      </c>
      <c r="CD340" s="791">
        <v>47.179969892213457</v>
      </c>
      <c r="CE340" s="791">
        <v>47.179969892213457</v>
      </c>
      <c r="CF340" s="791">
        <v>47.179969892213457</v>
      </c>
      <c r="CG340" s="791">
        <v>47.179969892213457</v>
      </c>
      <c r="CH340" s="791">
        <v>47.179969892213457</v>
      </c>
      <c r="CI340" s="791">
        <v>47.179969892213457</v>
      </c>
      <c r="CJ340" s="791">
        <v>47.179969892213457</v>
      </c>
      <c r="CK340" s="791">
        <v>47.179969892213457</v>
      </c>
      <c r="CL340" s="791">
        <v>47.179969892213457</v>
      </c>
      <c r="CM340" s="791">
        <v>47.179969892213457</v>
      </c>
      <c r="CN340" s="791"/>
      <c r="CO340" s="706"/>
      <c r="CP340" s="706"/>
      <c r="CQ340" s="706"/>
      <c r="CR340" s="706"/>
    </row>
    <row r="341" spans="1:96">
      <c r="A341" s="694" t="s">
        <v>3</v>
      </c>
      <c r="B341" s="794">
        <v>41787</v>
      </c>
      <c r="C341" s="743">
        <v>2014</v>
      </c>
      <c r="D341" s="746" t="s">
        <v>15</v>
      </c>
      <c r="E341" s="746" t="s">
        <v>25</v>
      </c>
      <c r="F341" s="746" t="s">
        <v>17</v>
      </c>
      <c r="G341" s="746" t="s">
        <v>58</v>
      </c>
      <c r="H341" s="694" t="s">
        <v>393</v>
      </c>
      <c r="I341" s="746" t="s">
        <v>5</v>
      </c>
      <c r="J341" s="746" t="s">
        <v>376</v>
      </c>
      <c r="K341" s="706">
        <v>1</v>
      </c>
      <c r="L341" s="745" t="s">
        <v>58</v>
      </c>
      <c r="M341" s="706" t="s">
        <v>937</v>
      </c>
      <c r="N341" s="706">
        <v>18</v>
      </c>
      <c r="O341" s="706"/>
      <c r="P341" s="706"/>
      <c r="Q341" s="706"/>
      <c r="R341" s="706"/>
      <c r="S341" s="706"/>
      <c r="T341" s="706"/>
      <c r="U341" s="738">
        <v>0.1051154994194438</v>
      </c>
      <c r="V341" s="738">
        <v>94</v>
      </c>
      <c r="W341" s="793">
        <v>0.1051154994194438</v>
      </c>
      <c r="X341" s="708">
        <v>94</v>
      </c>
      <c r="Y341" s="719">
        <v>1692</v>
      </c>
      <c r="Z341" s="719">
        <v>849.23945805984226</v>
      </c>
      <c r="AA341" s="719">
        <v>47.179969892213457</v>
      </c>
      <c r="AB341" s="738">
        <v>5.2759001040578082E-2</v>
      </c>
      <c r="AC341" s="792">
        <v>1</v>
      </c>
      <c r="AD341" s="792">
        <v>1</v>
      </c>
      <c r="AE341" s="717">
        <v>0.54049295774647899</v>
      </c>
      <c r="AF341" s="714">
        <v>4.2407531067898789E-2</v>
      </c>
      <c r="AG341" s="706"/>
      <c r="AH341" s="792">
        <v>0.50191457332141975</v>
      </c>
      <c r="AI341" s="748">
        <v>0.54049295774647899</v>
      </c>
      <c r="AJ341" s="748">
        <v>4.2407531067898789E-2</v>
      </c>
      <c r="AK341" s="748"/>
      <c r="AL341" s="714">
        <v>0.50191457332141975</v>
      </c>
      <c r="AM341" s="706"/>
      <c r="AN341" s="706"/>
      <c r="AO341" s="706"/>
      <c r="AP341" s="706"/>
      <c r="AQ341" s="706"/>
      <c r="AR341" s="706" t="s">
        <v>877</v>
      </c>
      <c r="AS341" s="706"/>
      <c r="AT341" s="706"/>
      <c r="AU341" s="706"/>
      <c r="AV341" s="706">
        <v>5.2759001040578082E-2</v>
      </c>
      <c r="AW341" s="706">
        <v>5.2759001040578082E-2</v>
      </c>
      <c r="AX341" s="706">
        <v>5.2759001040578082E-2</v>
      </c>
      <c r="AY341" s="706">
        <v>5.2759001040578082E-2</v>
      </c>
      <c r="AZ341" s="706">
        <v>5.2759001040578082E-2</v>
      </c>
      <c r="BA341" s="706">
        <v>5.2759001040578082E-2</v>
      </c>
      <c r="BB341" s="706">
        <v>5.2759001040578082E-2</v>
      </c>
      <c r="BC341" s="706">
        <v>5.2759001040578082E-2</v>
      </c>
      <c r="BD341" s="706">
        <v>5.2759001040578082E-2</v>
      </c>
      <c r="BE341" s="706">
        <v>5.2759001040578082E-2</v>
      </c>
      <c r="BF341" s="706">
        <v>5.2759001040578082E-2</v>
      </c>
      <c r="BG341" s="706">
        <v>5.2759001040578082E-2</v>
      </c>
      <c r="BH341" s="706">
        <v>5.2759001040578082E-2</v>
      </c>
      <c r="BI341" s="706">
        <v>5.2759001040578082E-2</v>
      </c>
      <c r="BJ341" s="706">
        <v>5.2759001040578082E-2</v>
      </c>
      <c r="BK341" s="706">
        <v>5.2759001040578082E-2</v>
      </c>
      <c r="BL341" s="706">
        <v>5.2759001040578082E-2</v>
      </c>
      <c r="BM341" s="706">
        <v>5.2759001040578082E-2</v>
      </c>
      <c r="BN341" s="706"/>
      <c r="BO341" s="706"/>
      <c r="BP341" s="706"/>
      <c r="BQ341" s="706"/>
      <c r="BR341" s="706"/>
      <c r="BS341" s="706"/>
      <c r="BT341" s="706"/>
      <c r="BU341" s="706"/>
      <c r="BV341" s="791">
        <v>47.179969892213457</v>
      </c>
      <c r="BW341" s="791">
        <v>47.179969892213457</v>
      </c>
      <c r="BX341" s="791">
        <v>47.179969892213457</v>
      </c>
      <c r="BY341" s="791">
        <v>47.179969892213457</v>
      </c>
      <c r="BZ341" s="791">
        <v>47.179969892213457</v>
      </c>
      <c r="CA341" s="791">
        <v>47.179969892213457</v>
      </c>
      <c r="CB341" s="791">
        <v>47.179969892213457</v>
      </c>
      <c r="CC341" s="791">
        <v>47.179969892213457</v>
      </c>
      <c r="CD341" s="791">
        <v>47.179969892213457</v>
      </c>
      <c r="CE341" s="791">
        <v>47.179969892213457</v>
      </c>
      <c r="CF341" s="791">
        <v>47.179969892213457</v>
      </c>
      <c r="CG341" s="791">
        <v>47.179969892213457</v>
      </c>
      <c r="CH341" s="791">
        <v>47.179969892213457</v>
      </c>
      <c r="CI341" s="791">
        <v>47.179969892213457</v>
      </c>
      <c r="CJ341" s="791">
        <v>47.179969892213457</v>
      </c>
      <c r="CK341" s="791">
        <v>47.179969892213457</v>
      </c>
      <c r="CL341" s="791">
        <v>47.179969892213457</v>
      </c>
      <c r="CM341" s="791">
        <v>47.179969892213457</v>
      </c>
      <c r="CN341" s="791"/>
      <c r="CO341" s="706"/>
      <c r="CP341" s="706"/>
      <c r="CQ341" s="706"/>
      <c r="CR341" s="706"/>
    </row>
    <row r="342" spans="1:96">
      <c r="A342" s="694" t="s">
        <v>3</v>
      </c>
      <c r="B342" s="794">
        <v>41705</v>
      </c>
      <c r="C342" s="743">
        <v>2014</v>
      </c>
      <c r="D342" s="746" t="s">
        <v>15</v>
      </c>
      <c r="E342" s="746" t="s">
        <v>25</v>
      </c>
      <c r="F342" s="746" t="s">
        <v>17</v>
      </c>
      <c r="G342" s="746" t="s">
        <v>58</v>
      </c>
      <c r="H342" s="694" t="s">
        <v>393</v>
      </c>
      <c r="I342" s="746" t="s">
        <v>5</v>
      </c>
      <c r="J342" s="746" t="s">
        <v>376</v>
      </c>
      <c r="K342" s="706">
        <v>1</v>
      </c>
      <c r="L342" s="745" t="s">
        <v>58</v>
      </c>
      <c r="M342" s="706" t="s">
        <v>936</v>
      </c>
      <c r="N342" s="706">
        <v>18</v>
      </c>
      <c r="O342" s="706"/>
      <c r="P342" s="706"/>
      <c r="Q342" s="706"/>
      <c r="R342" s="706"/>
      <c r="S342" s="706"/>
      <c r="T342" s="706"/>
      <c r="U342" s="738">
        <v>0.1051154994194438</v>
      </c>
      <c r="V342" s="738">
        <v>94</v>
      </c>
      <c r="W342" s="793">
        <v>0.1051154994194438</v>
      </c>
      <c r="X342" s="708">
        <v>94</v>
      </c>
      <c r="Y342" s="719">
        <v>1692</v>
      </c>
      <c r="Z342" s="719">
        <v>849.23945805984226</v>
      </c>
      <c r="AA342" s="719">
        <v>47.179969892213457</v>
      </c>
      <c r="AB342" s="738">
        <v>5.2759001040578082E-2</v>
      </c>
      <c r="AC342" s="792">
        <v>1</v>
      </c>
      <c r="AD342" s="792">
        <v>1</v>
      </c>
      <c r="AE342" s="717">
        <v>0.54049295774647899</v>
      </c>
      <c r="AF342" s="714">
        <v>4.2407531067898789E-2</v>
      </c>
      <c r="AG342" s="706"/>
      <c r="AH342" s="792">
        <v>0.50191457332141975</v>
      </c>
      <c r="AI342" s="748">
        <v>0.54049295774647899</v>
      </c>
      <c r="AJ342" s="748">
        <v>4.2407531067898789E-2</v>
      </c>
      <c r="AK342" s="748"/>
      <c r="AL342" s="714">
        <v>0.50191457332141975</v>
      </c>
      <c r="AM342" s="706"/>
      <c r="AN342" s="706"/>
      <c r="AO342" s="706"/>
      <c r="AP342" s="706"/>
      <c r="AQ342" s="706"/>
      <c r="AR342" s="706" t="s">
        <v>877</v>
      </c>
      <c r="AS342" s="706"/>
      <c r="AT342" s="706"/>
      <c r="AU342" s="706"/>
      <c r="AV342" s="706">
        <v>5.2759001040578082E-2</v>
      </c>
      <c r="AW342" s="706">
        <v>5.2759001040578082E-2</v>
      </c>
      <c r="AX342" s="706">
        <v>5.2759001040578082E-2</v>
      </c>
      <c r="AY342" s="706">
        <v>5.2759001040578082E-2</v>
      </c>
      <c r="AZ342" s="706">
        <v>5.2759001040578082E-2</v>
      </c>
      <c r="BA342" s="706">
        <v>5.2759001040578082E-2</v>
      </c>
      <c r="BB342" s="706">
        <v>5.2759001040578082E-2</v>
      </c>
      <c r="BC342" s="706">
        <v>5.2759001040578082E-2</v>
      </c>
      <c r="BD342" s="706">
        <v>5.2759001040578082E-2</v>
      </c>
      <c r="BE342" s="706">
        <v>5.2759001040578082E-2</v>
      </c>
      <c r="BF342" s="706">
        <v>5.2759001040578082E-2</v>
      </c>
      <c r="BG342" s="706">
        <v>5.2759001040578082E-2</v>
      </c>
      <c r="BH342" s="706">
        <v>5.2759001040578082E-2</v>
      </c>
      <c r="BI342" s="706">
        <v>5.2759001040578082E-2</v>
      </c>
      <c r="BJ342" s="706">
        <v>5.2759001040578082E-2</v>
      </c>
      <c r="BK342" s="706">
        <v>5.2759001040578082E-2</v>
      </c>
      <c r="BL342" s="706">
        <v>5.2759001040578082E-2</v>
      </c>
      <c r="BM342" s="706">
        <v>5.2759001040578082E-2</v>
      </c>
      <c r="BN342" s="706"/>
      <c r="BO342" s="706"/>
      <c r="BP342" s="706"/>
      <c r="BQ342" s="706"/>
      <c r="BR342" s="706"/>
      <c r="BS342" s="706"/>
      <c r="BT342" s="706"/>
      <c r="BU342" s="706"/>
      <c r="BV342" s="791">
        <v>47.179969892213457</v>
      </c>
      <c r="BW342" s="791">
        <v>47.179969892213457</v>
      </c>
      <c r="BX342" s="791">
        <v>47.179969892213457</v>
      </c>
      <c r="BY342" s="791">
        <v>47.179969892213457</v>
      </c>
      <c r="BZ342" s="791">
        <v>47.179969892213457</v>
      </c>
      <c r="CA342" s="791">
        <v>47.179969892213457</v>
      </c>
      <c r="CB342" s="791">
        <v>47.179969892213457</v>
      </c>
      <c r="CC342" s="791">
        <v>47.179969892213457</v>
      </c>
      <c r="CD342" s="791">
        <v>47.179969892213457</v>
      </c>
      <c r="CE342" s="791">
        <v>47.179969892213457</v>
      </c>
      <c r="CF342" s="791">
        <v>47.179969892213457</v>
      </c>
      <c r="CG342" s="791">
        <v>47.179969892213457</v>
      </c>
      <c r="CH342" s="791">
        <v>47.179969892213457</v>
      </c>
      <c r="CI342" s="791">
        <v>47.179969892213457</v>
      </c>
      <c r="CJ342" s="791">
        <v>47.179969892213457</v>
      </c>
      <c r="CK342" s="791">
        <v>47.179969892213457</v>
      </c>
      <c r="CL342" s="791">
        <v>47.179969892213457</v>
      </c>
      <c r="CM342" s="791">
        <v>47.179969892213457</v>
      </c>
      <c r="CN342" s="791"/>
      <c r="CO342" s="706"/>
      <c r="CP342" s="706"/>
      <c r="CQ342" s="706"/>
      <c r="CR342" s="706"/>
    </row>
    <row r="343" spans="1:96">
      <c r="A343" s="694" t="s">
        <v>3</v>
      </c>
      <c r="B343" s="794">
        <v>41775</v>
      </c>
      <c r="C343" s="743">
        <v>2014</v>
      </c>
      <c r="D343" s="746" t="s">
        <v>15</v>
      </c>
      <c r="E343" s="746" t="s">
        <v>25</v>
      </c>
      <c r="F343" s="746" t="s">
        <v>17</v>
      </c>
      <c r="G343" s="746" t="s">
        <v>58</v>
      </c>
      <c r="H343" s="694" t="s">
        <v>393</v>
      </c>
      <c r="I343" s="746" t="s">
        <v>5</v>
      </c>
      <c r="J343" s="746" t="s">
        <v>376</v>
      </c>
      <c r="K343" s="706">
        <v>1</v>
      </c>
      <c r="L343" s="745" t="s">
        <v>58</v>
      </c>
      <c r="M343" s="706" t="s">
        <v>935</v>
      </c>
      <c r="N343" s="706">
        <v>18</v>
      </c>
      <c r="O343" s="706"/>
      <c r="P343" s="706"/>
      <c r="Q343" s="706"/>
      <c r="R343" s="706"/>
      <c r="S343" s="706"/>
      <c r="T343" s="706"/>
      <c r="U343" s="738">
        <v>0.1051154994194438</v>
      </c>
      <c r="V343" s="738">
        <v>94</v>
      </c>
      <c r="W343" s="793">
        <v>0.1051154994194438</v>
      </c>
      <c r="X343" s="708">
        <v>94</v>
      </c>
      <c r="Y343" s="719">
        <v>1692</v>
      </c>
      <c r="Z343" s="719">
        <v>849.23945805984226</v>
      </c>
      <c r="AA343" s="719">
        <v>47.179969892213457</v>
      </c>
      <c r="AB343" s="738">
        <v>5.2759001040578082E-2</v>
      </c>
      <c r="AC343" s="792">
        <v>1</v>
      </c>
      <c r="AD343" s="792">
        <v>1</v>
      </c>
      <c r="AE343" s="717">
        <v>0.54049295774647899</v>
      </c>
      <c r="AF343" s="714">
        <v>4.2407531067898789E-2</v>
      </c>
      <c r="AG343" s="706"/>
      <c r="AH343" s="792">
        <v>0.50191457332141975</v>
      </c>
      <c r="AI343" s="748">
        <v>0.54049295774647899</v>
      </c>
      <c r="AJ343" s="748">
        <v>4.2407531067898789E-2</v>
      </c>
      <c r="AK343" s="748"/>
      <c r="AL343" s="714">
        <v>0.50191457332141975</v>
      </c>
      <c r="AM343" s="706"/>
      <c r="AN343" s="706"/>
      <c r="AO343" s="706"/>
      <c r="AP343" s="706"/>
      <c r="AQ343" s="706"/>
      <c r="AR343" s="706" t="s">
        <v>877</v>
      </c>
      <c r="AS343" s="706"/>
      <c r="AT343" s="706"/>
      <c r="AU343" s="706"/>
      <c r="AV343" s="706">
        <v>5.2759001040578082E-2</v>
      </c>
      <c r="AW343" s="706">
        <v>5.2759001040578082E-2</v>
      </c>
      <c r="AX343" s="706">
        <v>5.2759001040578082E-2</v>
      </c>
      <c r="AY343" s="706">
        <v>5.2759001040578082E-2</v>
      </c>
      <c r="AZ343" s="706">
        <v>5.2759001040578082E-2</v>
      </c>
      <c r="BA343" s="706">
        <v>5.2759001040578082E-2</v>
      </c>
      <c r="BB343" s="706">
        <v>5.2759001040578082E-2</v>
      </c>
      <c r="BC343" s="706">
        <v>5.2759001040578082E-2</v>
      </c>
      <c r="BD343" s="706">
        <v>5.2759001040578082E-2</v>
      </c>
      <c r="BE343" s="706">
        <v>5.2759001040578082E-2</v>
      </c>
      <c r="BF343" s="706">
        <v>5.2759001040578082E-2</v>
      </c>
      <c r="BG343" s="706">
        <v>5.2759001040578082E-2</v>
      </c>
      <c r="BH343" s="706">
        <v>5.2759001040578082E-2</v>
      </c>
      <c r="BI343" s="706">
        <v>5.2759001040578082E-2</v>
      </c>
      <c r="BJ343" s="706">
        <v>5.2759001040578082E-2</v>
      </c>
      <c r="BK343" s="706">
        <v>5.2759001040578082E-2</v>
      </c>
      <c r="BL343" s="706">
        <v>5.2759001040578082E-2</v>
      </c>
      <c r="BM343" s="706">
        <v>5.2759001040578082E-2</v>
      </c>
      <c r="BN343" s="706"/>
      <c r="BO343" s="706"/>
      <c r="BP343" s="706"/>
      <c r="BQ343" s="706"/>
      <c r="BR343" s="706"/>
      <c r="BS343" s="706"/>
      <c r="BT343" s="706"/>
      <c r="BU343" s="706"/>
      <c r="BV343" s="791">
        <v>47.179969892213457</v>
      </c>
      <c r="BW343" s="791">
        <v>47.179969892213457</v>
      </c>
      <c r="BX343" s="791">
        <v>47.179969892213457</v>
      </c>
      <c r="BY343" s="791">
        <v>47.179969892213457</v>
      </c>
      <c r="BZ343" s="791">
        <v>47.179969892213457</v>
      </c>
      <c r="CA343" s="791">
        <v>47.179969892213457</v>
      </c>
      <c r="CB343" s="791">
        <v>47.179969892213457</v>
      </c>
      <c r="CC343" s="791">
        <v>47.179969892213457</v>
      </c>
      <c r="CD343" s="791">
        <v>47.179969892213457</v>
      </c>
      <c r="CE343" s="791">
        <v>47.179969892213457</v>
      </c>
      <c r="CF343" s="791">
        <v>47.179969892213457</v>
      </c>
      <c r="CG343" s="791">
        <v>47.179969892213457</v>
      </c>
      <c r="CH343" s="791">
        <v>47.179969892213457</v>
      </c>
      <c r="CI343" s="791">
        <v>47.179969892213457</v>
      </c>
      <c r="CJ343" s="791">
        <v>47.179969892213457</v>
      </c>
      <c r="CK343" s="791">
        <v>47.179969892213457</v>
      </c>
      <c r="CL343" s="791">
        <v>47.179969892213457</v>
      </c>
      <c r="CM343" s="791">
        <v>47.179969892213457</v>
      </c>
      <c r="CN343" s="791"/>
      <c r="CO343" s="706"/>
      <c r="CP343" s="706"/>
      <c r="CQ343" s="706"/>
      <c r="CR343" s="706"/>
    </row>
    <row r="344" spans="1:96">
      <c r="A344" s="694" t="s">
        <v>3</v>
      </c>
      <c r="B344" s="794">
        <v>41782</v>
      </c>
      <c r="C344" s="743">
        <v>2014</v>
      </c>
      <c r="D344" s="746" t="s">
        <v>15</v>
      </c>
      <c r="E344" s="746" t="s">
        <v>25</v>
      </c>
      <c r="F344" s="746" t="s">
        <v>17</v>
      </c>
      <c r="G344" s="746" t="s">
        <v>58</v>
      </c>
      <c r="H344" s="694" t="s">
        <v>393</v>
      </c>
      <c r="I344" s="746" t="s">
        <v>5</v>
      </c>
      <c r="J344" s="746" t="s">
        <v>376</v>
      </c>
      <c r="K344" s="706">
        <v>1</v>
      </c>
      <c r="L344" s="745" t="s">
        <v>58</v>
      </c>
      <c r="M344" s="706" t="s">
        <v>888</v>
      </c>
      <c r="N344" s="706">
        <v>18</v>
      </c>
      <c r="O344" s="706"/>
      <c r="P344" s="706"/>
      <c r="Q344" s="706"/>
      <c r="R344" s="706"/>
      <c r="S344" s="706"/>
      <c r="T344" s="706"/>
      <c r="U344" s="738">
        <v>0.1051154994194438</v>
      </c>
      <c r="V344" s="738">
        <v>94</v>
      </c>
      <c r="W344" s="793">
        <v>0.1051154994194438</v>
      </c>
      <c r="X344" s="708">
        <v>94</v>
      </c>
      <c r="Y344" s="719">
        <v>1692</v>
      </c>
      <c r="Z344" s="719">
        <v>849.23945805984226</v>
      </c>
      <c r="AA344" s="719">
        <v>47.179969892213457</v>
      </c>
      <c r="AB344" s="738">
        <v>5.2759001040578082E-2</v>
      </c>
      <c r="AC344" s="792">
        <v>1</v>
      </c>
      <c r="AD344" s="792">
        <v>1</v>
      </c>
      <c r="AE344" s="717">
        <v>0.54049295774647899</v>
      </c>
      <c r="AF344" s="714">
        <v>4.2407531067898789E-2</v>
      </c>
      <c r="AG344" s="706"/>
      <c r="AH344" s="792">
        <v>0.50191457332141975</v>
      </c>
      <c r="AI344" s="748">
        <v>0.54049295774647899</v>
      </c>
      <c r="AJ344" s="748">
        <v>4.2407531067898789E-2</v>
      </c>
      <c r="AK344" s="748"/>
      <c r="AL344" s="714">
        <v>0.50191457332141975</v>
      </c>
      <c r="AM344" s="706"/>
      <c r="AN344" s="706"/>
      <c r="AO344" s="706"/>
      <c r="AP344" s="706"/>
      <c r="AQ344" s="706"/>
      <c r="AR344" s="706" t="s">
        <v>877</v>
      </c>
      <c r="AS344" s="706"/>
      <c r="AT344" s="706"/>
      <c r="AU344" s="706"/>
      <c r="AV344" s="706">
        <v>5.2759001040578082E-2</v>
      </c>
      <c r="AW344" s="706">
        <v>5.2759001040578082E-2</v>
      </c>
      <c r="AX344" s="706">
        <v>5.2759001040578082E-2</v>
      </c>
      <c r="AY344" s="706">
        <v>5.2759001040578082E-2</v>
      </c>
      <c r="AZ344" s="706">
        <v>5.2759001040578082E-2</v>
      </c>
      <c r="BA344" s="706">
        <v>5.2759001040578082E-2</v>
      </c>
      <c r="BB344" s="706">
        <v>5.2759001040578082E-2</v>
      </c>
      <c r="BC344" s="706">
        <v>5.2759001040578082E-2</v>
      </c>
      <c r="BD344" s="706">
        <v>5.2759001040578082E-2</v>
      </c>
      <c r="BE344" s="706">
        <v>5.2759001040578082E-2</v>
      </c>
      <c r="BF344" s="706">
        <v>5.2759001040578082E-2</v>
      </c>
      <c r="BG344" s="706">
        <v>5.2759001040578082E-2</v>
      </c>
      <c r="BH344" s="706">
        <v>5.2759001040578082E-2</v>
      </c>
      <c r="BI344" s="706">
        <v>5.2759001040578082E-2</v>
      </c>
      <c r="BJ344" s="706">
        <v>5.2759001040578082E-2</v>
      </c>
      <c r="BK344" s="706">
        <v>5.2759001040578082E-2</v>
      </c>
      <c r="BL344" s="706">
        <v>5.2759001040578082E-2</v>
      </c>
      <c r="BM344" s="706">
        <v>5.2759001040578082E-2</v>
      </c>
      <c r="BN344" s="706"/>
      <c r="BO344" s="706"/>
      <c r="BP344" s="706"/>
      <c r="BQ344" s="706"/>
      <c r="BR344" s="706"/>
      <c r="BS344" s="706"/>
      <c r="BT344" s="706"/>
      <c r="BU344" s="706"/>
      <c r="BV344" s="791">
        <v>47.179969892213457</v>
      </c>
      <c r="BW344" s="791">
        <v>47.179969892213457</v>
      </c>
      <c r="BX344" s="791">
        <v>47.179969892213457</v>
      </c>
      <c r="BY344" s="791">
        <v>47.179969892213457</v>
      </c>
      <c r="BZ344" s="791">
        <v>47.179969892213457</v>
      </c>
      <c r="CA344" s="791">
        <v>47.179969892213457</v>
      </c>
      <c r="CB344" s="791">
        <v>47.179969892213457</v>
      </c>
      <c r="CC344" s="791">
        <v>47.179969892213457</v>
      </c>
      <c r="CD344" s="791">
        <v>47.179969892213457</v>
      </c>
      <c r="CE344" s="791">
        <v>47.179969892213457</v>
      </c>
      <c r="CF344" s="791">
        <v>47.179969892213457</v>
      </c>
      <c r="CG344" s="791">
        <v>47.179969892213457</v>
      </c>
      <c r="CH344" s="791">
        <v>47.179969892213457</v>
      </c>
      <c r="CI344" s="791">
        <v>47.179969892213457</v>
      </c>
      <c r="CJ344" s="791">
        <v>47.179969892213457</v>
      </c>
      <c r="CK344" s="791">
        <v>47.179969892213457</v>
      </c>
      <c r="CL344" s="791">
        <v>47.179969892213457</v>
      </c>
      <c r="CM344" s="791">
        <v>47.179969892213457</v>
      </c>
      <c r="CN344" s="791"/>
      <c r="CO344" s="706"/>
      <c r="CP344" s="706"/>
      <c r="CQ344" s="706"/>
      <c r="CR344" s="706"/>
    </row>
    <row r="345" spans="1:96">
      <c r="A345" s="694" t="s">
        <v>3</v>
      </c>
      <c r="B345" s="794">
        <v>41723</v>
      </c>
      <c r="C345" s="743">
        <v>2014</v>
      </c>
      <c r="D345" s="746" t="s">
        <v>15</v>
      </c>
      <c r="E345" s="746" t="s">
        <v>25</v>
      </c>
      <c r="F345" s="746" t="s">
        <v>17</v>
      </c>
      <c r="G345" s="746" t="s">
        <v>58</v>
      </c>
      <c r="H345" s="694" t="s">
        <v>393</v>
      </c>
      <c r="I345" s="746" t="s">
        <v>5</v>
      </c>
      <c r="J345" s="746" t="s">
        <v>376</v>
      </c>
      <c r="K345" s="706">
        <v>1</v>
      </c>
      <c r="L345" s="745" t="s">
        <v>58</v>
      </c>
      <c r="M345" s="706" t="s">
        <v>934</v>
      </c>
      <c r="N345" s="706">
        <v>18</v>
      </c>
      <c r="O345" s="706"/>
      <c r="P345" s="706"/>
      <c r="Q345" s="706"/>
      <c r="R345" s="706"/>
      <c r="S345" s="706"/>
      <c r="T345" s="706"/>
      <c r="U345" s="738">
        <v>0.1051154994194438</v>
      </c>
      <c r="V345" s="738">
        <v>94</v>
      </c>
      <c r="W345" s="793">
        <v>0.1051154994194438</v>
      </c>
      <c r="X345" s="708">
        <v>94</v>
      </c>
      <c r="Y345" s="719">
        <v>1692</v>
      </c>
      <c r="Z345" s="719">
        <v>849.23945805984226</v>
      </c>
      <c r="AA345" s="719">
        <v>47.179969892213457</v>
      </c>
      <c r="AB345" s="738">
        <v>5.2759001040578082E-2</v>
      </c>
      <c r="AC345" s="792">
        <v>1</v>
      </c>
      <c r="AD345" s="792">
        <v>1</v>
      </c>
      <c r="AE345" s="717">
        <v>0.54049295774647899</v>
      </c>
      <c r="AF345" s="714">
        <v>4.2407531067898789E-2</v>
      </c>
      <c r="AG345" s="706"/>
      <c r="AH345" s="792">
        <v>0.50191457332141975</v>
      </c>
      <c r="AI345" s="748">
        <v>0.54049295774647899</v>
      </c>
      <c r="AJ345" s="748">
        <v>4.2407531067898789E-2</v>
      </c>
      <c r="AK345" s="748"/>
      <c r="AL345" s="714">
        <v>0.50191457332141975</v>
      </c>
      <c r="AM345" s="706"/>
      <c r="AN345" s="706"/>
      <c r="AO345" s="706"/>
      <c r="AP345" s="706"/>
      <c r="AQ345" s="706"/>
      <c r="AR345" s="706" t="s">
        <v>877</v>
      </c>
      <c r="AS345" s="706"/>
      <c r="AT345" s="706"/>
      <c r="AU345" s="706"/>
      <c r="AV345" s="706">
        <v>5.2759001040578082E-2</v>
      </c>
      <c r="AW345" s="706">
        <v>5.2759001040578082E-2</v>
      </c>
      <c r="AX345" s="706">
        <v>5.2759001040578082E-2</v>
      </c>
      <c r="AY345" s="706">
        <v>5.2759001040578082E-2</v>
      </c>
      <c r="AZ345" s="706">
        <v>5.2759001040578082E-2</v>
      </c>
      <c r="BA345" s="706">
        <v>5.2759001040578082E-2</v>
      </c>
      <c r="BB345" s="706">
        <v>5.2759001040578082E-2</v>
      </c>
      <c r="BC345" s="706">
        <v>5.2759001040578082E-2</v>
      </c>
      <c r="BD345" s="706">
        <v>5.2759001040578082E-2</v>
      </c>
      <c r="BE345" s="706">
        <v>5.2759001040578082E-2</v>
      </c>
      <c r="BF345" s="706">
        <v>5.2759001040578082E-2</v>
      </c>
      <c r="BG345" s="706">
        <v>5.2759001040578082E-2</v>
      </c>
      <c r="BH345" s="706">
        <v>5.2759001040578082E-2</v>
      </c>
      <c r="BI345" s="706">
        <v>5.2759001040578082E-2</v>
      </c>
      <c r="BJ345" s="706">
        <v>5.2759001040578082E-2</v>
      </c>
      <c r="BK345" s="706">
        <v>5.2759001040578082E-2</v>
      </c>
      <c r="BL345" s="706">
        <v>5.2759001040578082E-2</v>
      </c>
      <c r="BM345" s="706">
        <v>5.2759001040578082E-2</v>
      </c>
      <c r="BN345" s="706"/>
      <c r="BO345" s="706"/>
      <c r="BP345" s="706"/>
      <c r="BQ345" s="706"/>
      <c r="BR345" s="706"/>
      <c r="BS345" s="706"/>
      <c r="BT345" s="706"/>
      <c r="BU345" s="706"/>
      <c r="BV345" s="791">
        <v>47.179969892213457</v>
      </c>
      <c r="BW345" s="791">
        <v>47.179969892213457</v>
      </c>
      <c r="BX345" s="791">
        <v>47.179969892213457</v>
      </c>
      <c r="BY345" s="791">
        <v>47.179969892213457</v>
      </c>
      <c r="BZ345" s="791">
        <v>47.179969892213457</v>
      </c>
      <c r="CA345" s="791">
        <v>47.179969892213457</v>
      </c>
      <c r="CB345" s="791">
        <v>47.179969892213457</v>
      </c>
      <c r="CC345" s="791">
        <v>47.179969892213457</v>
      </c>
      <c r="CD345" s="791">
        <v>47.179969892213457</v>
      </c>
      <c r="CE345" s="791">
        <v>47.179969892213457</v>
      </c>
      <c r="CF345" s="791">
        <v>47.179969892213457</v>
      </c>
      <c r="CG345" s="791">
        <v>47.179969892213457</v>
      </c>
      <c r="CH345" s="791">
        <v>47.179969892213457</v>
      </c>
      <c r="CI345" s="791">
        <v>47.179969892213457</v>
      </c>
      <c r="CJ345" s="791">
        <v>47.179969892213457</v>
      </c>
      <c r="CK345" s="791">
        <v>47.179969892213457</v>
      </c>
      <c r="CL345" s="791">
        <v>47.179969892213457</v>
      </c>
      <c r="CM345" s="791">
        <v>47.179969892213457</v>
      </c>
      <c r="CN345" s="791"/>
      <c r="CO345" s="706"/>
      <c r="CP345" s="706"/>
      <c r="CQ345" s="706"/>
      <c r="CR345" s="706"/>
    </row>
    <row r="346" spans="1:96">
      <c r="A346" s="694" t="s">
        <v>3</v>
      </c>
      <c r="B346" s="794">
        <v>41842</v>
      </c>
      <c r="C346" s="743">
        <v>2014</v>
      </c>
      <c r="D346" s="746" t="s">
        <v>15</v>
      </c>
      <c r="E346" s="746" t="s">
        <v>25</v>
      </c>
      <c r="F346" s="746" t="s">
        <v>17</v>
      </c>
      <c r="G346" s="746" t="s">
        <v>58</v>
      </c>
      <c r="H346" s="694" t="s">
        <v>393</v>
      </c>
      <c r="I346" s="746" t="s">
        <v>5</v>
      </c>
      <c r="J346" s="746" t="s">
        <v>376</v>
      </c>
      <c r="K346" s="706">
        <v>1</v>
      </c>
      <c r="L346" s="745" t="s">
        <v>58</v>
      </c>
      <c r="M346" s="706" t="s">
        <v>933</v>
      </c>
      <c r="N346" s="706">
        <v>18</v>
      </c>
      <c r="O346" s="706"/>
      <c r="P346" s="706"/>
      <c r="Q346" s="706"/>
      <c r="R346" s="706"/>
      <c r="S346" s="706"/>
      <c r="T346" s="706"/>
      <c r="U346" s="738">
        <v>0.1051154994194438</v>
      </c>
      <c r="V346" s="738">
        <v>94</v>
      </c>
      <c r="W346" s="793">
        <v>0.1051154994194438</v>
      </c>
      <c r="X346" s="708">
        <v>94</v>
      </c>
      <c r="Y346" s="719">
        <v>1692</v>
      </c>
      <c r="Z346" s="719">
        <v>849.23945805984226</v>
      </c>
      <c r="AA346" s="719">
        <v>47.179969892213457</v>
      </c>
      <c r="AB346" s="738">
        <v>5.2759001040578082E-2</v>
      </c>
      <c r="AC346" s="792">
        <v>1</v>
      </c>
      <c r="AD346" s="792">
        <v>1</v>
      </c>
      <c r="AE346" s="717">
        <v>0.54049295774647899</v>
      </c>
      <c r="AF346" s="714">
        <v>4.2407531067898789E-2</v>
      </c>
      <c r="AG346" s="706"/>
      <c r="AH346" s="792">
        <v>0.50191457332141975</v>
      </c>
      <c r="AI346" s="748">
        <v>0.54049295774647899</v>
      </c>
      <c r="AJ346" s="748">
        <v>4.2407531067898789E-2</v>
      </c>
      <c r="AK346" s="748"/>
      <c r="AL346" s="714">
        <v>0.50191457332141975</v>
      </c>
      <c r="AM346" s="706"/>
      <c r="AN346" s="706"/>
      <c r="AO346" s="706"/>
      <c r="AP346" s="706"/>
      <c r="AQ346" s="706"/>
      <c r="AR346" s="706" t="s">
        <v>877</v>
      </c>
      <c r="AS346" s="706"/>
      <c r="AT346" s="706"/>
      <c r="AU346" s="706"/>
      <c r="AV346" s="706">
        <v>5.2759001040578082E-2</v>
      </c>
      <c r="AW346" s="706">
        <v>5.2759001040578082E-2</v>
      </c>
      <c r="AX346" s="706">
        <v>5.2759001040578082E-2</v>
      </c>
      <c r="AY346" s="706">
        <v>5.2759001040578082E-2</v>
      </c>
      <c r="AZ346" s="706">
        <v>5.2759001040578082E-2</v>
      </c>
      <c r="BA346" s="706">
        <v>5.2759001040578082E-2</v>
      </c>
      <c r="BB346" s="706">
        <v>5.2759001040578082E-2</v>
      </c>
      <c r="BC346" s="706">
        <v>5.2759001040578082E-2</v>
      </c>
      <c r="BD346" s="706">
        <v>5.2759001040578082E-2</v>
      </c>
      <c r="BE346" s="706">
        <v>5.2759001040578082E-2</v>
      </c>
      <c r="BF346" s="706">
        <v>5.2759001040578082E-2</v>
      </c>
      <c r="BG346" s="706">
        <v>5.2759001040578082E-2</v>
      </c>
      <c r="BH346" s="706">
        <v>5.2759001040578082E-2</v>
      </c>
      <c r="BI346" s="706">
        <v>5.2759001040578082E-2</v>
      </c>
      <c r="BJ346" s="706">
        <v>5.2759001040578082E-2</v>
      </c>
      <c r="BK346" s="706">
        <v>5.2759001040578082E-2</v>
      </c>
      <c r="BL346" s="706">
        <v>5.2759001040578082E-2</v>
      </c>
      <c r="BM346" s="706">
        <v>5.2759001040578082E-2</v>
      </c>
      <c r="BN346" s="706"/>
      <c r="BO346" s="706"/>
      <c r="BP346" s="706"/>
      <c r="BQ346" s="706"/>
      <c r="BR346" s="706"/>
      <c r="BS346" s="706"/>
      <c r="BT346" s="706"/>
      <c r="BU346" s="706"/>
      <c r="BV346" s="791">
        <v>47.179969892213457</v>
      </c>
      <c r="BW346" s="791">
        <v>47.179969892213457</v>
      </c>
      <c r="BX346" s="791">
        <v>47.179969892213457</v>
      </c>
      <c r="BY346" s="791">
        <v>47.179969892213457</v>
      </c>
      <c r="BZ346" s="791">
        <v>47.179969892213457</v>
      </c>
      <c r="CA346" s="791">
        <v>47.179969892213457</v>
      </c>
      <c r="CB346" s="791">
        <v>47.179969892213457</v>
      </c>
      <c r="CC346" s="791">
        <v>47.179969892213457</v>
      </c>
      <c r="CD346" s="791">
        <v>47.179969892213457</v>
      </c>
      <c r="CE346" s="791">
        <v>47.179969892213457</v>
      </c>
      <c r="CF346" s="791">
        <v>47.179969892213457</v>
      </c>
      <c r="CG346" s="791">
        <v>47.179969892213457</v>
      </c>
      <c r="CH346" s="791">
        <v>47.179969892213457</v>
      </c>
      <c r="CI346" s="791">
        <v>47.179969892213457</v>
      </c>
      <c r="CJ346" s="791">
        <v>47.179969892213457</v>
      </c>
      <c r="CK346" s="791">
        <v>47.179969892213457</v>
      </c>
      <c r="CL346" s="791">
        <v>47.179969892213457</v>
      </c>
      <c r="CM346" s="791">
        <v>47.179969892213457</v>
      </c>
      <c r="CN346" s="791"/>
      <c r="CO346" s="706"/>
      <c r="CP346" s="706"/>
      <c r="CQ346" s="706"/>
      <c r="CR346" s="706"/>
    </row>
    <row r="347" spans="1:96">
      <c r="A347" s="694" t="s">
        <v>3</v>
      </c>
      <c r="B347" s="794">
        <v>41835</v>
      </c>
      <c r="C347" s="743">
        <v>2014</v>
      </c>
      <c r="D347" s="746" t="s">
        <v>15</v>
      </c>
      <c r="E347" s="746" t="s">
        <v>25</v>
      </c>
      <c r="F347" s="746" t="s">
        <v>17</v>
      </c>
      <c r="G347" s="746" t="s">
        <v>58</v>
      </c>
      <c r="H347" s="694" t="s">
        <v>393</v>
      </c>
      <c r="I347" s="746" t="s">
        <v>5</v>
      </c>
      <c r="J347" s="746" t="s">
        <v>376</v>
      </c>
      <c r="K347" s="706">
        <v>1</v>
      </c>
      <c r="L347" s="745" t="s">
        <v>58</v>
      </c>
      <c r="M347" s="706" t="s">
        <v>932</v>
      </c>
      <c r="N347" s="706">
        <v>18</v>
      </c>
      <c r="O347" s="706"/>
      <c r="P347" s="706"/>
      <c r="Q347" s="706"/>
      <c r="R347" s="706"/>
      <c r="S347" s="706"/>
      <c r="T347" s="706"/>
      <c r="U347" s="738">
        <v>0.1051154994194438</v>
      </c>
      <c r="V347" s="738">
        <v>94</v>
      </c>
      <c r="W347" s="793">
        <v>0.1051154994194438</v>
      </c>
      <c r="X347" s="708">
        <v>94</v>
      </c>
      <c r="Y347" s="719">
        <v>1692</v>
      </c>
      <c r="Z347" s="719">
        <v>849.23945805984226</v>
      </c>
      <c r="AA347" s="719">
        <v>47.179969892213457</v>
      </c>
      <c r="AB347" s="738">
        <v>5.2759001040578082E-2</v>
      </c>
      <c r="AC347" s="792">
        <v>1</v>
      </c>
      <c r="AD347" s="792">
        <v>1</v>
      </c>
      <c r="AE347" s="717">
        <v>0.54049295774647899</v>
      </c>
      <c r="AF347" s="714">
        <v>4.2407531067898789E-2</v>
      </c>
      <c r="AG347" s="706"/>
      <c r="AH347" s="792">
        <v>0.50191457332141975</v>
      </c>
      <c r="AI347" s="748">
        <v>0.54049295774647899</v>
      </c>
      <c r="AJ347" s="748">
        <v>4.2407531067898789E-2</v>
      </c>
      <c r="AK347" s="748"/>
      <c r="AL347" s="714">
        <v>0.50191457332141975</v>
      </c>
      <c r="AM347" s="706"/>
      <c r="AN347" s="706"/>
      <c r="AO347" s="706"/>
      <c r="AP347" s="706"/>
      <c r="AQ347" s="706"/>
      <c r="AR347" s="706" t="s">
        <v>877</v>
      </c>
      <c r="AS347" s="706"/>
      <c r="AT347" s="706"/>
      <c r="AU347" s="706"/>
      <c r="AV347" s="706">
        <v>5.2759001040578082E-2</v>
      </c>
      <c r="AW347" s="706">
        <v>5.2759001040578082E-2</v>
      </c>
      <c r="AX347" s="706">
        <v>5.2759001040578082E-2</v>
      </c>
      <c r="AY347" s="706">
        <v>5.2759001040578082E-2</v>
      </c>
      <c r="AZ347" s="706">
        <v>5.2759001040578082E-2</v>
      </c>
      <c r="BA347" s="706">
        <v>5.2759001040578082E-2</v>
      </c>
      <c r="BB347" s="706">
        <v>5.2759001040578082E-2</v>
      </c>
      <c r="BC347" s="706">
        <v>5.2759001040578082E-2</v>
      </c>
      <c r="BD347" s="706">
        <v>5.2759001040578082E-2</v>
      </c>
      <c r="BE347" s="706">
        <v>5.2759001040578082E-2</v>
      </c>
      <c r="BF347" s="706">
        <v>5.2759001040578082E-2</v>
      </c>
      <c r="BG347" s="706">
        <v>5.2759001040578082E-2</v>
      </c>
      <c r="BH347" s="706">
        <v>5.2759001040578082E-2</v>
      </c>
      <c r="BI347" s="706">
        <v>5.2759001040578082E-2</v>
      </c>
      <c r="BJ347" s="706">
        <v>5.2759001040578082E-2</v>
      </c>
      <c r="BK347" s="706">
        <v>5.2759001040578082E-2</v>
      </c>
      <c r="BL347" s="706">
        <v>5.2759001040578082E-2</v>
      </c>
      <c r="BM347" s="706">
        <v>5.2759001040578082E-2</v>
      </c>
      <c r="BN347" s="706"/>
      <c r="BO347" s="706"/>
      <c r="BP347" s="706"/>
      <c r="BQ347" s="706"/>
      <c r="BR347" s="706"/>
      <c r="BS347" s="706"/>
      <c r="BT347" s="706"/>
      <c r="BU347" s="706"/>
      <c r="BV347" s="791">
        <v>47.179969892213457</v>
      </c>
      <c r="BW347" s="791">
        <v>47.179969892213457</v>
      </c>
      <c r="BX347" s="791">
        <v>47.179969892213457</v>
      </c>
      <c r="BY347" s="791">
        <v>47.179969892213457</v>
      </c>
      <c r="BZ347" s="791">
        <v>47.179969892213457</v>
      </c>
      <c r="CA347" s="791">
        <v>47.179969892213457</v>
      </c>
      <c r="CB347" s="791">
        <v>47.179969892213457</v>
      </c>
      <c r="CC347" s="791">
        <v>47.179969892213457</v>
      </c>
      <c r="CD347" s="791">
        <v>47.179969892213457</v>
      </c>
      <c r="CE347" s="791">
        <v>47.179969892213457</v>
      </c>
      <c r="CF347" s="791">
        <v>47.179969892213457</v>
      </c>
      <c r="CG347" s="791">
        <v>47.179969892213457</v>
      </c>
      <c r="CH347" s="791">
        <v>47.179969892213457</v>
      </c>
      <c r="CI347" s="791">
        <v>47.179969892213457</v>
      </c>
      <c r="CJ347" s="791">
        <v>47.179969892213457</v>
      </c>
      <c r="CK347" s="791">
        <v>47.179969892213457</v>
      </c>
      <c r="CL347" s="791">
        <v>47.179969892213457</v>
      </c>
      <c r="CM347" s="791">
        <v>47.179969892213457</v>
      </c>
      <c r="CN347" s="791"/>
      <c r="CO347" s="706"/>
      <c r="CP347" s="706"/>
      <c r="CQ347" s="706"/>
      <c r="CR347" s="706"/>
    </row>
    <row r="348" spans="1:96">
      <c r="A348" s="694" t="s">
        <v>3</v>
      </c>
      <c r="B348" s="794">
        <v>41893</v>
      </c>
      <c r="C348" s="743">
        <v>2014</v>
      </c>
      <c r="D348" s="746" t="s">
        <v>15</v>
      </c>
      <c r="E348" s="746" t="s">
        <v>25</v>
      </c>
      <c r="F348" s="746" t="s">
        <v>17</v>
      </c>
      <c r="G348" s="746" t="s">
        <v>58</v>
      </c>
      <c r="H348" s="694" t="s">
        <v>393</v>
      </c>
      <c r="I348" s="746" t="s">
        <v>5</v>
      </c>
      <c r="J348" s="746" t="s">
        <v>376</v>
      </c>
      <c r="K348" s="706">
        <v>1</v>
      </c>
      <c r="L348" s="745" t="s">
        <v>58</v>
      </c>
      <c r="M348" s="706" t="s">
        <v>904</v>
      </c>
      <c r="N348" s="706">
        <v>18</v>
      </c>
      <c r="O348" s="706"/>
      <c r="P348" s="706"/>
      <c r="Q348" s="706"/>
      <c r="R348" s="706"/>
      <c r="S348" s="706"/>
      <c r="T348" s="706"/>
      <c r="U348" s="738">
        <v>0.1051154994194438</v>
      </c>
      <c r="V348" s="738">
        <v>94</v>
      </c>
      <c r="W348" s="793">
        <v>0.1051154994194438</v>
      </c>
      <c r="X348" s="708">
        <v>94</v>
      </c>
      <c r="Y348" s="719">
        <v>1692</v>
      </c>
      <c r="Z348" s="719">
        <v>849.23945805984226</v>
      </c>
      <c r="AA348" s="719">
        <v>47.179969892213457</v>
      </c>
      <c r="AB348" s="738">
        <v>5.2759001040578082E-2</v>
      </c>
      <c r="AC348" s="792">
        <v>1</v>
      </c>
      <c r="AD348" s="792">
        <v>1</v>
      </c>
      <c r="AE348" s="717">
        <v>0.54049295774647899</v>
      </c>
      <c r="AF348" s="714">
        <v>4.2407531067898789E-2</v>
      </c>
      <c r="AG348" s="706"/>
      <c r="AH348" s="792">
        <v>0.50191457332141975</v>
      </c>
      <c r="AI348" s="748">
        <v>0.54049295774647899</v>
      </c>
      <c r="AJ348" s="748">
        <v>4.2407531067898789E-2</v>
      </c>
      <c r="AK348" s="748"/>
      <c r="AL348" s="714">
        <v>0.50191457332141975</v>
      </c>
      <c r="AM348" s="706"/>
      <c r="AN348" s="706"/>
      <c r="AO348" s="706"/>
      <c r="AP348" s="706"/>
      <c r="AQ348" s="706"/>
      <c r="AR348" s="706" t="s">
        <v>877</v>
      </c>
      <c r="AS348" s="706"/>
      <c r="AT348" s="706"/>
      <c r="AU348" s="706"/>
      <c r="AV348" s="706">
        <v>5.2759001040578082E-2</v>
      </c>
      <c r="AW348" s="706">
        <v>5.2759001040578082E-2</v>
      </c>
      <c r="AX348" s="706">
        <v>5.2759001040578082E-2</v>
      </c>
      <c r="AY348" s="706">
        <v>5.2759001040578082E-2</v>
      </c>
      <c r="AZ348" s="706">
        <v>5.2759001040578082E-2</v>
      </c>
      <c r="BA348" s="706">
        <v>5.2759001040578082E-2</v>
      </c>
      <c r="BB348" s="706">
        <v>5.2759001040578082E-2</v>
      </c>
      <c r="BC348" s="706">
        <v>5.2759001040578082E-2</v>
      </c>
      <c r="BD348" s="706">
        <v>5.2759001040578082E-2</v>
      </c>
      <c r="BE348" s="706">
        <v>5.2759001040578082E-2</v>
      </c>
      <c r="BF348" s="706">
        <v>5.2759001040578082E-2</v>
      </c>
      <c r="BG348" s="706">
        <v>5.2759001040578082E-2</v>
      </c>
      <c r="BH348" s="706">
        <v>5.2759001040578082E-2</v>
      </c>
      <c r="BI348" s="706">
        <v>5.2759001040578082E-2</v>
      </c>
      <c r="BJ348" s="706">
        <v>5.2759001040578082E-2</v>
      </c>
      <c r="BK348" s="706">
        <v>5.2759001040578082E-2</v>
      </c>
      <c r="BL348" s="706">
        <v>5.2759001040578082E-2</v>
      </c>
      <c r="BM348" s="706">
        <v>5.2759001040578082E-2</v>
      </c>
      <c r="BN348" s="706"/>
      <c r="BO348" s="706"/>
      <c r="BP348" s="706"/>
      <c r="BQ348" s="706"/>
      <c r="BR348" s="706"/>
      <c r="BS348" s="706"/>
      <c r="BT348" s="706"/>
      <c r="BU348" s="706"/>
      <c r="BV348" s="791">
        <v>47.179969892213457</v>
      </c>
      <c r="BW348" s="791">
        <v>47.179969892213457</v>
      </c>
      <c r="BX348" s="791">
        <v>47.179969892213457</v>
      </c>
      <c r="BY348" s="791">
        <v>47.179969892213457</v>
      </c>
      <c r="BZ348" s="791">
        <v>47.179969892213457</v>
      </c>
      <c r="CA348" s="791">
        <v>47.179969892213457</v>
      </c>
      <c r="CB348" s="791">
        <v>47.179969892213457</v>
      </c>
      <c r="CC348" s="791">
        <v>47.179969892213457</v>
      </c>
      <c r="CD348" s="791">
        <v>47.179969892213457</v>
      </c>
      <c r="CE348" s="791">
        <v>47.179969892213457</v>
      </c>
      <c r="CF348" s="791">
        <v>47.179969892213457</v>
      </c>
      <c r="CG348" s="791">
        <v>47.179969892213457</v>
      </c>
      <c r="CH348" s="791">
        <v>47.179969892213457</v>
      </c>
      <c r="CI348" s="791">
        <v>47.179969892213457</v>
      </c>
      <c r="CJ348" s="791">
        <v>47.179969892213457</v>
      </c>
      <c r="CK348" s="791">
        <v>47.179969892213457</v>
      </c>
      <c r="CL348" s="791">
        <v>47.179969892213457</v>
      </c>
      <c r="CM348" s="791">
        <v>47.179969892213457</v>
      </c>
      <c r="CN348" s="791"/>
      <c r="CO348" s="706"/>
      <c r="CP348" s="706"/>
      <c r="CQ348" s="706"/>
      <c r="CR348" s="706"/>
    </row>
    <row r="349" spans="1:96">
      <c r="A349" s="694" t="s">
        <v>3</v>
      </c>
      <c r="B349" s="794">
        <v>41858</v>
      </c>
      <c r="C349" s="743">
        <v>2014</v>
      </c>
      <c r="D349" s="746" t="s">
        <v>15</v>
      </c>
      <c r="E349" s="746" t="s">
        <v>25</v>
      </c>
      <c r="F349" s="746" t="s">
        <v>17</v>
      </c>
      <c r="G349" s="746" t="s">
        <v>58</v>
      </c>
      <c r="H349" s="694" t="s">
        <v>393</v>
      </c>
      <c r="I349" s="746" t="s">
        <v>5</v>
      </c>
      <c r="J349" s="746" t="s">
        <v>376</v>
      </c>
      <c r="K349" s="706">
        <v>1</v>
      </c>
      <c r="L349" s="745" t="s">
        <v>58</v>
      </c>
      <c r="M349" s="706" t="s">
        <v>931</v>
      </c>
      <c r="N349" s="706">
        <v>18</v>
      </c>
      <c r="O349" s="706"/>
      <c r="P349" s="706"/>
      <c r="Q349" s="706"/>
      <c r="R349" s="706"/>
      <c r="S349" s="706"/>
      <c r="T349" s="706"/>
      <c r="U349" s="738">
        <v>0.1051154994194438</v>
      </c>
      <c r="V349" s="738">
        <v>94</v>
      </c>
      <c r="W349" s="793">
        <v>0.1051154994194438</v>
      </c>
      <c r="X349" s="708">
        <v>94</v>
      </c>
      <c r="Y349" s="719">
        <v>1692</v>
      </c>
      <c r="Z349" s="719">
        <v>849.23945805984226</v>
      </c>
      <c r="AA349" s="719">
        <v>47.179969892213457</v>
      </c>
      <c r="AB349" s="738">
        <v>5.2759001040578082E-2</v>
      </c>
      <c r="AC349" s="792">
        <v>1</v>
      </c>
      <c r="AD349" s="792">
        <v>1</v>
      </c>
      <c r="AE349" s="717">
        <v>0.54049295774647899</v>
      </c>
      <c r="AF349" s="714">
        <v>4.2407531067898789E-2</v>
      </c>
      <c r="AG349" s="706"/>
      <c r="AH349" s="792">
        <v>0.50191457332141975</v>
      </c>
      <c r="AI349" s="748">
        <v>0.54049295774647899</v>
      </c>
      <c r="AJ349" s="748">
        <v>4.2407531067898789E-2</v>
      </c>
      <c r="AK349" s="748"/>
      <c r="AL349" s="714">
        <v>0.50191457332141975</v>
      </c>
      <c r="AM349" s="706"/>
      <c r="AN349" s="706"/>
      <c r="AO349" s="706"/>
      <c r="AP349" s="706"/>
      <c r="AQ349" s="706"/>
      <c r="AR349" s="706" t="s">
        <v>877</v>
      </c>
      <c r="AS349" s="706"/>
      <c r="AT349" s="706"/>
      <c r="AU349" s="706"/>
      <c r="AV349" s="706">
        <v>5.2759001040578082E-2</v>
      </c>
      <c r="AW349" s="706">
        <v>5.2759001040578082E-2</v>
      </c>
      <c r="AX349" s="706">
        <v>5.2759001040578082E-2</v>
      </c>
      <c r="AY349" s="706">
        <v>5.2759001040578082E-2</v>
      </c>
      <c r="AZ349" s="706">
        <v>5.2759001040578082E-2</v>
      </c>
      <c r="BA349" s="706">
        <v>5.2759001040578082E-2</v>
      </c>
      <c r="BB349" s="706">
        <v>5.2759001040578082E-2</v>
      </c>
      <c r="BC349" s="706">
        <v>5.2759001040578082E-2</v>
      </c>
      <c r="BD349" s="706">
        <v>5.2759001040578082E-2</v>
      </c>
      <c r="BE349" s="706">
        <v>5.2759001040578082E-2</v>
      </c>
      <c r="BF349" s="706">
        <v>5.2759001040578082E-2</v>
      </c>
      <c r="BG349" s="706">
        <v>5.2759001040578082E-2</v>
      </c>
      <c r="BH349" s="706">
        <v>5.2759001040578082E-2</v>
      </c>
      <c r="BI349" s="706">
        <v>5.2759001040578082E-2</v>
      </c>
      <c r="BJ349" s="706">
        <v>5.2759001040578082E-2</v>
      </c>
      <c r="BK349" s="706">
        <v>5.2759001040578082E-2</v>
      </c>
      <c r="BL349" s="706">
        <v>5.2759001040578082E-2</v>
      </c>
      <c r="BM349" s="706">
        <v>5.2759001040578082E-2</v>
      </c>
      <c r="BN349" s="706"/>
      <c r="BO349" s="706"/>
      <c r="BP349" s="706"/>
      <c r="BQ349" s="706"/>
      <c r="BR349" s="706"/>
      <c r="BS349" s="706"/>
      <c r="BT349" s="706"/>
      <c r="BU349" s="706"/>
      <c r="BV349" s="791">
        <v>47.179969892213457</v>
      </c>
      <c r="BW349" s="791">
        <v>47.179969892213457</v>
      </c>
      <c r="BX349" s="791">
        <v>47.179969892213457</v>
      </c>
      <c r="BY349" s="791">
        <v>47.179969892213457</v>
      </c>
      <c r="BZ349" s="791">
        <v>47.179969892213457</v>
      </c>
      <c r="CA349" s="791">
        <v>47.179969892213457</v>
      </c>
      <c r="CB349" s="791">
        <v>47.179969892213457</v>
      </c>
      <c r="CC349" s="791">
        <v>47.179969892213457</v>
      </c>
      <c r="CD349" s="791">
        <v>47.179969892213457</v>
      </c>
      <c r="CE349" s="791">
        <v>47.179969892213457</v>
      </c>
      <c r="CF349" s="791">
        <v>47.179969892213457</v>
      </c>
      <c r="CG349" s="791">
        <v>47.179969892213457</v>
      </c>
      <c r="CH349" s="791">
        <v>47.179969892213457</v>
      </c>
      <c r="CI349" s="791">
        <v>47.179969892213457</v>
      </c>
      <c r="CJ349" s="791">
        <v>47.179969892213457</v>
      </c>
      <c r="CK349" s="791">
        <v>47.179969892213457</v>
      </c>
      <c r="CL349" s="791">
        <v>47.179969892213457</v>
      </c>
      <c r="CM349" s="791">
        <v>47.179969892213457</v>
      </c>
      <c r="CN349" s="791"/>
      <c r="CO349" s="706"/>
      <c r="CP349" s="706"/>
      <c r="CQ349" s="706"/>
      <c r="CR349" s="706"/>
    </row>
    <row r="350" spans="1:96">
      <c r="A350" s="694" t="s">
        <v>3</v>
      </c>
      <c r="B350" s="794">
        <v>41894</v>
      </c>
      <c r="C350" s="743">
        <v>2014</v>
      </c>
      <c r="D350" s="746" t="s">
        <v>15</v>
      </c>
      <c r="E350" s="746" t="s">
        <v>25</v>
      </c>
      <c r="F350" s="746" t="s">
        <v>17</v>
      </c>
      <c r="G350" s="746" t="s">
        <v>58</v>
      </c>
      <c r="H350" s="694" t="s">
        <v>393</v>
      </c>
      <c r="I350" s="746" t="s">
        <v>5</v>
      </c>
      <c r="J350" s="746" t="s">
        <v>376</v>
      </c>
      <c r="K350" s="706">
        <v>1</v>
      </c>
      <c r="L350" s="745" t="s">
        <v>58</v>
      </c>
      <c r="M350" s="706" t="s">
        <v>930</v>
      </c>
      <c r="N350" s="706">
        <v>18</v>
      </c>
      <c r="O350" s="706"/>
      <c r="P350" s="706"/>
      <c r="Q350" s="706"/>
      <c r="R350" s="706"/>
      <c r="S350" s="706"/>
      <c r="T350" s="706"/>
      <c r="U350" s="738">
        <v>0.1051154994194438</v>
      </c>
      <c r="V350" s="738">
        <v>94</v>
      </c>
      <c r="W350" s="793">
        <v>0.1051154994194438</v>
      </c>
      <c r="X350" s="708">
        <v>94</v>
      </c>
      <c r="Y350" s="719">
        <v>1692</v>
      </c>
      <c r="Z350" s="719">
        <v>849.23945805984226</v>
      </c>
      <c r="AA350" s="719">
        <v>47.179969892213457</v>
      </c>
      <c r="AB350" s="738">
        <v>5.2759001040578082E-2</v>
      </c>
      <c r="AC350" s="792">
        <v>1</v>
      </c>
      <c r="AD350" s="792">
        <v>1</v>
      </c>
      <c r="AE350" s="717">
        <v>0.54049295774647899</v>
      </c>
      <c r="AF350" s="714">
        <v>4.2407531067898789E-2</v>
      </c>
      <c r="AG350" s="706"/>
      <c r="AH350" s="792">
        <v>0.50191457332141975</v>
      </c>
      <c r="AI350" s="748">
        <v>0.54049295774647899</v>
      </c>
      <c r="AJ350" s="748">
        <v>4.2407531067898789E-2</v>
      </c>
      <c r="AK350" s="748"/>
      <c r="AL350" s="714">
        <v>0.50191457332141975</v>
      </c>
      <c r="AM350" s="706"/>
      <c r="AN350" s="706"/>
      <c r="AO350" s="706"/>
      <c r="AP350" s="706"/>
      <c r="AQ350" s="706"/>
      <c r="AR350" s="706" t="s">
        <v>877</v>
      </c>
      <c r="AS350" s="706"/>
      <c r="AT350" s="706"/>
      <c r="AU350" s="706"/>
      <c r="AV350" s="706">
        <v>5.2759001040578082E-2</v>
      </c>
      <c r="AW350" s="706">
        <v>5.2759001040578082E-2</v>
      </c>
      <c r="AX350" s="706">
        <v>5.2759001040578082E-2</v>
      </c>
      <c r="AY350" s="706">
        <v>5.2759001040578082E-2</v>
      </c>
      <c r="AZ350" s="706">
        <v>5.2759001040578082E-2</v>
      </c>
      <c r="BA350" s="706">
        <v>5.2759001040578082E-2</v>
      </c>
      <c r="BB350" s="706">
        <v>5.2759001040578082E-2</v>
      </c>
      <c r="BC350" s="706">
        <v>5.2759001040578082E-2</v>
      </c>
      <c r="BD350" s="706">
        <v>5.2759001040578082E-2</v>
      </c>
      <c r="BE350" s="706">
        <v>5.2759001040578082E-2</v>
      </c>
      <c r="BF350" s="706">
        <v>5.2759001040578082E-2</v>
      </c>
      <c r="BG350" s="706">
        <v>5.2759001040578082E-2</v>
      </c>
      <c r="BH350" s="706">
        <v>5.2759001040578082E-2</v>
      </c>
      <c r="BI350" s="706">
        <v>5.2759001040578082E-2</v>
      </c>
      <c r="BJ350" s="706">
        <v>5.2759001040578082E-2</v>
      </c>
      <c r="BK350" s="706">
        <v>5.2759001040578082E-2</v>
      </c>
      <c r="BL350" s="706">
        <v>5.2759001040578082E-2</v>
      </c>
      <c r="BM350" s="706">
        <v>5.2759001040578082E-2</v>
      </c>
      <c r="BN350" s="706"/>
      <c r="BO350" s="706"/>
      <c r="BP350" s="706"/>
      <c r="BQ350" s="706"/>
      <c r="BR350" s="706"/>
      <c r="BS350" s="706"/>
      <c r="BT350" s="706"/>
      <c r="BU350" s="706"/>
      <c r="BV350" s="791">
        <v>47.179969892213457</v>
      </c>
      <c r="BW350" s="791">
        <v>47.179969892213457</v>
      </c>
      <c r="BX350" s="791">
        <v>47.179969892213457</v>
      </c>
      <c r="BY350" s="791">
        <v>47.179969892213457</v>
      </c>
      <c r="BZ350" s="791">
        <v>47.179969892213457</v>
      </c>
      <c r="CA350" s="791">
        <v>47.179969892213457</v>
      </c>
      <c r="CB350" s="791">
        <v>47.179969892213457</v>
      </c>
      <c r="CC350" s="791">
        <v>47.179969892213457</v>
      </c>
      <c r="CD350" s="791">
        <v>47.179969892213457</v>
      </c>
      <c r="CE350" s="791">
        <v>47.179969892213457</v>
      </c>
      <c r="CF350" s="791">
        <v>47.179969892213457</v>
      </c>
      <c r="CG350" s="791">
        <v>47.179969892213457</v>
      </c>
      <c r="CH350" s="791">
        <v>47.179969892213457</v>
      </c>
      <c r="CI350" s="791">
        <v>47.179969892213457</v>
      </c>
      <c r="CJ350" s="791">
        <v>47.179969892213457</v>
      </c>
      <c r="CK350" s="791">
        <v>47.179969892213457</v>
      </c>
      <c r="CL350" s="791">
        <v>47.179969892213457</v>
      </c>
      <c r="CM350" s="791">
        <v>47.179969892213457</v>
      </c>
      <c r="CN350" s="791"/>
      <c r="CO350" s="706"/>
      <c r="CP350" s="706"/>
      <c r="CQ350" s="706"/>
      <c r="CR350" s="706"/>
    </row>
    <row r="351" spans="1:96">
      <c r="A351" s="694" t="s">
        <v>3</v>
      </c>
      <c r="B351" s="794">
        <v>41789</v>
      </c>
      <c r="C351" s="743">
        <v>2014</v>
      </c>
      <c r="D351" s="746" t="s">
        <v>15</v>
      </c>
      <c r="E351" s="746" t="s">
        <v>25</v>
      </c>
      <c r="F351" s="746" t="s">
        <v>17</v>
      </c>
      <c r="G351" s="746" t="s">
        <v>58</v>
      </c>
      <c r="H351" s="694" t="s">
        <v>393</v>
      </c>
      <c r="I351" s="746" t="s">
        <v>5</v>
      </c>
      <c r="J351" s="746" t="s">
        <v>376</v>
      </c>
      <c r="K351" s="706">
        <v>1</v>
      </c>
      <c r="L351" s="745" t="s">
        <v>58</v>
      </c>
      <c r="M351" s="706" t="s">
        <v>929</v>
      </c>
      <c r="N351" s="706">
        <v>18</v>
      </c>
      <c r="O351" s="706"/>
      <c r="P351" s="706"/>
      <c r="Q351" s="706"/>
      <c r="R351" s="706"/>
      <c r="S351" s="706"/>
      <c r="T351" s="706"/>
      <c r="U351" s="738">
        <v>0.1051154994194438</v>
      </c>
      <c r="V351" s="738">
        <v>94</v>
      </c>
      <c r="W351" s="793">
        <v>0.1051154994194438</v>
      </c>
      <c r="X351" s="708">
        <v>94</v>
      </c>
      <c r="Y351" s="719">
        <v>1692</v>
      </c>
      <c r="Z351" s="719">
        <v>849.23945805984226</v>
      </c>
      <c r="AA351" s="719">
        <v>47.179969892213457</v>
      </c>
      <c r="AB351" s="738">
        <v>5.2759001040578082E-2</v>
      </c>
      <c r="AC351" s="792">
        <v>1</v>
      </c>
      <c r="AD351" s="792">
        <v>1</v>
      </c>
      <c r="AE351" s="717">
        <v>0.54049295774647899</v>
      </c>
      <c r="AF351" s="714">
        <v>4.2407531067898789E-2</v>
      </c>
      <c r="AG351" s="706"/>
      <c r="AH351" s="792">
        <v>0.50191457332141975</v>
      </c>
      <c r="AI351" s="748">
        <v>0.54049295774647899</v>
      </c>
      <c r="AJ351" s="748">
        <v>4.2407531067898789E-2</v>
      </c>
      <c r="AK351" s="748"/>
      <c r="AL351" s="714">
        <v>0.50191457332141975</v>
      </c>
      <c r="AM351" s="706"/>
      <c r="AN351" s="706"/>
      <c r="AO351" s="706"/>
      <c r="AP351" s="706"/>
      <c r="AQ351" s="706"/>
      <c r="AR351" s="706" t="s">
        <v>877</v>
      </c>
      <c r="AS351" s="706"/>
      <c r="AT351" s="706"/>
      <c r="AU351" s="706"/>
      <c r="AV351" s="706">
        <v>5.2759001040578082E-2</v>
      </c>
      <c r="AW351" s="706">
        <v>5.2759001040578082E-2</v>
      </c>
      <c r="AX351" s="706">
        <v>5.2759001040578082E-2</v>
      </c>
      <c r="AY351" s="706">
        <v>5.2759001040578082E-2</v>
      </c>
      <c r="AZ351" s="706">
        <v>5.2759001040578082E-2</v>
      </c>
      <c r="BA351" s="706">
        <v>5.2759001040578082E-2</v>
      </c>
      <c r="BB351" s="706">
        <v>5.2759001040578082E-2</v>
      </c>
      <c r="BC351" s="706">
        <v>5.2759001040578082E-2</v>
      </c>
      <c r="BD351" s="706">
        <v>5.2759001040578082E-2</v>
      </c>
      <c r="BE351" s="706">
        <v>5.2759001040578082E-2</v>
      </c>
      <c r="BF351" s="706">
        <v>5.2759001040578082E-2</v>
      </c>
      <c r="BG351" s="706">
        <v>5.2759001040578082E-2</v>
      </c>
      <c r="BH351" s="706">
        <v>5.2759001040578082E-2</v>
      </c>
      <c r="BI351" s="706">
        <v>5.2759001040578082E-2</v>
      </c>
      <c r="BJ351" s="706">
        <v>5.2759001040578082E-2</v>
      </c>
      <c r="BK351" s="706">
        <v>5.2759001040578082E-2</v>
      </c>
      <c r="BL351" s="706">
        <v>5.2759001040578082E-2</v>
      </c>
      <c r="BM351" s="706">
        <v>5.2759001040578082E-2</v>
      </c>
      <c r="BN351" s="706"/>
      <c r="BO351" s="706"/>
      <c r="BP351" s="706"/>
      <c r="BQ351" s="706"/>
      <c r="BR351" s="706"/>
      <c r="BS351" s="706"/>
      <c r="BT351" s="706"/>
      <c r="BU351" s="706"/>
      <c r="BV351" s="791">
        <v>47.179969892213457</v>
      </c>
      <c r="BW351" s="791">
        <v>47.179969892213457</v>
      </c>
      <c r="BX351" s="791">
        <v>47.179969892213457</v>
      </c>
      <c r="BY351" s="791">
        <v>47.179969892213457</v>
      </c>
      <c r="BZ351" s="791">
        <v>47.179969892213457</v>
      </c>
      <c r="CA351" s="791">
        <v>47.179969892213457</v>
      </c>
      <c r="CB351" s="791">
        <v>47.179969892213457</v>
      </c>
      <c r="CC351" s="791">
        <v>47.179969892213457</v>
      </c>
      <c r="CD351" s="791">
        <v>47.179969892213457</v>
      </c>
      <c r="CE351" s="791">
        <v>47.179969892213457</v>
      </c>
      <c r="CF351" s="791">
        <v>47.179969892213457</v>
      </c>
      <c r="CG351" s="791">
        <v>47.179969892213457</v>
      </c>
      <c r="CH351" s="791">
        <v>47.179969892213457</v>
      </c>
      <c r="CI351" s="791">
        <v>47.179969892213457</v>
      </c>
      <c r="CJ351" s="791">
        <v>47.179969892213457</v>
      </c>
      <c r="CK351" s="791">
        <v>47.179969892213457</v>
      </c>
      <c r="CL351" s="791">
        <v>47.179969892213457</v>
      </c>
      <c r="CM351" s="791">
        <v>47.179969892213457</v>
      </c>
      <c r="CN351" s="791"/>
      <c r="CO351" s="706"/>
      <c r="CP351" s="706"/>
      <c r="CQ351" s="706"/>
      <c r="CR351" s="706"/>
    </row>
    <row r="352" spans="1:96">
      <c r="A352" s="694" t="s">
        <v>3</v>
      </c>
      <c r="B352" s="794">
        <v>41922</v>
      </c>
      <c r="C352" s="743">
        <v>2014</v>
      </c>
      <c r="D352" s="746" t="s">
        <v>15</v>
      </c>
      <c r="E352" s="746" t="s">
        <v>25</v>
      </c>
      <c r="F352" s="746" t="s">
        <v>17</v>
      </c>
      <c r="G352" s="746" t="s">
        <v>58</v>
      </c>
      <c r="H352" s="694" t="s">
        <v>393</v>
      </c>
      <c r="I352" s="746" t="s">
        <v>5</v>
      </c>
      <c r="J352" s="746" t="s">
        <v>376</v>
      </c>
      <c r="K352" s="706">
        <v>1</v>
      </c>
      <c r="L352" s="745" t="s">
        <v>58</v>
      </c>
      <c r="M352" s="706" t="s">
        <v>928</v>
      </c>
      <c r="N352" s="706">
        <v>18</v>
      </c>
      <c r="O352" s="706"/>
      <c r="P352" s="706"/>
      <c r="Q352" s="706"/>
      <c r="R352" s="706"/>
      <c r="S352" s="706"/>
      <c r="T352" s="706"/>
      <c r="U352" s="738">
        <v>0.1051154994194438</v>
      </c>
      <c r="V352" s="738">
        <v>94</v>
      </c>
      <c r="W352" s="793">
        <v>0.1051154994194438</v>
      </c>
      <c r="X352" s="708">
        <v>94</v>
      </c>
      <c r="Y352" s="719">
        <v>1692</v>
      </c>
      <c r="Z352" s="719">
        <v>849.23945805984226</v>
      </c>
      <c r="AA352" s="719">
        <v>47.179969892213457</v>
      </c>
      <c r="AB352" s="738">
        <v>5.2759001040578082E-2</v>
      </c>
      <c r="AC352" s="792">
        <v>1</v>
      </c>
      <c r="AD352" s="792">
        <v>1</v>
      </c>
      <c r="AE352" s="717">
        <v>0.54049295774647899</v>
      </c>
      <c r="AF352" s="714">
        <v>4.2407531067898789E-2</v>
      </c>
      <c r="AG352" s="706"/>
      <c r="AH352" s="792">
        <v>0.50191457332141975</v>
      </c>
      <c r="AI352" s="748">
        <v>0.54049295774647899</v>
      </c>
      <c r="AJ352" s="748">
        <v>4.2407531067898789E-2</v>
      </c>
      <c r="AK352" s="748"/>
      <c r="AL352" s="714">
        <v>0.50191457332141975</v>
      </c>
      <c r="AM352" s="706"/>
      <c r="AN352" s="706"/>
      <c r="AO352" s="706"/>
      <c r="AP352" s="706"/>
      <c r="AQ352" s="706"/>
      <c r="AR352" s="706" t="s">
        <v>877</v>
      </c>
      <c r="AS352" s="706"/>
      <c r="AT352" s="706"/>
      <c r="AU352" s="706"/>
      <c r="AV352" s="706">
        <v>5.2759001040578082E-2</v>
      </c>
      <c r="AW352" s="706">
        <v>5.2759001040578082E-2</v>
      </c>
      <c r="AX352" s="706">
        <v>5.2759001040578082E-2</v>
      </c>
      <c r="AY352" s="706">
        <v>5.2759001040578082E-2</v>
      </c>
      <c r="AZ352" s="706">
        <v>5.2759001040578082E-2</v>
      </c>
      <c r="BA352" s="706">
        <v>5.2759001040578082E-2</v>
      </c>
      <c r="BB352" s="706">
        <v>5.2759001040578082E-2</v>
      </c>
      <c r="BC352" s="706">
        <v>5.2759001040578082E-2</v>
      </c>
      <c r="BD352" s="706">
        <v>5.2759001040578082E-2</v>
      </c>
      <c r="BE352" s="706">
        <v>5.2759001040578082E-2</v>
      </c>
      <c r="BF352" s="706">
        <v>5.2759001040578082E-2</v>
      </c>
      <c r="BG352" s="706">
        <v>5.2759001040578082E-2</v>
      </c>
      <c r="BH352" s="706">
        <v>5.2759001040578082E-2</v>
      </c>
      <c r="BI352" s="706">
        <v>5.2759001040578082E-2</v>
      </c>
      <c r="BJ352" s="706">
        <v>5.2759001040578082E-2</v>
      </c>
      <c r="BK352" s="706">
        <v>5.2759001040578082E-2</v>
      </c>
      <c r="BL352" s="706">
        <v>5.2759001040578082E-2</v>
      </c>
      <c r="BM352" s="706">
        <v>5.2759001040578082E-2</v>
      </c>
      <c r="BN352" s="706"/>
      <c r="BO352" s="706"/>
      <c r="BP352" s="706"/>
      <c r="BQ352" s="706"/>
      <c r="BR352" s="706"/>
      <c r="BS352" s="706"/>
      <c r="BT352" s="706"/>
      <c r="BU352" s="706"/>
      <c r="BV352" s="791">
        <v>47.179969892213457</v>
      </c>
      <c r="BW352" s="791">
        <v>47.179969892213457</v>
      </c>
      <c r="BX352" s="791">
        <v>47.179969892213457</v>
      </c>
      <c r="BY352" s="791">
        <v>47.179969892213457</v>
      </c>
      <c r="BZ352" s="791">
        <v>47.179969892213457</v>
      </c>
      <c r="CA352" s="791">
        <v>47.179969892213457</v>
      </c>
      <c r="CB352" s="791">
        <v>47.179969892213457</v>
      </c>
      <c r="CC352" s="791">
        <v>47.179969892213457</v>
      </c>
      <c r="CD352" s="791">
        <v>47.179969892213457</v>
      </c>
      <c r="CE352" s="791">
        <v>47.179969892213457</v>
      </c>
      <c r="CF352" s="791">
        <v>47.179969892213457</v>
      </c>
      <c r="CG352" s="791">
        <v>47.179969892213457</v>
      </c>
      <c r="CH352" s="791">
        <v>47.179969892213457</v>
      </c>
      <c r="CI352" s="791">
        <v>47.179969892213457</v>
      </c>
      <c r="CJ352" s="791">
        <v>47.179969892213457</v>
      </c>
      <c r="CK352" s="791">
        <v>47.179969892213457</v>
      </c>
      <c r="CL352" s="791">
        <v>47.179969892213457</v>
      </c>
      <c r="CM352" s="791">
        <v>47.179969892213457</v>
      </c>
      <c r="CN352" s="791"/>
      <c r="CO352" s="706"/>
      <c r="CP352" s="706"/>
      <c r="CQ352" s="706"/>
      <c r="CR352" s="706"/>
    </row>
    <row r="353" spans="1:96">
      <c r="A353" s="694" t="s">
        <v>3</v>
      </c>
      <c r="B353" s="794">
        <v>41929</v>
      </c>
      <c r="C353" s="743">
        <v>2014</v>
      </c>
      <c r="D353" s="746" t="s">
        <v>15</v>
      </c>
      <c r="E353" s="746" t="s">
        <v>25</v>
      </c>
      <c r="F353" s="746" t="s">
        <v>17</v>
      </c>
      <c r="G353" s="746" t="s">
        <v>58</v>
      </c>
      <c r="H353" s="694" t="s">
        <v>393</v>
      </c>
      <c r="I353" s="746" t="s">
        <v>5</v>
      </c>
      <c r="J353" s="746" t="s">
        <v>376</v>
      </c>
      <c r="K353" s="706">
        <v>1</v>
      </c>
      <c r="L353" s="745" t="s">
        <v>58</v>
      </c>
      <c r="M353" s="706" t="s">
        <v>927</v>
      </c>
      <c r="N353" s="706">
        <v>18</v>
      </c>
      <c r="O353" s="706"/>
      <c r="P353" s="706"/>
      <c r="Q353" s="706"/>
      <c r="R353" s="706"/>
      <c r="S353" s="706"/>
      <c r="T353" s="706"/>
      <c r="U353" s="738">
        <v>0.1051154994194438</v>
      </c>
      <c r="V353" s="738">
        <v>94</v>
      </c>
      <c r="W353" s="793">
        <v>0.1051154994194438</v>
      </c>
      <c r="X353" s="708">
        <v>94</v>
      </c>
      <c r="Y353" s="719">
        <v>1692</v>
      </c>
      <c r="Z353" s="719">
        <v>849.23945805984226</v>
      </c>
      <c r="AA353" s="719">
        <v>47.179969892213457</v>
      </c>
      <c r="AB353" s="738">
        <v>5.2759001040578082E-2</v>
      </c>
      <c r="AC353" s="792">
        <v>1</v>
      </c>
      <c r="AD353" s="792">
        <v>1</v>
      </c>
      <c r="AE353" s="717">
        <v>0.54049295774647899</v>
      </c>
      <c r="AF353" s="714">
        <v>4.2407531067898789E-2</v>
      </c>
      <c r="AG353" s="706"/>
      <c r="AH353" s="792">
        <v>0.50191457332141975</v>
      </c>
      <c r="AI353" s="748">
        <v>0.54049295774647899</v>
      </c>
      <c r="AJ353" s="748">
        <v>4.2407531067898789E-2</v>
      </c>
      <c r="AK353" s="748"/>
      <c r="AL353" s="714">
        <v>0.50191457332141975</v>
      </c>
      <c r="AM353" s="706"/>
      <c r="AN353" s="706"/>
      <c r="AO353" s="706"/>
      <c r="AP353" s="706"/>
      <c r="AQ353" s="706"/>
      <c r="AR353" s="706" t="s">
        <v>877</v>
      </c>
      <c r="AS353" s="706"/>
      <c r="AT353" s="706"/>
      <c r="AU353" s="706"/>
      <c r="AV353" s="706">
        <v>5.2759001040578082E-2</v>
      </c>
      <c r="AW353" s="706">
        <v>5.2759001040578082E-2</v>
      </c>
      <c r="AX353" s="706">
        <v>5.2759001040578082E-2</v>
      </c>
      <c r="AY353" s="706">
        <v>5.2759001040578082E-2</v>
      </c>
      <c r="AZ353" s="706">
        <v>5.2759001040578082E-2</v>
      </c>
      <c r="BA353" s="706">
        <v>5.2759001040578082E-2</v>
      </c>
      <c r="BB353" s="706">
        <v>5.2759001040578082E-2</v>
      </c>
      <c r="BC353" s="706">
        <v>5.2759001040578082E-2</v>
      </c>
      <c r="BD353" s="706">
        <v>5.2759001040578082E-2</v>
      </c>
      <c r="BE353" s="706">
        <v>5.2759001040578082E-2</v>
      </c>
      <c r="BF353" s="706">
        <v>5.2759001040578082E-2</v>
      </c>
      <c r="BG353" s="706">
        <v>5.2759001040578082E-2</v>
      </c>
      <c r="BH353" s="706">
        <v>5.2759001040578082E-2</v>
      </c>
      <c r="BI353" s="706">
        <v>5.2759001040578082E-2</v>
      </c>
      <c r="BJ353" s="706">
        <v>5.2759001040578082E-2</v>
      </c>
      <c r="BK353" s="706">
        <v>5.2759001040578082E-2</v>
      </c>
      <c r="BL353" s="706">
        <v>5.2759001040578082E-2</v>
      </c>
      <c r="BM353" s="706">
        <v>5.2759001040578082E-2</v>
      </c>
      <c r="BN353" s="706"/>
      <c r="BO353" s="706"/>
      <c r="BP353" s="706"/>
      <c r="BQ353" s="706"/>
      <c r="BR353" s="706"/>
      <c r="BS353" s="706"/>
      <c r="BT353" s="706"/>
      <c r="BU353" s="706"/>
      <c r="BV353" s="791">
        <v>47.179969892213457</v>
      </c>
      <c r="BW353" s="791">
        <v>47.179969892213457</v>
      </c>
      <c r="BX353" s="791">
        <v>47.179969892213457</v>
      </c>
      <c r="BY353" s="791">
        <v>47.179969892213457</v>
      </c>
      <c r="BZ353" s="791">
        <v>47.179969892213457</v>
      </c>
      <c r="CA353" s="791">
        <v>47.179969892213457</v>
      </c>
      <c r="CB353" s="791">
        <v>47.179969892213457</v>
      </c>
      <c r="CC353" s="791">
        <v>47.179969892213457</v>
      </c>
      <c r="CD353" s="791">
        <v>47.179969892213457</v>
      </c>
      <c r="CE353" s="791">
        <v>47.179969892213457</v>
      </c>
      <c r="CF353" s="791">
        <v>47.179969892213457</v>
      </c>
      <c r="CG353" s="791">
        <v>47.179969892213457</v>
      </c>
      <c r="CH353" s="791">
        <v>47.179969892213457</v>
      </c>
      <c r="CI353" s="791">
        <v>47.179969892213457</v>
      </c>
      <c r="CJ353" s="791">
        <v>47.179969892213457</v>
      </c>
      <c r="CK353" s="791">
        <v>47.179969892213457</v>
      </c>
      <c r="CL353" s="791">
        <v>47.179969892213457</v>
      </c>
      <c r="CM353" s="791">
        <v>47.179969892213457</v>
      </c>
      <c r="CN353" s="791"/>
      <c r="CO353" s="706"/>
      <c r="CP353" s="706"/>
      <c r="CQ353" s="706"/>
      <c r="CR353" s="706"/>
    </row>
    <row r="354" spans="1:96">
      <c r="A354" s="694" t="s">
        <v>3</v>
      </c>
      <c r="B354" s="794">
        <v>41866</v>
      </c>
      <c r="C354" s="743">
        <v>2014</v>
      </c>
      <c r="D354" s="746" t="s">
        <v>15</v>
      </c>
      <c r="E354" s="746" t="s">
        <v>25</v>
      </c>
      <c r="F354" s="746" t="s">
        <v>17</v>
      </c>
      <c r="G354" s="746" t="s">
        <v>58</v>
      </c>
      <c r="H354" s="694" t="s">
        <v>393</v>
      </c>
      <c r="I354" s="746" t="s">
        <v>5</v>
      </c>
      <c r="J354" s="746" t="s">
        <v>376</v>
      </c>
      <c r="K354" s="706">
        <v>1</v>
      </c>
      <c r="L354" s="745" t="s">
        <v>58</v>
      </c>
      <c r="M354" s="706" t="s">
        <v>926</v>
      </c>
      <c r="N354" s="706">
        <v>18</v>
      </c>
      <c r="O354" s="706"/>
      <c r="P354" s="706"/>
      <c r="Q354" s="706"/>
      <c r="R354" s="706"/>
      <c r="S354" s="706"/>
      <c r="T354" s="706"/>
      <c r="U354" s="738">
        <v>0.1051154994194438</v>
      </c>
      <c r="V354" s="738">
        <v>94</v>
      </c>
      <c r="W354" s="793">
        <v>0.1051154994194438</v>
      </c>
      <c r="X354" s="708">
        <v>94</v>
      </c>
      <c r="Y354" s="719">
        <v>1692</v>
      </c>
      <c r="Z354" s="719">
        <v>849.23945805984226</v>
      </c>
      <c r="AA354" s="719">
        <v>47.179969892213457</v>
      </c>
      <c r="AB354" s="738">
        <v>5.2759001040578082E-2</v>
      </c>
      <c r="AC354" s="792">
        <v>1</v>
      </c>
      <c r="AD354" s="792">
        <v>1</v>
      </c>
      <c r="AE354" s="717">
        <v>0.54049295774647899</v>
      </c>
      <c r="AF354" s="714">
        <v>4.2407531067898789E-2</v>
      </c>
      <c r="AG354" s="706"/>
      <c r="AH354" s="792">
        <v>0.50191457332141975</v>
      </c>
      <c r="AI354" s="748">
        <v>0.54049295774647899</v>
      </c>
      <c r="AJ354" s="748">
        <v>4.2407531067898789E-2</v>
      </c>
      <c r="AK354" s="748"/>
      <c r="AL354" s="714">
        <v>0.50191457332141975</v>
      </c>
      <c r="AM354" s="706"/>
      <c r="AN354" s="706"/>
      <c r="AO354" s="706"/>
      <c r="AP354" s="706"/>
      <c r="AQ354" s="706"/>
      <c r="AR354" s="706" t="s">
        <v>877</v>
      </c>
      <c r="AS354" s="706"/>
      <c r="AT354" s="706"/>
      <c r="AU354" s="706"/>
      <c r="AV354" s="706">
        <v>5.2759001040578082E-2</v>
      </c>
      <c r="AW354" s="706">
        <v>5.2759001040578082E-2</v>
      </c>
      <c r="AX354" s="706">
        <v>5.2759001040578082E-2</v>
      </c>
      <c r="AY354" s="706">
        <v>5.2759001040578082E-2</v>
      </c>
      <c r="AZ354" s="706">
        <v>5.2759001040578082E-2</v>
      </c>
      <c r="BA354" s="706">
        <v>5.2759001040578082E-2</v>
      </c>
      <c r="BB354" s="706">
        <v>5.2759001040578082E-2</v>
      </c>
      <c r="BC354" s="706">
        <v>5.2759001040578082E-2</v>
      </c>
      <c r="BD354" s="706">
        <v>5.2759001040578082E-2</v>
      </c>
      <c r="BE354" s="706">
        <v>5.2759001040578082E-2</v>
      </c>
      <c r="BF354" s="706">
        <v>5.2759001040578082E-2</v>
      </c>
      <c r="BG354" s="706">
        <v>5.2759001040578082E-2</v>
      </c>
      <c r="BH354" s="706">
        <v>5.2759001040578082E-2</v>
      </c>
      <c r="BI354" s="706">
        <v>5.2759001040578082E-2</v>
      </c>
      <c r="BJ354" s="706">
        <v>5.2759001040578082E-2</v>
      </c>
      <c r="BK354" s="706">
        <v>5.2759001040578082E-2</v>
      </c>
      <c r="BL354" s="706">
        <v>5.2759001040578082E-2</v>
      </c>
      <c r="BM354" s="706">
        <v>5.2759001040578082E-2</v>
      </c>
      <c r="BN354" s="706"/>
      <c r="BO354" s="706"/>
      <c r="BP354" s="706"/>
      <c r="BQ354" s="706"/>
      <c r="BR354" s="706"/>
      <c r="BS354" s="706"/>
      <c r="BT354" s="706"/>
      <c r="BU354" s="706"/>
      <c r="BV354" s="791">
        <v>47.179969892213457</v>
      </c>
      <c r="BW354" s="791">
        <v>47.179969892213457</v>
      </c>
      <c r="BX354" s="791">
        <v>47.179969892213457</v>
      </c>
      <c r="BY354" s="791">
        <v>47.179969892213457</v>
      </c>
      <c r="BZ354" s="791">
        <v>47.179969892213457</v>
      </c>
      <c r="CA354" s="791">
        <v>47.179969892213457</v>
      </c>
      <c r="CB354" s="791">
        <v>47.179969892213457</v>
      </c>
      <c r="CC354" s="791">
        <v>47.179969892213457</v>
      </c>
      <c r="CD354" s="791">
        <v>47.179969892213457</v>
      </c>
      <c r="CE354" s="791">
        <v>47.179969892213457</v>
      </c>
      <c r="CF354" s="791">
        <v>47.179969892213457</v>
      </c>
      <c r="CG354" s="791">
        <v>47.179969892213457</v>
      </c>
      <c r="CH354" s="791">
        <v>47.179969892213457</v>
      </c>
      <c r="CI354" s="791">
        <v>47.179969892213457</v>
      </c>
      <c r="CJ354" s="791">
        <v>47.179969892213457</v>
      </c>
      <c r="CK354" s="791">
        <v>47.179969892213457</v>
      </c>
      <c r="CL354" s="791">
        <v>47.179969892213457</v>
      </c>
      <c r="CM354" s="791">
        <v>47.179969892213457</v>
      </c>
      <c r="CN354" s="791"/>
      <c r="CO354" s="706"/>
      <c r="CP354" s="706"/>
      <c r="CQ354" s="706"/>
      <c r="CR354" s="706"/>
    </row>
    <row r="355" spans="1:96">
      <c r="A355" s="694" t="s">
        <v>3</v>
      </c>
      <c r="B355" s="794">
        <v>41815</v>
      </c>
      <c r="C355" s="743">
        <v>2014</v>
      </c>
      <c r="D355" s="746" t="s">
        <v>15</v>
      </c>
      <c r="E355" s="746" t="s">
        <v>25</v>
      </c>
      <c r="F355" s="746" t="s">
        <v>17</v>
      </c>
      <c r="G355" s="746" t="s">
        <v>58</v>
      </c>
      <c r="H355" s="694" t="s">
        <v>393</v>
      </c>
      <c r="I355" s="746" t="s">
        <v>5</v>
      </c>
      <c r="J355" s="746" t="s">
        <v>376</v>
      </c>
      <c r="K355" s="706">
        <v>1</v>
      </c>
      <c r="L355" s="745" t="s">
        <v>58</v>
      </c>
      <c r="M355" s="706" t="s">
        <v>925</v>
      </c>
      <c r="N355" s="706">
        <v>18</v>
      </c>
      <c r="O355" s="706"/>
      <c r="P355" s="706"/>
      <c r="Q355" s="706"/>
      <c r="R355" s="706"/>
      <c r="S355" s="706"/>
      <c r="T355" s="706"/>
      <c r="U355" s="738">
        <v>0.1051154994194438</v>
      </c>
      <c r="V355" s="738">
        <v>94</v>
      </c>
      <c r="W355" s="793">
        <v>0.1051154994194438</v>
      </c>
      <c r="X355" s="708">
        <v>94</v>
      </c>
      <c r="Y355" s="719">
        <v>1692</v>
      </c>
      <c r="Z355" s="719">
        <v>849.23945805984226</v>
      </c>
      <c r="AA355" s="719">
        <v>47.179969892213457</v>
      </c>
      <c r="AB355" s="738">
        <v>5.2759001040578082E-2</v>
      </c>
      <c r="AC355" s="792">
        <v>1</v>
      </c>
      <c r="AD355" s="792">
        <v>1</v>
      </c>
      <c r="AE355" s="717">
        <v>0.54049295774647899</v>
      </c>
      <c r="AF355" s="714">
        <v>4.2407531067898789E-2</v>
      </c>
      <c r="AG355" s="706"/>
      <c r="AH355" s="792">
        <v>0.50191457332141975</v>
      </c>
      <c r="AI355" s="748">
        <v>0.54049295774647899</v>
      </c>
      <c r="AJ355" s="748">
        <v>4.2407531067898789E-2</v>
      </c>
      <c r="AK355" s="748"/>
      <c r="AL355" s="714">
        <v>0.50191457332141975</v>
      </c>
      <c r="AM355" s="706"/>
      <c r="AN355" s="706"/>
      <c r="AO355" s="706"/>
      <c r="AP355" s="706"/>
      <c r="AQ355" s="706"/>
      <c r="AR355" s="706" t="s">
        <v>877</v>
      </c>
      <c r="AS355" s="706"/>
      <c r="AT355" s="706"/>
      <c r="AU355" s="706"/>
      <c r="AV355" s="706">
        <v>5.2759001040578082E-2</v>
      </c>
      <c r="AW355" s="706">
        <v>5.2759001040578082E-2</v>
      </c>
      <c r="AX355" s="706">
        <v>5.2759001040578082E-2</v>
      </c>
      <c r="AY355" s="706">
        <v>5.2759001040578082E-2</v>
      </c>
      <c r="AZ355" s="706">
        <v>5.2759001040578082E-2</v>
      </c>
      <c r="BA355" s="706">
        <v>5.2759001040578082E-2</v>
      </c>
      <c r="BB355" s="706">
        <v>5.2759001040578082E-2</v>
      </c>
      <c r="BC355" s="706">
        <v>5.2759001040578082E-2</v>
      </c>
      <c r="BD355" s="706">
        <v>5.2759001040578082E-2</v>
      </c>
      <c r="BE355" s="706">
        <v>5.2759001040578082E-2</v>
      </c>
      <c r="BF355" s="706">
        <v>5.2759001040578082E-2</v>
      </c>
      <c r="BG355" s="706">
        <v>5.2759001040578082E-2</v>
      </c>
      <c r="BH355" s="706">
        <v>5.2759001040578082E-2</v>
      </c>
      <c r="BI355" s="706">
        <v>5.2759001040578082E-2</v>
      </c>
      <c r="BJ355" s="706">
        <v>5.2759001040578082E-2</v>
      </c>
      <c r="BK355" s="706">
        <v>5.2759001040578082E-2</v>
      </c>
      <c r="BL355" s="706">
        <v>5.2759001040578082E-2</v>
      </c>
      <c r="BM355" s="706">
        <v>5.2759001040578082E-2</v>
      </c>
      <c r="BN355" s="706"/>
      <c r="BO355" s="706"/>
      <c r="BP355" s="706"/>
      <c r="BQ355" s="706"/>
      <c r="BR355" s="706"/>
      <c r="BS355" s="706"/>
      <c r="BT355" s="706"/>
      <c r="BU355" s="706"/>
      <c r="BV355" s="791">
        <v>47.179969892213457</v>
      </c>
      <c r="BW355" s="791">
        <v>47.179969892213457</v>
      </c>
      <c r="BX355" s="791">
        <v>47.179969892213457</v>
      </c>
      <c r="BY355" s="791">
        <v>47.179969892213457</v>
      </c>
      <c r="BZ355" s="791">
        <v>47.179969892213457</v>
      </c>
      <c r="CA355" s="791">
        <v>47.179969892213457</v>
      </c>
      <c r="CB355" s="791">
        <v>47.179969892213457</v>
      </c>
      <c r="CC355" s="791">
        <v>47.179969892213457</v>
      </c>
      <c r="CD355" s="791">
        <v>47.179969892213457</v>
      </c>
      <c r="CE355" s="791">
        <v>47.179969892213457</v>
      </c>
      <c r="CF355" s="791">
        <v>47.179969892213457</v>
      </c>
      <c r="CG355" s="791">
        <v>47.179969892213457</v>
      </c>
      <c r="CH355" s="791">
        <v>47.179969892213457</v>
      </c>
      <c r="CI355" s="791">
        <v>47.179969892213457</v>
      </c>
      <c r="CJ355" s="791">
        <v>47.179969892213457</v>
      </c>
      <c r="CK355" s="791">
        <v>47.179969892213457</v>
      </c>
      <c r="CL355" s="791">
        <v>47.179969892213457</v>
      </c>
      <c r="CM355" s="791">
        <v>47.179969892213457</v>
      </c>
      <c r="CN355" s="791"/>
      <c r="CO355" s="706"/>
      <c r="CP355" s="706"/>
      <c r="CQ355" s="706"/>
      <c r="CR355" s="706"/>
    </row>
    <row r="356" spans="1:96">
      <c r="A356" s="694" t="s">
        <v>3</v>
      </c>
      <c r="B356" s="794">
        <v>41929</v>
      </c>
      <c r="C356" s="743">
        <v>2014</v>
      </c>
      <c r="D356" s="746" t="s">
        <v>15</v>
      </c>
      <c r="E356" s="746" t="s">
        <v>25</v>
      </c>
      <c r="F356" s="746" t="s">
        <v>17</v>
      </c>
      <c r="G356" s="746" t="s">
        <v>58</v>
      </c>
      <c r="H356" s="694" t="s">
        <v>393</v>
      </c>
      <c r="I356" s="746" t="s">
        <v>5</v>
      </c>
      <c r="J356" s="746" t="s">
        <v>376</v>
      </c>
      <c r="K356" s="706">
        <v>1</v>
      </c>
      <c r="L356" s="745" t="s">
        <v>58</v>
      </c>
      <c r="M356" s="706" t="s">
        <v>924</v>
      </c>
      <c r="N356" s="706">
        <v>18</v>
      </c>
      <c r="O356" s="706"/>
      <c r="P356" s="706"/>
      <c r="Q356" s="706"/>
      <c r="R356" s="706"/>
      <c r="S356" s="706"/>
      <c r="T356" s="706"/>
      <c r="U356" s="738">
        <v>0.1051154994194438</v>
      </c>
      <c r="V356" s="738">
        <v>94</v>
      </c>
      <c r="W356" s="793">
        <v>0.1051154994194438</v>
      </c>
      <c r="X356" s="708">
        <v>94</v>
      </c>
      <c r="Y356" s="719">
        <v>1692</v>
      </c>
      <c r="Z356" s="719">
        <v>849.23945805984226</v>
      </c>
      <c r="AA356" s="719">
        <v>47.179969892213457</v>
      </c>
      <c r="AB356" s="738">
        <v>5.2759001040578082E-2</v>
      </c>
      <c r="AC356" s="792">
        <v>1</v>
      </c>
      <c r="AD356" s="792">
        <v>1</v>
      </c>
      <c r="AE356" s="717">
        <v>0.54049295774647899</v>
      </c>
      <c r="AF356" s="714">
        <v>4.2407531067898789E-2</v>
      </c>
      <c r="AG356" s="706"/>
      <c r="AH356" s="792">
        <v>0.50191457332141975</v>
      </c>
      <c r="AI356" s="748">
        <v>0.54049295774647899</v>
      </c>
      <c r="AJ356" s="748">
        <v>4.2407531067898789E-2</v>
      </c>
      <c r="AK356" s="748"/>
      <c r="AL356" s="714">
        <v>0.50191457332141975</v>
      </c>
      <c r="AM356" s="706"/>
      <c r="AN356" s="706"/>
      <c r="AO356" s="706"/>
      <c r="AP356" s="706"/>
      <c r="AQ356" s="706"/>
      <c r="AR356" s="706" t="s">
        <v>877</v>
      </c>
      <c r="AS356" s="706"/>
      <c r="AT356" s="706"/>
      <c r="AU356" s="706"/>
      <c r="AV356" s="706">
        <v>5.2759001040578082E-2</v>
      </c>
      <c r="AW356" s="706">
        <v>5.2759001040578082E-2</v>
      </c>
      <c r="AX356" s="706">
        <v>5.2759001040578082E-2</v>
      </c>
      <c r="AY356" s="706">
        <v>5.2759001040578082E-2</v>
      </c>
      <c r="AZ356" s="706">
        <v>5.2759001040578082E-2</v>
      </c>
      <c r="BA356" s="706">
        <v>5.2759001040578082E-2</v>
      </c>
      <c r="BB356" s="706">
        <v>5.2759001040578082E-2</v>
      </c>
      <c r="BC356" s="706">
        <v>5.2759001040578082E-2</v>
      </c>
      <c r="BD356" s="706">
        <v>5.2759001040578082E-2</v>
      </c>
      <c r="BE356" s="706">
        <v>5.2759001040578082E-2</v>
      </c>
      <c r="BF356" s="706">
        <v>5.2759001040578082E-2</v>
      </c>
      <c r="BG356" s="706">
        <v>5.2759001040578082E-2</v>
      </c>
      <c r="BH356" s="706">
        <v>5.2759001040578082E-2</v>
      </c>
      <c r="BI356" s="706">
        <v>5.2759001040578082E-2</v>
      </c>
      <c r="BJ356" s="706">
        <v>5.2759001040578082E-2</v>
      </c>
      <c r="BK356" s="706">
        <v>5.2759001040578082E-2</v>
      </c>
      <c r="BL356" s="706">
        <v>5.2759001040578082E-2</v>
      </c>
      <c r="BM356" s="706">
        <v>5.2759001040578082E-2</v>
      </c>
      <c r="BN356" s="706"/>
      <c r="BO356" s="706"/>
      <c r="BP356" s="706"/>
      <c r="BQ356" s="706"/>
      <c r="BR356" s="706"/>
      <c r="BS356" s="706"/>
      <c r="BT356" s="706"/>
      <c r="BU356" s="706"/>
      <c r="BV356" s="791">
        <v>47.179969892213457</v>
      </c>
      <c r="BW356" s="791">
        <v>47.179969892213457</v>
      </c>
      <c r="BX356" s="791">
        <v>47.179969892213457</v>
      </c>
      <c r="BY356" s="791">
        <v>47.179969892213457</v>
      </c>
      <c r="BZ356" s="791">
        <v>47.179969892213457</v>
      </c>
      <c r="CA356" s="791">
        <v>47.179969892213457</v>
      </c>
      <c r="CB356" s="791">
        <v>47.179969892213457</v>
      </c>
      <c r="CC356" s="791">
        <v>47.179969892213457</v>
      </c>
      <c r="CD356" s="791">
        <v>47.179969892213457</v>
      </c>
      <c r="CE356" s="791">
        <v>47.179969892213457</v>
      </c>
      <c r="CF356" s="791">
        <v>47.179969892213457</v>
      </c>
      <c r="CG356" s="791">
        <v>47.179969892213457</v>
      </c>
      <c r="CH356" s="791">
        <v>47.179969892213457</v>
      </c>
      <c r="CI356" s="791">
        <v>47.179969892213457</v>
      </c>
      <c r="CJ356" s="791">
        <v>47.179969892213457</v>
      </c>
      <c r="CK356" s="791">
        <v>47.179969892213457</v>
      </c>
      <c r="CL356" s="791">
        <v>47.179969892213457</v>
      </c>
      <c r="CM356" s="791">
        <v>47.179969892213457</v>
      </c>
      <c r="CN356" s="791"/>
      <c r="CO356" s="706"/>
      <c r="CP356" s="706"/>
      <c r="CQ356" s="706"/>
      <c r="CR356" s="706"/>
    </row>
    <row r="357" spans="1:96">
      <c r="A357" s="694" t="s">
        <v>3</v>
      </c>
      <c r="B357" s="794">
        <v>41975</v>
      </c>
      <c r="C357" s="743">
        <v>2014</v>
      </c>
      <c r="D357" s="746" t="s">
        <v>15</v>
      </c>
      <c r="E357" s="746" t="s">
        <v>25</v>
      </c>
      <c r="F357" s="746" t="s">
        <v>17</v>
      </c>
      <c r="G357" s="746" t="s">
        <v>58</v>
      </c>
      <c r="H357" s="694" t="s">
        <v>393</v>
      </c>
      <c r="I357" s="746" t="s">
        <v>5</v>
      </c>
      <c r="J357" s="746" t="s">
        <v>376</v>
      </c>
      <c r="K357" s="706">
        <v>1</v>
      </c>
      <c r="L357" s="745" t="s">
        <v>58</v>
      </c>
      <c r="M357" s="706" t="s">
        <v>923</v>
      </c>
      <c r="N357" s="706">
        <v>18</v>
      </c>
      <c r="O357" s="706"/>
      <c r="P357" s="706"/>
      <c r="Q357" s="706"/>
      <c r="R357" s="706"/>
      <c r="S357" s="706"/>
      <c r="T357" s="706"/>
      <c r="U357" s="738">
        <v>0.1051154994194438</v>
      </c>
      <c r="V357" s="738">
        <v>94</v>
      </c>
      <c r="W357" s="793">
        <v>0.1051154994194438</v>
      </c>
      <c r="X357" s="708">
        <v>94</v>
      </c>
      <c r="Y357" s="719">
        <v>1692</v>
      </c>
      <c r="Z357" s="719">
        <v>849.23945805984226</v>
      </c>
      <c r="AA357" s="719">
        <v>47.179969892213457</v>
      </c>
      <c r="AB357" s="738">
        <v>5.2759001040578082E-2</v>
      </c>
      <c r="AC357" s="792">
        <v>1</v>
      </c>
      <c r="AD357" s="792">
        <v>1</v>
      </c>
      <c r="AE357" s="717">
        <v>0.54049295774647899</v>
      </c>
      <c r="AF357" s="714">
        <v>4.2407531067898789E-2</v>
      </c>
      <c r="AG357" s="706"/>
      <c r="AH357" s="792">
        <v>0.50191457332141975</v>
      </c>
      <c r="AI357" s="748">
        <v>0.54049295774647899</v>
      </c>
      <c r="AJ357" s="748">
        <v>4.2407531067898789E-2</v>
      </c>
      <c r="AK357" s="748"/>
      <c r="AL357" s="714">
        <v>0.50191457332141975</v>
      </c>
      <c r="AM357" s="706"/>
      <c r="AN357" s="706"/>
      <c r="AO357" s="706"/>
      <c r="AP357" s="706"/>
      <c r="AQ357" s="706"/>
      <c r="AR357" s="706" t="s">
        <v>877</v>
      </c>
      <c r="AS357" s="706"/>
      <c r="AT357" s="706"/>
      <c r="AU357" s="706"/>
      <c r="AV357" s="706">
        <v>5.2759001040578082E-2</v>
      </c>
      <c r="AW357" s="706">
        <v>5.2759001040578082E-2</v>
      </c>
      <c r="AX357" s="706">
        <v>5.2759001040578082E-2</v>
      </c>
      <c r="AY357" s="706">
        <v>5.2759001040578082E-2</v>
      </c>
      <c r="AZ357" s="706">
        <v>5.2759001040578082E-2</v>
      </c>
      <c r="BA357" s="706">
        <v>5.2759001040578082E-2</v>
      </c>
      <c r="BB357" s="706">
        <v>5.2759001040578082E-2</v>
      </c>
      <c r="BC357" s="706">
        <v>5.2759001040578082E-2</v>
      </c>
      <c r="BD357" s="706">
        <v>5.2759001040578082E-2</v>
      </c>
      <c r="BE357" s="706">
        <v>5.2759001040578082E-2</v>
      </c>
      <c r="BF357" s="706">
        <v>5.2759001040578082E-2</v>
      </c>
      <c r="BG357" s="706">
        <v>5.2759001040578082E-2</v>
      </c>
      <c r="BH357" s="706">
        <v>5.2759001040578082E-2</v>
      </c>
      <c r="BI357" s="706">
        <v>5.2759001040578082E-2</v>
      </c>
      <c r="BJ357" s="706">
        <v>5.2759001040578082E-2</v>
      </c>
      <c r="BK357" s="706">
        <v>5.2759001040578082E-2</v>
      </c>
      <c r="BL357" s="706">
        <v>5.2759001040578082E-2</v>
      </c>
      <c r="BM357" s="706">
        <v>5.2759001040578082E-2</v>
      </c>
      <c r="BN357" s="706"/>
      <c r="BO357" s="706"/>
      <c r="BP357" s="706"/>
      <c r="BQ357" s="706"/>
      <c r="BR357" s="706"/>
      <c r="BS357" s="706"/>
      <c r="BT357" s="706"/>
      <c r="BU357" s="706"/>
      <c r="BV357" s="791">
        <v>47.179969892213457</v>
      </c>
      <c r="BW357" s="791">
        <v>47.179969892213457</v>
      </c>
      <c r="BX357" s="791">
        <v>47.179969892213457</v>
      </c>
      <c r="BY357" s="791">
        <v>47.179969892213457</v>
      </c>
      <c r="BZ357" s="791">
        <v>47.179969892213457</v>
      </c>
      <c r="CA357" s="791">
        <v>47.179969892213457</v>
      </c>
      <c r="CB357" s="791">
        <v>47.179969892213457</v>
      </c>
      <c r="CC357" s="791">
        <v>47.179969892213457</v>
      </c>
      <c r="CD357" s="791">
        <v>47.179969892213457</v>
      </c>
      <c r="CE357" s="791">
        <v>47.179969892213457</v>
      </c>
      <c r="CF357" s="791">
        <v>47.179969892213457</v>
      </c>
      <c r="CG357" s="791">
        <v>47.179969892213457</v>
      </c>
      <c r="CH357" s="791">
        <v>47.179969892213457</v>
      </c>
      <c r="CI357" s="791">
        <v>47.179969892213457</v>
      </c>
      <c r="CJ357" s="791">
        <v>47.179969892213457</v>
      </c>
      <c r="CK357" s="791">
        <v>47.179969892213457</v>
      </c>
      <c r="CL357" s="791">
        <v>47.179969892213457</v>
      </c>
      <c r="CM357" s="791">
        <v>47.179969892213457</v>
      </c>
      <c r="CN357" s="791"/>
      <c r="CO357" s="706"/>
      <c r="CP357" s="706"/>
      <c r="CQ357" s="706"/>
      <c r="CR357" s="706"/>
    </row>
    <row r="358" spans="1:96">
      <c r="A358" s="694" t="s">
        <v>3</v>
      </c>
      <c r="B358" s="794">
        <v>41799</v>
      </c>
      <c r="C358" s="743">
        <v>2014</v>
      </c>
      <c r="D358" s="746" t="s">
        <v>15</v>
      </c>
      <c r="E358" s="746" t="s">
        <v>25</v>
      </c>
      <c r="F358" s="746" t="s">
        <v>17</v>
      </c>
      <c r="G358" s="746" t="s">
        <v>58</v>
      </c>
      <c r="H358" s="694" t="s">
        <v>393</v>
      </c>
      <c r="I358" s="746" t="s">
        <v>5</v>
      </c>
      <c r="J358" s="746" t="s">
        <v>376</v>
      </c>
      <c r="K358" s="706">
        <v>1</v>
      </c>
      <c r="L358" s="745" t="s">
        <v>58</v>
      </c>
      <c r="M358" s="706" t="s">
        <v>922</v>
      </c>
      <c r="N358" s="706">
        <v>18</v>
      </c>
      <c r="O358" s="706"/>
      <c r="P358" s="706"/>
      <c r="Q358" s="706"/>
      <c r="R358" s="706"/>
      <c r="S358" s="706"/>
      <c r="T358" s="706"/>
      <c r="U358" s="738">
        <v>0.1051154994194438</v>
      </c>
      <c r="V358" s="738">
        <v>94</v>
      </c>
      <c r="W358" s="793">
        <v>0.1051154994194438</v>
      </c>
      <c r="X358" s="708">
        <v>94</v>
      </c>
      <c r="Y358" s="719">
        <v>1692</v>
      </c>
      <c r="Z358" s="719">
        <v>849.23945805984226</v>
      </c>
      <c r="AA358" s="719">
        <v>47.179969892213457</v>
      </c>
      <c r="AB358" s="738">
        <v>5.2759001040578082E-2</v>
      </c>
      <c r="AC358" s="792">
        <v>1</v>
      </c>
      <c r="AD358" s="792">
        <v>1</v>
      </c>
      <c r="AE358" s="717">
        <v>0.54049295774647899</v>
      </c>
      <c r="AF358" s="714">
        <v>4.2407531067898789E-2</v>
      </c>
      <c r="AG358" s="706"/>
      <c r="AH358" s="792">
        <v>0.50191457332141975</v>
      </c>
      <c r="AI358" s="748">
        <v>0.54049295774647899</v>
      </c>
      <c r="AJ358" s="748">
        <v>4.2407531067898789E-2</v>
      </c>
      <c r="AK358" s="748"/>
      <c r="AL358" s="714">
        <v>0.50191457332141975</v>
      </c>
      <c r="AM358" s="706"/>
      <c r="AN358" s="706"/>
      <c r="AO358" s="706"/>
      <c r="AP358" s="706"/>
      <c r="AQ358" s="706"/>
      <c r="AR358" s="706" t="s">
        <v>877</v>
      </c>
      <c r="AS358" s="706"/>
      <c r="AT358" s="706"/>
      <c r="AU358" s="706"/>
      <c r="AV358" s="706">
        <v>5.2759001040578082E-2</v>
      </c>
      <c r="AW358" s="706">
        <v>5.2759001040578082E-2</v>
      </c>
      <c r="AX358" s="706">
        <v>5.2759001040578082E-2</v>
      </c>
      <c r="AY358" s="706">
        <v>5.2759001040578082E-2</v>
      </c>
      <c r="AZ358" s="706">
        <v>5.2759001040578082E-2</v>
      </c>
      <c r="BA358" s="706">
        <v>5.2759001040578082E-2</v>
      </c>
      <c r="BB358" s="706">
        <v>5.2759001040578082E-2</v>
      </c>
      <c r="BC358" s="706">
        <v>5.2759001040578082E-2</v>
      </c>
      <c r="BD358" s="706">
        <v>5.2759001040578082E-2</v>
      </c>
      <c r="BE358" s="706">
        <v>5.2759001040578082E-2</v>
      </c>
      <c r="BF358" s="706">
        <v>5.2759001040578082E-2</v>
      </c>
      <c r="BG358" s="706">
        <v>5.2759001040578082E-2</v>
      </c>
      <c r="BH358" s="706">
        <v>5.2759001040578082E-2</v>
      </c>
      <c r="BI358" s="706">
        <v>5.2759001040578082E-2</v>
      </c>
      <c r="BJ358" s="706">
        <v>5.2759001040578082E-2</v>
      </c>
      <c r="BK358" s="706">
        <v>5.2759001040578082E-2</v>
      </c>
      <c r="BL358" s="706">
        <v>5.2759001040578082E-2</v>
      </c>
      <c r="BM358" s="706">
        <v>5.2759001040578082E-2</v>
      </c>
      <c r="BN358" s="706"/>
      <c r="BO358" s="706"/>
      <c r="BP358" s="706"/>
      <c r="BQ358" s="706"/>
      <c r="BR358" s="706"/>
      <c r="BS358" s="706"/>
      <c r="BT358" s="706"/>
      <c r="BU358" s="706"/>
      <c r="BV358" s="791">
        <v>47.179969892213457</v>
      </c>
      <c r="BW358" s="791">
        <v>47.179969892213457</v>
      </c>
      <c r="BX358" s="791">
        <v>47.179969892213457</v>
      </c>
      <c r="BY358" s="791">
        <v>47.179969892213457</v>
      </c>
      <c r="BZ358" s="791">
        <v>47.179969892213457</v>
      </c>
      <c r="CA358" s="791">
        <v>47.179969892213457</v>
      </c>
      <c r="CB358" s="791">
        <v>47.179969892213457</v>
      </c>
      <c r="CC358" s="791">
        <v>47.179969892213457</v>
      </c>
      <c r="CD358" s="791">
        <v>47.179969892213457</v>
      </c>
      <c r="CE358" s="791">
        <v>47.179969892213457</v>
      </c>
      <c r="CF358" s="791">
        <v>47.179969892213457</v>
      </c>
      <c r="CG358" s="791">
        <v>47.179969892213457</v>
      </c>
      <c r="CH358" s="791">
        <v>47.179969892213457</v>
      </c>
      <c r="CI358" s="791">
        <v>47.179969892213457</v>
      </c>
      <c r="CJ358" s="791">
        <v>47.179969892213457</v>
      </c>
      <c r="CK358" s="791">
        <v>47.179969892213457</v>
      </c>
      <c r="CL358" s="791">
        <v>47.179969892213457</v>
      </c>
      <c r="CM358" s="791">
        <v>47.179969892213457</v>
      </c>
      <c r="CN358" s="791"/>
      <c r="CO358" s="706"/>
      <c r="CP358" s="706"/>
      <c r="CQ358" s="706"/>
      <c r="CR358" s="706"/>
    </row>
    <row r="359" spans="1:96">
      <c r="A359" s="694" t="s">
        <v>3</v>
      </c>
      <c r="B359" s="794">
        <v>41967</v>
      </c>
      <c r="C359" s="743">
        <v>2014</v>
      </c>
      <c r="D359" s="746" t="s">
        <v>15</v>
      </c>
      <c r="E359" s="746" t="s">
        <v>25</v>
      </c>
      <c r="F359" s="746" t="s">
        <v>17</v>
      </c>
      <c r="G359" s="746" t="s">
        <v>58</v>
      </c>
      <c r="H359" s="694" t="s">
        <v>393</v>
      </c>
      <c r="I359" s="746" t="s">
        <v>5</v>
      </c>
      <c r="J359" s="746" t="s">
        <v>376</v>
      </c>
      <c r="K359" s="706">
        <v>1</v>
      </c>
      <c r="L359" s="745" t="s">
        <v>58</v>
      </c>
      <c r="M359" s="706" t="s">
        <v>921</v>
      </c>
      <c r="N359" s="706">
        <v>18</v>
      </c>
      <c r="O359" s="706"/>
      <c r="P359" s="706"/>
      <c r="Q359" s="706"/>
      <c r="R359" s="706"/>
      <c r="S359" s="706"/>
      <c r="T359" s="706"/>
      <c r="U359" s="738">
        <v>0.1051154994194438</v>
      </c>
      <c r="V359" s="738">
        <v>94</v>
      </c>
      <c r="W359" s="793">
        <v>0.1051154994194438</v>
      </c>
      <c r="X359" s="708">
        <v>94</v>
      </c>
      <c r="Y359" s="719">
        <v>1692</v>
      </c>
      <c r="Z359" s="719">
        <v>849.23945805984226</v>
      </c>
      <c r="AA359" s="719">
        <v>47.179969892213457</v>
      </c>
      <c r="AB359" s="738">
        <v>5.2759001040578082E-2</v>
      </c>
      <c r="AC359" s="792">
        <v>1</v>
      </c>
      <c r="AD359" s="792">
        <v>1</v>
      </c>
      <c r="AE359" s="717">
        <v>0.54049295774647899</v>
      </c>
      <c r="AF359" s="714">
        <v>4.2407531067898789E-2</v>
      </c>
      <c r="AG359" s="706"/>
      <c r="AH359" s="792">
        <v>0.50191457332141975</v>
      </c>
      <c r="AI359" s="748">
        <v>0.54049295774647899</v>
      </c>
      <c r="AJ359" s="748">
        <v>4.2407531067898789E-2</v>
      </c>
      <c r="AK359" s="748"/>
      <c r="AL359" s="714">
        <v>0.50191457332141975</v>
      </c>
      <c r="AM359" s="706"/>
      <c r="AN359" s="706"/>
      <c r="AO359" s="706"/>
      <c r="AP359" s="706"/>
      <c r="AQ359" s="706"/>
      <c r="AR359" s="706" t="s">
        <v>877</v>
      </c>
      <c r="AS359" s="706"/>
      <c r="AT359" s="706"/>
      <c r="AU359" s="706"/>
      <c r="AV359" s="706">
        <v>5.2759001040578082E-2</v>
      </c>
      <c r="AW359" s="706">
        <v>5.2759001040578082E-2</v>
      </c>
      <c r="AX359" s="706">
        <v>5.2759001040578082E-2</v>
      </c>
      <c r="AY359" s="706">
        <v>5.2759001040578082E-2</v>
      </c>
      <c r="AZ359" s="706">
        <v>5.2759001040578082E-2</v>
      </c>
      <c r="BA359" s="706">
        <v>5.2759001040578082E-2</v>
      </c>
      <c r="BB359" s="706">
        <v>5.2759001040578082E-2</v>
      </c>
      <c r="BC359" s="706">
        <v>5.2759001040578082E-2</v>
      </c>
      <c r="BD359" s="706">
        <v>5.2759001040578082E-2</v>
      </c>
      <c r="BE359" s="706">
        <v>5.2759001040578082E-2</v>
      </c>
      <c r="BF359" s="706">
        <v>5.2759001040578082E-2</v>
      </c>
      <c r="BG359" s="706">
        <v>5.2759001040578082E-2</v>
      </c>
      <c r="BH359" s="706">
        <v>5.2759001040578082E-2</v>
      </c>
      <c r="BI359" s="706">
        <v>5.2759001040578082E-2</v>
      </c>
      <c r="BJ359" s="706">
        <v>5.2759001040578082E-2</v>
      </c>
      <c r="BK359" s="706">
        <v>5.2759001040578082E-2</v>
      </c>
      <c r="BL359" s="706">
        <v>5.2759001040578082E-2</v>
      </c>
      <c r="BM359" s="706">
        <v>5.2759001040578082E-2</v>
      </c>
      <c r="BN359" s="706"/>
      <c r="BO359" s="706"/>
      <c r="BP359" s="706"/>
      <c r="BQ359" s="706"/>
      <c r="BR359" s="706"/>
      <c r="BS359" s="706"/>
      <c r="BT359" s="706"/>
      <c r="BU359" s="706"/>
      <c r="BV359" s="791">
        <v>47.179969892213457</v>
      </c>
      <c r="BW359" s="791">
        <v>47.179969892213457</v>
      </c>
      <c r="BX359" s="791">
        <v>47.179969892213457</v>
      </c>
      <c r="BY359" s="791">
        <v>47.179969892213457</v>
      </c>
      <c r="BZ359" s="791">
        <v>47.179969892213457</v>
      </c>
      <c r="CA359" s="791">
        <v>47.179969892213457</v>
      </c>
      <c r="CB359" s="791">
        <v>47.179969892213457</v>
      </c>
      <c r="CC359" s="791">
        <v>47.179969892213457</v>
      </c>
      <c r="CD359" s="791">
        <v>47.179969892213457</v>
      </c>
      <c r="CE359" s="791">
        <v>47.179969892213457</v>
      </c>
      <c r="CF359" s="791">
        <v>47.179969892213457</v>
      </c>
      <c r="CG359" s="791">
        <v>47.179969892213457</v>
      </c>
      <c r="CH359" s="791">
        <v>47.179969892213457</v>
      </c>
      <c r="CI359" s="791">
        <v>47.179969892213457</v>
      </c>
      <c r="CJ359" s="791">
        <v>47.179969892213457</v>
      </c>
      <c r="CK359" s="791">
        <v>47.179969892213457</v>
      </c>
      <c r="CL359" s="791">
        <v>47.179969892213457</v>
      </c>
      <c r="CM359" s="791">
        <v>47.179969892213457</v>
      </c>
      <c r="CN359" s="791"/>
      <c r="CO359" s="706"/>
      <c r="CP359" s="706"/>
      <c r="CQ359" s="706"/>
      <c r="CR359" s="706"/>
    </row>
    <row r="360" spans="1:96">
      <c r="A360" s="694" t="s">
        <v>3</v>
      </c>
      <c r="B360" s="794">
        <v>41773</v>
      </c>
      <c r="C360" s="743">
        <v>2014</v>
      </c>
      <c r="D360" s="746" t="s">
        <v>15</v>
      </c>
      <c r="E360" s="746" t="s">
        <v>25</v>
      </c>
      <c r="F360" s="746" t="s">
        <v>17</v>
      </c>
      <c r="G360" s="746" t="s">
        <v>58</v>
      </c>
      <c r="H360" s="694" t="s">
        <v>393</v>
      </c>
      <c r="I360" s="746" t="s">
        <v>5</v>
      </c>
      <c r="J360" s="746" t="s">
        <v>376</v>
      </c>
      <c r="K360" s="706">
        <v>1</v>
      </c>
      <c r="L360" s="745" t="s">
        <v>58</v>
      </c>
      <c r="M360" s="706" t="s">
        <v>920</v>
      </c>
      <c r="N360" s="706">
        <v>18</v>
      </c>
      <c r="O360" s="706"/>
      <c r="P360" s="706"/>
      <c r="Q360" s="706"/>
      <c r="R360" s="706"/>
      <c r="S360" s="706"/>
      <c r="T360" s="706"/>
      <c r="U360" s="738">
        <v>0.1051154994194438</v>
      </c>
      <c r="V360" s="738">
        <v>94</v>
      </c>
      <c r="W360" s="793">
        <v>0.1051154994194438</v>
      </c>
      <c r="X360" s="708">
        <v>94</v>
      </c>
      <c r="Y360" s="719">
        <v>1692</v>
      </c>
      <c r="Z360" s="719">
        <v>849.23945805984226</v>
      </c>
      <c r="AA360" s="719">
        <v>47.179969892213457</v>
      </c>
      <c r="AB360" s="738">
        <v>5.2759001040578082E-2</v>
      </c>
      <c r="AC360" s="792">
        <v>1</v>
      </c>
      <c r="AD360" s="792">
        <v>1</v>
      </c>
      <c r="AE360" s="717">
        <v>0.54049295774647899</v>
      </c>
      <c r="AF360" s="714">
        <v>4.2407531067898789E-2</v>
      </c>
      <c r="AG360" s="706"/>
      <c r="AH360" s="792">
        <v>0.50191457332141975</v>
      </c>
      <c r="AI360" s="748">
        <v>0.54049295774647899</v>
      </c>
      <c r="AJ360" s="748">
        <v>4.2407531067898789E-2</v>
      </c>
      <c r="AK360" s="748"/>
      <c r="AL360" s="714">
        <v>0.50191457332141975</v>
      </c>
      <c r="AM360" s="706"/>
      <c r="AN360" s="706"/>
      <c r="AO360" s="706"/>
      <c r="AP360" s="706"/>
      <c r="AQ360" s="706"/>
      <c r="AR360" s="706" t="s">
        <v>877</v>
      </c>
      <c r="AS360" s="706"/>
      <c r="AT360" s="706"/>
      <c r="AU360" s="706"/>
      <c r="AV360" s="706">
        <v>5.2759001040578082E-2</v>
      </c>
      <c r="AW360" s="706">
        <v>5.2759001040578082E-2</v>
      </c>
      <c r="AX360" s="706">
        <v>5.2759001040578082E-2</v>
      </c>
      <c r="AY360" s="706">
        <v>5.2759001040578082E-2</v>
      </c>
      <c r="AZ360" s="706">
        <v>5.2759001040578082E-2</v>
      </c>
      <c r="BA360" s="706">
        <v>5.2759001040578082E-2</v>
      </c>
      <c r="BB360" s="706">
        <v>5.2759001040578082E-2</v>
      </c>
      <c r="BC360" s="706">
        <v>5.2759001040578082E-2</v>
      </c>
      <c r="BD360" s="706">
        <v>5.2759001040578082E-2</v>
      </c>
      <c r="BE360" s="706">
        <v>5.2759001040578082E-2</v>
      </c>
      <c r="BF360" s="706">
        <v>5.2759001040578082E-2</v>
      </c>
      <c r="BG360" s="706">
        <v>5.2759001040578082E-2</v>
      </c>
      <c r="BH360" s="706">
        <v>5.2759001040578082E-2</v>
      </c>
      <c r="BI360" s="706">
        <v>5.2759001040578082E-2</v>
      </c>
      <c r="BJ360" s="706">
        <v>5.2759001040578082E-2</v>
      </c>
      <c r="BK360" s="706">
        <v>5.2759001040578082E-2</v>
      </c>
      <c r="BL360" s="706">
        <v>5.2759001040578082E-2</v>
      </c>
      <c r="BM360" s="706">
        <v>5.2759001040578082E-2</v>
      </c>
      <c r="BN360" s="706"/>
      <c r="BO360" s="706"/>
      <c r="BP360" s="706"/>
      <c r="BQ360" s="706"/>
      <c r="BR360" s="706"/>
      <c r="BS360" s="706"/>
      <c r="BT360" s="706"/>
      <c r="BU360" s="706"/>
      <c r="BV360" s="791">
        <v>47.179969892213457</v>
      </c>
      <c r="BW360" s="791">
        <v>47.179969892213457</v>
      </c>
      <c r="BX360" s="791">
        <v>47.179969892213457</v>
      </c>
      <c r="BY360" s="791">
        <v>47.179969892213457</v>
      </c>
      <c r="BZ360" s="791">
        <v>47.179969892213457</v>
      </c>
      <c r="CA360" s="791">
        <v>47.179969892213457</v>
      </c>
      <c r="CB360" s="791">
        <v>47.179969892213457</v>
      </c>
      <c r="CC360" s="791">
        <v>47.179969892213457</v>
      </c>
      <c r="CD360" s="791">
        <v>47.179969892213457</v>
      </c>
      <c r="CE360" s="791">
        <v>47.179969892213457</v>
      </c>
      <c r="CF360" s="791">
        <v>47.179969892213457</v>
      </c>
      <c r="CG360" s="791">
        <v>47.179969892213457</v>
      </c>
      <c r="CH360" s="791">
        <v>47.179969892213457</v>
      </c>
      <c r="CI360" s="791">
        <v>47.179969892213457</v>
      </c>
      <c r="CJ360" s="791">
        <v>47.179969892213457</v>
      </c>
      <c r="CK360" s="791">
        <v>47.179969892213457</v>
      </c>
      <c r="CL360" s="791">
        <v>47.179969892213457</v>
      </c>
      <c r="CM360" s="791">
        <v>47.179969892213457</v>
      </c>
      <c r="CN360" s="791"/>
      <c r="CO360" s="706"/>
      <c r="CP360" s="706"/>
      <c r="CQ360" s="706"/>
      <c r="CR360" s="706"/>
    </row>
    <row r="361" spans="1:96">
      <c r="A361" s="694" t="s">
        <v>3</v>
      </c>
      <c r="B361" s="794">
        <v>41963</v>
      </c>
      <c r="C361" s="743">
        <v>2014</v>
      </c>
      <c r="D361" s="746" t="s">
        <v>15</v>
      </c>
      <c r="E361" s="746" t="s">
        <v>25</v>
      </c>
      <c r="F361" s="746" t="s">
        <v>17</v>
      </c>
      <c r="G361" s="746" t="s">
        <v>58</v>
      </c>
      <c r="H361" s="694" t="s">
        <v>393</v>
      </c>
      <c r="I361" s="746" t="s">
        <v>5</v>
      </c>
      <c r="J361" s="746" t="s">
        <v>376</v>
      </c>
      <c r="K361" s="706">
        <v>1</v>
      </c>
      <c r="L361" s="745" t="s">
        <v>58</v>
      </c>
      <c r="M361" s="706" t="s">
        <v>919</v>
      </c>
      <c r="N361" s="706">
        <v>18</v>
      </c>
      <c r="O361" s="706"/>
      <c r="P361" s="706"/>
      <c r="Q361" s="706"/>
      <c r="R361" s="706"/>
      <c r="S361" s="706"/>
      <c r="T361" s="706"/>
      <c r="U361" s="738">
        <v>0.1051154994194438</v>
      </c>
      <c r="V361" s="738">
        <v>94</v>
      </c>
      <c r="W361" s="793">
        <v>0.1051154994194438</v>
      </c>
      <c r="X361" s="708">
        <v>94</v>
      </c>
      <c r="Y361" s="719">
        <v>1692</v>
      </c>
      <c r="Z361" s="719">
        <v>849.23945805984226</v>
      </c>
      <c r="AA361" s="719">
        <v>47.179969892213457</v>
      </c>
      <c r="AB361" s="738">
        <v>5.2759001040578082E-2</v>
      </c>
      <c r="AC361" s="792">
        <v>1</v>
      </c>
      <c r="AD361" s="792">
        <v>1</v>
      </c>
      <c r="AE361" s="717">
        <v>0.54049295774647899</v>
      </c>
      <c r="AF361" s="714">
        <v>4.2407531067898789E-2</v>
      </c>
      <c r="AG361" s="706"/>
      <c r="AH361" s="792">
        <v>0.50191457332141975</v>
      </c>
      <c r="AI361" s="748">
        <v>0.54049295774647899</v>
      </c>
      <c r="AJ361" s="748">
        <v>4.2407531067898789E-2</v>
      </c>
      <c r="AK361" s="748"/>
      <c r="AL361" s="714">
        <v>0.50191457332141975</v>
      </c>
      <c r="AM361" s="706"/>
      <c r="AN361" s="706"/>
      <c r="AO361" s="706"/>
      <c r="AP361" s="706"/>
      <c r="AQ361" s="706"/>
      <c r="AR361" s="706" t="s">
        <v>877</v>
      </c>
      <c r="AS361" s="706"/>
      <c r="AT361" s="706"/>
      <c r="AU361" s="706"/>
      <c r="AV361" s="706">
        <v>5.2759001040578082E-2</v>
      </c>
      <c r="AW361" s="706">
        <v>5.2759001040578082E-2</v>
      </c>
      <c r="AX361" s="706">
        <v>5.2759001040578082E-2</v>
      </c>
      <c r="AY361" s="706">
        <v>5.2759001040578082E-2</v>
      </c>
      <c r="AZ361" s="706">
        <v>5.2759001040578082E-2</v>
      </c>
      <c r="BA361" s="706">
        <v>5.2759001040578082E-2</v>
      </c>
      <c r="BB361" s="706">
        <v>5.2759001040578082E-2</v>
      </c>
      <c r="BC361" s="706">
        <v>5.2759001040578082E-2</v>
      </c>
      <c r="BD361" s="706">
        <v>5.2759001040578082E-2</v>
      </c>
      <c r="BE361" s="706">
        <v>5.2759001040578082E-2</v>
      </c>
      <c r="BF361" s="706">
        <v>5.2759001040578082E-2</v>
      </c>
      <c r="BG361" s="706">
        <v>5.2759001040578082E-2</v>
      </c>
      <c r="BH361" s="706">
        <v>5.2759001040578082E-2</v>
      </c>
      <c r="BI361" s="706">
        <v>5.2759001040578082E-2</v>
      </c>
      <c r="BJ361" s="706">
        <v>5.2759001040578082E-2</v>
      </c>
      <c r="BK361" s="706">
        <v>5.2759001040578082E-2</v>
      </c>
      <c r="BL361" s="706">
        <v>5.2759001040578082E-2</v>
      </c>
      <c r="BM361" s="706">
        <v>5.2759001040578082E-2</v>
      </c>
      <c r="BN361" s="706"/>
      <c r="BO361" s="706"/>
      <c r="BP361" s="706"/>
      <c r="BQ361" s="706"/>
      <c r="BR361" s="706"/>
      <c r="BS361" s="706"/>
      <c r="BT361" s="706"/>
      <c r="BU361" s="706"/>
      <c r="BV361" s="791">
        <v>47.179969892213457</v>
      </c>
      <c r="BW361" s="791">
        <v>47.179969892213457</v>
      </c>
      <c r="BX361" s="791">
        <v>47.179969892213457</v>
      </c>
      <c r="BY361" s="791">
        <v>47.179969892213457</v>
      </c>
      <c r="BZ361" s="791">
        <v>47.179969892213457</v>
      </c>
      <c r="CA361" s="791">
        <v>47.179969892213457</v>
      </c>
      <c r="CB361" s="791">
        <v>47.179969892213457</v>
      </c>
      <c r="CC361" s="791">
        <v>47.179969892213457</v>
      </c>
      <c r="CD361" s="791">
        <v>47.179969892213457</v>
      </c>
      <c r="CE361" s="791">
        <v>47.179969892213457</v>
      </c>
      <c r="CF361" s="791">
        <v>47.179969892213457</v>
      </c>
      <c r="CG361" s="791">
        <v>47.179969892213457</v>
      </c>
      <c r="CH361" s="791">
        <v>47.179969892213457</v>
      </c>
      <c r="CI361" s="791">
        <v>47.179969892213457</v>
      </c>
      <c r="CJ361" s="791">
        <v>47.179969892213457</v>
      </c>
      <c r="CK361" s="791">
        <v>47.179969892213457</v>
      </c>
      <c r="CL361" s="791">
        <v>47.179969892213457</v>
      </c>
      <c r="CM361" s="791">
        <v>47.179969892213457</v>
      </c>
      <c r="CN361" s="791"/>
      <c r="CO361" s="706"/>
      <c r="CP361" s="706"/>
      <c r="CQ361" s="706"/>
      <c r="CR361" s="706"/>
    </row>
    <row r="362" spans="1:96">
      <c r="A362" s="694" t="s">
        <v>3</v>
      </c>
      <c r="B362" s="794">
        <v>41869</v>
      </c>
      <c r="C362" s="743">
        <v>2014</v>
      </c>
      <c r="D362" s="746" t="s">
        <v>15</v>
      </c>
      <c r="E362" s="746" t="s">
        <v>25</v>
      </c>
      <c r="F362" s="746" t="s">
        <v>17</v>
      </c>
      <c r="G362" s="746" t="s">
        <v>58</v>
      </c>
      <c r="H362" s="694" t="s">
        <v>393</v>
      </c>
      <c r="I362" s="746" t="s">
        <v>5</v>
      </c>
      <c r="J362" s="746" t="s">
        <v>376</v>
      </c>
      <c r="K362" s="706">
        <v>1</v>
      </c>
      <c r="L362" s="745" t="s">
        <v>58</v>
      </c>
      <c r="M362" s="706" t="s">
        <v>918</v>
      </c>
      <c r="N362" s="706">
        <v>18</v>
      </c>
      <c r="O362" s="706"/>
      <c r="P362" s="706"/>
      <c r="Q362" s="706"/>
      <c r="R362" s="706"/>
      <c r="S362" s="706"/>
      <c r="T362" s="706"/>
      <c r="U362" s="738">
        <v>0.1051154994194438</v>
      </c>
      <c r="V362" s="738">
        <v>94</v>
      </c>
      <c r="W362" s="793">
        <v>0.1051154994194438</v>
      </c>
      <c r="X362" s="708">
        <v>94</v>
      </c>
      <c r="Y362" s="719">
        <v>1692</v>
      </c>
      <c r="Z362" s="719">
        <v>849.23945805984226</v>
      </c>
      <c r="AA362" s="719">
        <v>47.179969892213457</v>
      </c>
      <c r="AB362" s="738">
        <v>5.2759001040578082E-2</v>
      </c>
      <c r="AC362" s="792">
        <v>1</v>
      </c>
      <c r="AD362" s="792">
        <v>1</v>
      </c>
      <c r="AE362" s="717">
        <v>0.54049295774647899</v>
      </c>
      <c r="AF362" s="714">
        <v>4.2407531067898789E-2</v>
      </c>
      <c r="AG362" s="706"/>
      <c r="AH362" s="792">
        <v>0.50191457332141975</v>
      </c>
      <c r="AI362" s="748">
        <v>0.54049295774647899</v>
      </c>
      <c r="AJ362" s="748">
        <v>4.2407531067898789E-2</v>
      </c>
      <c r="AK362" s="748"/>
      <c r="AL362" s="714">
        <v>0.50191457332141975</v>
      </c>
      <c r="AM362" s="706"/>
      <c r="AN362" s="706"/>
      <c r="AO362" s="706"/>
      <c r="AP362" s="706"/>
      <c r="AQ362" s="706"/>
      <c r="AR362" s="706" t="s">
        <v>877</v>
      </c>
      <c r="AS362" s="706"/>
      <c r="AT362" s="706"/>
      <c r="AU362" s="706"/>
      <c r="AV362" s="706">
        <v>5.2759001040578082E-2</v>
      </c>
      <c r="AW362" s="706">
        <v>5.2759001040578082E-2</v>
      </c>
      <c r="AX362" s="706">
        <v>5.2759001040578082E-2</v>
      </c>
      <c r="AY362" s="706">
        <v>5.2759001040578082E-2</v>
      </c>
      <c r="AZ362" s="706">
        <v>5.2759001040578082E-2</v>
      </c>
      <c r="BA362" s="706">
        <v>5.2759001040578082E-2</v>
      </c>
      <c r="BB362" s="706">
        <v>5.2759001040578082E-2</v>
      </c>
      <c r="BC362" s="706">
        <v>5.2759001040578082E-2</v>
      </c>
      <c r="BD362" s="706">
        <v>5.2759001040578082E-2</v>
      </c>
      <c r="BE362" s="706">
        <v>5.2759001040578082E-2</v>
      </c>
      <c r="BF362" s="706">
        <v>5.2759001040578082E-2</v>
      </c>
      <c r="BG362" s="706">
        <v>5.2759001040578082E-2</v>
      </c>
      <c r="BH362" s="706">
        <v>5.2759001040578082E-2</v>
      </c>
      <c r="BI362" s="706">
        <v>5.2759001040578082E-2</v>
      </c>
      <c r="BJ362" s="706">
        <v>5.2759001040578082E-2</v>
      </c>
      <c r="BK362" s="706">
        <v>5.2759001040578082E-2</v>
      </c>
      <c r="BL362" s="706">
        <v>5.2759001040578082E-2</v>
      </c>
      <c r="BM362" s="706">
        <v>5.2759001040578082E-2</v>
      </c>
      <c r="BN362" s="706"/>
      <c r="BO362" s="706"/>
      <c r="BP362" s="706"/>
      <c r="BQ362" s="706"/>
      <c r="BR362" s="706"/>
      <c r="BS362" s="706"/>
      <c r="BT362" s="706"/>
      <c r="BU362" s="706"/>
      <c r="BV362" s="791">
        <v>47.179969892213457</v>
      </c>
      <c r="BW362" s="791">
        <v>47.179969892213457</v>
      </c>
      <c r="BX362" s="791">
        <v>47.179969892213457</v>
      </c>
      <c r="BY362" s="791">
        <v>47.179969892213457</v>
      </c>
      <c r="BZ362" s="791">
        <v>47.179969892213457</v>
      </c>
      <c r="CA362" s="791">
        <v>47.179969892213457</v>
      </c>
      <c r="CB362" s="791">
        <v>47.179969892213457</v>
      </c>
      <c r="CC362" s="791">
        <v>47.179969892213457</v>
      </c>
      <c r="CD362" s="791">
        <v>47.179969892213457</v>
      </c>
      <c r="CE362" s="791">
        <v>47.179969892213457</v>
      </c>
      <c r="CF362" s="791">
        <v>47.179969892213457</v>
      </c>
      <c r="CG362" s="791">
        <v>47.179969892213457</v>
      </c>
      <c r="CH362" s="791">
        <v>47.179969892213457</v>
      </c>
      <c r="CI362" s="791">
        <v>47.179969892213457</v>
      </c>
      <c r="CJ362" s="791">
        <v>47.179969892213457</v>
      </c>
      <c r="CK362" s="791">
        <v>47.179969892213457</v>
      </c>
      <c r="CL362" s="791">
        <v>47.179969892213457</v>
      </c>
      <c r="CM362" s="791">
        <v>47.179969892213457</v>
      </c>
      <c r="CN362" s="791"/>
      <c r="CO362" s="706"/>
      <c r="CP362" s="706"/>
      <c r="CQ362" s="706"/>
      <c r="CR362" s="706"/>
    </row>
    <row r="363" spans="1:96">
      <c r="A363" s="694" t="s">
        <v>3</v>
      </c>
      <c r="B363" s="794">
        <v>41870</v>
      </c>
      <c r="C363" s="743">
        <v>2014</v>
      </c>
      <c r="D363" s="746" t="s">
        <v>15</v>
      </c>
      <c r="E363" s="746" t="s">
        <v>25</v>
      </c>
      <c r="F363" s="746" t="s">
        <v>17</v>
      </c>
      <c r="G363" s="746" t="s">
        <v>58</v>
      </c>
      <c r="H363" s="694" t="s">
        <v>393</v>
      </c>
      <c r="I363" s="746" t="s">
        <v>5</v>
      </c>
      <c r="J363" s="746" t="s">
        <v>376</v>
      </c>
      <c r="K363" s="706">
        <v>1</v>
      </c>
      <c r="L363" s="745" t="s">
        <v>58</v>
      </c>
      <c r="M363" s="706" t="s">
        <v>917</v>
      </c>
      <c r="N363" s="706">
        <v>18</v>
      </c>
      <c r="O363" s="706"/>
      <c r="P363" s="706"/>
      <c r="Q363" s="706"/>
      <c r="R363" s="706"/>
      <c r="S363" s="706"/>
      <c r="T363" s="706"/>
      <c r="U363" s="738">
        <v>0.1051154994194438</v>
      </c>
      <c r="V363" s="738">
        <v>94</v>
      </c>
      <c r="W363" s="793">
        <v>0.1051154994194438</v>
      </c>
      <c r="X363" s="708">
        <v>94</v>
      </c>
      <c r="Y363" s="719">
        <v>1692</v>
      </c>
      <c r="Z363" s="719">
        <v>849.23945805984226</v>
      </c>
      <c r="AA363" s="719">
        <v>47.179969892213457</v>
      </c>
      <c r="AB363" s="738">
        <v>5.2759001040578082E-2</v>
      </c>
      <c r="AC363" s="792">
        <v>1</v>
      </c>
      <c r="AD363" s="792">
        <v>1</v>
      </c>
      <c r="AE363" s="717">
        <v>0.54049295774647899</v>
      </c>
      <c r="AF363" s="714">
        <v>4.2407531067898789E-2</v>
      </c>
      <c r="AG363" s="706"/>
      <c r="AH363" s="792">
        <v>0.50191457332141975</v>
      </c>
      <c r="AI363" s="748">
        <v>0.54049295774647899</v>
      </c>
      <c r="AJ363" s="748">
        <v>4.2407531067898789E-2</v>
      </c>
      <c r="AK363" s="748"/>
      <c r="AL363" s="714">
        <v>0.50191457332141975</v>
      </c>
      <c r="AM363" s="706"/>
      <c r="AN363" s="706"/>
      <c r="AO363" s="706"/>
      <c r="AP363" s="706"/>
      <c r="AQ363" s="706"/>
      <c r="AR363" s="706" t="s">
        <v>877</v>
      </c>
      <c r="AS363" s="706"/>
      <c r="AT363" s="706"/>
      <c r="AU363" s="706"/>
      <c r="AV363" s="706">
        <v>5.2759001040578082E-2</v>
      </c>
      <c r="AW363" s="706">
        <v>5.2759001040578082E-2</v>
      </c>
      <c r="AX363" s="706">
        <v>5.2759001040578082E-2</v>
      </c>
      <c r="AY363" s="706">
        <v>5.2759001040578082E-2</v>
      </c>
      <c r="AZ363" s="706">
        <v>5.2759001040578082E-2</v>
      </c>
      <c r="BA363" s="706">
        <v>5.2759001040578082E-2</v>
      </c>
      <c r="BB363" s="706">
        <v>5.2759001040578082E-2</v>
      </c>
      <c r="BC363" s="706">
        <v>5.2759001040578082E-2</v>
      </c>
      <c r="BD363" s="706">
        <v>5.2759001040578082E-2</v>
      </c>
      <c r="BE363" s="706">
        <v>5.2759001040578082E-2</v>
      </c>
      <c r="BF363" s="706">
        <v>5.2759001040578082E-2</v>
      </c>
      <c r="BG363" s="706">
        <v>5.2759001040578082E-2</v>
      </c>
      <c r="BH363" s="706">
        <v>5.2759001040578082E-2</v>
      </c>
      <c r="BI363" s="706">
        <v>5.2759001040578082E-2</v>
      </c>
      <c r="BJ363" s="706">
        <v>5.2759001040578082E-2</v>
      </c>
      <c r="BK363" s="706">
        <v>5.2759001040578082E-2</v>
      </c>
      <c r="BL363" s="706">
        <v>5.2759001040578082E-2</v>
      </c>
      <c r="BM363" s="706">
        <v>5.2759001040578082E-2</v>
      </c>
      <c r="BN363" s="706"/>
      <c r="BO363" s="706"/>
      <c r="BP363" s="706"/>
      <c r="BQ363" s="706"/>
      <c r="BR363" s="706"/>
      <c r="BS363" s="706"/>
      <c r="BT363" s="706"/>
      <c r="BU363" s="706"/>
      <c r="BV363" s="791">
        <v>47.179969892213457</v>
      </c>
      <c r="BW363" s="791">
        <v>47.179969892213457</v>
      </c>
      <c r="BX363" s="791">
        <v>47.179969892213457</v>
      </c>
      <c r="BY363" s="791">
        <v>47.179969892213457</v>
      </c>
      <c r="BZ363" s="791">
        <v>47.179969892213457</v>
      </c>
      <c r="CA363" s="791">
        <v>47.179969892213457</v>
      </c>
      <c r="CB363" s="791">
        <v>47.179969892213457</v>
      </c>
      <c r="CC363" s="791">
        <v>47.179969892213457</v>
      </c>
      <c r="CD363" s="791">
        <v>47.179969892213457</v>
      </c>
      <c r="CE363" s="791">
        <v>47.179969892213457</v>
      </c>
      <c r="CF363" s="791">
        <v>47.179969892213457</v>
      </c>
      <c r="CG363" s="791">
        <v>47.179969892213457</v>
      </c>
      <c r="CH363" s="791">
        <v>47.179969892213457</v>
      </c>
      <c r="CI363" s="791">
        <v>47.179969892213457</v>
      </c>
      <c r="CJ363" s="791">
        <v>47.179969892213457</v>
      </c>
      <c r="CK363" s="791">
        <v>47.179969892213457</v>
      </c>
      <c r="CL363" s="791">
        <v>47.179969892213457</v>
      </c>
      <c r="CM363" s="791">
        <v>47.179969892213457</v>
      </c>
      <c r="CN363" s="791"/>
      <c r="CO363" s="706"/>
      <c r="CP363" s="706"/>
      <c r="CQ363" s="706"/>
      <c r="CR363" s="706"/>
    </row>
    <row r="364" spans="1:96">
      <c r="A364" s="694" t="s">
        <v>3</v>
      </c>
      <c r="B364" s="794">
        <v>41793</v>
      </c>
      <c r="C364" s="743">
        <v>2014</v>
      </c>
      <c r="D364" s="746" t="s">
        <v>15</v>
      </c>
      <c r="E364" s="746" t="s">
        <v>25</v>
      </c>
      <c r="F364" s="746" t="s">
        <v>17</v>
      </c>
      <c r="G364" s="746" t="s">
        <v>58</v>
      </c>
      <c r="H364" s="694" t="s">
        <v>393</v>
      </c>
      <c r="I364" s="746" t="s">
        <v>5</v>
      </c>
      <c r="J364" s="746" t="s">
        <v>376</v>
      </c>
      <c r="K364" s="706">
        <v>1</v>
      </c>
      <c r="L364" s="745" t="s">
        <v>58</v>
      </c>
      <c r="M364" s="706" t="s">
        <v>916</v>
      </c>
      <c r="N364" s="706">
        <v>18</v>
      </c>
      <c r="O364" s="706"/>
      <c r="P364" s="706"/>
      <c r="Q364" s="706"/>
      <c r="R364" s="706"/>
      <c r="S364" s="706"/>
      <c r="T364" s="706"/>
      <c r="U364" s="738">
        <v>0.1051154994194438</v>
      </c>
      <c r="V364" s="738">
        <v>94</v>
      </c>
      <c r="W364" s="793">
        <v>0.1051154994194438</v>
      </c>
      <c r="X364" s="708">
        <v>94</v>
      </c>
      <c r="Y364" s="719">
        <v>1692</v>
      </c>
      <c r="Z364" s="719">
        <v>849.23945805984226</v>
      </c>
      <c r="AA364" s="719">
        <v>47.179969892213457</v>
      </c>
      <c r="AB364" s="738">
        <v>5.2759001040578082E-2</v>
      </c>
      <c r="AC364" s="792">
        <v>1</v>
      </c>
      <c r="AD364" s="792">
        <v>1</v>
      </c>
      <c r="AE364" s="717">
        <v>0.54049295774647899</v>
      </c>
      <c r="AF364" s="714">
        <v>4.2407531067898789E-2</v>
      </c>
      <c r="AG364" s="706"/>
      <c r="AH364" s="792">
        <v>0.50191457332141975</v>
      </c>
      <c r="AI364" s="748">
        <v>0.54049295774647899</v>
      </c>
      <c r="AJ364" s="748">
        <v>4.2407531067898789E-2</v>
      </c>
      <c r="AK364" s="748"/>
      <c r="AL364" s="714">
        <v>0.50191457332141975</v>
      </c>
      <c r="AM364" s="706"/>
      <c r="AN364" s="706"/>
      <c r="AO364" s="706"/>
      <c r="AP364" s="706"/>
      <c r="AQ364" s="706"/>
      <c r="AR364" s="706" t="s">
        <v>877</v>
      </c>
      <c r="AS364" s="706"/>
      <c r="AT364" s="706"/>
      <c r="AU364" s="706"/>
      <c r="AV364" s="706">
        <v>5.2759001040578082E-2</v>
      </c>
      <c r="AW364" s="706">
        <v>5.2759001040578082E-2</v>
      </c>
      <c r="AX364" s="706">
        <v>5.2759001040578082E-2</v>
      </c>
      <c r="AY364" s="706">
        <v>5.2759001040578082E-2</v>
      </c>
      <c r="AZ364" s="706">
        <v>5.2759001040578082E-2</v>
      </c>
      <c r="BA364" s="706">
        <v>5.2759001040578082E-2</v>
      </c>
      <c r="BB364" s="706">
        <v>5.2759001040578082E-2</v>
      </c>
      <c r="BC364" s="706">
        <v>5.2759001040578082E-2</v>
      </c>
      <c r="BD364" s="706">
        <v>5.2759001040578082E-2</v>
      </c>
      <c r="BE364" s="706">
        <v>5.2759001040578082E-2</v>
      </c>
      <c r="BF364" s="706">
        <v>5.2759001040578082E-2</v>
      </c>
      <c r="BG364" s="706">
        <v>5.2759001040578082E-2</v>
      </c>
      <c r="BH364" s="706">
        <v>5.2759001040578082E-2</v>
      </c>
      <c r="BI364" s="706">
        <v>5.2759001040578082E-2</v>
      </c>
      <c r="BJ364" s="706">
        <v>5.2759001040578082E-2</v>
      </c>
      <c r="BK364" s="706">
        <v>5.2759001040578082E-2</v>
      </c>
      <c r="BL364" s="706">
        <v>5.2759001040578082E-2</v>
      </c>
      <c r="BM364" s="706">
        <v>5.2759001040578082E-2</v>
      </c>
      <c r="BN364" s="706"/>
      <c r="BO364" s="706"/>
      <c r="BP364" s="706"/>
      <c r="BQ364" s="706"/>
      <c r="BR364" s="706"/>
      <c r="BS364" s="706"/>
      <c r="BT364" s="706"/>
      <c r="BU364" s="706"/>
      <c r="BV364" s="791">
        <v>47.179969892213457</v>
      </c>
      <c r="BW364" s="791">
        <v>47.179969892213457</v>
      </c>
      <c r="BX364" s="791">
        <v>47.179969892213457</v>
      </c>
      <c r="BY364" s="791">
        <v>47.179969892213457</v>
      </c>
      <c r="BZ364" s="791">
        <v>47.179969892213457</v>
      </c>
      <c r="CA364" s="791">
        <v>47.179969892213457</v>
      </c>
      <c r="CB364" s="791">
        <v>47.179969892213457</v>
      </c>
      <c r="CC364" s="791">
        <v>47.179969892213457</v>
      </c>
      <c r="CD364" s="791">
        <v>47.179969892213457</v>
      </c>
      <c r="CE364" s="791">
        <v>47.179969892213457</v>
      </c>
      <c r="CF364" s="791">
        <v>47.179969892213457</v>
      </c>
      <c r="CG364" s="791">
        <v>47.179969892213457</v>
      </c>
      <c r="CH364" s="791">
        <v>47.179969892213457</v>
      </c>
      <c r="CI364" s="791">
        <v>47.179969892213457</v>
      </c>
      <c r="CJ364" s="791">
        <v>47.179969892213457</v>
      </c>
      <c r="CK364" s="791">
        <v>47.179969892213457</v>
      </c>
      <c r="CL364" s="791">
        <v>47.179969892213457</v>
      </c>
      <c r="CM364" s="791">
        <v>47.179969892213457</v>
      </c>
      <c r="CN364" s="791"/>
      <c r="CO364" s="706"/>
      <c r="CP364" s="706"/>
      <c r="CQ364" s="706"/>
      <c r="CR364" s="706"/>
    </row>
    <row r="365" spans="1:96">
      <c r="A365" s="694" t="s">
        <v>3</v>
      </c>
      <c r="B365" s="794">
        <v>41810</v>
      </c>
      <c r="C365" s="743">
        <v>2014</v>
      </c>
      <c r="D365" s="746" t="s">
        <v>15</v>
      </c>
      <c r="E365" s="746" t="s">
        <v>25</v>
      </c>
      <c r="F365" s="746" t="s">
        <v>17</v>
      </c>
      <c r="G365" s="746" t="s">
        <v>58</v>
      </c>
      <c r="H365" s="694" t="s">
        <v>393</v>
      </c>
      <c r="I365" s="746" t="s">
        <v>5</v>
      </c>
      <c r="J365" s="746" t="s">
        <v>376</v>
      </c>
      <c r="K365" s="706">
        <v>1</v>
      </c>
      <c r="L365" s="745" t="s">
        <v>58</v>
      </c>
      <c r="M365" s="706" t="s">
        <v>915</v>
      </c>
      <c r="N365" s="706">
        <v>18</v>
      </c>
      <c r="O365" s="706"/>
      <c r="P365" s="706"/>
      <c r="Q365" s="706"/>
      <c r="R365" s="706"/>
      <c r="S365" s="706"/>
      <c r="T365" s="706"/>
      <c r="U365" s="738">
        <v>0.1051154994194438</v>
      </c>
      <c r="V365" s="738">
        <v>94</v>
      </c>
      <c r="W365" s="793">
        <v>0.1051154994194438</v>
      </c>
      <c r="X365" s="708">
        <v>94</v>
      </c>
      <c r="Y365" s="719">
        <v>1692</v>
      </c>
      <c r="Z365" s="719">
        <v>849.23945805984226</v>
      </c>
      <c r="AA365" s="719">
        <v>47.179969892213457</v>
      </c>
      <c r="AB365" s="738">
        <v>5.2759001040578082E-2</v>
      </c>
      <c r="AC365" s="792">
        <v>1</v>
      </c>
      <c r="AD365" s="792">
        <v>1</v>
      </c>
      <c r="AE365" s="717">
        <v>0.54049295774647899</v>
      </c>
      <c r="AF365" s="714">
        <v>4.2407531067898789E-2</v>
      </c>
      <c r="AG365" s="706"/>
      <c r="AH365" s="792">
        <v>0.50191457332141975</v>
      </c>
      <c r="AI365" s="748">
        <v>0.54049295774647899</v>
      </c>
      <c r="AJ365" s="748">
        <v>4.2407531067898789E-2</v>
      </c>
      <c r="AK365" s="748"/>
      <c r="AL365" s="714">
        <v>0.50191457332141975</v>
      </c>
      <c r="AM365" s="706"/>
      <c r="AN365" s="706"/>
      <c r="AO365" s="706"/>
      <c r="AP365" s="706"/>
      <c r="AQ365" s="706"/>
      <c r="AR365" s="706" t="s">
        <v>877</v>
      </c>
      <c r="AS365" s="706"/>
      <c r="AT365" s="706"/>
      <c r="AU365" s="706"/>
      <c r="AV365" s="706">
        <v>5.2759001040578082E-2</v>
      </c>
      <c r="AW365" s="706">
        <v>5.2759001040578082E-2</v>
      </c>
      <c r="AX365" s="706">
        <v>5.2759001040578082E-2</v>
      </c>
      <c r="AY365" s="706">
        <v>5.2759001040578082E-2</v>
      </c>
      <c r="AZ365" s="706">
        <v>5.2759001040578082E-2</v>
      </c>
      <c r="BA365" s="706">
        <v>5.2759001040578082E-2</v>
      </c>
      <c r="BB365" s="706">
        <v>5.2759001040578082E-2</v>
      </c>
      <c r="BC365" s="706">
        <v>5.2759001040578082E-2</v>
      </c>
      <c r="BD365" s="706">
        <v>5.2759001040578082E-2</v>
      </c>
      <c r="BE365" s="706">
        <v>5.2759001040578082E-2</v>
      </c>
      <c r="BF365" s="706">
        <v>5.2759001040578082E-2</v>
      </c>
      <c r="BG365" s="706">
        <v>5.2759001040578082E-2</v>
      </c>
      <c r="BH365" s="706">
        <v>5.2759001040578082E-2</v>
      </c>
      <c r="BI365" s="706">
        <v>5.2759001040578082E-2</v>
      </c>
      <c r="BJ365" s="706">
        <v>5.2759001040578082E-2</v>
      </c>
      <c r="BK365" s="706">
        <v>5.2759001040578082E-2</v>
      </c>
      <c r="BL365" s="706">
        <v>5.2759001040578082E-2</v>
      </c>
      <c r="BM365" s="706">
        <v>5.2759001040578082E-2</v>
      </c>
      <c r="BN365" s="706"/>
      <c r="BO365" s="706"/>
      <c r="BP365" s="706"/>
      <c r="BQ365" s="706"/>
      <c r="BR365" s="706"/>
      <c r="BS365" s="706"/>
      <c r="BT365" s="706"/>
      <c r="BU365" s="706"/>
      <c r="BV365" s="791">
        <v>47.179969892213457</v>
      </c>
      <c r="BW365" s="791">
        <v>47.179969892213457</v>
      </c>
      <c r="BX365" s="791">
        <v>47.179969892213457</v>
      </c>
      <c r="BY365" s="791">
        <v>47.179969892213457</v>
      </c>
      <c r="BZ365" s="791">
        <v>47.179969892213457</v>
      </c>
      <c r="CA365" s="791">
        <v>47.179969892213457</v>
      </c>
      <c r="CB365" s="791">
        <v>47.179969892213457</v>
      </c>
      <c r="CC365" s="791">
        <v>47.179969892213457</v>
      </c>
      <c r="CD365" s="791">
        <v>47.179969892213457</v>
      </c>
      <c r="CE365" s="791">
        <v>47.179969892213457</v>
      </c>
      <c r="CF365" s="791">
        <v>47.179969892213457</v>
      </c>
      <c r="CG365" s="791">
        <v>47.179969892213457</v>
      </c>
      <c r="CH365" s="791">
        <v>47.179969892213457</v>
      </c>
      <c r="CI365" s="791">
        <v>47.179969892213457</v>
      </c>
      <c r="CJ365" s="791">
        <v>47.179969892213457</v>
      </c>
      <c r="CK365" s="791">
        <v>47.179969892213457</v>
      </c>
      <c r="CL365" s="791">
        <v>47.179969892213457</v>
      </c>
      <c r="CM365" s="791">
        <v>47.179969892213457</v>
      </c>
      <c r="CN365" s="791"/>
      <c r="CO365" s="706"/>
      <c r="CP365" s="706"/>
      <c r="CQ365" s="706"/>
      <c r="CR365" s="706"/>
    </row>
    <row r="366" spans="1:96">
      <c r="A366" s="694" t="s">
        <v>3</v>
      </c>
      <c r="B366" s="794">
        <v>41878</v>
      </c>
      <c r="C366" s="743">
        <v>2014</v>
      </c>
      <c r="D366" s="746" t="s">
        <v>15</v>
      </c>
      <c r="E366" s="746" t="s">
        <v>25</v>
      </c>
      <c r="F366" s="746" t="s">
        <v>17</v>
      </c>
      <c r="G366" s="746" t="s">
        <v>58</v>
      </c>
      <c r="H366" s="694" t="s">
        <v>393</v>
      </c>
      <c r="I366" s="746" t="s">
        <v>5</v>
      </c>
      <c r="J366" s="746" t="s">
        <v>376</v>
      </c>
      <c r="K366" s="706">
        <v>1</v>
      </c>
      <c r="L366" s="745" t="s">
        <v>58</v>
      </c>
      <c r="M366" s="706" t="s">
        <v>914</v>
      </c>
      <c r="N366" s="706">
        <v>18</v>
      </c>
      <c r="O366" s="706"/>
      <c r="P366" s="706"/>
      <c r="Q366" s="706"/>
      <c r="R366" s="706"/>
      <c r="S366" s="706"/>
      <c r="T366" s="706"/>
      <c r="U366" s="738">
        <v>0.1051154994194438</v>
      </c>
      <c r="V366" s="738">
        <v>94</v>
      </c>
      <c r="W366" s="793">
        <v>0.1051154994194438</v>
      </c>
      <c r="X366" s="708">
        <v>94</v>
      </c>
      <c r="Y366" s="719">
        <v>1692</v>
      </c>
      <c r="Z366" s="719">
        <v>849.23945805984226</v>
      </c>
      <c r="AA366" s="719">
        <v>47.179969892213457</v>
      </c>
      <c r="AB366" s="738">
        <v>5.2759001040578082E-2</v>
      </c>
      <c r="AC366" s="792">
        <v>1</v>
      </c>
      <c r="AD366" s="792">
        <v>1</v>
      </c>
      <c r="AE366" s="717">
        <v>0.54049295774647899</v>
      </c>
      <c r="AF366" s="714">
        <v>4.2407531067898789E-2</v>
      </c>
      <c r="AG366" s="706"/>
      <c r="AH366" s="792">
        <v>0.50191457332141975</v>
      </c>
      <c r="AI366" s="748">
        <v>0.54049295774647899</v>
      </c>
      <c r="AJ366" s="748">
        <v>4.2407531067898789E-2</v>
      </c>
      <c r="AK366" s="748"/>
      <c r="AL366" s="714">
        <v>0.50191457332141975</v>
      </c>
      <c r="AM366" s="706"/>
      <c r="AN366" s="706"/>
      <c r="AO366" s="706"/>
      <c r="AP366" s="706"/>
      <c r="AQ366" s="706"/>
      <c r="AR366" s="706" t="s">
        <v>877</v>
      </c>
      <c r="AS366" s="706"/>
      <c r="AT366" s="706"/>
      <c r="AU366" s="706"/>
      <c r="AV366" s="706">
        <v>5.2759001040578082E-2</v>
      </c>
      <c r="AW366" s="706">
        <v>5.2759001040578082E-2</v>
      </c>
      <c r="AX366" s="706">
        <v>5.2759001040578082E-2</v>
      </c>
      <c r="AY366" s="706">
        <v>5.2759001040578082E-2</v>
      </c>
      <c r="AZ366" s="706">
        <v>5.2759001040578082E-2</v>
      </c>
      <c r="BA366" s="706">
        <v>5.2759001040578082E-2</v>
      </c>
      <c r="BB366" s="706">
        <v>5.2759001040578082E-2</v>
      </c>
      <c r="BC366" s="706">
        <v>5.2759001040578082E-2</v>
      </c>
      <c r="BD366" s="706">
        <v>5.2759001040578082E-2</v>
      </c>
      <c r="BE366" s="706">
        <v>5.2759001040578082E-2</v>
      </c>
      <c r="BF366" s="706">
        <v>5.2759001040578082E-2</v>
      </c>
      <c r="BG366" s="706">
        <v>5.2759001040578082E-2</v>
      </c>
      <c r="BH366" s="706">
        <v>5.2759001040578082E-2</v>
      </c>
      <c r="BI366" s="706">
        <v>5.2759001040578082E-2</v>
      </c>
      <c r="BJ366" s="706">
        <v>5.2759001040578082E-2</v>
      </c>
      <c r="BK366" s="706">
        <v>5.2759001040578082E-2</v>
      </c>
      <c r="BL366" s="706">
        <v>5.2759001040578082E-2</v>
      </c>
      <c r="BM366" s="706">
        <v>5.2759001040578082E-2</v>
      </c>
      <c r="BN366" s="706"/>
      <c r="BO366" s="706"/>
      <c r="BP366" s="706"/>
      <c r="BQ366" s="706"/>
      <c r="BR366" s="706"/>
      <c r="BS366" s="706"/>
      <c r="BT366" s="706"/>
      <c r="BU366" s="706"/>
      <c r="BV366" s="791">
        <v>47.179969892213457</v>
      </c>
      <c r="BW366" s="791">
        <v>47.179969892213457</v>
      </c>
      <c r="BX366" s="791">
        <v>47.179969892213457</v>
      </c>
      <c r="BY366" s="791">
        <v>47.179969892213457</v>
      </c>
      <c r="BZ366" s="791">
        <v>47.179969892213457</v>
      </c>
      <c r="CA366" s="791">
        <v>47.179969892213457</v>
      </c>
      <c r="CB366" s="791">
        <v>47.179969892213457</v>
      </c>
      <c r="CC366" s="791">
        <v>47.179969892213457</v>
      </c>
      <c r="CD366" s="791">
        <v>47.179969892213457</v>
      </c>
      <c r="CE366" s="791">
        <v>47.179969892213457</v>
      </c>
      <c r="CF366" s="791">
        <v>47.179969892213457</v>
      </c>
      <c r="CG366" s="791">
        <v>47.179969892213457</v>
      </c>
      <c r="CH366" s="791">
        <v>47.179969892213457</v>
      </c>
      <c r="CI366" s="791">
        <v>47.179969892213457</v>
      </c>
      <c r="CJ366" s="791">
        <v>47.179969892213457</v>
      </c>
      <c r="CK366" s="791">
        <v>47.179969892213457</v>
      </c>
      <c r="CL366" s="791">
        <v>47.179969892213457</v>
      </c>
      <c r="CM366" s="791">
        <v>47.179969892213457</v>
      </c>
      <c r="CN366" s="791"/>
      <c r="CO366" s="706"/>
      <c r="CP366" s="706"/>
      <c r="CQ366" s="706"/>
      <c r="CR366" s="706"/>
    </row>
    <row r="367" spans="1:96">
      <c r="A367" s="694" t="s">
        <v>3</v>
      </c>
      <c r="B367" s="794">
        <v>41822</v>
      </c>
      <c r="C367" s="743">
        <v>2014</v>
      </c>
      <c r="D367" s="746" t="s">
        <v>15</v>
      </c>
      <c r="E367" s="746" t="s">
        <v>25</v>
      </c>
      <c r="F367" s="746" t="s">
        <v>17</v>
      </c>
      <c r="G367" s="746" t="s">
        <v>58</v>
      </c>
      <c r="H367" s="694" t="s">
        <v>393</v>
      </c>
      <c r="I367" s="746" t="s">
        <v>5</v>
      </c>
      <c r="J367" s="746" t="s">
        <v>376</v>
      </c>
      <c r="K367" s="706">
        <v>1</v>
      </c>
      <c r="L367" s="745" t="s">
        <v>58</v>
      </c>
      <c r="M367" s="706" t="s">
        <v>913</v>
      </c>
      <c r="N367" s="706">
        <v>18</v>
      </c>
      <c r="O367" s="706"/>
      <c r="P367" s="706"/>
      <c r="Q367" s="706"/>
      <c r="R367" s="706"/>
      <c r="S367" s="706"/>
      <c r="T367" s="706"/>
      <c r="U367" s="738">
        <v>0.1051154994194438</v>
      </c>
      <c r="V367" s="738">
        <v>94</v>
      </c>
      <c r="W367" s="793">
        <v>0.1051154994194438</v>
      </c>
      <c r="X367" s="708">
        <v>94</v>
      </c>
      <c r="Y367" s="719">
        <v>1692</v>
      </c>
      <c r="Z367" s="719">
        <v>849.23945805984226</v>
      </c>
      <c r="AA367" s="719">
        <v>47.179969892213457</v>
      </c>
      <c r="AB367" s="738">
        <v>5.2759001040578082E-2</v>
      </c>
      <c r="AC367" s="792">
        <v>1</v>
      </c>
      <c r="AD367" s="792">
        <v>1</v>
      </c>
      <c r="AE367" s="717">
        <v>0.54049295774647899</v>
      </c>
      <c r="AF367" s="714">
        <v>4.2407531067898789E-2</v>
      </c>
      <c r="AG367" s="706"/>
      <c r="AH367" s="792">
        <v>0.50191457332141975</v>
      </c>
      <c r="AI367" s="748">
        <v>0.54049295774647899</v>
      </c>
      <c r="AJ367" s="748">
        <v>4.2407531067898789E-2</v>
      </c>
      <c r="AK367" s="748"/>
      <c r="AL367" s="714">
        <v>0.50191457332141975</v>
      </c>
      <c r="AM367" s="706"/>
      <c r="AN367" s="706"/>
      <c r="AO367" s="706"/>
      <c r="AP367" s="706"/>
      <c r="AQ367" s="706"/>
      <c r="AR367" s="706" t="s">
        <v>877</v>
      </c>
      <c r="AS367" s="706"/>
      <c r="AT367" s="706"/>
      <c r="AU367" s="706"/>
      <c r="AV367" s="706">
        <v>5.2759001040578082E-2</v>
      </c>
      <c r="AW367" s="706">
        <v>5.2759001040578082E-2</v>
      </c>
      <c r="AX367" s="706">
        <v>5.2759001040578082E-2</v>
      </c>
      <c r="AY367" s="706">
        <v>5.2759001040578082E-2</v>
      </c>
      <c r="AZ367" s="706">
        <v>5.2759001040578082E-2</v>
      </c>
      <c r="BA367" s="706">
        <v>5.2759001040578082E-2</v>
      </c>
      <c r="BB367" s="706">
        <v>5.2759001040578082E-2</v>
      </c>
      <c r="BC367" s="706">
        <v>5.2759001040578082E-2</v>
      </c>
      <c r="BD367" s="706">
        <v>5.2759001040578082E-2</v>
      </c>
      <c r="BE367" s="706">
        <v>5.2759001040578082E-2</v>
      </c>
      <c r="BF367" s="706">
        <v>5.2759001040578082E-2</v>
      </c>
      <c r="BG367" s="706">
        <v>5.2759001040578082E-2</v>
      </c>
      <c r="BH367" s="706">
        <v>5.2759001040578082E-2</v>
      </c>
      <c r="BI367" s="706">
        <v>5.2759001040578082E-2</v>
      </c>
      <c r="BJ367" s="706">
        <v>5.2759001040578082E-2</v>
      </c>
      <c r="BK367" s="706">
        <v>5.2759001040578082E-2</v>
      </c>
      <c r="BL367" s="706">
        <v>5.2759001040578082E-2</v>
      </c>
      <c r="BM367" s="706">
        <v>5.2759001040578082E-2</v>
      </c>
      <c r="BN367" s="706"/>
      <c r="BO367" s="706"/>
      <c r="BP367" s="706"/>
      <c r="BQ367" s="706"/>
      <c r="BR367" s="706"/>
      <c r="BS367" s="706"/>
      <c r="BT367" s="706"/>
      <c r="BU367" s="706"/>
      <c r="BV367" s="791">
        <v>47.179969892213457</v>
      </c>
      <c r="BW367" s="791">
        <v>47.179969892213457</v>
      </c>
      <c r="BX367" s="791">
        <v>47.179969892213457</v>
      </c>
      <c r="BY367" s="791">
        <v>47.179969892213457</v>
      </c>
      <c r="BZ367" s="791">
        <v>47.179969892213457</v>
      </c>
      <c r="CA367" s="791">
        <v>47.179969892213457</v>
      </c>
      <c r="CB367" s="791">
        <v>47.179969892213457</v>
      </c>
      <c r="CC367" s="791">
        <v>47.179969892213457</v>
      </c>
      <c r="CD367" s="791">
        <v>47.179969892213457</v>
      </c>
      <c r="CE367" s="791">
        <v>47.179969892213457</v>
      </c>
      <c r="CF367" s="791">
        <v>47.179969892213457</v>
      </c>
      <c r="CG367" s="791">
        <v>47.179969892213457</v>
      </c>
      <c r="CH367" s="791">
        <v>47.179969892213457</v>
      </c>
      <c r="CI367" s="791">
        <v>47.179969892213457</v>
      </c>
      <c r="CJ367" s="791">
        <v>47.179969892213457</v>
      </c>
      <c r="CK367" s="791">
        <v>47.179969892213457</v>
      </c>
      <c r="CL367" s="791">
        <v>47.179969892213457</v>
      </c>
      <c r="CM367" s="791">
        <v>47.179969892213457</v>
      </c>
      <c r="CN367" s="791"/>
      <c r="CO367" s="706"/>
      <c r="CP367" s="706"/>
      <c r="CQ367" s="706"/>
      <c r="CR367" s="706"/>
    </row>
    <row r="368" spans="1:96">
      <c r="A368" s="694" t="s">
        <v>3</v>
      </c>
      <c r="B368" s="794">
        <v>41912</v>
      </c>
      <c r="C368" s="743">
        <v>2014</v>
      </c>
      <c r="D368" s="746" t="s">
        <v>15</v>
      </c>
      <c r="E368" s="746" t="s">
        <v>25</v>
      </c>
      <c r="F368" s="746" t="s">
        <v>17</v>
      </c>
      <c r="G368" s="746" t="s">
        <v>58</v>
      </c>
      <c r="H368" s="694" t="s">
        <v>393</v>
      </c>
      <c r="I368" s="746" t="s">
        <v>5</v>
      </c>
      <c r="J368" s="746" t="s">
        <v>376</v>
      </c>
      <c r="K368" s="706">
        <v>1</v>
      </c>
      <c r="L368" s="745" t="s">
        <v>58</v>
      </c>
      <c r="M368" s="706" t="s">
        <v>912</v>
      </c>
      <c r="N368" s="706">
        <v>18</v>
      </c>
      <c r="O368" s="706"/>
      <c r="P368" s="706"/>
      <c r="Q368" s="706"/>
      <c r="R368" s="706"/>
      <c r="S368" s="706"/>
      <c r="T368" s="706"/>
      <c r="U368" s="738">
        <v>0.1051154994194438</v>
      </c>
      <c r="V368" s="738">
        <v>94</v>
      </c>
      <c r="W368" s="793">
        <v>0.1051154994194438</v>
      </c>
      <c r="X368" s="708">
        <v>94</v>
      </c>
      <c r="Y368" s="719">
        <v>1692</v>
      </c>
      <c r="Z368" s="719">
        <v>849.23945805984226</v>
      </c>
      <c r="AA368" s="719">
        <v>47.179969892213457</v>
      </c>
      <c r="AB368" s="738">
        <v>5.2759001040578082E-2</v>
      </c>
      <c r="AC368" s="792">
        <v>1</v>
      </c>
      <c r="AD368" s="792">
        <v>1</v>
      </c>
      <c r="AE368" s="717">
        <v>0.54049295774647899</v>
      </c>
      <c r="AF368" s="714">
        <v>4.2407531067898789E-2</v>
      </c>
      <c r="AG368" s="706"/>
      <c r="AH368" s="792">
        <v>0.50191457332141975</v>
      </c>
      <c r="AI368" s="748">
        <v>0.54049295774647899</v>
      </c>
      <c r="AJ368" s="748">
        <v>4.2407531067898789E-2</v>
      </c>
      <c r="AK368" s="748"/>
      <c r="AL368" s="714">
        <v>0.50191457332141975</v>
      </c>
      <c r="AM368" s="706"/>
      <c r="AN368" s="706"/>
      <c r="AO368" s="706"/>
      <c r="AP368" s="706"/>
      <c r="AQ368" s="706"/>
      <c r="AR368" s="706" t="s">
        <v>877</v>
      </c>
      <c r="AS368" s="706"/>
      <c r="AT368" s="706"/>
      <c r="AU368" s="706"/>
      <c r="AV368" s="706">
        <v>5.2759001040578082E-2</v>
      </c>
      <c r="AW368" s="706">
        <v>5.2759001040578082E-2</v>
      </c>
      <c r="AX368" s="706">
        <v>5.2759001040578082E-2</v>
      </c>
      <c r="AY368" s="706">
        <v>5.2759001040578082E-2</v>
      </c>
      <c r="AZ368" s="706">
        <v>5.2759001040578082E-2</v>
      </c>
      <c r="BA368" s="706">
        <v>5.2759001040578082E-2</v>
      </c>
      <c r="BB368" s="706">
        <v>5.2759001040578082E-2</v>
      </c>
      <c r="BC368" s="706">
        <v>5.2759001040578082E-2</v>
      </c>
      <c r="BD368" s="706">
        <v>5.2759001040578082E-2</v>
      </c>
      <c r="BE368" s="706">
        <v>5.2759001040578082E-2</v>
      </c>
      <c r="BF368" s="706">
        <v>5.2759001040578082E-2</v>
      </c>
      <c r="BG368" s="706">
        <v>5.2759001040578082E-2</v>
      </c>
      <c r="BH368" s="706">
        <v>5.2759001040578082E-2</v>
      </c>
      <c r="BI368" s="706">
        <v>5.2759001040578082E-2</v>
      </c>
      <c r="BJ368" s="706">
        <v>5.2759001040578082E-2</v>
      </c>
      <c r="BK368" s="706">
        <v>5.2759001040578082E-2</v>
      </c>
      <c r="BL368" s="706">
        <v>5.2759001040578082E-2</v>
      </c>
      <c r="BM368" s="706">
        <v>5.2759001040578082E-2</v>
      </c>
      <c r="BN368" s="706"/>
      <c r="BO368" s="706"/>
      <c r="BP368" s="706"/>
      <c r="BQ368" s="706"/>
      <c r="BR368" s="706"/>
      <c r="BS368" s="706"/>
      <c r="BT368" s="706"/>
      <c r="BU368" s="706"/>
      <c r="BV368" s="791">
        <v>47.179969892213457</v>
      </c>
      <c r="BW368" s="791">
        <v>47.179969892213457</v>
      </c>
      <c r="BX368" s="791">
        <v>47.179969892213457</v>
      </c>
      <c r="BY368" s="791">
        <v>47.179969892213457</v>
      </c>
      <c r="BZ368" s="791">
        <v>47.179969892213457</v>
      </c>
      <c r="CA368" s="791">
        <v>47.179969892213457</v>
      </c>
      <c r="CB368" s="791">
        <v>47.179969892213457</v>
      </c>
      <c r="CC368" s="791">
        <v>47.179969892213457</v>
      </c>
      <c r="CD368" s="791">
        <v>47.179969892213457</v>
      </c>
      <c r="CE368" s="791">
        <v>47.179969892213457</v>
      </c>
      <c r="CF368" s="791">
        <v>47.179969892213457</v>
      </c>
      <c r="CG368" s="791">
        <v>47.179969892213457</v>
      </c>
      <c r="CH368" s="791">
        <v>47.179969892213457</v>
      </c>
      <c r="CI368" s="791">
        <v>47.179969892213457</v>
      </c>
      <c r="CJ368" s="791">
        <v>47.179969892213457</v>
      </c>
      <c r="CK368" s="791">
        <v>47.179969892213457</v>
      </c>
      <c r="CL368" s="791">
        <v>47.179969892213457</v>
      </c>
      <c r="CM368" s="791">
        <v>47.179969892213457</v>
      </c>
      <c r="CN368" s="791"/>
      <c r="CO368" s="706"/>
      <c r="CP368" s="706"/>
      <c r="CQ368" s="706"/>
      <c r="CR368" s="706"/>
    </row>
    <row r="369" spans="1:96">
      <c r="A369" s="694" t="s">
        <v>3</v>
      </c>
      <c r="B369" s="794">
        <v>41752</v>
      </c>
      <c r="C369" s="743">
        <v>2014</v>
      </c>
      <c r="D369" s="746" t="s">
        <v>15</v>
      </c>
      <c r="E369" s="746" t="s">
        <v>25</v>
      </c>
      <c r="F369" s="746" t="s">
        <v>17</v>
      </c>
      <c r="G369" s="746" t="s">
        <v>58</v>
      </c>
      <c r="H369" s="694" t="s">
        <v>393</v>
      </c>
      <c r="I369" s="746" t="s">
        <v>5</v>
      </c>
      <c r="J369" s="746" t="s">
        <v>376</v>
      </c>
      <c r="K369" s="706">
        <v>1</v>
      </c>
      <c r="L369" s="745" t="s">
        <v>58</v>
      </c>
      <c r="M369" s="706" t="s">
        <v>911</v>
      </c>
      <c r="N369" s="706">
        <v>18</v>
      </c>
      <c r="O369" s="706"/>
      <c r="P369" s="706"/>
      <c r="Q369" s="706"/>
      <c r="R369" s="706"/>
      <c r="S369" s="706"/>
      <c r="T369" s="706"/>
      <c r="U369" s="738">
        <v>0.1051154994194438</v>
      </c>
      <c r="V369" s="738">
        <v>94</v>
      </c>
      <c r="W369" s="793">
        <v>0.1051154994194438</v>
      </c>
      <c r="X369" s="708">
        <v>94</v>
      </c>
      <c r="Y369" s="719">
        <v>1692</v>
      </c>
      <c r="Z369" s="719">
        <v>849.23945805984226</v>
      </c>
      <c r="AA369" s="719">
        <v>47.179969892213457</v>
      </c>
      <c r="AB369" s="738">
        <v>5.2759001040578082E-2</v>
      </c>
      <c r="AC369" s="792">
        <v>1</v>
      </c>
      <c r="AD369" s="792">
        <v>1</v>
      </c>
      <c r="AE369" s="717">
        <v>0.54049295774647899</v>
      </c>
      <c r="AF369" s="714">
        <v>4.2407531067898789E-2</v>
      </c>
      <c r="AG369" s="706"/>
      <c r="AH369" s="792">
        <v>0.50191457332141975</v>
      </c>
      <c r="AI369" s="748">
        <v>0.54049295774647899</v>
      </c>
      <c r="AJ369" s="748">
        <v>4.2407531067898789E-2</v>
      </c>
      <c r="AK369" s="748"/>
      <c r="AL369" s="714">
        <v>0.50191457332141975</v>
      </c>
      <c r="AM369" s="706"/>
      <c r="AN369" s="706"/>
      <c r="AO369" s="706"/>
      <c r="AP369" s="706"/>
      <c r="AQ369" s="706"/>
      <c r="AR369" s="706" t="s">
        <v>877</v>
      </c>
      <c r="AS369" s="706"/>
      <c r="AT369" s="706"/>
      <c r="AU369" s="706"/>
      <c r="AV369" s="706">
        <v>5.2759001040578082E-2</v>
      </c>
      <c r="AW369" s="706">
        <v>5.2759001040578082E-2</v>
      </c>
      <c r="AX369" s="706">
        <v>5.2759001040578082E-2</v>
      </c>
      <c r="AY369" s="706">
        <v>5.2759001040578082E-2</v>
      </c>
      <c r="AZ369" s="706">
        <v>5.2759001040578082E-2</v>
      </c>
      <c r="BA369" s="706">
        <v>5.2759001040578082E-2</v>
      </c>
      <c r="BB369" s="706">
        <v>5.2759001040578082E-2</v>
      </c>
      <c r="BC369" s="706">
        <v>5.2759001040578082E-2</v>
      </c>
      <c r="BD369" s="706">
        <v>5.2759001040578082E-2</v>
      </c>
      <c r="BE369" s="706">
        <v>5.2759001040578082E-2</v>
      </c>
      <c r="BF369" s="706">
        <v>5.2759001040578082E-2</v>
      </c>
      <c r="BG369" s="706">
        <v>5.2759001040578082E-2</v>
      </c>
      <c r="BH369" s="706">
        <v>5.2759001040578082E-2</v>
      </c>
      <c r="BI369" s="706">
        <v>5.2759001040578082E-2</v>
      </c>
      <c r="BJ369" s="706">
        <v>5.2759001040578082E-2</v>
      </c>
      <c r="BK369" s="706">
        <v>5.2759001040578082E-2</v>
      </c>
      <c r="BL369" s="706">
        <v>5.2759001040578082E-2</v>
      </c>
      <c r="BM369" s="706">
        <v>5.2759001040578082E-2</v>
      </c>
      <c r="BN369" s="706"/>
      <c r="BO369" s="706"/>
      <c r="BP369" s="706"/>
      <c r="BQ369" s="706"/>
      <c r="BR369" s="706"/>
      <c r="BS369" s="706"/>
      <c r="BT369" s="706"/>
      <c r="BU369" s="706"/>
      <c r="BV369" s="791">
        <v>47.179969892213457</v>
      </c>
      <c r="BW369" s="791">
        <v>47.179969892213457</v>
      </c>
      <c r="BX369" s="791">
        <v>47.179969892213457</v>
      </c>
      <c r="BY369" s="791">
        <v>47.179969892213457</v>
      </c>
      <c r="BZ369" s="791">
        <v>47.179969892213457</v>
      </c>
      <c r="CA369" s="791">
        <v>47.179969892213457</v>
      </c>
      <c r="CB369" s="791">
        <v>47.179969892213457</v>
      </c>
      <c r="CC369" s="791">
        <v>47.179969892213457</v>
      </c>
      <c r="CD369" s="791">
        <v>47.179969892213457</v>
      </c>
      <c r="CE369" s="791">
        <v>47.179969892213457</v>
      </c>
      <c r="CF369" s="791">
        <v>47.179969892213457</v>
      </c>
      <c r="CG369" s="791">
        <v>47.179969892213457</v>
      </c>
      <c r="CH369" s="791">
        <v>47.179969892213457</v>
      </c>
      <c r="CI369" s="791">
        <v>47.179969892213457</v>
      </c>
      <c r="CJ369" s="791">
        <v>47.179969892213457</v>
      </c>
      <c r="CK369" s="791">
        <v>47.179969892213457</v>
      </c>
      <c r="CL369" s="791">
        <v>47.179969892213457</v>
      </c>
      <c r="CM369" s="791">
        <v>47.179969892213457</v>
      </c>
      <c r="CN369" s="791"/>
      <c r="CO369" s="706"/>
      <c r="CP369" s="706"/>
      <c r="CQ369" s="706"/>
      <c r="CR369" s="706"/>
    </row>
    <row r="370" spans="1:96">
      <c r="A370" s="694" t="s">
        <v>3</v>
      </c>
      <c r="B370" s="794">
        <v>41842</v>
      </c>
      <c r="C370" s="743">
        <v>2014</v>
      </c>
      <c r="D370" s="746" t="s">
        <v>15</v>
      </c>
      <c r="E370" s="746" t="s">
        <v>25</v>
      </c>
      <c r="F370" s="746" t="s">
        <v>17</v>
      </c>
      <c r="G370" s="746" t="s">
        <v>58</v>
      </c>
      <c r="H370" s="694" t="s">
        <v>393</v>
      </c>
      <c r="I370" s="746" t="s">
        <v>5</v>
      </c>
      <c r="J370" s="746" t="s">
        <v>376</v>
      </c>
      <c r="K370" s="706">
        <v>1</v>
      </c>
      <c r="L370" s="745" t="s">
        <v>58</v>
      </c>
      <c r="M370" s="706" t="s">
        <v>910</v>
      </c>
      <c r="N370" s="706">
        <v>18</v>
      </c>
      <c r="O370" s="706"/>
      <c r="P370" s="706"/>
      <c r="Q370" s="706"/>
      <c r="R370" s="706"/>
      <c r="S370" s="706"/>
      <c r="T370" s="706"/>
      <c r="U370" s="738">
        <v>0.1051154994194438</v>
      </c>
      <c r="V370" s="738">
        <v>94</v>
      </c>
      <c r="W370" s="793">
        <v>0.1051154994194438</v>
      </c>
      <c r="X370" s="708">
        <v>94</v>
      </c>
      <c r="Y370" s="719">
        <v>1692</v>
      </c>
      <c r="Z370" s="719">
        <v>849.23945805984226</v>
      </c>
      <c r="AA370" s="719">
        <v>47.179969892213457</v>
      </c>
      <c r="AB370" s="738">
        <v>5.2759001040578082E-2</v>
      </c>
      <c r="AC370" s="792">
        <v>1</v>
      </c>
      <c r="AD370" s="792">
        <v>1</v>
      </c>
      <c r="AE370" s="717">
        <v>0.54049295774647899</v>
      </c>
      <c r="AF370" s="714">
        <v>4.2407531067898789E-2</v>
      </c>
      <c r="AG370" s="706"/>
      <c r="AH370" s="792">
        <v>0.50191457332141975</v>
      </c>
      <c r="AI370" s="748">
        <v>0.54049295774647899</v>
      </c>
      <c r="AJ370" s="748">
        <v>4.2407531067898789E-2</v>
      </c>
      <c r="AK370" s="748"/>
      <c r="AL370" s="714">
        <v>0.50191457332141975</v>
      </c>
      <c r="AM370" s="706"/>
      <c r="AN370" s="706"/>
      <c r="AO370" s="706"/>
      <c r="AP370" s="706"/>
      <c r="AQ370" s="706"/>
      <c r="AR370" s="706" t="s">
        <v>877</v>
      </c>
      <c r="AS370" s="706"/>
      <c r="AT370" s="706"/>
      <c r="AU370" s="706"/>
      <c r="AV370" s="706">
        <v>5.2759001040578082E-2</v>
      </c>
      <c r="AW370" s="706">
        <v>5.2759001040578082E-2</v>
      </c>
      <c r="AX370" s="706">
        <v>5.2759001040578082E-2</v>
      </c>
      <c r="AY370" s="706">
        <v>5.2759001040578082E-2</v>
      </c>
      <c r="AZ370" s="706">
        <v>5.2759001040578082E-2</v>
      </c>
      <c r="BA370" s="706">
        <v>5.2759001040578082E-2</v>
      </c>
      <c r="BB370" s="706">
        <v>5.2759001040578082E-2</v>
      </c>
      <c r="BC370" s="706">
        <v>5.2759001040578082E-2</v>
      </c>
      <c r="BD370" s="706">
        <v>5.2759001040578082E-2</v>
      </c>
      <c r="BE370" s="706">
        <v>5.2759001040578082E-2</v>
      </c>
      <c r="BF370" s="706">
        <v>5.2759001040578082E-2</v>
      </c>
      <c r="BG370" s="706">
        <v>5.2759001040578082E-2</v>
      </c>
      <c r="BH370" s="706">
        <v>5.2759001040578082E-2</v>
      </c>
      <c r="BI370" s="706">
        <v>5.2759001040578082E-2</v>
      </c>
      <c r="BJ370" s="706">
        <v>5.2759001040578082E-2</v>
      </c>
      <c r="BK370" s="706">
        <v>5.2759001040578082E-2</v>
      </c>
      <c r="BL370" s="706">
        <v>5.2759001040578082E-2</v>
      </c>
      <c r="BM370" s="706">
        <v>5.2759001040578082E-2</v>
      </c>
      <c r="BN370" s="706"/>
      <c r="BO370" s="706"/>
      <c r="BP370" s="706"/>
      <c r="BQ370" s="706"/>
      <c r="BR370" s="706"/>
      <c r="BS370" s="706"/>
      <c r="BT370" s="706"/>
      <c r="BU370" s="706"/>
      <c r="BV370" s="791">
        <v>47.179969892213457</v>
      </c>
      <c r="BW370" s="791">
        <v>47.179969892213457</v>
      </c>
      <c r="BX370" s="791">
        <v>47.179969892213457</v>
      </c>
      <c r="BY370" s="791">
        <v>47.179969892213457</v>
      </c>
      <c r="BZ370" s="791">
        <v>47.179969892213457</v>
      </c>
      <c r="CA370" s="791">
        <v>47.179969892213457</v>
      </c>
      <c r="CB370" s="791">
        <v>47.179969892213457</v>
      </c>
      <c r="CC370" s="791">
        <v>47.179969892213457</v>
      </c>
      <c r="CD370" s="791">
        <v>47.179969892213457</v>
      </c>
      <c r="CE370" s="791">
        <v>47.179969892213457</v>
      </c>
      <c r="CF370" s="791">
        <v>47.179969892213457</v>
      </c>
      <c r="CG370" s="791">
        <v>47.179969892213457</v>
      </c>
      <c r="CH370" s="791">
        <v>47.179969892213457</v>
      </c>
      <c r="CI370" s="791">
        <v>47.179969892213457</v>
      </c>
      <c r="CJ370" s="791">
        <v>47.179969892213457</v>
      </c>
      <c r="CK370" s="791">
        <v>47.179969892213457</v>
      </c>
      <c r="CL370" s="791">
        <v>47.179969892213457</v>
      </c>
      <c r="CM370" s="791">
        <v>47.179969892213457</v>
      </c>
      <c r="CN370" s="791"/>
      <c r="CO370" s="706"/>
      <c r="CP370" s="706"/>
      <c r="CQ370" s="706"/>
      <c r="CR370" s="706"/>
    </row>
    <row r="371" spans="1:96">
      <c r="A371" s="694" t="s">
        <v>3</v>
      </c>
      <c r="B371" s="794">
        <v>41774</v>
      </c>
      <c r="C371" s="743">
        <v>2014</v>
      </c>
      <c r="D371" s="746" t="s">
        <v>15</v>
      </c>
      <c r="E371" s="746" t="s">
        <v>25</v>
      </c>
      <c r="F371" s="746" t="s">
        <v>17</v>
      </c>
      <c r="G371" s="746" t="s">
        <v>58</v>
      </c>
      <c r="H371" s="694" t="s">
        <v>393</v>
      </c>
      <c r="I371" s="746" t="s">
        <v>5</v>
      </c>
      <c r="J371" s="746" t="s">
        <v>376</v>
      </c>
      <c r="K371" s="706">
        <v>1</v>
      </c>
      <c r="L371" s="745" t="s">
        <v>58</v>
      </c>
      <c r="M371" s="706" t="s">
        <v>905</v>
      </c>
      <c r="N371" s="706">
        <v>18</v>
      </c>
      <c r="O371" s="706"/>
      <c r="P371" s="706"/>
      <c r="Q371" s="706"/>
      <c r="R371" s="706"/>
      <c r="S371" s="706"/>
      <c r="T371" s="706"/>
      <c r="U371" s="738">
        <v>0.1051154994194438</v>
      </c>
      <c r="V371" s="738">
        <v>94</v>
      </c>
      <c r="W371" s="793">
        <v>0.1051154994194438</v>
      </c>
      <c r="X371" s="708">
        <v>94</v>
      </c>
      <c r="Y371" s="719">
        <v>1692</v>
      </c>
      <c r="Z371" s="719">
        <v>849.23945805984226</v>
      </c>
      <c r="AA371" s="719">
        <v>47.179969892213457</v>
      </c>
      <c r="AB371" s="738">
        <v>5.2759001040578082E-2</v>
      </c>
      <c r="AC371" s="792">
        <v>1</v>
      </c>
      <c r="AD371" s="792">
        <v>1</v>
      </c>
      <c r="AE371" s="717">
        <v>0.54049295774647899</v>
      </c>
      <c r="AF371" s="714">
        <v>4.2407531067898789E-2</v>
      </c>
      <c r="AG371" s="706"/>
      <c r="AH371" s="792">
        <v>0.50191457332141975</v>
      </c>
      <c r="AI371" s="748">
        <v>0.54049295774647899</v>
      </c>
      <c r="AJ371" s="748">
        <v>4.2407531067898789E-2</v>
      </c>
      <c r="AK371" s="748"/>
      <c r="AL371" s="714">
        <v>0.50191457332141975</v>
      </c>
      <c r="AM371" s="706"/>
      <c r="AN371" s="706"/>
      <c r="AO371" s="706"/>
      <c r="AP371" s="706"/>
      <c r="AQ371" s="706"/>
      <c r="AR371" s="706" t="s">
        <v>877</v>
      </c>
      <c r="AS371" s="706"/>
      <c r="AT371" s="706"/>
      <c r="AU371" s="706"/>
      <c r="AV371" s="706">
        <v>5.2759001040578082E-2</v>
      </c>
      <c r="AW371" s="706">
        <v>5.2759001040578082E-2</v>
      </c>
      <c r="AX371" s="706">
        <v>5.2759001040578082E-2</v>
      </c>
      <c r="AY371" s="706">
        <v>5.2759001040578082E-2</v>
      </c>
      <c r="AZ371" s="706">
        <v>5.2759001040578082E-2</v>
      </c>
      <c r="BA371" s="706">
        <v>5.2759001040578082E-2</v>
      </c>
      <c r="BB371" s="706">
        <v>5.2759001040578082E-2</v>
      </c>
      <c r="BC371" s="706">
        <v>5.2759001040578082E-2</v>
      </c>
      <c r="BD371" s="706">
        <v>5.2759001040578082E-2</v>
      </c>
      <c r="BE371" s="706">
        <v>5.2759001040578082E-2</v>
      </c>
      <c r="BF371" s="706">
        <v>5.2759001040578082E-2</v>
      </c>
      <c r="BG371" s="706">
        <v>5.2759001040578082E-2</v>
      </c>
      <c r="BH371" s="706">
        <v>5.2759001040578082E-2</v>
      </c>
      <c r="BI371" s="706">
        <v>5.2759001040578082E-2</v>
      </c>
      <c r="BJ371" s="706">
        <v>5.2759001040578082E-2</v>
      </c>
      <c r="BK371" s="706">
        <v>5.2759001040578082E-2</v>
      </c>
      <c r="BL371" s="706">
        <v>5.2759001040578082E-2</v>
      </c>
      <c r="BM371" s="706">
        <v>5.2759001040578082E-2</v>
      </c>
      <c r="BN371" s="706"/>
      <c r="BO371" s="706"/>
      <c r="BP371" s="706"/>
      <c r="BQ371" s="706"/>
      <c r="BR371" s="706"/>
      <c r="BS371" s="706"/>
      <c r="BT371" s="706"/>
      <c r="BU371" s="706"/>
      <c r="BV371" s="791">
        <v>47.179969892213457</v>
      </c>
      <c r="BW371" s="791">
        <v>47.179969892213457</v>
      </c>
      <c r="BX371" s="791">
        <v>47.179969892213457</v>
      </c>
      <c r="BY371" s="791">
        <v>47.179969892213457</v>
      </c>
      <c r="BZ371" s="791">
        <v>47.179969892213457</v>
      </c>
      <c r="CA371" s="791">
        <v>47.179969892213457</v>
      </c>
      <c r="CB371" s="791">
        <v>47.179969892213457</v>
      </c>
      <c r="CC371" s="791">
        <v>47.179969892213457</v>
      </c>
      <c r="CD371" s="791">
        <v>47.179969892213457</v>
      </c>
      <c r="CE371" s="791">
        <v>47.179969892213457</v>
      </c>
      <c r="CF371" s="791">
        <v>47.179969892213457</v>
      </c>
      <c r="CG371" s="791">
        <v>47.179969892213457</v>
      </c>
      <c r="CH371" s="791">
        <v>47.179969892213457</v>
      </c>
      <c r="CI371" s="791">
        <v>47.179969892213457</v>
      </c>
      <c r="CJ371" s="791">
        <v>47.179969892213457</v>
      </c>
      <c r="CK371" s="791">
        <v>47.179969892213457</v>
      </c>
      <c r="CL371" s="791">
        <v>47.179969892213457</v>
      </c>
      <c r="CM371" s="791">
        <v>47.179969892213457</v>
      </c>
      <c r="CN371" s="791"/>
      <c r="CO371" s="706"/>
      <c r="CP371" s="706"/>
      <c r="CQ371" s="706"/>
      <c r="CR371" s="706"/>
    </row>
    <row r="372" spans="1:96">
      <c r="A372" s="694" t="s">
        <v>3</v>
      </c>
      <c r="B372" s="794">
        <v>41865</v>
      </c>
      <c r="C372" s="743">
        <v>2014</v>
      </c>
      <c r="D372" s="746" t="s">
        <v>15</v>
      </c>
      <c r="E372" s="746" t="s">
        <v>25</v>
      </c>
      <c r="F372" s="746" t="s">
        <v>17</v>
      </c>
      <c r="G372" s="746" t="s">
        <v>58</v>
      </c>
      <c r="H372" s="694" t="s">
        <v>393</v>
      </c>
      <c r="I372" s="746" t="s">
        <v>5</v>
      </c>
      <c r="J372" s="746" t="s">
        <v>376</v>
      </c>
      <c r="K372" s="706">
        <v>1</v>
      </c>
      <c r="L372" s="745" t="s">
        <v>58</v>
      </c>
      <c r="M372" s="706" t="s">
        <v>909</v>
      </c>
      <c r="N372" s="706">
        <v>18</v>
      </c>
      <c r="O372" s="706"/>
      <c r="P372" s="706"/>
      <c r="Q372" s="706"/>
      <c r="R372" s="706"/>
      <c r="S372" s="706"/>
      <c r="T372" s="706"/>
      <c r="U372" s="738">
        <v>0.1051154994194438</v>
      </c>
      <c r="V372" s="738">
        <v>94</v>
      </c>
      <c r="W372" s="793">
        <v>0.1051154994194438</v>
      </c>
      <c r="X372" s="708">
        <v>94</v>
      </c>
      <c r="Y372" s="719">
        <v>1692</v>
      </c>
      <c r="Z372" s="719">
        <v>849.23945805984226</v>
      </c>
      <c r="AA372" s="719">
        <v>47.179969892213457</v>
      </c>
      <c r="AB372" s="738">
        <v>5.2759001040578082E-2</v>
      </c>
      <c r="AC372" s="792">
        <v>1</v>
      </c>
      <c r="AD372" s="792">
        <v>1</v>
      </c>
      <c r="AE372" s="717">
        <v>0.54049295774647899</v>
      </c>
      <c r="AF372" s="714">
        <v>4.2407531067898789E-2</v>
      </c>
      <c r="AG372" s="706"/>
      <c r="AH372" s="792">
        <v>0.50191457332141975</v>
      </c>
      <c r="AI372" s="748">
        <v>0.54049295774647899</v>
      </c>
      <c r="AJ372" s="748">
        <v>4.2407531067898789E-2</v>
      </c>
      <c r="AK372" s="748"/>
      <c r="AL372" s="714">
        <v>0.50191457332141975</v>
      </c>
      <c r="AM372" s="706"/>
      <c r="AN372" s="706"/>
      <c r="AO372" s="706"/>
      <c r="AP372" s="706"/>
      <c r="AQ372" s="706"/>
      <c r="AR372" s="706" t="s">
        <v>877</v>
      </c>
      <c r="AS372" s="706"/>
      <c r="AT372" s="706"/>
      <c r="AU372" s="706"/>
      <c r="AV372" s="706">
        <v>5.2759001040578082E-2</v>
      </c>
      <c r="AW372" s="706">
        <v>5.2759001040578082E-2</v>
      </c>
      <c r="AX372" s="706">
        <v>5.2759001040578082E-2</v>
      </c>
      <c r="AY372" s="706">
        <v>5.2759001040578082E-2</v>
      </c>
      <c r="AZ372" s="706">
        <v>5.2759001040578082E-2</v>
      </c>
      <c r="BA372" s="706">
        <v>5.2759001040578082E-2</v>
      </c>
      <c r="BB372" s="706">
        <v>5.2759001040578082E-2</v>
      </c>
      <c r="BC372" s="706">
        <v>5.2759001040578082E-2</v>
      </c>
      <c r="BD372" s="706">
        <v>5.2759001040578082E-2</v>
      </c>
      <c r="BE372" s="706">
        <v>5.2759001040578082E-2</v>
      </c>
      <c r="BF372" s="706">
        <v>5.2759001040578082E-2</v>
      </c>
      <c r="BG372" s="706">
        <v>5.2759001040578082E-2</v>
      </c>
      <c r="BH372" s="706">
        <v>5.2759001040578082E-2</v>
      </c>
      <c r="BI372" s="706">
        <v>5.2759001040578082E-2</v>
      </c>
      <c r="BJ372" s="706">
        <v>5.2759001040578082E-2</v>
      </c>
      <c r="BK372" s="706">
        <v>5.2759001040578082E-2</v>
      </c>
      <c r="BL372" s="706">
        <v>5.2759001040578082E-2</v>
      </c>
      <c r="BM372" s="706">
        <v>5.2759001040578082E-2</v>
      </c>
      <c r="BN372" s="706"/>
      <c r="BO372" s="706"/>
      <c r="BP372" s="706"/>
      <c r="BQ372" s="706"/>
      <c r="BR372" s="706"/>
      <c r="BS372" s="706"/>
      <c r="BT372" s="706"/>
      <c r="BU372" s="706"/>
      <c r="BV372" s="791">
        <v>47.179969892213457</v>
      </c>
      <c r="BW372" s="791">
        <v>47.179969892213457</v>
      </c>
      <c r="BX372" s="791">
        <v>47.179969892213457</v>
      </c>
      <c r="BY372" s="791">
        <v>47.179969892213457</v>
      </c>
      <c r="BZ372" s="791">
        <v>47.179969892213457</v>
      </c>
      <c r="CA372" s="791">
        <v>47.179969892213457</v>
      </c>
      <c r="CB372" s="791">
        <v>47.179969892213457</v>
      </c>
      <c r="CC372" s="791">
        <v>47.179969892213457</v>
      </c>
      <c r="CD372" s="791">
        <v>47.179969892213457</v>
      </c>
      <c r="CE372" s="791">
        <v>47.179969892213457</v>
      </c>
      <c r="CF372" s="791">
        <v>47.179969892213457</v>
      </c>
      <c r="CG372" s="791">
        <v>47.179969892213457</v>
      </c>
      <c r="CH372" s="791">
        <v>47.179969892213457</v>
      </c>
      <c r="CI372" s="791">
        <v>47.179969892213457</v>
      </c>
      <c r="CJ372" s="791">
        <v>47.179969892213457</v>
      </c>
      <c r="CK372" s="791">
        <v>47.179969892213457</v>
      </c>
      <c r="CL372" s="791">
        <v>47.179969892213457</v>
      </c>
      <c r="CM372" s="791">
        <v>47.179969892213457</v>
      </c>
      <c r="CN372" s="791"/>
      <c r="CO372" s="706"/>
      <c r="CP372" s="706"/>
      <c r="CQ372" s="706"/>
      <c r="CR372" s="706"/>
    </row>
    <row r="373" spans="1:96">
      <c r="A373" s="694" t="s">
        <v>3</v>
      </c>
      <c r="B373" s="794">
        <v>41802</v>
      </c>
      <c r="C373" s="743">
        <v>2014</v>
      </c>
      <c r="D373" s="746" t="s">
        <v>15</v>
      </c>
      <c r="E373" s="746" t="s">
        <v>25</v>
      </c>
      <c r="F373" s="746" t="s">
        <v>17</v>
      </c>
      <c r="G373" s="746" t="s">
        <v>58</v>
      </c>
      <c r="H373" s="694" t="s">
        <v>393</v>
      </c>
      <c r="I373" s="746" t="s">
        <v>5</v>
      </c>
      <c r="J373" s="746" t="s">
        <v>376</v>
      </c>
      <c r="K373" s="706">
        <v>1</v>
      </c>
      <c r="L373" s="745" t="s">
        <v>58</v>
      </c>
      <c r="M373" s="706" t="s">
        <v>908</v>
      </c>
      <c r="N373" s="706">
        <v>18</v>
      </c>
      <c r="O373" s="706"/>
      <c r="P373" s="706"/>
      <c r="Q373" s="706"/>
      <c r="R373" s="706"/>
      <c r="S373" s="706"/>
      <c r="T373" s="706"/>
      <c r="U373" s="738">
        <v>0.1051154994194438</v>
      </c>
      <c r="V373" s="738">
        <v>94</v>
      </c>
      <c r="W373" s="793">
        <v>0.1051154994194438</v>
      </c>
      <c r="X373" s="708">
        <v>94</v>
      </c>
      <c r="Y373" s="719">
        <v>1692</v>
      </c>
      <c r="Z373" s="719">
        <v>849.23945805984226</v>
      </c>
      <c r="AA373" s="719">
        <v>47.179969892213457</v>
      </c>
      <c r="AB373" s="738">
        <v>5.2759001040578082E-2</v>
      </c>
      <c r="AC373" s="792">
        <v>1</v>
      </c>
      <c r="AD373" s="792">
        <v>1</v>
      </c>
      <c r="AE373" s="717">
        <v>0.54049295774647899</v>
      </c>
      <c r="AF373" s="714">
        <v>4.2407531067898789E-2</v>
      </c>
      <c r="AG373" s="706"/>
      <c r="AH373" s="792">
        <v>0.50191457332141975</v>
      </c>
      <c r="AI373" s="748">
        <v>0.54049295774647899</v>
      </c>
      <c r="AJ373" s="748">
        <v>4.2407531067898789E-2</v>
      </c>
      <c r="AK373" s="748"/>
      <c r="AL373" s="714">
        <v>0.50191457332141975</v>
      </c>
      <c r="AM373" s="706"/>
      <c r="AN373" s="706"/>
      <c r="AO373" s="706"/>
      <c r="AP373" s="706"/>
      <c r="AQ373" s="706"/>
      <c r="AR373" s="706" t="s">
        <v>877</v>
      </c>
      <c r="AS373" s="706"/>
      <c r="AT373" s="706"/>
      <c r="AU373" s="706"/>
      <c r="AV373" s="706">
        <v>5.2759001040578082E-2</v>
      </c>
      <c r="AW373" s="706">
        <v>5.2759001040578082E-2</v>
      </c>
      <c r="AX373" s="706">
        <v>5.2759001040578082E-2</v>
      </c>
      <c r="AY373" s="706">
        <v>5.2759001040578082E-2</v>
      </c>
      <c r="AZ373" s="706">
        <v>5.2759001040578082E-2</v>
      </c>
      <c r="BA373" s="706">
        <v>5.2759001040578082E-2</v>
      </c>
      <c r="BB373" s="706">
        <v>5.2759001040578082E-2</v>
      </c>
      <c r="BC373" s="706">
        <v>5.2759001040578082E-2</v>
      </c>
      <c r="BD373" s="706">
        <v>5.2759001040578082E-2</v>
      </c>
      <c r="BE373" s="706">
        <v>5.2759001040578082E-2</v>
      </c>
      <c r="BF373" s="706">
        <v>5.2759001040578082E-2</v>
      </c>
      <c r="BG373" s="706">
        <v>5.2759001040578082E-2</v>
      </c>
      <c r="BH373" s="706">
        <v>5.2759001040578082E-2</v>
      </c>
      <c r="BI373" s="706">
        <v>5.2759001040578082E-2</v>
      </c>
      <c r="BJ373" s="706">
        <v>5.2759001040578082E-2</v>
      </c>
      <c r="BK373" s="706">
        <v>5.2759001040578082E-2</v>
      </c>
      <c r="BL373" s="706">
        <v>5.2759001040578082E-2</v>
      </c>
      <c r="BM373" s="706">
        <v>5.2759001040578082E-2</v>
      </c>
      <c r="BN373" s="706"/>
      <c r="BO373" s="706"/>
      <c r="BP373" s="706"/>
      <c r="BQ373" s="706"/>
      <c r="BR373" s="706"/>
      <c r="BS373" s="706"/>
      <c r="BT373" s="706"/>
      <c r="BU373" s="706"/>
      <c r="BV373" s="791">
        <v>47.179969892213457</v>
      </c>
      <c r="BW373" s="791">
        <v>47.179969892213457</v>
      </c>
      <c r="BX373" s="791">
        <v>47.179969892213457</v>
      </c>
      <c r="BY373" s="791">
        <v>47.179969892213457</v>
      </c>
      <c r="BZ373" s="791">
        <v>47.179969892213457</v>
      </c>
      <c r="CA373" s="791">
        <v>47.179969892213457</v>
      </c>
      <c r="CB373" s="791">
        <v>47.179969892213457</v>
      </c>
      <c r="CC373" s="791">
        <v>47.179969892213457</v>
      </c>
      <c r="CD373" s="791">
        <v>47.179969892213457</v>
      </c>
      <c r="CE373" s="791">
        <v>47.179969892213457</v>
      </c>
      <c r="CF373" s="791">
        <v>47.179969892213457</v>
      </c>
      <c r="CG373" s="791">
        <v>47.179969892213457</v>
      </c>
      <c r="CH373" s="791">
        <v>47.179969892213457</v>
      </c>
      <c r="CI373" s="791">
        <v>47.179969892213457</v>
      </c>
      <c r="CJ373" s="791">
        <v>47.179969892213457</v>
      </c>
      <c r="CK373" s="791">
        <v>47.179969892213457</v>
      </c>
      <c r="CL373" s="791">
        <v>47.179969892213457</v>
      </c>
      <c r="CM373" s="791">
        <v>47.179969892213457</v>
      </c>
      <c r="CN373" s="791"/>
      <c r="CO373" s="706"/>
      <c r="CP373" s="706"/>
      <c r="CQ373" s="706"/>
      <c r="CR373" s="706"/>
    </row>
    <row r="374" spans="1:96">
      <c r="A374" s="694" t="s">
        <v>3</v>
      </c>
      <c r="B374" s="794">
        <v>41829</v>
      </c>
      <c r="C374" s="743">
        <v>2014</v>
      </c>
      <c r="D374" s="746" t="s">
        <v>15</v>
      </c>
      <c r="E374" s="746" t="s">
        <v>25</v>
      </c>
      <c r="F374" s="746" t="s">
        <v>17</v>
      </c>
      <c r="G374" s="746" t="s">
        <v>58</v>
      </c>
      <c r="H374" s="694" t="s">
        <v>393</v>
      </c>
      <c r="I374" s="746" t="s">
        <v>5</v>
      </c>
      <c r="J374" s="746" t="s">
        <v>376</v>
      </c>
      <c r="K374" s="706">
        <v>1</v>
      </c>
      <c r="L374" s="745" t="s">
        <v>58</v>
      </c>
      <c r="M374" s="706" t="s">
        <v>907</v>
      </c>
      <c r="N374" s="706">
        <v>18</v>
      </c>
      <c r="O374" s="706"/>
      <c r="P374" s="706"/>
      <c r="Q374" s="706"/>
      <c r="R374" s="706"/>
      <c r="S374" s="706"/>
      <c r="T374" s="706"/>
      <c r="U374" s="738">
        <v>0.1051154994194438</v>
      </c>
      <c r="V374" s="738">
        <v>94</v>
      </c>
      <c r="W374" s="793">
        <v>0.1051154994194438</v>
      </c>
      <c r="X374" s="708">
        <v>94</v>
      </c>
      <c r="Y374" s="719">
        <v>1692</v>
      </c>
      <c r="Z374" s="719">
        <v>849.23945805984226</v>
      </c>
      <c r="AA374" s="719">
        <v>47.179969892213457</v>
      </c>
      <c r="AB374" s="738">
        <v>5.2759001040578082E-2</v>
      </c>
      <c r="AC374" s="792">
        <v>1</v>
      </c>
      <c r="AD374" s="792">
        <v>1</v>
      </c>
      <c r="AE374" s="717">
        <v>0.54049295774647899</v>
      </c>
      <c r="AF374" s="714">
        <v>4.2407531067898789E-2</v>
      </c>
      <c r="AG374" s="706"/>
      <c r="AH374" s="792">
        <v>0.50191457332141975</v>
      </c>
      <c r="AI374" s="748">
        <v>0.54049295774647899</v>
      </c>
      <c r="AJ374" s="748">
        <v>4.2407531067898789E-2</v>
      </c>
      <c r="AK374" s="748"/>
      <c r="AL374" s="714">
        <v>0.50191457332141975</v>
      </c>
      <c r="AM374" s="706"/>
      <c r="AN374" s="706"/>
      <c r="AO374" s="706"/>
      <c r="AP374" s="706"/>
      <c r="AQ374" s="706"/>
      <c r="AR374" s="706" t="s">
        <v>877</v>
      </c>
      <c r="AS374" s="706"/>
      <c r="AT374" s="706"/>
      <c r="AU374" s="706"/>
      <c r="AV374" s="706">
        <v>5.2759001040578082E-2</v>
      </c>
      <c r="AW374" s="706">
        <v>5.2759001040578082E-2</v>
      </c>
      <c r="AX374" s="706">
        <v>5.2759001040578082E-2</v>
      </c>
      <c r="AY374" s="706">
        <v>5.2759001040578082E-2</v>
      </c>
      <c r="AZ374" s="706">
        <v>5.2759001040578082E-2</v>
      </c>
      <c r="BA374" s="706">
        <v>5.2759001040578082E-2</v>
      </c>
      <c r="BB374" s="706">
        <v>5.2759001040578082E-2</v>
      </c>
      <c r="BC374" s="706">
        <v>5.2759001040578082E-2</v>
      </c>
      <c r="BD374" s="706">
        <v>5.2759001040578082E-2</v>
      </c>
      <c r="BE374" s="706">
        <v>5.2759001040578082E-2</v>
      </c>
      <c r="BF374" s="706">
        <v>5.2759001040578082E-2</v>
      </c>
      <c r="BG374" s="706">
        <v>5.2759001040578082E-2</v>
      </c>
      <c r="BH374" s="706">
        <v>5.2759001040578082E-2</v>
      </c>
      <c r="BI374" s="706">
        <v>5.2759001040578082E-2</v>
      </c>
      <c r="BJ374" s="706">
        <v>5.2759001040578082E-2</v>
      </c>
      <c r="BK374" s="706">
        <v>5.2759001040578082E-2</v>
      </c>
      <c r="BL374" s="706">
        <v>5.2759001040578082E-2</v>
      </c>
      <c r="BM374" s="706">
        <v>5.2759001040578082E-2</v>
      </c>
      <c r="BN374" s="706"/>
      <c r="BO374" s="706"/>
      <c r="BP374" s="706"/>
      <c r="BQ374" s="706"/>
      <c r="BR374" s="706"/>
      <c r="BS374" s="706"/>
      <c r="BT374" s="706"/>
      <c r="BU374" s="706"/>
      <c r="BV374" s="791">
        <v>47.179969892213457</v>
      </c>
      <c r="BW374" s="791">
        <v>47.179969892213457</v>
      </c>
      <c r="BX374" s="791">
        <v>47.179969892213457</v>
      </c>
      <c r="BY374" s="791">
        <v>47.179969892213457</v>
      </c>
      <c r="BZ374" s="791">
        <v>47.179969892213457</v>
      </c>
      <c r="CA374" s="791">
        <v>47.179969892213457</v>
      </c>
      <c r="CB374" s="791">
        <v>47.179969892213457</v>
      </c>
      <c r="CC374" s="791">
        <v>47.179969892213457</v>
      </c>
      <c r="CD374" s="791">
        <v>47.179969892213457</v>
      </c>
      <c r="CE374" s="791">
        <v>47.179969892213457</v>
      </c>
      <c r="CF374" s="791">
        <v>47.179969892213457</v>
      </c>
      <c r="CG374" s="791">
        <v>47.179969892213457</v>
      </c>
      <c r="CH374" s="791">
        <v>47.179969892213457</v>
      </c>
      <c r="CI374" s="791">
        <v>47.179969892213457</v>
      </c>
      <c r="CJ374" s="791">
        <v>47.179969892213457</v>
      </c>
      <c r="CK374" s="791">
        <v>47.179969892213457</v>
      </c>
      <c r="CL374" s="791">
        <v>47.179969892213457</v>
      </c>
      <c r="CM374" s="791">
        <v>47.179969892213457</v>
      </c>
      <c r="CN374" s="791"/>
      <c r="CO374" s="706"/>
      <c r="CP374" s="706"/>
      <c r="CQ374" s="706"/>
      <c r="CR374" s="706"/>
    </row>
    <row r="375" spans="1:96">
      <c r="A375" s="694" t="s">
        <v>3</v>
      </c>
      <c r="B375" s="794">
        <v>41933</v>
      </c>
      <c r="C375" s="743">
        <v>2014</v>
      </c>
      <c r="D375" s="746" t="s">
        <v>15</v>
      </c>
      <c r="E375" s="746" t="s">
        <v>25</v>
      </c>
      <c r="F375" s="746" t="s">
        <v>17</v>
      </c>
      <c r="G375" s="746" t="s">
        <v>58</v>
      </c>
      <c r="H375" s="694" t="s">
        <v>393</v>
      </c>
      <c r="I375" s="746" t="s">
        <v>5</v>
      </c>
      <c r="J375" s="746" t="s">
        <v>376</v>
      </c>
      <c r="K375" s="706">
        <v>1</v>
      </c>
      <c r="L375" s="745" t="s">
        <v>58</v>
      </c>
      <c r="M375" s="706" t="s">
        <v>906</v>
      </c>
      <c r="N375" s="706">
        <v>18</v>
      </c>
      <c r="O375" s="706"/>
      <c r="P375" s="706"/>
      <c r="Q375" s="706"/>
      <c r="R375" s="706"/>
      <c r="S375" s="706"/>
      <c r="T375" s="706"/>
      <c r="U375" s="738">
        <v>0.1051154994194438</v>
      </c>
      <c r="V375" s="738">
        <v>94</v>
      </c>
      <c r="W375" s="793">
        <v>0.1051154994194438</v>
      </c>
      <c r="X375" s="708">
        <v>94</v>
      </c>
      <c r="Y375" s="719">
        <v>1692</v>
      </c>
      <c r="Z375" s="719">
        <v>849.23945805984226</v>
      </c>
      <c r="AA375" s="719">
        <v>47.179969892213457</v>
      </c>
      <c r="AB375" s="738">
        <v>5.2759001040578082E-2</v>
      </c>
      <c r="AC375" s="792">
        <v>1</v>
      </c>
      <c r="AD375" s="792">
        <v>1</v>
      </c>
      <c r="AE375" s="717">
        <v>0.54049295774647899</v>
      </c>
      <c r="AF375" s="714">
        <v>4.2407531067898789E-2</v>
      </c>
      <c r="AG375" s="706"/>
      <c r="AH375" s="792">
        <v>0.50191457332141975</v>
      </c>
      <c r="AI375" s="748">
        <v>0.54049295774647899</v>
      </c>
      <c r="AJ375" s="748">
        <v>4.2407531067898789E-2</v>
      </c>
      <c r="AK375" s="748"/>
      <c r="AL375" s="714">
        <v>0.50191457332141975</v>
      </c>
      <c r="AM375" s="706"/>
      <c r="AN375" s="706"/>
      <c r="AO375" s="706"/>
      <c r="AP375" s="706"/>
      <c r="AQ375" s="706"/>
      <c r="AR375" s="706" t="s">
        <v>877</v>
      </c>
      <c r="AS375" s="706"/>
      <c r="AT375" s="706"/>
      <c r="AU375" s="706"/>
      <c r="AV375" s="706">
        <v>5.2759001040578082E-2</v>
      </c>
      <c r="AW375" s="706">
        <v>5.2759001040578082E-2</v>
      </c>
      <c r="AX375" s="706">
        <v>5.2759001040578082E-2</v>
      </c>
      <c r="AY375" s="706">
        <v>5.2759001040578082E-2</v>
      </c>
      <c r="AZ375" s="706">
        <v>5.2759001040578082E-2</v>
      </c>
      <c r="BA375" s="706">
        <v>5.2759001040578082E-2</v>
      </c>
      <c r="BB375" s="706">
        <v>5.2759001040578082E-2</v>
      </c>
      <c r="BC375" s="706">
        <v>5.2759001040578082E-2</v>
      </c>
      <c r="BD375" s="706">
        <v>5.2759001040578082E-2</v>
      </c>
      <c r="BE375" s="706">
        <v>5.2759001040578082E-2</v>
      </c>
      <c r="BF375" s="706">
        <v>5.2759001040578082E-2</v>
      </c>
      <c r="BG375" s="706">
        <v>5.2759001040578082E-2</v>
      </c>
      <c r="BH375" s="706">
        <v>5.2759001040578082E-2</v>
      </c>
      <c r="BI375" s="706">
        <v>5.2759001040578082E-2</v>
      </c>
      <c r="BJ375" s="706">
        <v>5.2759001040578082E-2</v>
      </c>
      <c r="BK375" s="706">
        <v>5.2759001040578082E-2</v>
      </c>
      <c r="BL375" s="706">
        <v>5.2759001040578082E-2</v>
      </c>
      <c r="BM375" s="706">
        <v>5.2759001040578082E-2</v>
      </c>
      <c r="BN375" s="706"/>
      <c r="BO375" s="706"/>
      <c r="BP375" s="706"/>
      <c r="BQ375" s="706"/>
      <c r="BR375" s="706"/>
      <c r="BS375" s="706"/>
      <c r="BT375" s="706"/>
      <c r="BU375" s="706"/>
      <c r="BV375" s="791">
        <v>47.179969892213457</v>
      </c>
      <c r="BW375" s="791">
        <v>47.179969892213457</v>
      </c>
      <c r="BX375" s="791">
        <v>47.179969892213457</v>
      </c>
      <c r="BY375" s="791">
        <v>47.179969892213457</v>
      </c>
      <c r="BZ375" s="791">
        <v>47.179969892213457</v>
      </c>
      <c r="CA375" s="791">
        <v>47.179969892213457</v>
      </c>
      <c r="CB375" s="791">
        <v>47.179969892213457</v>
      </c>
      <c r="CC375" s="791">
        <v>47.179969892213457</v>
      </c>
      <c r="CD375" s="791">
        <v>47.179969892213457</v>
      </c>
      <c r="CE375" s="791">
        <v>47.179969892213457</v>
      </c>
      <c r="CF375" s="791">
        <v>47.179969892213457</v>
      </c>
      <c r="CG375" s="791">
        <v>47.179969892213457</v>
      </c>
      <c r="CH375" s="791">
        <v>47.179969892213457</v>
      </c>
      <c r="CI375" s="791">
        <v>47.179969892213457</v>
      </c>
      <c r="CJ375" s="791">
        <v>47.179969892213457</v>
      </c>
      <c r="CK375" s="791">
        <v>47.179969892213457</v>
      </c>
      <c r="CL375" s="791">
        <v>47.179969892213457</v>
      </c>
      <c r="CM375" s="791">
        <v>47.179969892213457</v>
      </c>
      <c r="CN375" s="791"/>
      <c r="CO375" s="706"/>
      <c r="CP375" s="706"/>
      <c r="CQ375" s="706"/>
      <c r="CR375" s="706"/>
    </row>
    <row r="376" spans="1:96">
      <c r="A376" s="694" t="s">
        <v>3</v>
      </c>
      <c r="B376" s="794">
        <v>41792</v>
      </c>
      <c r="C376" s="743">
        <v>2014</v>
      </c>
      <c r="D376" s="746" t="s">
        <v>15</v>
      </c>
      <c r="E376" s="746" t="s">
        <v>25</v>
      </c>
      <c r="F376" s="746" t="s">
        <v>17</v>
      </c>
      <c r="G376" s="746" t="s">
        <v>58</v>
      </c>
      <c r="H376" s="694" t="s">
        <v>393</v>
      </c>
      <c r="I376" s="746" t="s">
        <v>5</v>
      </c>
      <c r="J376" s="746" t="s">
        <v>376</v>
      </c>
      <c r="K376" s="706">
        <v>1</v>
      </c>
      <c r="L376" s="745" t="s">
        <v>58</v>
      </c>
      <c r="M376" s="706" t="s">
        <v>891</v>
      </c>
      <c r="N376" s="706">
        <v>18</v>
      </c>
      <c r="O376" s="706"/>
      <c r="P376" s="706"/>
      <c r="Q376" s="706"/>
      <c r="R376" s="706"/>
      <c r="S376" s="706"/>
      <c r="T376" s="706"/>
      <c r="U376" s="738">
        <v>0.1051154994194438</v>
      </c>
      <c r="V376" s="738">
        <v>94</v>
      </c>
      <c r="W376" s="793">
        <v>0.1051154994194438</v>
      </c>
      <c r="X376" s="708">
        <v>94</v>
      </c>
      <c r="Y376" s="719">
        <v>1692</v>
      </c>
      <c r="Z376" s="719">
        <v>849.23945805984226</v>
      </c>
      <c r="AA376" s="719">
        <v>47.179969892213457</v>
      </c>
      <c r="AB376" s="738">
        <v>5.2759001040578082E-2</v>
      </c>
      <c r="AC376" s="792">
        <v>1</v>
      </c>
      <c r="AD376" s="792">
        <v>1</v>
      </c>
      <c r="AE376" s="717">
        <v>0.54049295774647899</v>
      </c>
      <c r="AF376" s="714">
        <v>4.2407531067898789E-2</v>
      </c>
      <c r="AG376" s="706"/>
      <c r="AH376" s="792">
        <v>0.50191457332141975</v>
      </c>
      <c r="AI376" s="748">
        <v>0.54049295774647899</v>
      </c>
      <c r="AJ376" s="748">
        <v>4.2407531067898789E-2</v>
      </c>
      <c r="AK376" s="748"/>
      <c r="AL376" s="714">
        <v>0.50191457332141975</v>
      </c>
      <c r="AM376" s="706"/>
      <c r="AN376" s="706"/>
      <c r="AO376" s="706"/>
      <c r="AP376" s="706"/>
      <c r="AQ376" s="706"/>
      <c r="AR376" s="706" t="s">
        <v>877</v>
      </c>
      <c r="AS376" s="706"/>
      <c r="AT376" s="706"/>
      <c r="AU376" s="706"/>
      <c r="AV376" s="706">
        <v>5.2759001040578082E-2</v>
      </c>
      <c r="AW376" s="706">
        <v>5.2759001040578082E-2</v>
      </c>
      <c r="AX376" s="706">
        <v>5.2759001040578082E-2</v>
      </c>
      <c r="AY376" s="706">
        <v>5.2759001040578082E-2</v>
      </c>
      <c r="AZ376" s="706">
        <v>5.2759001040578082E-2</v>
      </c>
      <c r="BA376" s="706">
        <v>5.2759001040578082E-2</v>
      </c>
      <c r="BB376" s="706">
        <v>5.2759001040578082E-2</v>
      </c>
      <c r="BC376" s="706">
        <v>5.2759001040578082E-2</v>
      </c>
      <c r="BD376" s="706">
        <v>5.2759001040578082E-2</v>
      </c>
      <c r="BE376" s="706">
        <v>5.2759001040578082E-2</v>
      </c>
      <c r="BF376" s="706">
        <v>5.2759001040578082E-2</v>
      </c>
      <c r="BG376" s="706">
        <v>5.2759001040578082E-2</v>
      </c>
      <c r="BH376" s="706">
        <v>5.2759001040578082E-2</v>
      </c>
      <c r="BI376" s="706">
        <v>5.2759001040578082E-2</v>
      </c>
      <c r="BJ376" s="706">
        <v>5.2759001040578082E-2</v>
      </c>
      <c r="BK376" s="706">
        <v>5.2759001040578082E-2</v>
      </c>
      <c r="BL376" s="706">
        <v>5.2759001040578082E-2</v>
      </c>
      <c r="BM376" s="706">
        <v>5.2759001040578082E-2</v>
      </c>
      <c r="BN376" s="706"/>
      <c r="BO376" s="706"/>
      <c r="BP376" s="706"/>
      <c r="BQ376" s="706"/>
      <c r="BR376" s="706"/>
      <c r="BS376" s="706"/>
      <c r="BT376" s="706"/>
      <c r="BU376" s="706"/>
      <c r="BV376" s="791">
        <v>47.179969892213457</v>
      </c>
      <c r="BW376" s="791">
        <v>47.179969892213457</v>
      </c>
      <c r="BX376" s="791">
        <v>47.179969892213457</v>
      </c>
      <c r="BY376" s="791">
        <v>47.179969892213457</v>
      </c>
      <c r="BZ376" s="791">
        <v>47.179969892213457</v>
      </c>
      <c r="CA376" s="791">
        <v>47.179969892213457</v>
      </c>
      <c r="CB376" s="791">
        <v>47.179969892213457</v>
      </c>
      <c r="CC376" s="791">
        <v>47.179969892213457</v>
      </c>
      <c r="CD376" s="791">
        <v>47.179969892213457</v>
      </c>
      <c r="CE376" s="791">
        <v>47.179969892213457</v>
      </c>
      <c r="CF376" s="791">
        <v>47.179969892213457</v>
      </c>
      <c r="CG376" s="791">
        <v>47.179969892213457</v>
      </c>
      <c r="CH376" s="791">
        <v>47.179969892213457</v>
      </c>
      <c r="CI376" s="791">
        <v>47.179969892213457</v>
      </c>
      <c r="CJ376" s="791">
        <v>47.179969892213457</v>
      </c>
      <c r="CK376" s="791">
        <v>47.179969892213457</v>
      </c>
      <c r="CL376" s="791">
        <v>47.179969892213457</v>
      </c>
      <c r="CM376" s="791">
        <v>47.179969892213457</v>
      </c>
      <c r="CN376" s="791"/>
      <c r="CO376" s="706"/>
      <c r="CP376" s="706"/>
      <c r="CQ376" s="706"/>
      <c r="CR376" s="706"/>
    </row>
    <row r="377" spans="1:96">
      <c r="A377" s="694" t="s">
        <v>3</v>
      </c>
      <c r="B377" s="794">
        <v>41645</v>
      </c>
      <c r="C377" s="743">
        <v>2014</v>
      </c>
      <c r="D377" s="746" t="s">
        <v>15</v>
      </c>
      <c r="E377" s="746" t="s">
        <v>25</v>
      </c>
      <c r="F377" s="746" t="s">
        <v>17</v>
      </c>
      <c r="G377" s="746" t="s">
        <v>58</v>
      </c>
      <c r="H377" s="694" t="s">
        <v>393</v>
      </c>
      <c r="I377" s="746" t="s">
        <v>5</v>
      </c>
      <c r="J377" s="746" t="s">
        <v>376</v>
      </c>
      <c r="K377" s="706">
        <v>1</v>
      </c>
      <c r="L377" s="745" t="s">
        <v>58</v>
      </c>
      <c r="M377" s="706" t="s">
        <v>905</v>
      </c>
      <c r="N377" s="706">
        <v>18</v>
      </c>
      <c r="O377" s="706"/>
      <c r="P377" s="706"/>
      <c r="Q377" s="706"/>
      <c r="R377" s="706"/>
      <c r="S377" s="706"/>
      <c r="T377" s="706"/>
      <c r="U377" s="738">
        <v>0.1051154994194438</v>
      </c>
      <c r="V377" s="738">
        <v>94</v>
      </c>
      <c r="W377" s="793">
        <v>0.1051154994194438</v>
      </c>
      <c r="X377" s="708">
        <v>94</v>
      </c>
      <c r="Y377" s="719">
        <v>1692</v>
      </c>
      <c r="Z377" s="719">
        <v>849.23945805984226</v>
      </c>
      <c r="AA377" s="719">
        <v>47.179969892213457</v>
      </c>
      <c r="AB377" s="738">
        <v>5.2759001040578082E-2</v>
      </c>
      <c r="AC377" s="792">
        <v>1</v>
      </c>
      <c r="AD377" s="792">
        <v>1</v>
      </c>
      <c r="AE377" s="717">
        <v>0.54049295774647899</v>
      </c>
      <c r="AF377" s="714">
        <v>4.2407531067898789E-2</v>
      </c>
      <c r="AG377" s="706"/>
      <c r="AH377" s="792">
        <v>0.50191457332141975</v>
      </c>
      <c r="AI377" s="748">
        <v>0.54049295774647899</v>
      </c>
      <c r="AJ377" s="748">
        <v>4.2407531067898789E-2</v>
      </c>
      <c r="AK377" s="748"/>
      <c r="AL377" s="714">
        <v>0.50191457332141975</v>
      </c>
      <c r="AM377" s="706"/>
      <c r="AN377" s="706"/>
      <c r="AO377" s="706"/>
      <c r="AP377" s="706"/>
      <c r="AQ377" s="706"/>
      <c r="AR377" s="706" t="s">
        <v>877</v>
      </c>
      <c r="AS377" s="706"/>
      <c r="AT377" s="706"/>
      <c r="AU377" s="706"/>
      <c r="AV377" s="706">
        <v>5.2759001040578082E-2</v>
      </c>
      <c r="AW377" s="706">
        <v>5.2759001040578082E-2</v>
      </c>
      <c r="AX377" s="706">
        <v>5.2759001040578082E-2</v>
      </c>
      <c r="AY377" s="706">
        <v>5.2759001040578082E-2</v>
      </c>
      <c r="AZ377" s="706">
        <v>5.2759001040578082E-2</v>
      </c>
      <c r="BA377" s="706">
        <v>5.2759001040578082E-2</v>
      </c>
      <c r="BB377" s="706">
        <v>5.2759001040578082E-2</v>
      </c>
      <c r="BC377" s="706">
        <v>5.2759001040578082E-2</v>
      </c>
      <c r="BD377" s="706">
        <v>5.2759001040578082E-2</v>
      </c>
      <c r="BE377" s="706">
        <v>5.2759001040578082E-2</v>
      </c>
      <c r="BF377" s="706">
        <v>5.2759001040578082E-2</v>
      </c>
      <c r="BG377" s="706">
        <v>5.2759001040578082E-2</v>
      </c>
      <c r="BH377" s="706">
        <v>5.2759001040578082E-2</v>
      </c>
      <c r="BI377" s="706">
        <v>5.2759001040578082E-2</v>
      </c>
      <c r="BJ377" s="706">
        <v>5.2759001040578082E-2</v>
      </c>
      <c r="BK377" s="706">
        <v>5.2759001040578082E-2</v>
      </c>
      <c r="BL377" s="706">
        <v>5.2759001040578082E-2</v>
      </c>
      <c r="BM377" s="706">
        <v>5.2759001040578082E-2</v>
      </c>
      <c r="BN377" s="706"/>
      <c r="BO377" s="706"/>
      <c r="BP377" s="706"/>
      <c r="BQ377" s="706"/>
      <c r="BR377" s="706"/>
      <c r="BS377" s="706"/>
      <c r="BT377" s="706"/>
      <c r="BU377" s="706"/>
      <c r="BV377" s="791">
        <v>47.179969892213457</v>
      </c>
      <c r="BW377" s="791">
        <v>47.179969892213457</v>
      </c>
      <c r="BX377" s="791">
        <v>47.179969892213457</v>
      </c>
      <c r="BY377" s="791">
        <v>47.179969892213457</v>
      </c>
      <c r="BZ377" s="791">
        <v>47.179969892213457</v>
      </c>
      <c r="CA377" s="791">
        <v>47.179969892213457</v>
      </c>
      <c r="CB377" s="791">
        <v>47.179969892213457</v>
      </c>
      <c r="CC377" s="791">
        <v>47.179969892213457</v>
      </c>
      <c r="CD377" s="791">
        <v>47.179969892213457</v>
      </c>
      <c r="CE377" s="791">
        <v>47.179969892213457</v>
      </c>
      <c r="CF377" s="791">
        <v>47.179969892213457</v>
      </c>
      <c r="CG377" s="791">
        <v>47.179969892213457</v>
      </c>
      <c r="CH377" s="791">
        <v>47.179969892213457</v>
      </c>
      <c r="CI377" s="791">
        <v>47.179969892213457</v>
      </c>
      <c r="CJ377" s="791">
        <v>47.179969892213457</v>
      </c>
      <c r="CK377" s="791">
        <v>47.179969892213457</v>
      </c>
      <c r="CL377" s="791">
        <v>47.179969892213457</v>
      </c>
      <c r="CM377" s="791">
        <v>47.179969892213457</v>
      </c>
      <c r="CN377" s="791"/>
      <c r="CO377" s="706"/>
      <c r="CP377" s="706"/>
      <c r="CQ377" s="706"/>
      <c r="CR377" s="706"/>
    </row>
    <row r="378" spans="1:96">
      <c r="A378" s="694" t="s">
        <v>3</v>
      </c>
      <c r="B378" s="794">
        <v>41904</v>
      </c>
      <c r="C378" s="743">
        <v>2014</v>
      </c>
      <c r="D378" s="746" t="s">
        <v>15</v>
      </c>
      <c r="E378" s="746" t="s">
        <v>25</v>
      </c>
      <c r="F378" s="746" t="s">
        <v>17</v>
      </c>
      <c r="G378" s="746" t="s">
        <v>58</v>
      </c>
      <c r="H378" s="694" t="s">
        <v>393</v>
      </c>
      <c r="I378" s="746" t="s">
        <v>5</v>
      </c>
      <c r="J378" s="746" t="s">
        <v>376</v>
      </c>
      <c r="K378" s="706">
        <v>1</v>
      </c>
      <c r="L378" s="745" t="s">
        <v>58</v>
      </c>
      <c r="M378" s="706" t="s">
        <v>894</v>
      </c>
      <c r="N378" s="706">
        <v>18</v>
      </c>
      <c r="O378" s="706"/>
      <c r="P378" s="706"/>
      <c r="Q378" s="706"/>
      <c r="R378" s="706"/>
      <c r="S378" s="706"/>
      <c r="T378" s="706"/>
      <c r="U378" s="738">
        <v>0.1051154994194438</v>
      </c>
      <c r="V378" s="738">
        <v>94</v>
      </c>
      <c r="W378" s="793">
        <v>0.1051154994194438</v>
      </c>
      <c r="X378" s="708">
        <v>94</v>
      </c>
      <c r="Y378" s="719">
        <v>1692</v>
      </c>
      <c r="Z378" s="719">
        <v>849.23945805984226</v>
      </c>
      <c r="AA378" s="719">
        <v>47.179969892213457</v>
      </c>
      <c r="AB378" s="738">
        <v>5.2759001040578082E-2</v>
      </c>
      <c r="AC378" s="792">
        <v>1</v>
      </c>
      <c r="AD378" s="792">
        <v>1</v>
      </c>
      <c r="AE378" s="717">
        <v>0.54049295774647899</v>
      </c>
      <c r="AF378" s="714">
        <v>4.2407531067898789E-2</v>
      </c>
      <c r="AG378" s="706"/>
      <c r="AH378" s="792">
        <v>0.50191457332141975</v>
      </c>
      <c r="AI378" s="748">
        <v>0.54049295774647899</v>
      </c>
      <c r="AJ378" s="748">
        <v>4.2407531067898789E-2</v>
      </c>
      <c r="AK378" s="748"/>
      <c r="AL378" s="714">
        <v>0.50191457332141975</v>
      </c>
      <c r="AM378" s="706"/>
      <c r="AN378" s="706"/>
      <c r="AO378" s="706"/>
      <c r="AP378" s="706"/>
      <c r="AQ378" s="706"/>
      <c r="AR378" s="706" t="s">
        <v>877</v>
      </c>
      <c r="AS378" s="706"/>
      <c r="AT378" s="706"/>
      <c r="AU378" s="706"/>
      <c r="AV378" s="706">
        <v>5.2759001040578082E-2</v>
      </c>
      <c r="AW378" s="706">
        <v>5.2759001040578082E-2</v>
      </c>
      <c r="AX378" s="706">
        <v>5.2759001040578082E-2</v>
      </c>
      <c r="AY378" s="706">
        <v>5.2759001040578082E-2</v>
      </c>
      <c r="AZ378" s="706">
        <v>5.2759001040578082E-2</v>
      </c>
      <c r="BA378" s="706">
        <v>5.2759001040578082E-2</v>
      </c>
      <c r="BB378" s="706">
        <v>5.2759001040578082E-2</v>
      </c>
      <c r="BC378" s="706">
        <v>5.2759001040578082E-2</v>
      </c>
      <c r="BD378" s="706">
        <v>5.2759001040578082E-2</v>
      </c>
      <c r="BE378" s="706">
        <v>5.2759001040578082E-2</v>
      </c>
      <c r="BF378" s="706">
        <v>5.2759001040578082E-2</v>
      </c>
      <c r="BG378" s="706">
        <v>5.2759001040578082E-2</v>
      </c>
      <c r="BH378" s="706">
        <v>5.2759001040578082E-2</v>
      </c>
      <c r="BI378" s="706">
        <v>5.2759001040578082E-2</v>
      </c>
      <c r="BJ378" s="706">
        <v>5.2759001040578082E-2</v>
      </c>
      <c r="BK378" s="706">
        <v>5.2759001040578082E-2</v>
      </c>
      <c r="BL378" s="706">
        <v>5.2759001040578082E-2</v>
      </c>
      <c r="BM378" s="706">
        <v>5.2759001040578082E-2</v>
      </c>
      <c r="BN378" s="706"/>
      <c r="BO378" s="706"/>
      <c r="BP378" s="706"/>
      <c r="BQ378" s="706"/>
      <c r="BR378" s="706"/>
      <c r="BS378" s="706"/>
      <c r="BT378" s="706"/>
      <c r="BU378" s="706"/>
      <c r="BV378" s="791">
        <v>47.179969892213457</v>
      </c>
      <c r="BW378" s="791">
        <v>47.179969892213457</v>
      </c>
      <c r="BX378" s="791">
        <v>47.179969892213457</v>
      </c>
      <c r="BY378" s="791">
        <v>47.179969892213457</v>
      </c>
      <c r="BZ378" s="791">
        <v>47.179969892213457</v>
      </c>
      <c r="CA378" s="791">
        <v>47.179969892213457</v>
      </c>
      <c r="CB378" s="791">
        <v>47.179969892213457</v>
      </c>
      <c r="CC378" s="791">
        <v>47.179969892213457</v>
      </c>
      <c r="CD378" s="791">
        <v>47.179969892213457</v>
      </c>
      <c r="CE378" s="791">
        <v>47.179969892213457</v>
      </c>
      <c r="CF378" s="791">
        <v>47.179969892213457</v>
      </c>
      <c r="CG378" s="791">
        <v>47.179969892213457</v>
      </c>
      <c r="CH378" s="791">
        <v>47.179969892213457</v>
      </c>
      <c r="CI378" s="791">
        <v>47.179969892213457</v>
      </c>
      <c r="CJ378" s="791">
        <v>47.179969892213457</v>
      </c>
      <c r="CK378" s="791">
        <v>47.179969892213457</v>
      </c>
      <c r="CL378" s="791">
        <v>47.179969892213457</v>
      </c>
      <c r="CM378" s="791">
        <v>47.179969892213457</v>
      </c>
      <c r="CN378" s="791"/>
      <c r="CO378" s="706"/>
      <c r="CP378" s="706"/>
      <c r="CQ378" s="706"/>
      <c r="CR378" s="706"/>
    </row>
    <row r="379" spans="1:96">
      <c r="A379" s="694" t="s">
        <v>3</v>
      </c>
      <c r="B379" s="794">
        <v>41802</v>
      </c>
      <c r="C379" s="743">
        <v>2014</v>
      </c>
      <c r="D379" s="746" t="s">
        <v>15</v>
      </c>
      <c r="E379" s="746" t="s">
        <v>25</v>
      </c>
      <c r="F379" s="746" t="s">
        <v>17</v>
      </c>
      <c r="G379" s="746" t="s">
        <v>58</v>
      </c>
      <c r="H379" s="694" t="s">
        <v>393</v>
      </c>
      <c r="I379" s="746" t="s">
        <v>5</v>
      </c>
      <c r="J379" s="746" t="s">
        <v>376</v>
      </c>
      <c r="K379" s="706">
        <v>1</v>
      </c>
      <c r="L379" s="745" t="s">
        <v>58</v>
      </c>
      <c r="M379" s="706" t="s">
        <v>904</v>
      </c>
      <c r="N379" s="706">
        <v>18</v>
      </c>
      <c r="O379" s="706"/>
      <c r="P379" s="706"/>
      <c r="Q379" s="706"/>
      <c r="R379" s="706"/>
      <c r="S379" s="706"/>
      <c r="T379" s="706"/>
      <c r="U379" s="738">
        <v>0.1051154994194438</v>
      </c>
      <c r="V379" s="738">
        <v>94</v>
      </c>
      <c r="W379" s="793">
        <v>0.1051154994194438</v>
      </c>
      <c r="X379" s="708">
        <v>94</v>
      </c>
      <c r="Y379" s="719">
        <v>1692</v>
      </c>
      <c r="Z379" s="719">
        <v>849.23945805984226</v>
      </c>
      <c r="AA379" s="719">
        <v>47.179969892213457</v>
      </c>
      <c r="AB379" s="738">
        <v>5.2759001040578082E-2</v>
      </c>
      <c r="AC379" s="792">
        <v>1</v>
      </c>
      <c r="AD379" s="792">
        <v>1</v>
      </c>
      <c r="AE379" s="717">
        <v>0.54049295774647899</v>
      </c>
      <c r="AF379" s="714">
        <v>4.2407531067898789E-2</v>
      </c>
      <c r="AG379" s="706"/>
      <c r="AH379" s="792">
        <v>0.50191457332141975</v>
      </c>
      <c r="AI379" s="748">
        <v>0.54049295774647899</v>
      </c>
      <c r="AJ379" s="748">
        <v>4.2407531067898789E-2</v>
      </c>
      <c r="AK379" s="748"/>
      <c r="AL379" s="714">
        <v>0.50191457332141975</v>
      </c>
      <c r="AM379" s="706"/>
      <c r="AN379" s="706"/>
      <c r="AO379" s="706"/>
      <c r="AP379" s="706"/>
      <c r="AQ379" s="706"/>
      <c r="AR379" s="706" t="s">
        <v>877</v>
      </c>
      <c r="AS379" s="706"/>
      <c r="AT379" s="706"/>
      <c r="AU379" s="706"/>
      <c r="AV379" s="706">
        <v>5.2759001040578082E-2</v>
      </c>
      <c r="AW379" s="706">
        <v>5.2759001040578082E-2</v>
      </c>
      <c r="AX379" s="706">
        <v>5.2759001040578082E-2</v>
      </c>
      <c r="AY379" s="706">
        <v>5.2759001040578082E-2</v>
      </c>
      <c r="AZ379" s="706">
        <v>5.2759001040578082E-2</v>
      </c>
      <c r="BA379" s="706">
        <v>5.2759001040578082E-2</v>
      </c>
      <c r="BB379" s="706">
        <v>5.2759001040578082E-2</v>
      </c>
      <c r="BC379" s="706">
        <v>5.2759001040578082E-2</v>
      </c>
      <c r="BD379" s="706">
        <v>5.2759001040578082E-2</v>
      </c>
      <c r="BE379" s="706">
        <v>5.2759001040578082E-2</v>
      </c>
      <c r="BF379" s="706">
        <v>5.2759001040578082E-2</v>
      </c>
      <c r="BG379" s="706">
        <v>5.2759001040578082E-2</v>
      </c>
      <c r="BH379" s="706">
        <v>5.2759001040578082E-2</v>
      </c>
      <c r="BI379" s="706">
        <v>5.2759001040578082E-2</v>
      </c>
      <c r="BJ379" s="706">
        <v>5.2759001040578082E-2</v>
      </c>
      <c r="BK379" s="706">
        <v>5.2759001040578082E-2</v>
      </c>
      <c r="BL379" s="706">
        <v>5.2759001040578082E-2</v>
      </c>
      <c r="BM379" s="706">
        <v>5.2759001040578082E-2</v>
      </c>
      <c r="BN379" s="706"/>
      <c r="BO379" s="706"/>
      <c r="BP379" s="706"/>
      <c r="BQ379" s="706"/>
      <c r="BR379" s="706"/>
      <c r="BS379" s="706"/>
      <c r="BT379" s="706"/>
      <c r="BU379" s="706"/>
      <c r="BV379" s="791">
        <v>47.179969892213457</v>
      </c>
      <c r="BW379" s="791">
        <v>47.179969892213457</v>
      </c>
      <c r="BX379" s="791">
        <v>47.179969892213457</v>
      </c>
      <c r="BY379" s="791">
        <v>47.179969892213457</v>
      </c>
      <c r="BZ379" s="791">
        <v>47.179969892213457</v>
      </c>
      <c r="CA379" s="791">
        <v>47.179969892213457</v>
      </c>
      <c r="CB379" s="791">
        <v>47.179969892213457</v>
      </c>
      <c r="CC379" s="791">
        <v>47.179969892213457</v>
      </c>
      <c r="CD379" s="791">
        <v>47.179969892213457</v>
      </c>
      <c r="CE379" s="791">
        <v>47.179969892213457</v>
      </c>
      <c r="CF379" s="791">
        <v>47.179969892213457</v>
      </c>
      <c r="CG379" s="791">
        <v>47.179969892213457</v>
      </c>
      <c r="CH379" s="791">
        <v>47.179969892213457</v>
      </c>
      <c r="CI379" s="791">
        <v>47.179969892213457</v>
      </c>
      <c r="CJ379" s="791">
        <v>47.179969892213457</v>
      </c>
      <c r="CK379" s="791">
        <v>47.179969892213457</v>
      </c>
      <c r="CL379" s="791">
        <v>47.179969892213457</v>
      </c>
      <c r="CM379" s="791">
        <v>47.179969892213457</v>
      </c>
      <c r="CN379" s="791"/>
      <c r="CO379" s="706"/>
      <c r="CP379" s="706"/>
      <c r="CQ379" s="706"/>
      <c r="CR379" s="706"/>
    </row>
    <row r="380" spans="1:96">
      <c r="A380" s="694" t="s">
        <v>3</v>
      </c>
      <c r="B380" s="794">
        <v>41750</v>
      </c>
      <c r="C380" s="743">
        <v>2014</v>
      </c>
      <c r="D380" s="746" t="s">
        <v>15</v>
      </c>
      <c r="E380" s="746" t="s">
        <v>25</v>
      </c>
      <c r="F380" s="746" t="s">
        <v>17</v>
      </c>
      <c r="G380" s="746" t="s">
        <v>58</v>
      </c>
      <c r="H380" s="694" t="s">
        <v>393</v>
      </c>
      <c r="I380" s="746" t="s">
        <v>5</v>
      </c>
      <c r="J380" s="746" t="s">
        <v>376</v>
      </c>
      <c r="K380" s="706">
        <v>1</v>
      </c>
      <c r="L380" s="745" t="s">
        <v>58</v>
      </c>
      <c r="M380" s="706" t="s">
        <v>903</v>
      </c>
      <c r="N380" s="706">
        <v>18</v>
      </c>
      <c r="O380" s="706"/>
      <c r="P380" s="706"/>
      <c r="Q380" s="706"/>
      <c r="R380" s="706"/>
      <c r="S380" s="706"/>
      <c r="T380" s="706"/>
      <c r="U380" s="738">
        <v>0.1051154994194438</v>
      </c>
      <c r="V380" s="738">
        <v>94</v>
      </c>
      <c r="W380" s="793">
        <v>0.1051154994194438</v>
      </c>
      <c r="X380" s="708">
        <v>94</v>
      </c>
      <c r="Y380" s="719">
        <v>1692</v>
      </c>
      <c r="Z380" s="719">
        <v>849.23945805984226</v>
      </c>
      <c r="AA380" s="719">
        <v>47.179969892213457</v>
      </c>
      <c r="AB380" s="738">
        <v>5.2759001040578082E-2</v>
      </c>
      <c r="AC380" s="792">
        <v>1</v>
      </c>
      <c r="AD380" s="792">
        <v>1</v>
      </c>
      <c r="AE380" s="717">
        <v>0.54049295774647899</v>
      </c>
      <c r="AF380" s="714">
        <v>4.2407531067898789E-2</v>
      </c>
      <c r="AG380" s="706"/>
      <c r="AH380" s="792">
        <v>0.50191457332141975</v>
      </c>
      <c r="AI380" s="748">
        <v>0.54049295774647899</v>
      </c>
      <c r="AJ380" s="748">
        <v>4.2407531067898789E-2</v>
      </c>
      <c r="AK380" s="748"/>
      <c r="AL380" s="714">
        <v>0.50191457332141975</v>
      </c>
      <c r="AM380" s="706"/>
      <c r="AN380" s="706"/>
      <c r="AO380" s="706"/>
      <c r="AP380" s="706"/>
      <c r="AQ380" s="706"/>
      <c r="AR380" s="706" t="s">
        <v>877</v>
      </c>
      <c r="AS380" s="706"/>
      <c r="AT380" s="706"/>
      <c r="AU380" s="706"/>
      <c r="AV380" s="706">
        <v>5.2759001040578082E-2</v>
      </c>
      <c r="AW380" s="706">
        <v>5.2759001040578082E-2</v>
      </c>
      <c r="AX380" s="706">
        <v>5.2759001040578082E-2</v>
      </c>
      <c r="AY380" s="706">
        <v>5.2759001040578082E-2</v>
      </c>
      <c r="AZ380" s="706">
        <v>5.2759001040578082E-2</v>
      </c>
      <c r="BA380" s="706">
        <v>5.2759001040578082E-2</v>
      </c>
      <c r="BB380" s="706">
        <v>5.2759001040578082E-2</v>
      </c>
      <c r="BC380" s="706">
        <v>5.2759001040578082E-2</v>
      </c>
      <c r="BD380" s="706">
        <v>5.2759001040578082E-2</v>
      </c>
      <c r="BE380" s="706">
        <v>5.2759001040578082E-2</v>
      </c>
      <c r="BF380" s="706">
        <v>5.2759001040578082E-2</v>
      </c>
      <c r="BG380" s="706">
        <v>5.2759001040578082E-2</v>
      </c>
      <c r="BH380" s="706">
        <v>5.2759001040578082E-2</v>
      </c>
      <c r="BI380" s="706">
        <v>5.2759001040578082E-2</v>
      </c>
      <c r="BJ380" s="706">
        <v>5.2759001040578082E-2</v>
      </c>
      <c r="BK380" s="706">
        <v>5.2759001040578082E-2</v>
      </c>
      <c r="BL380" s="706">
        <v>5.2759001040578082E-2</v>
      </c>
      <c r="BM380" s="706">
        <v>5.2759001040578082E-2</v>
      </c>
      <c r="BN380" s="706"/>
      <c r="BO380" s="706"/>
      <c r="BP380" s="706"/>
      <c r="BQ380" s="706"/>
      <c r="BR380" s="706"/>
      <c r="BS380" s="706"/>
      <c r="BT380" s="706"/>
      <c r="BU380" s="706"/>
      <c r="BV380" s="791">
        <v>47.179969892213457</v>
      </c>
      <c r="BW380" s="791">
        <v>47.179969892213457</v>
      </c>
      <c r="BX380" s="791">
        <v>47.179969892213457</v>
      </c>
      <c r="BY380" s="791">
        <v>47.179969892213457</v>
      </c>
      <c r="BZ380" s="791">
        <v>47.179969892213457</v>
      </c>
      <c r="CA380" s="791">
        <v>47.179969892213457</v>
      </c>
      <c r="CB380" s="791">
        <v>47.179969892213457</v>
      </c>
      <c r="CC380" s="791">
        <v>47.179969892213457</v>
      </c>
      <c r="CD380" s="791">
        <v>47.179969892213457</v>
      </c>
      <c r="CE380" s="791">
        <v>47.179969892213457</v>
      </c>
      <c r="CF380" s="791">
        <v>47.179969892213457</v>
      </c>
      <c r="CG380" s="791">
        <v>47.179969892213457</v>
      </c>
      <c r="CH380" s="791">
        <v>47.179969892213457</v>
      </c>
      <c r="CI380" s="791">
        <v>47.179969892213457</v>
      </c>
      <c r="CJ380" s="791">
        <v>47.179969892213457</v>
      </c>
      <c r="CK380" s="791">
        <v>47.179969892213457</v>
      </c>
      <c r="CL380" s="791">
        <v>47.179969892213457</v>
      </c>
      <c r="CM380" s="791">
        <v>47.179969892213457</v>
      </c>
      <c r="CN380" s="791"/>
      <c r="CO380" s="706"/>
      <c r="CP380" s="706"/>
      <c r="CQ380" s="706"/>
      <c r="CR380" s="706"/>
    </row>
    <row r="381" spans="1:96">
      <c r="A381" s="694" t="s">
        <v>3</v>
      </c>
      <c r="B381" s="794">
        <v>41810</v>
      </c>
      <c r="C381" s="743">
        <v>2014</v>
      </c>
      <c r="D381" s="746" t="s">
        <v>15</v>
      </c>
      <c r="E381" s="746" t="s">
        <v>25</v>
      </c>
      <c r="F381" s="746" t="s">
        <v>17</v>
      </c>
      <c r="G381" s="746" t="s">
        <v>58</v>
      </c>
      <c r="H381" s="694" t="s">
        <v>393</v>
      </c>
      <c r="I381" s="746" t="s">
        <v>5</v>
      </c>
      <c r="J381" s="746" t="s">
        <v>376</v>
      </c>
      <c r="K381" s="706">
        <v>1</v>
      </c>
      <c r="L381" s="745" t="s">
        <v>58</v>
      </c>
      <c r="M381" s="706" t="s">
        <v>902</v>
      </c>
      <c r="N381" s="706">
        <v>18</v>
      </c>
      <c r="O381" s="706"/>
      <c r="P381" s="706"/>
      <c r="Q381" s="706"/>
      <c r="R381" s="706"/>
      <c r="S381" s="706"/>
      <c r="T381" s="706"/>
      <c r="U381" s="738">
        <v>0.1051154994194438</v>
      </c>
      <c r="V381" s="738">
        <v>94</v>
      </c>
      <c r="W381" s="793">
        <v>0.1051154994194438</v>
      </c>
      <c r="X381" s="708">
        <v>94</v>
      </c>
      <c r="Y381" s="719">
        <v>1692</v>
      </c>
      <c r="Z381" s="719">
        <v>849.23945805984226</v>
      </c>
      <c r="AA381" s="719">
        <v>47.179969892213457</v>
      </c>
      <c r="AB381" s="738">
        <v>5.2759001040578082E-2</v>
      </c>
      <c r="AC381" s="792">
        <v>1</v>
      </c>
      <c r="AD381" s="792">
        <v>1</v>
      </c>
      <c r="AE381" s="717">
        <v>0.54049295774647899</v>
      </c>
      <c r="AF381" s="714">
        <v>4.2407531067898789E-2</v>
      </c>
      <c r="AG381" s="706"/>
      <c r="AH381" s="792">
        <v>0.50191457332141975</v>
      </c>
      <c r="AI381" s="748">
        <v>0.54049295774647899</v>
      </c>
      <c r="AJ381" s="748">
        <v>4.2407531067898789E-2</v>
      </c>
      <c r="AK381" s="748"/>
      <c r="AL381" s="714">
        <v>0.50191457332141975</v>
      </c>
      <c r="AM381" s="706"/>
      <c r="AN381" s="706"/>
      <c r="AO381" s="706"/>
      <c r="AP381" s="706"/>
      <c r="AQ381" s="706"/>
      <c r="AR381" s="706" t="s">
        <v>877</v>
      </c>
      <c r="AS381" s="706"/>
      <c r="AT381" s="706"/>
      <c r="AU381" s="706"/>
      <c r="AV381" s="706">
        <v>5.2759001040578082E-2</v>
      </c>
      <c r="AW381" s="706">
        <v>5.2759001040578082E-2</v>
      </c>
      <c r="AX381" s="706">
        <v>5.2759001040578082E-2</v>
      </c>
      <c r="AY381" s="706">
        <v>5.2759001040578082E-2</v>
      </c>
      <c r="AZ381" s="706">
        <v>5.2759001040578082E-2</v>
      </c>
      <c r="BA381" s="706">
        <v>5.2759001040578082E-2</v>
      </c>
      <c r="BB381" s="706">
        <v>5.2759001040578082E-2</v>
      </c>
      <c r="BC381" s="706">
        <v>5.2759001040578082E-2</v>
      </c>
      <c r="BD381" s="706">
        <v>5.2759001040578082E-2</v>
      </c>
      <c r="BE381" s="706">
        <v>5.2759001040578082E-2</v>
      </c>
      <c r="BF381" s="706">
        <v>5.2759001040578082E-2</v>
      </c>
      <c r="BG381" s="706">
        <v>5.2759001040578082E-2</v>
      </c>
      <c r="BH381" s="706">
        <v>5.2759001040578082E-2</v>
      </c>
      <c r="BI381" s="706">
        <v>5.2759001040578082E-2</v>
      </c>
      <c r="BJ381" s="706">
        <v>5.2759001040578082E-2</v>
      </c>
      <c r="BK381" s="706">
        <v>5.2759001040578082E-2</v>
      </c>
      <c r="BL381" s="706">
        <v>5.2759001040578082E-2</v>
      </c>
      <c r="BM381" s="706">
        <v>5.2759001040578082E-2</v>
      </c>
      <c r="BN381" s="706"/>
      <c r="BO381" s="706"/>
      <c r="BP381" s="706"/>
      <c r="BQ381" s="706"/>
      <c r="BR381" s="706"/>
      <c r="BS381" s="706"/>
      <c r="BT381" s="706"/>
      <c r="BU381" s="706"/>
      <c r="BV381" s="791">
        <v>47.179969892213457</v>
      </c>
      <c r="BW381" s="791">
        <v>47.179969892213457</v>
      </c>
      <c r="BX381" s="791">
        <v>47.179969892213457</v>
      </c>
      <c r="BY381" s="791">
        <v>47.179969892213457</v>
      </c>
      <c r="BZ381" s="791">
        <v>47.179969892213457</v>
      </c>
      <c r="CA381" s="791">
        <v>47.179969892213457</v>
      </c>
      <c r="CB381" s="791">
        <v>47.179969892213457</v>
      </c>
      <c r="CC381" s="791">
        <v>47.179969892213457</v>
      </c>
      <c r="CD381" s="791">
        <v>47.179969892213457</v>
      </c>
      <c r="CE381" s="791">
        <v>47.179969892213457</v>
      </c>
      <c r="CF381" s="791">
        <v>47.179969892213457</v>
      </c>
      <c r="CG381" s="791">
        <v>47.179969892213457</v>
      </c>
      <c r="CH381" s="791">
        <v>47.179969892213457</v>
      </c>
      <c r="CI381" s="791">
        <v>47.179969892213457</v>
      </c>
      <c r="CJ381" s="791">
        <v>47.179969892213457</v>
      </c>
      <c r="CK381" s="791">
        <v>47.179969892213457</v>
      </c>
      <c r="CL381" s="791">
        <v>47.179969892213457</v>
      </c>
      <c r="CM381" s="791">
        <v>47.179969892213457</v>
      </c>
      <c r="CN381" s="791"/>
      <c r="CO381" s="706"/>
      <c r="CP381" s="706"/>
      <c r="CQ381" s="706"/>
      <c r="CR381" s="706"/>
    </row>
    <row r="382" spans="1:96">
      <c r="A382" s="694" t="s">
        <v>3</v>
      </c>
      <c r="B382" s="794">
        <v>41996</v>
      </c>
      <c r="C382" s="743">
        <v>2014</v>
      </c>
      <c r="D382" s="746" t="s">
        <v>15</v>
      </c>
      <c r="E382" s="746" t="s">
        <v>25</v>
      </c>
      <c r="F382" s="746" t="s">
        <v>17</v>
      </c>
      <c r="G382" s="746" t="s">
        <v>58</v>
      </c>
      <c r="H382" s="694" t="s">
        <v>393</v>
      </c>
      <c r="I382" s="746" t="s">
        <v>5</v>
      </c>
      <c r="J382" s="746" t="s">
        <v>376</v>
      </c>
      <c r="K382" s="706">
        <v>1</v>
      </c>
      <c r="L382" s="745" t="s">
        <v>58</v>
      </c>
      <c r="M382" s="706" t="s">
        <v>894</v>
      </c>
      <c r="N382" s="706">
        <v>18</v>
      </c>
      <c r="O382" s="706"/>
      <c r="P382" s="706"/>
      <c r="Q382" s="706"/>
      <c r="R382" s="706"/>
      <c r="S382" s="706"/>
      <c r="T382" s="706"/>
      <c r="U382" s="738">
        <v>0.1051154994194438</v>
      </c>
      <c r="V382" s="738">
        <v>94</v>
      </c>
      <c r="W382" s="793">
        <v>0.1051154994194438</v>
      </c>
      <c r="X382" s="708">
        <v>94</v>
      </c>
      <c r="Y382" s="719">
        <v>1692</v>
      </c>
      <c r="Z382" s="719">
        <v>849.23945805984226</v>
      </c>
      <c r="AA382" s="719">
        <v>47.179969892213457</v>
      </c>
      <c r="AB382" s="738">
        <v>5.2759001040578082E-2</v>
      </c>
      <c r="AC382" s="792">
        <v>1</v>
      </c>
      <c r="AD382" s="792">
        <v>1</v>
      </c>
      <c r="AE382" s="717">
        <v>0.54049295774647899</v>
      </c>
      <c r="AF382" s="714">
        <v>4.2407531067898789E-2</v>
      </c>
      <c r="AG382" s="706"/>
      <c r="AH382" s="792">
        <v>0.50191457332141975</v>
      </c>
      <c r="AI382" s="748">
        <v>0.54049295774647899</v>
      </c>
      <c r="AJ382" s="748">
        <v>4.2407531067898789E-2</v>
      </c>
      <c r="AK382" s="748"/>
      <c r="AL382" s="714">
        <v>0.50191457332141975</v>
      </c>
      <c r="AM382" s="706"/>
      <c r="AN382" s="706"/>
      <c r="AO382" s="706"/>
      <c r="AP382" s="706"/>
      <c r="AQ382" s="706"/>
      <c r="AR382" s="706" t="s">
        <v>877</v>
      </c>
      <c r="AS382" s="706"/>
      <c r="AT382" s="706"/>
      <c r="AU382" s="706"/>
      <c r="AV382" s="706">
        <v>5.2759001040578082E-2</v>
      </c>
      <c r="AW382" s="706">
        <v>5.2759001040578082E-2</v>
      </c>
      <c r="AX382" s="706">
        <v>5.2759001040578082E-2</v>
      </c>
      <c r="AY382" s="706">
        <v>5.2759001040578082E-2</v>
      </c>
      <c r="AZ382" s="706">
        <v>5.2759001040578082E-2</v>
      </c>
      <c r="BA382" s="706">
        <v>5.2759001040578082E-2</v>
      </c>
      <c r="BB382" s="706">
        <v>5.2759001040578082E-2</v>
      </c>
      <c r="BC382" s="706">
        <v>5.2759001040578082E-2</v>
      </c>
      <c r="BD382" s="706">
        <v>5.2759001040578082E-2</v>
      </c>
      <c r="BE382" s="706">
        <v>5.2759001040578082E-2</v>
      </c>
      <c r="BF382" s="706">
        <v>5.2759001040578082E-2</v>
      </c>
      <c r="BG382" s="706">
        <v>5.2759001040578082E-2</v>
      </c>
      <c r="BH382" s="706">
        <v>5.2759001040578082E-2</v>
      </c>
      <c r="BI382" s="706">
        <v>5.2759001040578082E-2</v>
      </c>
      <c r="BJ382" s="706">
        <v>5.2759001040578082E-2</v>
      </c>
      <c r="BK382" s="706">
        <v>5.2759001040578082E-2</v>
      </c>
      <c r="BL382" s="706">
        <v>5.2759001040578082E-2</v>
      </c>
      <c r="BM382" s="706">
        <v>5.2759001040578082E-2</v>
      </c>
      <c r="BN382" s="706"/>
      <c r="BO382" s="706"/>
      <c r="BP382" s="706"/>
      <c r="BQ382" s="706"/>
      <c r="BR382" s="706"/>
      <c r="BS382" s="706"/>
      <c r="BT382" s="706"/>
      <c r="BU382" s="706"/>
      <c r="BV382" s="791">
        <v>47.179969892213457</v>
      </c>
      <c r="BW382" s="791">
        <v>47.179969892213457</v>
      </c>
      <c r="BX382" s="791">
        <v>47.179969892213457</v>
      </c>
      <c r="BY382" s="791">
        <v>47.179969892213457</v>
      </c>
      <c r="BZ382" s="791">
        <v>47.179969892213457</v>
      </c>
      <c r="CA382" s="791">
        <v>47.179969892213457</v>
      </c>
      <c r="CB382" s="791">
        <v>47.179969892213457</v>
      </c>
      <c r="CC382" s="791">
        <v>47.179969892213457</v>
      </c>
      <c r="CD382" s="791">
        <v>47.179969892213457</v>
      </c>
      <c r="CE382" s="791">
        <v>47.179969892213457</v>
      </c>
      <c r="CF382" s="791">
        <v>47.179969892213457</v>
      </c>
      <c r="CG382" s="791">
        <v>47.179969892213457</v>
      </c>
      <c r="CH382" s="791">
        <v>47.179969892213457</v>
      </c>
      <c r="CI382" s="791">
        <v>47.179969892213457</v>
      </c>
      <c r="CJ382" s="791">
        <v>47.179969892213457</v>
      </c>
      <c r="CK382" s="791">
        <v>47.179969892213457</v>
      </c>
      <c r="CL382" s="791">
        <v>47.179969892213457</v>
      </c>
      <c r="CM382" s="791">
        <v>47.179969892213457</v>
      </c>
      <c r="CN382" s="791"/>
      <c r="CO382" s="706"/>
      <c r="CP382" s="706"/>
      <c r="CQ382" s="706"/>
      <c r="CR382" s="706"/>
    </row>
    <row r="383" spans="1:96">
      <c r="A383" s="694" t="s">
        <v>3</v>
      </c>
      <c r="B383" s="794">
        <v>41859</v>
      </c>
      <c r="C383" s="743">
        <v>2014</v>
      </c>
      <c r="D383" s="746" t="s">
        <v>15</v>
      </c>
      <c r="E383" s="746" t="s">
        <v>25</v>
      </c>
      <c r="F383" s="746" t="s">
        <v>17</v>
      </c>
      <c r="G383" s="746" t="s">
        <v>58</v>
      </c>
      <c r="H383" s="694" t="s">
        <v>393</v>
      </c>
      <c r="I383" s="746" t="s">
        <v>5</v>
      </c>
      <c r="J383" s="746" t="s">
        <v>376</v>
      </c>
      <c r="K383" s="706">
        <v>1</v>
      </c>
      <c r="L383" s="745" t="s">
        <v>58</v>
      </c>
      <c r="M383" s="706" t="s">
        <v>901</v>
      </c>
      <c r="N383" s="706">
        <v>18</v>
      </c>
      <c r="O383" s="706"/>
      <c r="P383" s="706"/>
      <c r="Q383" s="706"/>
      <c r="R383" s="706"/>
      <c r="S383" s="706"/>
      <c r="T383" s="706"/>
      <c r="U383" s="738">
        <v>0.1051154994194438</v>
      </c>
      <c r="V383" s="738">
        <v>94</v>
      </c>
      <c r="W383" s="793">
        <v>0.1051154994194438</v>
      </c>
      <c r="X383" s="708">
        <v>94</v>
      </c>
      <c r="Y383" s="719">
        <v>1692</v>
      </c>
      <c r="Z383" s="719">
        <v>849.23945805984226</v>
      </c>
      <c r="AA383" s="719">
        <v>47.179969892213457</v>
      </c>
      <c r="AB383" s="738">
        <v>5.2759001040578082E-2</v>
      </c>
      <c r="AC383" s="792">
        <v>1</v>
      </c>
      <c r="AD383" s="792">
        <v>1</v>
      </c>
      <c r="AE383" s="717">
        <v>0.54049295774647899</v>
      </c>
      <c r="AF383" s="714">
        <v>4.2407531067898789E-2</v>
      </c>
      <c r="AG383" s="706"/>
      <c r="AH383" s="792">
        <v>0.50191457332141975</v>
      </c>
      <c r="AI383" s="748">
        <v>0.54049295774647899</v>
      </c>
      <c r="AJ383" s="748">
        <v>4.2407531067898789E-2</v>
      </c>
      <c r="AK383" s="748"/>
      <c r="AL383" s="714">
        <v>0.50191457332141975</v>
      </c>
      <c r="AM383" s="706"/>
      <c r="AN383" s="706"/>
      <c r="AO383" s="706"/>
      <c r="AP383" s="706"/>
      <c r="AQ383" s="706"/>
      <c r="AR383" s="706" t="s">
        <v>877</v>
      </c>
      <c r="AS383" s="706"/>
      <c r="AT383" s="706"/>
      <c r="AU383" s="706"/>
      <c r="AV383" s="706">
        <v>5.2759001040578082E-2</v>
      </c>
      <c r="AW383" s="706">
        <v>5.2759001040578082E-2</v>
      </c>
      <c r="AX383" s="706">
        <v>5.2759001040578082E-2</v>
      </c>
      <c r="AY383" s="706">
        <v>5.2759001040578082E-2</v>
      </c>
      <c r="AZ383" s="706">
        <v>5.2759001040578082E-2</v>
      </c>
      <c r="BA383" s="706">
        <v>5.2759001040578082E-2</v>
      </c>
      <c r="BB383" s="706">
        <v>5.2759001040578082E-2</v>
      </c>
      <c r="BC383" s="706">
        <v>5.2759001040578082E-2</v>
      </c>
      <c r="BD383" s="706">
        <v>5.2759001040578082E-2</v>
      </c>
      <c r="BE383" s="706">
        <v>5.2759001040578082E-2</v>
      </c>
      <c r="BF383" s="706">
        <v>5.2759001040578082E-2</v>
      </c>
      <c r="BG383" s="706">
        <v>5.2759001040578082E-2</v>
      </c>
      <c r="BH383" s="706">
        <v>5.2759001040578082E-2</v>
      </c>
      <c r="BI383" s="706">
        <v>5.2759001040578082E-2</v>
      </c>
      <c r="BJ383" s="706">
        <v>5.2759001040578082E-2</v>
      </c>
      <c r="BK383" s="706">
        <v>5.2759001040578082E-2</v>
      </c>
      <c r="BL383" s="706">
        <v>5.2759001040578082E-2</v>
      </c>
      <c r="BM383" s="706">
        <v>5.2759001040578082E-2</v>
      </c>
      <c r="BN383" s="706"/>
      <c r="BO383" s="706"/>
      <c r="BP383" s="706"/>
      <c r="BQ383" s="706"/>
      <c r="BR383" s="706"/>
      <c r="BS383" s="706"/>
      <c r="BT383" s="706"/>
      <c r="BU383" s="706"/>
      <c r="BV383" s="791">
        <v>47.179969892213457</v>
      </c>
      <c r="BW383" s="791">
        <v>47.179969892213457</v>
      </c>
      <c r="BX383" s="791">
        <v>47.179969892213457</v>
      </c>
      <c r="BY383" s="791">
        <v>47.179969892213457</v>
      </c>
      <c r="BZ383" s="791">
        <v>47.179969892213457</v>
      </c>
      <c r="CA383" s="791">
        <v>47.179969892213457</v>
      </c>
      <c r="CB383" s="791">
        <v>47.179969892213457</v>
      </c>
      <c r="CC383" s="791">
        <v>47.179969892213457</v>
      </c>
      <c r="CD383" s="791">
        <v>47.179969892213457</v>
      </c>
      <c r="CE383" s="791">
        <v>47.179969892213457</v>
      </c>
      <c r="CF383" s="791">
        <v>47.179969892213457</v>
      </c>
      <c r="CG383" s="791">
        <v>47.179969892213457</v>
      </c>
      <c r="CH383" s="791">
        <v>47.179969892213457</v>
      </c>
      <c r="CI383" s="791">
        <v>47.179969892213457</v>
      </c>
      <c r="CJ383" s="791">
        <v>47.179969892213457</v>
      </c>
      <c r="CK383" s="791">
        <v>47.179969892213457</v>
      </c>
      <c r="CL383" s="791">
        <v>47.179969892213457</v>
      </c>
      <c r="CM383" s="791">
        <v>47.179969892213457</v>
      </c>
      <c r="CN383" s="791"/>
      <c r="CO383" s="706"/>
      <c r="CP383" s="706"/>
      <c r="CQ383" s="706"/>
      <c r="CR383" s="706"/>
    </row>
    <row r="384" spans="1:96">
      <c r="A384" s="694" t="s">
        <v>3</v>
      </c>
      <c r="B384" s="794">
        <v>41774</v>
      </c>
      <c r="C384" s="743">
        <v>2014</v>
      </c>
      <c r="D384" s="746" t="s">
        <v>15</v>
      </c>
      <c r="E384" s="746" t="s">
        <v>25</v>
      </c>
      <c r="F384" s="746" t="s">
        <v>17</v>
      </c>
      <c r="G384" s="746" t="s">
        <v>58</v>
      </c>
      <c r="H384" s="694" t="s">
        <v>393</v>
      </c>
      <c r="I384" s="746" t="s">
        <v>5</v>
      </c>
      <c r="J384" s="746" t="s">
        <v>376</v>
      </c>
      <c r="K384" s="706">
        <v>1</v>
      </c>
      <c r="L384" s="745" t="s">
        <v>58</v>
      </c>
      <c r="M384" s="706" t="s">
        <v>900</v>
      </c>
      <c r="N384" s="706">
        <v>18</v>
      </c>
      <c r="O384" s="706"/>
      <c r="P384" s="706"/>
      <c r="Q384" s="706"/>
      <c r="R384" s="706"/>
      <c r="S384" s="706"/>
      <c r="T384" s="706"/>
      <c r="U384" s="738">
        <v>0.1051154994194438</v>
      </c>
      <c r="V384" s="738">
        <v>94</v>
      </c>
      <c r="W384" s="793">
        <v>0.1051154994194438</v>
      </c>
      <c r="X384" s="708">
        <v>94</v>
      </c>
      <c r="Y384" s="719">
        <v>1692</v>
      </c>
      <c r="Z384" s="719">
        <v>849.23945805984226</v>
      </c>
      <c r="AA384" s="719">
        <v>47.179969892213457</v>
      </c>
      <c r="AB384" s="738">
        <v>5.2759001040578082E-2</v>
      </c>
      <c r="AC384" s="792">
        <v>1</v>
      </c>
      <c r="AD384" s="792">
        <v>1</v>
      </c>
      <c r="AE384" s="717">
        <v>0.54049295774647899</v>
      </c>
      <c r="AF384" s="714">
        <v>4.2407531067898789E-2</v>
      </c>
      <c r="AG384" s="706"/>
      <c r="AH384" s="792">
        <v>0.50191457332141975</v>
      </c>
      <c r="AI384" s="748">
        <v>0.54049295774647899</v>
      </c>
      <c r="AJ384" s="748">
        <v>4.2407531067898789E-2</v>
      </c>
      <c r="AK384" s="748"/>
      <c r="AL384" s="714">
        <v>0.50191457332141975</v>
      </c>
      <c r="AM384" s="706"/>
      <c r="AN384" s="706"/>
      <c r="AO384" s="706"/>
      <c r="AP384" s="706"/>
      <c r="AQ384" s="706"/>
      <c r="AR384" s="706" t="s">
        <v>877</v>
      </c>
      <c r="AS384" s="706"/>
      <c r="AT384" s="706"/>
      <c r="AU384" s="706"/>
      <c r="AV384" s="706">
        <v>5.2759001040578082E-2</v>
      </c>
      <c r="AW384" s="706">
        <v>5.2759001040578082E-2</v>
      </c>
      <c r="AX384" s="706">
        <v>5.2759001040578082E-2</v>
      </c>
      <c r="AY384" s="706">
        <v>5.2759001040578082E-2</v>
      </c>
      <c r="AZ384" s="706">
        <v>5.2759001040578082E-2</v>
      </c>
      <c r="BA384" s="706">
        <v>5.2759001040578082E-2</v>
      </c>
      <c r="BB384" s="706">
        <v>5.2759001040578082E-2</v>
      </c>
      <c r="BC384" s="706">
        <v>5.2759001040578082E-2</v>
      </c>
      <c r="BD384" s="706">
        <v>5.2759001040578082E-2</v>
      </c>
      <c r="BE384" s="706">
        <v>5.2759001040578082E-2</v>
      </c>
      <c r="BF384" s="706">
        <v>5.2759001040578082E-2</v>
      </c>
      <c r="BG384" s="706">
        <v>5.2759001040578082E-2</v>
      </c>
      <c r="BH384" s="706">
        <v>5.2759001040578082E-2</v>
      </c>
      <c r="BI384" s="706">
        <v>5.2759001040578082E-2</v>
      </c>
      <c r="BJ384" s="706">
        <v>5.2759001040578082E-2</v>
      </c>
      <c r="BK384" s="706">
        <v>5.2759001040578082E-2</v>
      </c>
      <c r="BL384" s="706">
        <v>5.2759001040578082E-2</v>
      </c>
      <c r="BM384" s="706">
        <v>5.2759001040578082E-2</v>
      </c>
      <c r="BN384" s="706"/>
      <c r="BO384" s="706"/>
      <c r="BP384" s="706"/>
      <c r="BQ384" s="706"/>
      <c r="BR384" s="706"/>
      <c r="BS384" s="706"/>
      <c r="BT384" s="706"/>
      <c r="BU384" s="706"/>
      <c r="BV384" s="791">
        <v>47.179969892213457</v>
      </c>
      <c r="BW384" s="791">
        <v>47.179969892213457</v>
      </c>
      <c r="BX384" s="791">
        <v>47.179969892213457</v>
      </c>
      <c r="BY384" s="791">
        <v>47.179969892213457</v>
      </c>
      <c r="BZ384" s="791">
        <v>47.179969892213457</v>
      </c>
      <c r="CA384" s="791">
        <v>47.179969892213457</v>
      </c>
      <c r="CB384" s="791">
        <v>47.179969892213457</v>
      </c>
      <c r="CC384" s="791">
        <v>47.179969892213457</v>
      </c>
      <c r="CD384" s="791">
        <v>47.179969892213457</v>
      </c>
      <c r="CE384" s="791">
        <v>47.179969892213457</v>
      </c>
      <c r="CF384" s="791">
        <v>47.179969892213457</v>
      </c>
      <c r="CG384" s="791">
        <v>47.179969892213457</v>
      </c>
      <c r="CH384" s="791">
        <v>47.179969892213457</v>
      </c>
      <c r="CI384" s="791">
        <v>47.179969892213457</v>
      </c>
      <c r="CJ384" s="791">
        <v>47.179969892213457</v>
      </c>
      <c r="CK384" s="791">
        <v>47.179969892213457</v>
      </c>
      <c r="CL384" s="791">
        <v>47.179969892213457</v>
      </c>
      <c r="CM384" s="791">
        <v>47.179969892213457</v>
      </c>
      <c r="CN384" s="791"/>
      <c r="CO384" s="706"/>
      <c r="CP384" s="706"/>
      <c r="CQ384" s="706"/>
      <c r="CR384" s="706"/>
    </row>
    <row r="385" spans="1:96">
      <c r="A385" s="694" t="s">
        <v>3</v>
      </c>
      <c r="B385" s="794">
        <v>41774</v>
      </c>
      <c r="C385" s="743">
        <v>2014</v>
      </c>
      <c r="D385" s="746" t="s">
        <v>15</v>
      </c>
      <c r="E385" s="746" t="s">
        <v>25</v>
      </c>
      <c r="F385" s="746" t="s">
        <v>17</v>
      </c>
      <c r="G385" s="746" t="s">
        <v>58</v>
      </c>
      <c r="H385" s="694" t="s">
        <v>393</v>
      </c>
      <c r="I385" s="746" t="s">
        <v>5</v>
      </c>
      <c r="J385" s="746" t="s">
        <v>376</v>
      </c>
      <c r="K385" s="706">
        <v>1</v>
      </c>
      <c r="L385" s="745" t="s">
        <v>58</v>
      </c>
      <c r="M385" s="706" t="s">
        <v>899</v>
      </c>
      <c r="N385" s="706">
        <v>18</v>
      </c>
      <c r="O385" s="706"/>
      <c r="P385" s="706"/>
      <c r="Q385" s="706"/>
      <c r="R385" s="706"/>
      <c r="S385" s="706"/>
      <c r="T385" s="706"/>
      <c r="U385" s="738">
        <v>0.1051154994194438</v>
      </c>
      <c r="V385" s="738">
        <v>94</v>
      </c>
      <c r="W385" s="793">
        <v>0.1051154994194438</v>
      </c>
      <c r="X385" s="708">
        <v>94</v>
      </c>
      <c r="Y385" s="719">
        <v>1692</v>
      </c>
      <c r="Z385" s="719">
        <v>849.23945805984226</v>
      </c>
      <c r="AA385" s="719">
        <v>47.179969892213457</v>
      </c>
      <c r="AB385" s="738">
        <v>5.2759001040578082E-2</v>
      </c>
      <c r="AC385" s="792">
        <v>1</v>
      </c>
      <c r="AD385" s="792">
        <v>1</v>
      </c>
      <c r="AE385" s="717">
        <v>0.54049295774647899</v>
      </c>
      <c r="AF385" s="714">
        <v>4.2407531067898789E-2</v>
      </c>
      <c r="AG385" s="706"/>
      <c r="AH385" s="792">
        <v>0.50191457332141975</v>
      </c>
      <c r="AI385" s="748">
        <v>0.54049295774647899</v>
      </c>
      <c r="AJ385" s="748">
        <v>4.2407531067898789E-2</v>
      </c>
      <c r="AK385" s="748"/>
      <c r="AL385" s="714">
        <v>0.50191457332141975</v>
      </c>
      <c r="AM385" s="706"/>
      <c r="AN385" s="706"/>
      <c r="AO385" s="706"/>
      <c r="AP385" s="706"/>
      <c r="AQ385" s="706"/>
      <c r="AR385" s="706" t="s">
        <v>877</v>
      </c>
      <c r="AS385" s="706"/>
      <c r="AT385" s="706"/>
      <c r="AU385" s="706"/>
      <c r="AV385" s="706">
        <v>5.2759001040578082E-2</v>
      </c>
      <c r="AW385" s="706">
        <v>5.2759001040578082E-2</v>
      </c>
      <c r="AX385" s="706">
        <v>5.2759001040578082E-2</v>
      </c>
      <c r="AY385" s="706">
        <v>5.2759001040578082E-2</v>
      </c>
      <c r="AZ385" s="706">
        <v>5.2759001040578082E-2</v>
      </c>
      <c r="BA385" s="706">
        <v>5.2759001040578082E-2</v>
      </c>
      <c r="BB385" s="706">
        <v>5.2759001040578082E-2</v>
      </c>
      <c r="BC385" s="706">
        <v>5.2759001040578082E-2</v>
      </c>
      <c r="BD385" s="706">
        <v>5.2759001040578082E-2</v>
      </c>
      <c r="BE385" s="706">
        <v>5.2759001040578082E-2</v>
      </c>
      <c r="BF385" s="706">
        <v>5.2759001040578082E-2</v>
      </c>
      <c r="BG385" s="706">
        <v>5.2759001040578082E-2</v>
      </c>
      <c r="BH385" s="706">
        <v>5.2759001040578082E-2</v>
      </c>
      <c r="BI385" s="706">
        <v>5.2759001040578082E-2</v>
      </c>
      <c r="BJ385" s="706">
        <v>5.2759001040578082E-2</v>
      </c>
      <c r="BK385" s="706">
        <v>5.2759001040578082E-2</v>
      </c>
      <c r="BL385" s="706">
        <v>5.2759001040578082E-2</v>
      </c>
      <c r="BM385" s="706">
        <v>5.2759001040578082E-2</v>
      </c>
      <c r="BN385" s="706"/>
      <c r="BO385" s="706"/>
      <c r="BP385" s="706"/>
      <c r="BQ385" s="706"/>
      <c r="BR385" s="706"/>
      <c r="BS385" s="706"/>
      <c r="BT385" s="706"/>
      <c r="BU385" s="706"/>
      <c r="BV385" s="791">
        <v>47.179969892213457</v>
      </c>
      <c r="BW385" s="791">
        <v>47.179969892213457</v>
      </c>
      <c r="BX385" s="791">
        <v>47.179969892213457</v>
      </c>
      <c r="BY385" s="791">
        <v>47.179969892213457</v>
      </c>
      <c r="BZ385" s="791">
        <v>47.179969892213457</v>
      </c>
      <c r="CA385" s="791">
        <v>47.179969892213457</v>
      </c>
      <c r="CB385" s="791">
        <v>47.179969892213457</v>
      </c>
      <c r="CC385" s="791">
        <v>47.179969892213457</v>
      </c>
      <c r="CD385" s="791">
        <v>47.179969892213457</v>
      </c>
      <c r="CE385" s="791">
        <v>47.179969892213457</v>
      </c>
      <c r="CF385" s="791">
        <v>47.179969892213457</v>
      </c>
      <c r="CG385" s="791">
        <v>47.179969892213457</v>
      </c>
      <c r="CH385" s="791">
        <v>47.179969892213457</v>
      </c>
      <c r="CI385" s="791">
        <v>47.179969892213457</v>
      </c>
      <c r="CJ385" s="791">
        <v>47.179969892213457</v>
      </c>
      <c r="CK385" s="791">
        <v>47.179969892213457</v>
      </c>
      <c r="CL385" s="791">
        <v>47.179969892213457</v>
      </c>
      <c r="CM385" s="791">
        <v>47.179969892213457</v>
      </c>
      <c r="CN385" s="791"/>
      <c r="CO385" s="706"/>
      <c r="CP385" s="706"/>
      <c r="CQ385" s="706"/>
      <c r="CR385" s="706"/>
    </row>
    <row r="386" spans="1:96">
      <c r="A386" s="694" t="s">
        <v>3</v>
      </c>
      <c r="B386" s="794">
        <v>41869</v>
      </c>
      <c r="C386" s="743">
        <v>2014</v>
      </c>
      <c r="D386" s="746" t="s">
        <v>15</v>
      </c>
      <c r="E386" s="746" t="s">
        <v>25</v>
      </c>
      <c r="F386" s="746" t="s">
        <v>17</v>
      </c>
      <c r="G386" s="746" t="s">
        <v>58</v>
      </c>
      <c r="H386" s="694" t="s">
        <v>393</v>
      </c>
      <c r="I386" s="746" t="s">
        <v>5</v>
      </c>
      <c r="J386" s="746" t="s">
        <v>376</v>
      </c>
      <c r="K386" s="706">
        <v>1</v>
      </c>
      <c r="L386" s="745" t="s">
        <v>58</v>
      </c>
      <c r="M386" s="706" t="s">
        <v>898</v>
      </c>
      <c r="N386" s="706">
        <v>18</v>
      </c>
      <c r="O386" s="706"/>
      <c r="P386" s="706"/>
      <c r="Q386" s="706"/>
      <c r="R386" s="706"/>
      <c r="S386" s="706"/>
      <c r="T386" s="706"/>
      <c r="U386" s="738">
        <v>0.1051154994194438</v>
      </c>
      <c r="V386" s="738">
        <v>94</v>
      </c>
      <c r="W386" s="793">
        <v>0.1051154994194438</v>
      </c>
      <c r="X386" s="708">
        <v>94</v>
      </c>
      <c r="Y386" s="719">
        <v>1692</v>
      </c>
      <c r="Z386" s="719">
        <v>849.23945805984226</v>
      </c>
      <c r="AA386" s="719">
        <v>47.179969892213457</v>
      </c>
      <c r="AB386" s="738">
        <v>5.2759001040578082E-2</v>
      </c>
      <c r="AC386" s="792">
        <v>1</v>
      </c>
      <c r="AD386" s="792">
        <v>1</v>
      </c>
      <c r="AE386" s="717">
        <v>0.54049295774647899</v>
      </c>
      <c r="AF386" s="714">
        <v>4.2407531067898789E-2</v>
      </c>
      <c r="AG386" s="706"/>
      <c r="AH386" s="792">
        <v>0.50191457332141975</v>
      </c>
      <c r="AI386" s="748">
        <v>0.54049295774647899</v>
      </c>
      <c r="AJ386" s="748">
        <v>4.2407531067898789E-2</v>
      </c>
      <c r="AK386" s="748"/>
      <c r="AL386" s="714">
        <v>0.50191457332141975</v>
      </c>
      <c r="AM386" s="706"/>
      <c r="AN386" s="706"/>
      <c r="AO386" s="706"/>
      <c r="AP386" s="706"/>
      <c r="AQ386" s="706"/>
      <c r="AR386" s="706" t="s">
        <v>877</v>
      </c>
      <c r="AS386" s="706"/>
      <c r="AT386" s="706"/>
      <c r="AU386" s="706"/>
      <c r="AV386" s="706">
        <v>5.2759001040578082E-2</v>
      </c>
      <c r="AW386" s="706">
        <v>5.2759001040578082E-2</v>
      </c>
      <c r="AX386" s="706">
        <v>5.2759001040578082E-2</v>
      </c>
      <c r="AY386" s="706">
        <v>5.2759001040578082E-2</v>
      </c>
      <c r="AZ386" s="706">
        <v>5.2759001040578082E-2</v>
      </c>
      <c r="BA386" s="706">
        <v>5.2759001040578082E-2</v>
      </c>
      <c r="BB386" s="706">
        <v>5.2759001040578082E-2</v>
      </c>
      <c r="BC386" s="706">
        <v>5.2759001040578082E-2</v>
      </c>
      <c r="BD386" s="706">
        <v>5.2759001040578082E-2</v>
      </c>
      <c r="BE386" s="706">
        <v>5.2759001040578082E-2</v>
      </c>
      <c r="BF386" s="706">
        <v>5.2759001040578082E-2</v>
      </c>
      <c r="BG386" s="706">
        <v>5.2759001040578082E-2</v>
      </c>
      <c r="BH386" s="706">
        <v>5.2759001040578082E-2</v>
      </c>
      <c r="BI386" s="706">
        <v>5.2759001040578082E-2</v>
      </c>
      <c r="BJ386" s="706">
        <v>5.2759001040578082E-2</v>
      </c>
      <c r="BK386" s="706">
        <v>5.2759001040578082E-2</v>
      </c>
      <c r="BL386" s="706">
        <v>5.2759001040578082E-2</v>
      </c>
      <c r="BM386" s="706">
        <v>5.2759001040578082E-2</v>
      </c>
      <c r="BN386" s="706"/>
      <c r="BO386" s="706"/>
      <c r="BP386" s="706"/>
      <c r="BQ386" s="706"/>
      <c r="BR386" s="706"/>
      <c r="BS386" s="706"/>
      <c r="BT386" s="706"/>
      <c r="BU386" s="706"/>
      <c r="BV386" s="791">
        <v>47.179969892213457</v>
      </c>
      <c r="BW386" s="791">
        <v>47.179969892213457</v>
      </c>
      <c r="BX386" s="791">
        <v>47.179969892213457</v>
      </c>
      <c r="BY386" s="791">
        <v>47.179969892213457</v>
      </c>
      <c r="BZ386" s="791">
        <v>47.179969892213457</v>
      </c>
      <c r="CA386" s="791">
        <v>47.179969892213457</v>
      </c>
      <c r="CB386" s="791">
        <v>47.179969892213457</v>
      </c>
      <c r="CC386" s="791">
        <v>47.179969892213457</v>
      </c>
      <c r="CD386" s="791">
        <v>47.179969892213457</v>
      </c>
      <c r="CE386" s="791">
        <v>47.179969892213457</v>
      </c>
      <c r="CF386" s="791">
        <v>47.179969892213457</v>
      </c>
      <c r="CG386" s="791">
        <v>47.179969892213457</v>
      </c>
      <c r="CH386" s="791">
        <v>47.179969892213457</v>
      </c>
      <c r="CI386" s="791">
        <v>47.179969892213457</v>
      </c>
      <c r="CJ386" s="791">
        <v>47.179969892213457</v>
      </c>
      <c r="CK386" s="791">
        <v>47.179969892213457</v>
      </c>
      <c r="CL386" s="791">
        <v>47.179969892213457</v>
      </c>
      <c r="CM386" s="791">
        <v>47.179969892213457</v>
      </c>
      <c r="CN386" s="791"/>
      <c r="CO386" s="706"/>
      <c r="CP386" s="706"/>
      <c r="CQ386" s="706"/>
      <c r="CR386" s="706"/>
    </row>
    <row r="387" spans="1:96">
      <c r="A387" s="694" t="s">
        <v>3</v>
      </c>
      <c r="B387" s="794">
        <v>41879</v>
      </c>
      <c r="C387" s="743">
        <v>2014</v>
      </c>
      <c r="D387" s="746" t="s">
        <v>15</v>
      </c>
      <c r="E387" s="746" t="s">
        <v>25</v>
      </c>
      <c r="F387" s="746" t="s">
        <v>17</v>
      </c>
      <c r="G387" s="746" t="s">
        <v>58</v>
      </c>
      <c r="H387" s="694" t="s">
        <v>393</v>
      </c>
      <c r="I387" s="746" t="s">
        <v>5</v>
      </c>
      <c r="J387" s="746" t="s">
        <v>376</v>
      </c>
      <c r="K387" s="706">
        <v>1</v>
      </c>
      <c r="L387" s="745" t="s">
        <v>58</v>
      </c>
      <c r="M387" s="706" t="s">
        <v>897</v>
      </c>
      <c r="N387" s="706">
        <v>18</v>
      </c>
      <c r="O387" s="706"/>
      <c r="P387" s="706"/>
      <c r="Q387" s="706"/>
      <c r="R387" s="706"/>
      <c r="S387" s="706"/>
      <c r="T387" s="706"/>
      <c r="U387" s="738">
        <v>0.1051154994194438</v>
      </c>
      <c r="V387" s="738">
        <v>94</v>
      </c>
      <c r="W387" s="793">
        <v>0.1051154994194438</v>
      </c>
      <c r="X387" s="708">
        <v>94</v>
      </c>
      <c r="Y387" s="719">
        <v>1692</v>
      </c>
      <c r="Z387" s="719">
        <v>849.23945805984226</v>
      </c>
      <c r="AA387" s="719">
        <v>47.179969892213457</v>
      </c>
      <c r="AB387" s="738">
        <v>5.2759001040578082E-2</v>
      </c>
      <c r="AC387" s="792">
        <v>1</v>
      </c>
      <c r="AD387" s="792">
        <v>1</v>
      </c>
      <c r="AE387" s="717">
        <v>0.54049295774647899</v>
      </c>
      <c r="AF387" s="714">
        <v>4.2407531067898789E-2</v>
      </c>
      <c r="AG387" s="706"/>
      <c r="AH387" s="792">
        <v>0.50191457332141975</v>
      </c>
      <c r="AI387" s="748">
        <v>0.54049295774647899</v>
      </c>
      <c r="AJ387" s="748">
        <v>4.2407531067898789E-2</v>
      </c>
      <c r="AK387" s="748"/>
      <c r="AL387" s="714">
        <v>0.50191457332141975</v>
      </c>
      <c r="AM387" s="706"/>
      <c r="AN387" s="706"/>
      <c r="AO387" s="706"/>
      <c r="AP387" s="706"/>
      <c r="AQ387" s="706"/>
      <c r="AR387" s="706" t="s">
        <v>877</v>
      </c>
      <c r="AS387" s="706"/>
      <c r="AT387" s="706"/>
      <c r="AU387" s="706"/>
      <c r="AV387" s="706">
        <v>5.2759001040578082E-2</v>
      </c>
      <c r="AW387" s="706">
        <v>5.2759001040578082E-2</v>
      </c>
      <c r="AX387" s="706">
        <v>5.2759001040578082E-2</v>
      </c>
      <c r="AY387" s="706">
        <v>5.2759001040578082E-2</v>
      </c>
      <c r="AZ387" s="706">
        <v>5.2759001040578082E-2</v>
      </c>
      <c r="BA387" s="706">
        <v>5.2759001040578082E-2</v>
      </c>
      <c r="BB387" s="706">
        <v>5.2759001040578082E-2</v>
      </c>
      <c r="BC387" s="706">
        <v>5.2759001040578082E-2</v>
      </c>
      <c r="BD387" s="706">
        <v>5.2759001040578082E-2</v>
      </c>
      <c r="BE387" s="706">
        <v>5.2759001040578082E-2</v>
      </c>
      <c r="BF387" s="706">
        <v>5.2759001040578082E-2</v>
      </c>
      <c r="BG387" s="706">
        <v>5.2759001040578082E-2</v>
      </c>
      <c r="BH387" s="706">
        <v>5.2759001040578082E-2</v>
      </c>
      <c r="BI387" s="706">
        <v>5.2759001040578082E-2</v>
      </c>
      <c r="BJ387" s="706">
        <v>5.2759001040578082E-2</v>
      </c>
      <c r="BK387" s="706">
        <v>5.2759001040578082E-2</v>
      </c>
      <c r="BL387" s="706">
        <v>5.2759001040578082E-2</v>
      </c>
      <c r="BM387" s="706">
        <v>5.2759001040578082E-2</v>
      </c>
      <c r="BN387" s="706"/>
      <c r="BO387" s="706"/>
      <c r="BP387" s="706"/>
      <c r="BQ387" s="706"/>
      <c r="BR387" s="706"/>
      <c r="BS387" s="706"/>
      <c r="BT387" s="706"/>
      <c r="BU387" s="706"/>
      <c r="BV387" s="791">
        <v>47.179969892213457</v>
      </c>
      <c r="BW387" s="791">
        <v>47.179969892213457</v>
      </c>
      <c r="BX387" s="791">
        <v>47.179969892213457</v>
      </c>
      <c r="BY387" s="791">
        <v>47.179969892213457</v>
      </c>
      <c r="BZ387" s="791">
        <v>47.179969892213457</v>
      </c>
      <c r="CA387" s="791">
        <v>47.179969892213457</v>
      </c>
      <c r="CB387" s="791">
        <v>47.179969892213457</v>
      </c>
      <c r="CC387" s="791">
        <v>47.179969892213457</v>
      </c>
      <c r="CD387" s="791">
        <v>47.179969892213457</v>
      </c>
      <c r="CE387" s="791">
        <v>47.179969892213457</v>
      </c>
      <c r="CF387" s="791">
        <v>47.179969892213457</v>
      </c>
      <c r="CG387" s="791">
        <v>47.179969892213457</v>
      </c>
      <c r="CH387" s="791">
        <v>47.179969892213457</v>
      </c>
      <c r="CI387" s="791">
        <v>47.179969892213457</v>
      </c>
      <c r="CJ387" s="791">
        <v>47.179969892213457</v>
      </c>
      <c r="CK387" s="791">
        <v>47.179969892213457</v>
      </c>
      <c r="CL387" s="791">
        <v>47.179969892213457</v>
      </c>
      <c r="CM387" s="791">
        <v>47.179969892213457</v>
      </c>
      <c r="CN387" s="791"/>
      <c r="CO387" s="706"/>
      <c r="CP387" s="706"/>
      <c r="CQ387" s="706"/>
      <c r="CR387" s="706"/>
    </row>
    <row r="388" spans="1:96">
      <c r="A388" s="694" t="s">
        <v>3</v>
      </c>
      <c r="B388" s="794">
        <v>41733</v>
      </c>
      <c r="C388" s="743">
        <v>2014</v>
      </c>
      <c r="D388" s="746" t="s">
        <v>15</v>
      </c>
      <c r="E388" s="746" t="s">
        <v>25</v>
      </c>
      <c r="F388" s="746" t="s">
        <v>17</v>
      </c>
      <c r="G388" s="746" t="s">
        <v>58</v>
      </c>
      <c r="H388" s="694" t="s">
        <v>393</v>
      </c>
      <c r="I388" s="746" t="s">
        <v>5</v>
      </c>
      <c r="J388" s="746" t="s">
        <v>376</v>
      </c>
      <c r="K388" s="706">
        <v>1</v>
      </c>
      <c r="L388" s="745" t="s">
        <v>58</v>
      </c>
      <c r="M388" s="706" t="s">
        <v>896</v>
      </c>
      <c r="N388" s="706">
        <v>18</v>
      </c>
      <c r="O388" s="706"/>
      <c r="P388" s="706"/>
      <c r="Q388" s="706"/>
      <c r="R388" s="706"/>
      <c r="S388" s="706"/>
      <c r="T388" s="706"/>
      <c r="U388" s="738">
        <v>0.1051154994194438</v>
      </c>
      <c r="V388" s="738">
        <v>94</v>
      </c>
      <c r="W388" s="793">
        <v>0.1051154994194438</v>
      </c>
      <c r="X388" s="708">
        <v>94</v>
      </c>
      <c r="Y388" s="719">
        <v>1692</v>
      </c>
      <c r="Z388" s="719">
        <v>849.23945805984226</v>
      </c>
      <c r="AA388" s="719">
        <v>47.179969892213457</v>
      </c>
      <c r="AB388" s="738">
        <v>5.2759001040578082E-2</v>
      </c>
      <c r="AC388" s="792">
        <v>1</v>
      </c>
      <c r="AD388" s="792">
        <v>1</v>
      </c>
      <c r="AE388" s="717">
        <v>0.54049295774647899</v>
      </c>
      <c r="AF388" s="714">
        <v>4.2407531067898789E-2</v>
      </c>
      <c r="AG388" s="706"/>
      <c r="AH388" s="792">
        <v>0.50191457332141975</v>
      </c>
      <c r="AI388" s="748">
        <v>0.54049295774647899</v>
      </c>
      <c r="AJ388" s="748">
        <v>4.2407531067898789E-2</v>
      </c>
      <c r="AK388" s="748"/>
      <c r="AL388" s="714">
        <v>0.50191457332141975</v>
      </c>
      <c r="AM388" s="706"/>
      <c r="AN388" s="706"/>
      <c r="AO388" s="706"/>
      <c r="AP388" s="706"/>
      <c r="AQ388" s="706"/>
      <c r="AR388" s="706" t="s">
        <v>877</v>
      </c>
      <c r="AS388" s="706"/>
      <c r="AT388" s="706"/>
      <c r="AU388" s="706"/>
      <c r="AV388" s="706">
        <v>5.2759001040578082E-2</v>
      </c>
      <c r="AW388" s="706">
        <v>5.2759001040578082E-2</v>
      </c>
      <c r="AX388" s="706">
        <v>5.2759001040578082E-2</v>
      </c>
      <c r="AY388" s="706">
        <v>5.2759001040578082E-2</v>
      </c>
      <c r="AZ388" s="706">
        <v>5.2759001040578082E-2</v>
      </c>
      <c r="BA388" s="706">
        <v>5.2759001040578082E-2</v>
      </c>
      <c r="BB388" s="706">
        <v>5.2759001040578082E-2</v>
      </c>
      <c r="BC388" s="706">
        <v>5.2759001040578082E-2</v>
      </c>
      <c r="BD388" s="706">
        <v>5.2759001040578082E-2</v>
      </c>
      <c r="BE388" s="706">
        <v>5.2759001040578082E-2</v>
      </c>
      <c r="BF388" s="706">
        <v>5.2759001040578082E-2</v>
      </c>
      <c r="BG388" s="706">
        <v>5.2759001040578082E-2</v>
      </c>
      <c r="BH388" s="706">
        <v>5.2759001040578082E-2</v>
      </c>
      <c r="BI388" s="706">
        <v>5.2759001040578082E-2</v>
      </c>
      <c r="BJ388" s="706">
        <v>5.2759001040578082E-2</v>
      </c>
      <c r="BK388" s="706">
        <v>5.2759001040578082E-2</v>
      </c>
      <c r="BL388" s="706">
        <v>5.2759001040578082E-2</v>
      </c>
      <c r="BM388" s="706">
        <v>5.2759001040578082E-2</v>
      </c>
      <c r="BN388" s="706"/>
      <c r="BO388" s="706"/>
      <c r="BP388" s="706"/>
      <c r="BQ388" s="706"/>
      <c r="BR388" s="706"/>
      <c r="BS388" s="706"/>
      <c r="BT388" s="706"/>
      <c r="BU388" s="706"/>
      <c r="BV388" s="791">
        <v>47.179969892213457</v>
      </c>
      <c r="BW388" s="791">
        <v>47.179969892213457</v>
      </c>
      <c r="BX388" s="791">
        <v>47.179969892213457</v>
      </c>
      <c r="BY388" s="791">
        <v>47.179969892213457</v>
      </c>
      <c r="BZ388" s="791">
        <v>47.179969892213457</v>
      </c>
      <c r="CA388" s="791">
        <v>47.179969892213457</v>
      </c>
      <c r="CB388" s="791">
        <v>47.179969892213457</v>
      </c>
      <c r="CC388" s="791">
        <v>47.179969892213457</v>
      </c>
      <c r="CD388" s="791">
        <v>47.179969892213457</v>
      </c>
      <c r="CE388" s="791">
        <v>47.179969892213457</v>
      </c>
      <c r="CF388" s="791">
        <v>47.179969892213457</v>
      </c>
      <c r="CG388" s="791">
        <v>47.179969892213457</v>
      </c>
      <c r="CH388" s="791">
        <v>47.179969892213457</v>
      </c>
      <c r="CI388" s="791">
        <v>47.179969892213457</v>
      </c>
      <c r="CJ388" s="791">
        <v>47.179969892213457</v>
      </c>
      <c r="CK388" s="791">
        <v>47.179969892213457</v>
      </c>
      <c r="CL388" s="791">
        <v>47.179969892213457</v>
      </c>
      <c r="CM388" s="791">
        <v>47.179969892213457</v>
      </c>
      <c r="CN388" s="791"/>
      <c r="CO388" s="706"/>
      <c r="CP388" s="706"/>
      <c r="CQ388" s="706"/>
      <c r="CR388" s="706"/>
    </row>
    <row r="389" spans="1:96">
      <c r="A389" s="694" t="s">
        <v>3</v>
      </c>
      <c r="B389" s="794">
        <v>41862</v>
      </c>
      <c r="C389" s="743">
        <v>2014</v>
      </c>
      <c r="D389" s="746" t="s">
        <v>15</v>
      </c>
      <c r="E389" s="746" t="s">
        <v>25</v>
      </c>
      <c r="F389" s="746" t="s">
        <v>17</v>
      </c>
      <c r="G389" s="746" t="s">
        <v>58</v>
      </c>
      <c r="H389" s="694" t="s">
        <v>393</v>
      </c>
      <c r="I389" s="746" t="s">
        <v>5</v>
      </c>
      <c r="J389" s="746" t="s">
        <v>376</v>
      </c>
      <c r="K389" s="706">
        <v>1</v>
      </c>
      <c r="L389" s="745" t="s">
        <v>58</v>
      </c>
      <c r="M389" s="706" t="s">
        <v>895</v>
      </c>
      <c r="N389" s="706">
        <v>18</v>
      </c>
      <c r="O389" s="706"/>
      <c r="P389" s="706"/>
      <c r="Q389" s="706"/>
      <c r="R389" s="706"/>
      <c r="S389" s="706"/>
      <c r="T389" s="706"/>
      <c r="U389" s="738">
        <v>0.1051154994194438</v>
      </c>
      <c r="V389" s="738">
        <v>94</v>
      </c>
      <c r="W389" s="793">
        <v>0.1051154994194438</v>
      </c>
      <c r="X389" s="708">
        <v>94</v>
      </c>
      <c r="Y389" s="719">
        <v>1692</v>
      </c>
      <c r="Z389" s="719">
        <v>849.23945805984226</v>
      </c>
      <c r="AA389" s="719">
        <v>47.179969892213457</v>
      </c>
      <c r="AB389" s="738">
        <v>5.2759001040578082E-2</v>
      </c>
      <c r="AC389" s="792">
        <v>1</v>
      </c>
      <c r="AD389" s="792">
        <v>1</v>
      </c>
      <c r="AE389" s="717">
        <v>0.54049295774647899</v>
      </c>
      <c r="AF389" s="714">
        <v>4.2407531067898789E-2</v>
      </c>
      <c r="AG389" s="706"/>
      <c r="AH389" s="792">
        <v>0.50191457332141975</v>
      </c>
      <c r="AI389" s="748">
        <v>0.54049295774647899</v>
      </c>
      <c r="AJ389" s="748">
        <v>4.2407531067898789E-2</v>
      </c>
      <c r="AK389" s="748"/>
      <c r="AL389" s="714">
        <v>0.50191457332141975</v>
      </c>
      <c r="AM389" s="706"/>
      <c r="AN389" s="706"/>
      <c r="AO389" s="706"/>
      <c r="AP389" s="706"/>
      <c r="AQ389" s="706"/>
      <c r="AR389" s="706" t="s">
        <v>877</v>
      </c>
      <c r="AS389" s="706"/>
      <c r="AT389" s="706"/>
      <c r="AU389" s="706"/>
      <c r="AV389" s="706">
        <v>5.2759001040578082E-2</v>
      </c>
      <c r="AW389" s="706">
        <v>5.2759001040578082E-2</v>
      </c>
      <c r="AX389" s="706">
        <v>5.2759001040578082E-2</v>
      </c>
      <c r="AY389" s="706">
        <v>5.2759001040578082E-2</v>
      </c>
      <c r="AZ389" s="706">
        <v>5.2759001040578082E-2</v>
      </c>
      <c r="BA389" s="706">
        <v>5.2759001040578082E-2</v>
      </c>
      <c r="BB389" s="706">
        <v>5.2759001040578082E-2</v>
      </c>
      <c r="BC389" s="706">
        <v>5.2759001040578082E-2</v>
      </c>
      <c r="BD389" s="706">
        <v>5.2759001040578082E-2</v>
      </c>
      <c r="BE389" s="706">
        <v>5.2759001040578082E-2</v>
      </c>
      <c r="BF389" s="706">
        <v>5.2759001040578082E-2</v>
      </c>
      <c r="BG389" s="706">
        <v>5.2759001040578082E-2</v>
      </c>
      <c r="BH389" s="706">
        <v>5.2759001040578082E-2</v>
      </c>
      <c r="BI389" s="706">
        <v>5.2759001040578082E-2</v>
      </c>
      <c r="BJ389" s="706">
        <v>5.2759001040578082E-2</v>
      </c>
      <c r="BK389" s="706">
        <v>5.2759001040578082E-2</v>
      </c>
      <c r="BL389" s="706">
        <v>5.2759001040578082E-2</v>
      </c>
      <c r="BM389" s="706">
        <v>5.2759001040578082E-2</v>
      </c>
      <c r="BN389" s="706"/>
      <c r="BO389" s="706"/>
      <c r="BP389" s="706"/>
      <c r="BQ389" s="706"/>
      <c r="BR389" s="706"/>
      <c r="BS389" s="706"/>
      <c r="BT389" s="706"/>
      <c r="BU389" s="706"/>
      <c r="BV389" s="791">
        <v>47.179969892213457</v>
      </c>
      <c r="BW389" s="791">
        <v>47.179969892213457</v>
      </c>
      <c r="BX389" s="791">
        <v>47.179969892213457</v>
      </c>
      <c r="BY389" s="791">
        <v>47.179969892213457</v>
      </c>
      <c r="BZ389" s="791">
        <v>47.179969892213457</v>
      </c>
      <c r="CA389" s="791">
        <v>47.179969892213457</v>
      </c>
      <c r="CB389" s="791">
        <v>47.179969892213457</v>
      </c>
      <c r="CC389" s="791">
        <v>47.179969892213457</v>
      </c>
      <c r="CD389" s="791">
        <v>47.179969892213457</v>
      </c>
      <c r="CE389" s="791">
        <v>47.179969892213457</v>
      </c>
      <c r="CF389" s="791">
        <v>47.179969892213457</v>
      </c>
      <c r="CG389" s="791">
        <v>47.179969892213457</v>
      </c>
      <c r="CH389" s="791">
        <v>47.179969892213457</v>
      </c>
      <c r="CI389" s="791">
        <v>47.179969892213457</v>
      </c>
      <c r="CJ389" s="791">
        <v>47.179969892213457</v>
      </c>
      <c r="CK389" s="791">
        <v>47.179969892213457</v>
      </c>
      <c r="CL389" s="791">
        <v>47.179969892213457</v>
      </c>
      <c r="CM389" s="791">
        <v>47.179969892213457</v>
      </c>
      <c r="CN389" s="791"/>
      <c r="CO389" s="706"/>
      <c r="CP389" s="706"/>
      <c r="CQ389" s="706"/>
      <c r="CR389" s="706"/>
    </row>
    <row r="390" spans="1:96">
      <c r="A390" s="694" t="s">
        <v>3</v>
      </c>
      <c r="B390" s="794">
        <v>41830</v>
      </c>
      <c r="C390" s="743">
        <v>2014</v>
      </c>
      <c r="D390" s="746" t="s">
        <v>15</v>
      </c>
      <c r="E390" s="746" t="s">
        <v>25</v>
      </c>
      <c r="F390" s="746" t="s">
        <v>17</v>
      </c>
      <c r="G390" s="746" t="s">
        <v>58</v>
      </c>
      <c r="H390" s="694" t="s">
        <v>393</v>
      </c>
      <c r="I390" s="746" t="s">
        <v>5</v>
      </c>
      <c r="J390" s="746" t="s">
        <v>376</v>
      </c>
      <c r="K390" s="706">
        <v>1</v>
      </c>
      <c r="L390" s="745" t="s">
        <v>58</v>
      </c>
      <c r="M390" s="706" t="s">
        <v>894</v>
      </c>
      <c r="N390" s="706">
        <v>18</v>
      </c>
      <c r="O390" s="706"/>
      <c r="P390" s="706"/>
      <c r="Q390" s="706"/>
      <c r="R390" s="706"/>
      <c r="S390" s="706"/>
      <c r="T390" s="706"/>
      <c r="U390" s="738">
        <v>0.1051154994194438</v>
      </c>
      <c r="V390" s="738">
        <v>94</v>
      </c>
      <c r="W390" s="793">
        <v>0.1051154994194438</v>
      </c>
      <c r="X390" s="708">
        <v>94</v>
      </c>
      <c r="Y390" s="719">
        <v>1692</v>
      </c>
      <c r="Z390" s="719">
        <v>849.23945805984226</v>
      </c>
      <c r="AA390" s="719">
        <v>47.179969892213457</v>
      </c>
      <c r="AB390" s="738">
        <v>5.2759001040578082E-2</v>
      </c>
      <c r="AC390" s="792">
        <v>1</v>
      </c>
      <c r="AD390" s="792">
        <v>1</v>
      </c>
      <c r="AE390" s="717">
        <v>0.54049295774647899</v>
      </c>
      <c r="AF390" s="714">
        <v>4.2407531067898789E-2</v>
      </c>
      <c r="AG390" s="706"/>
      <c r="AH390" s="792">
        <v>0.50191457332141975</v>
      </c>
      <c r="AI390" s="748">
        <v>0.54049295774647899</v>
      </c>
      <c r="AJ390" s="748">
        <v>4.2407531067898789E-2</v>
      </c>
      <c r="AK390" s="748"/>
      <c r="AL390" s="714">
        <v>0.50191457332141975</v>
      </c>
      <c r="AM390" s="706"/>
      <c r="AN390" s="706"/>
      <c r="AO390" s="706"/>
      <c r="AP390" s="706"/>
      <c r="AQ390" s="706"/>
      <c r="AR390" s="706" t="s">
        <v>877</v>
      </c>
      <c r="AS390" s="706"/>
      <c r="AT390" s="706"/>
      <c r="AU390" s="706"/>
      <c r="AV390" s="706">
        <v>5.2759001040578082E-2</v>
      </c>
      <c r="AW390" s="706">
        <v>5.2759001040578082E-2</v>
      </c>
      <c r="AX390" s="706">
        <v>5.2759001040578082E-2</v>
      </c>
      <c r="AY390" s="706">
        <v>5.2759001040578082E-2</v>
      </c>
      <c r="AZ390" s="706">
        <v>5.2759001040578082E-2</v>
      </c>
      <c r="BA390" s="706">
        <v>5.2759001040578082E-2</v>
      </c>
      <c r="BB390" s="706">
        <v>5.2759001040578082E-2</v>
      </c>
      <c r="BC390" s="706">
        <v>5.2759001040578082E-2</v>
      </c>
      <c r="BD390" s="706">
        <v>5.2759001040578082E-2</v>
      </c>
      <c r="BE390" s="706">
        <v>5.2759001040578082E-2</v>
      </c>
      <c r="BF390" s="706">
        <v>5.2759001040578082E-2</v>
      </c>
      <c r="BG390" s="706">
        <v>5.2759001040578082E-2</v>
      </c>
      <c r="BH390" s="706">
        <v>5.2759001040578082E-2</v>
      </c>
      <c r="BI390" s="706">
        <v>5.2759001040578082E-2</v>
      </c>
      <c r="BJ390" s="706">
        <v>5.2759001040578082E-2</v>
      </c>
      <c r="BK390" s="706">
        <v>5.2759001040578082E-2</v>
      </c>
      <c r="BL390" s="706">
        <v>5.2759001040578082E-2</v>
      </c>
      <c r="BM390" s="706">
        <v>5.2759001040578082E-2</v>
      </c>
      <c r="BN390" s="706"/>
      <c r="BO390" s="706"/>
      <c r="BP390" s="706"/>
      <c r="BQ390" s="706"/>
      <c r="BR390" s="706"/>
      <c r="BS390" s="706"/>
      <c r="BT390" s="706"/>
      <c r="BU390" s="706"/>
      <c r="BV390" s="791">
        <v>47.179969892213457</v>
      </c>
      <c r="BW390" s="791">
        <v>47.179969892213457</v>
      </c>
      <c r="BX390" s="791">
        <v>47.179969892213457</v>
      </c>
      <c r="BY390" s="791">
        <v>47.179969892213457</v>
      </c>
      <c r="BZ390" s="791">
        <v>47.179969892213457</v>
      </c>
      <c r="CA390" s="791">
        <v>47.179969892213457</v>
      </c>
      <c r="CB390" s="791">
        <v>47.179969892213457</v>
      </c>
      <c r="CC390" s="791">
        <v>47.179969892213457</v>
      </c>
      <c r="CD390" s="791">
        <v>47.179969892213457</v>
      </c>
      <c r="CE390" s="791">
        <v>47.179969892213457</v>
      </c>
      <c r="CF390" s="791">
        <v>47.179969892213457</v>
      </c>
      <c r="CG390" s="791">
        <v>47.179969892213457</v>
      </c>
      <c r="CH390" s="791">
        <v>47.179969892213457</v>
      </c>
      <c r="CI390" s="791">
        <v>47.179969892213457</v>
      </c>
      <c r="CJ390" s="791">
        <v>47.179969892213457</v>
      </c>
      <c r="CK390" s="791">
        <v>47.179969892213457</v>
      </c>
      <c r="CL390" s="791">
        <v>47.179969892213457</v>
      </c>
      <c r="CM390" s="791">
        <v>47.179969892213457</v>
      </c>
      <c r="CN390" s="791"/>
      <c r="CO390" s="706"/>
      <c r="CP390" s="706"/>
      <c r="CQ390" s="706"/>
      <c r="CR390" s="706"/>
    </row>
    <row r="391" spans="1:96">
      <c r="A391" s="694" t="s">
        <v>3</v>
      </c>
      <c r="B391" s="794">
        <v>41844</v>
      </c>
      <c r="C391" s="743">
        <v>2014</v>
      </c>
      <c r="D391" s="746" t="s">
        <v>15</v>
      </c>
      <c r="E391" s="746" t="s">
        <v>25</v>
      </c>
      <c r="F391" s="746" t="s">
        <v>17</v>
      </c>
      <c r="G391" s="746" t="s">
        <v>58</v>
      </c>
      <c r="H391" s="694" t="s">
        <v>393</v>
      </c>
      <c r="I391" s="746" t="s">
        <v>5</v>
      </c>
      <c r="J391" s="746" t="s">
        <v>376</v>
      </c>
      <c r="K391" s="706">
        <v>1</v>
      </c>
      <c r="L391" s="745" t="s">
        <v>58</v>
      </c>
      <c r="M391" s="706" t="s">
        <v>893</v>
      </c>
      <c r="N391" s="706">
        <v>18</v>
      </c>
      <c r="O391" s="706"/>
      <c r="P391" s="706"/>
      <c r="Q391" s="706"/>
      <c r="R391" s="706"/>
      <c r="S391" s="706"/>
      <c r="T391" s="706"/>
      <c r="U391" s="738">
        <v>0.1051154994194438</v>
      </c>
      <c r="V391" s="738">
        <v>94</v>
      </c>
      <c r="W391" s="793">
        <v>0.1051154994194438</v>
      </c>
      <c r="X391" s="708">
        <v>94</v>
      </c>
      <c r="Y391" s="719">
        <v>1692</v>
      </c>
      <c r="Z391" s="719">
        <v>849.23945805984226</v>
      </c>
      <c r="AA391" s="719">
        <v>47.179969892213457</v>
      </c>
      <c r="AB391" s="738">
        <v>5.2759001040578082E-2</v>
      </c>
      <c r="AC391" s="792">
        <v>1</v>
      </c>
      <c r="AD391" s="792">
        <v>1</v>
      </c>
      <c r="AE391" s="717">
        <v>0.54049295774647899</v>
      </c>
      <c r="AF391" s="714">
        <v>4.2407531067898789E-2</v>
      </c>
      <c r="AG391" s="706"/>
      <c r="AH391" s="792">
        <v>0.50191457332141975</v>
      </c>
      <c r="AI391" s="748">
        <v>0.54049295774647899</v>
      </c>
      <c r="AJ391" s="748">
        <v>4.2407531067898789E-2</v>
      </c>
      <c r="AK391" s="748"/>
      <c r="AL391" s="714">
        <v>0.50191457332141975</v>
      </c>
      <c r="AM391" s="706"/>
      <c r="AN391" s="706"/>
      <c r="AO391" s="706"/>
      <c r="AP391" s="706"/>
      <c r="AQ391" s="706"/>
      <c r="AR391" s="706" t="s">
        <v>877</v>
      </c>
      <c r="AS391" s="706"/>
      <c r="AT391" s="706"/>
      <c r="AU391" s="706"/>
      <c r="AV391" s="706">
        <v>5.2759001040578082E-2</v>
      </c>
      <c r="AW391" s="706">
        <v>5.2759001040578082E-2</v>
      </c>
      <c r="AX391" s="706">
        <v>5.2759001040578082E-2</v>
      </c>
      <c r="AY391" s="706">
        <v>5.2759001040578082E-2</v>
      </c>
      <c r="AZ391" s="706">
        <v>5.2759001040578082E-2</v>
      </c>
      <c r="BA391" s="706">
        <v>5.2759001040578082E-2</v>
      </c>
      <c r="BB391" s="706">
        <v>5.2759001040578082E-2</v>
      </c>
      <c r="BC391" s="706">
        <v>5.2759001040578082E-2</v>
      </c>
      <c r="BD391" s="706">
        <v>5.2759001040578082E-2</v>
      </c>
      <c r="BE391" s="706">
        <v>5.2759001040578082E-2</v>
      </c>
      <c r="BF391" s="706">
        <v>5.2759001040578082E-2</v>
      </c>
      <c r="BG391" s="706">
        <v>5.2759001040578082E-2</v>
      </c>
      <c r="BH391" s="706">
        <v>5.2759001040578082E-2</v>
      </c>
      <c r="BI391" s="706">
        <v>5.2759001040578082E-2</v>
      </c>
      <c r="BJ391" s="706">
        <v>5.2759001040578082E-2</v>
      </c>
      <c r="BK391" s="706">
        <v>5.2759001040578082E-2</v>
      </c>
      <c r="BL391" s="706">
        <v>5.2759001040578082E-2</v>
      </c>
      <c r="BM391" s="706">
        <v>5.2759001040578082E-2</v>
      </c>
      <c r="BN391" s="706"/>
      <c r="BO391" s="706"/>
      <c r="BP391" s="706"/>
      <c r="BQ391" s="706"/>
      <c r="BR391" s="706"/>
      <c r="BS391" s="706"/>
      <c r="BT391" s="706"/>
      <c r="BU391" s="706"/>
      <c r="BV391" s="791">
        <v>47.179969892213457</v>
      </c>
      <c r="BW391" s="791">
        <v>47.179969892213457</v>
      </c>
      <c r="BX391" s="791">
        <v>47.179969892213457</v>
      </c>
      <c r="BY391" s="791">
        <v>47.179969892213457</v>
      </c>
      <c r="BZ391" s="791">
        <v>47.179969892213457</v>
      </c>
      <c r="CA391" s="791">
        <v>47.179969892213457</v>
      </c>
      <c r="CB391" s="791">
        <v>47.179969892213457</v>
      </c>
      <c r="CC391" s="791">
        <v>47.179969892213457</v>
      </c>
      <c r="CD391" s="791">
        <v>47.179969892213457</v>
      </c>
      <c r="CE391" s="791">
        <v>47.179969892213457</v>
      </c>
      <c r="CF391" s="791">
        <v>47.179969892213457</v>
      </c>
      <c r="CG391" s="791">
        <v>47.179969892213457</v>
      </c>
      <c r="CH391" s="791">
        <v>47.179969892213457</v>
      </c>
      <c r="CI391" s="791">
        <v>47.179969892213457</v>
      </c>
      <c r="CJ391" s="791">
        <v>47.179969892213457</v>
      </c>
      <c r="CK391" s="791">
        <v>47.179969892213457</v>
      </c>
      <c r="CL391" s="791">
        <v>47.179969892213457</v>
      </c>
      <c r="CM391" s="791">
        <v>47.179969892213457</v>
      </c>
      <c r="CN391" s="791"/>
      <c r="CO391" s="706"/>
      <c r="CP391" s="706"/>
      <c r="CQ391" s="706"/>
      <c r="CR391" s="706"/>
    </row>
    <row r="392" spans="1:96">
      <c r="A392" s="694" t="s">
        <v>3</v>
      </c>
      <c r="B392" s="794">
        <v>41715</v>
      </c>
      <c r="C392" s="743">
        <v>2014</v>
      </c>
      <c r="D392" s="746" t="s">
        <v>15</v>
      </c>
      <c r="E392" s="746" t="s">
        <v>25</v>
      </c>
      <c r="F392" s="746" t="s">
        <v>17</v>
      </c>
      <c r="G392" s="746" t="s">
        <v>58</v>
      </c>
      <c r="H392" s="694" t="s">
        <v>393</v>
      </c>
      <c r="I392" s="746" t="s">
        <v>5</v>
      </c>
      <c r="J392" s="746" t="s">
        <v>376</v>
      </c>
      <c r="K392" s="706">
        <v>1</v>
      </c>
      <c r="L392" s="745" t="s">
        <v>58</v>
      </c>
      <c r="M392" s="706" t="s">
        <v>892</v>
      </c>
      <c r="N392" s="706">
        <v>18</v>
      </c>
      <c r="O392" s="706"/>
      <c r="P392" s="706"/>
      <c r="Q392" s="706"/>
      <c r="R392" s="706"/>
      <c r="S392" s="706"/>
      <c r="T392" s="706"/>
      <c r="U392" s="738">
        <v>0.1051154994194438</v>
      </c>
      <c r="V392" s="738">
        <v>94</v>
      </c>
      <c r="W392" s="793">
        <v>0.1051154994194438</v>
      </c>
      <c r="X392" s="708">
        <v>94</v>
      </c>
      <c r="Y392" s="719">
        <v>1692</v>
      </c>
      <c r="Z392" s="719">
        <v>849.23945805984226</v>
      </c>
      <c r="AA392" s="719">
        <v>47.179969892213457</v>
      </c>
      <c r="AB392" s="738">
        <v>5.2759001040578082E-2</v>
      </c>
      <c r="AC392" s="792">
        <v>1</v>
      </c>
      <c r="AD392" s="792">
        <v>1</v>
      </c>
      <c r="AE392" s="717">
        <v>0.54049295774647899</v>
      </c>
      <c r="AF392" s="714">
        <v>4.2407531067898789E-2</v>
      </c>
      <c r="AG392" s="706"/>
      <c r="AH392" s="792">
        <v>0.50191457332141975</v>
      </c>
      <c r="AI392" s="748">
        <v>0.54049295774647899</v>
      </c>
      <c r="AJ392" s="748">
        <v>4.2407531067898789E-2</v>
      </c>
      <c r="AK392" s="748"/>
      <c r="AL392" s="714">
        <v>0.50191457332141975</v>
      </c>
      <c r="AM392" s="706"/>
      <c r="AN392" s="706"/>
      <c r="AO392" s="706"/>
      <c r="AP392" s="706"/>
      <c r="AQ392" s="706"/>
      <c r="AR392" s="706" t="s">
        <v>877</v>
      </c>
      <c r="AS392" s="706"/>
      <c r="AT392" s="706"/>
      <c r="AU392" s="706"/>
      <c r="AV392" s="706">
        <v>5.2759001040578082E-2</v>
      </c>
      <c r="AW392" s="706">
        <v>5.2759001040578082E-2</v>
      </c>
      <c r="AX392" s="706">
        <v>5.2759001040578082E-2</v>
      </c>
      <c r="AY392" s="706">
        <v>5.2759001040578082E-2</v>
      </c>
      <c r="AZ392" s="706">
        <v>5.2759001040578082E-2</v>
      </c>
      <c r="BA392" s="706">
        <v>5.2759001040578082E-2</v>
      </c>
      <c r="BB392" s="706">
        <v>5.2759001040578082E-2</v>
      </c>
      <c r="BC392" s="706">
        <v>5.2759001040578082E-2</v>
      </c>
      <c r="BD392" s="706">
        <v>5.2759001040578082E-2</v>
      </c>
      <c r="BE392" s="706">
        <v>5.2759001040578082E-2</v>
      </c>
      <c r="BF392" s="706">
        <v>5.2759001040578082E-2</v>
      </c>
      <c r="BG392" s="706">
        <v>5.2759001040578082E-2</v>
      </c>
      <c r="BH392" s="706">
        <v>5.2759001040578082E-2</v>
      </c>
      <c r="BI392" s="706">
        <v>5.2759001040578082E-2</v>
      </c>
      <c r="BJ392" s="706">
        <v>5.2759001040578082E-2</v>
      </c>
      <c r="BK392" s="706">
        <v>5.2759001040578082E-2</v>
      </c>
      <c r="BL392" s="706">
        <v>5.2759001040578082E-2</v>
      </c>
      <c r="BM392" s="706">
        <v>5.2759001040578082E-2</v>
      </c>
      <c r="BN392" s="706"/>
      <c r="BO392" s="706"/>
      <c r="BP392" s="706"/>
      <c r="BQ392" s="706"/>
      <c r="BR392" s="706"/>
      <c r="BS392" s="706"/>
      <c r="BT392" s="706"/>
      <c r="BU392" s="706"/>
      <c r="BV392" s="791">
        <v>47.179969892213457</v>
      </c>
      <c r="BW392" s="791">
        <v>47.179969892213457</v>
      </c>
      <c r="BX392" s="791">
        <v>47.179969892213457</v>
      </c>
      <c r="BY392" s="791">
        <v>47.179969892213457</v>
      </c>
      <c r="BZ392" s="791">
        <v>47.179969892213457</v>
      </c>
      <c r="CA392" s="791">
        <v>47.179969892213457</v>
      </c>
      <c r="CB392" s="791">
        <v>47.179969892213457</v>
      </c>
      <c r="CC392" s="791">
        <v>47.179969892213457</v>
      </c>
      <c r="CD392" s="791">
        <v>47.179969892213457</v>
      </c>
      <c r="CE392" s="791">
        <v>47.179969892213457</v>
      </c>
      <c r="CF392" s="791">
        <v>47.179969892213457</v>
      </c>
      <c r="CG392" s="791">
        <v>47.179969892213457</v>
      </c>
      <c r="CH392" s="791">
        <v>47.179969892213457</v>
      </c>
      <c r="CI392" s="791">
        <v>47.179969892213457</v>
      </c>
      <c r="CJ392" s="791">
        <v>47.179969892213457</v>
      </c>
      <c r="CK392" s="791">
        <v>47.179969892213457</v>
      </c>
      <c r="CL392" s="791">
        <v>47.179969892213457</v>
      </c>
      <c r="CM392" s="791">
        <v>47.179969892213457</v>
      </c>
      <c r="CN392" s="791"/>
      <c r="CO392" s="706"/>
      <c r="CP392" s="706"/>
      <c r="CQ392" s="706"/>
      <c r="CR392" s="706"/>
    </row>
    <row r="393" spans="1:96">
      <c r="A393" s="694" t="s">
        <v>3</v>
      </c>
      <c r="B393" s="794">
        <v>41750</v>
      </c>
      <c r="C393" s="743">
        <v>2014</v>
      </c>
      <c r="D393" s="746" t="s">
        <v>15</v>
      </c>
      <c r="E393" s="746" t="s">
        <v>25</v>
      </c>
      <c r="F393" s="746" t="s">
        <v>17</v>
      </c>
      <c r="G393" s="746" t="s">
        <v>58</v>
      </c>
      <c r="H393" s="694" t="s">
        <v>393</v>
      </c>
      <c r="I393" s="746" t="s">
        <v>5</v>
      </c>
      <c r="J393" s="746" t="s">
        <v>376</v>
      </c>
      <c r="K393" s="706">
        <v>1</v>
      </c>
      <c r="L393" s="745" t="s">
        <v>58</v>
      </c>
      <c r="M393" s="706" t="s">
        <v>891</v>
      </c>
      <c r="N393" s="706">
        <v>18</v>
      </c>
      <c r="O393" s="706"/>
      <c r="P393" s="706"/>
      <c r="Q393" s="706"/>
      <c r="R393" s="706"/>
      <c r="S393" s="706"/>
      <c r="T393" s="706"/>
      <c r="U393" s="738">
        <v>0.1051154994194438</v>
      </c>
      <c r="V393" s="738">
        <v>94</v>
      </c>
      <c r="W393" s="793">
        <v>0.1051154994194438</v>
      </c>
      <c r="X393" s="708">
        <v>94</v>
      </c>
      <c r="Y393" s="719">
        <v>1692</v>
      </c>
      <c r="Z393" s="719">
        <v>849.23945805984226</v>
      </c>
      <c r="AA393" s="719">
        <v>47.179969892213457</v>
      </c>
      <c r="AB393" s="738">
        <v>5.2759001040578082E-2</v>
      </c>
      <c r="AC393" s="792">
        <v>1</v>
      </c>
      <c r="AD393" s="792">
        <v>1</v>
      </c>
      <c r="AE393" s="717">
        <v>0.54049295774647899</v>
      </c>
      <c r="AF393" s="714">
        <v>4.2407531067898789E-2</v>
      </c>
      <c r="AG393" s="706"/>
      <c r="AH393" s="792">
        <v>0.50191457332141975</v>
      </c>
      <c r="AI393" s="748">
        <v>0.54049295774647899</v>
      </c>
      <c r="AJ393" s="748">
        <v>4.2407531067898789E-2</v>
      </c>
      <c r="AK393" s="748"/>
      <c r="AL393" s="714">
        <v>0.50191457332141975</v>
      </c>
      <c r="AM393" s="706"/>
      <c r="AN393" s="706"/>
      <c r="AO393" s="706"/>
      <c r="AP393" s="706"/>
      <c r="AQ393" s="706"/>
      <c r="AR393" s="706" t="s">
        <v>877</v>
      </c>
      <c r="AS393" s="706"/>
      <c r="AT393" s="706"/>
      <c r="AU393" s="706"/>
      <c r="AV393" s="706">
        <v>5.2759001040578082E-2</v>
      </c>
      <c r="AW393" s="706">
        <v>5.2759001040578082E-2</v>
      </c>
      <c r="AX393" s="706">
        <v>5.2759001040578082E-2</v>
      </c>
      <c r="AY393" s="706">
        <v>5.2759001040578082E-2</v>
      </c>
      <c r="AZ393" s="706">
        <v>5.2759001040578082E-2</v>
      </c>
      <c r="BA393" s="706">
        <v>5.2759001040578082E-2</v>
      </c>
      <c r="BB393" s="706">
        <v>5.2759001040578082E-2</v>
      </c>
      <c r="BC393" s="706">
        <v>5.2759001040578082E-2</v>
      </c>
      <c r="BD393" s="706">
        <v>5.2759001040578082E-2</v>
      </c>
      <c r="BE393" s="706">
        <v>5.2759001040578082E-2</v>
      </c>
      <c r="BF393" s="706">
        <v>5.2759001040578082E-2</v>
      </c>
      <c r="BG393" s="706">
        <v>5.2759001040578082E-2</v>
      </c>
      <c r="BH393" s="706">
        <v>5.2759001040578082E-2</v>
      </c>
      <c r="BI393" s="706">
        <v>5.2759001040578082E-2</v>
      </c>
      <c r="BJ393" s="706">
        <v>5.2759001040578082E-2</v>
      </c>
      <c r="BK393" s="706">
        <v>5.2759001040578082E-2</v>
      </c>
      <c r="BL393" s="706">
        <v>5.2759001040578082E-2</v>
      </c>
      <c r="BM393" s="706">
        <v>5.2759001040578082E-2</v>
      </c>
      <c r="BN393" s="706"/>
      <c r="BO393" s="706"/>
      <c r="BP393" s="706"/>
      <c r="BQ393" s="706"/>
      <c r="BR393" s="706"/>
      <c r="BS393" s="706"/>
      <c r="BT393" s="706"/>
      <c r="BU393" s="706"/>
      <c r="BV393" s="791">
        <v>47.179969892213457</v>
      </c>
      <c r="BW393" s="791">
        <v>47.179969892213457</v>
      </c>
      <c r="BX393" s="791">
        <v>47.179969892213457</v>
      </c>
      <c r="BY393" s="791">
        <v>47.179969892213457</v>
      </c>
      <c r="BZ393" s="791">
        <v>47.179969892213457</v>
      </c>
      <c r="CA393" s="791">
        <v>47.179969892213457</v>
      </c>
      <c r="CB393" s="791">
        <v>47.179969892213457</v>
      </c>
      <c r="CC393" s="791">
        <v>47.179969892213457</v>
      </c>
      <c r="CD393" s="791">
        <v>47.179969892213457</v>
      </c>
      <c r="CE393" s="791">
        <v>47.179969892213457</v>
      </c>
      <c r="CF393" s="791">
        <v>47.179969892213457</v>
      </c>
      <c r="CG393" s="791">
        <v>47.179969892213457</v>
      </c>
      <c r="CH393" s="791">
        <v>47.179969892213457</v>
      </c>
      <c r="CI393" s="791">
        <v>47.179969892213457</v>
      </c>
      <c r="CJ393" s="791">
        <v>47.179969892213457</v>
      </c>
      <c r="CK393" s="791">
        <v>47.179969892213457</v>
      </c>
      <c r="CL393" s="791">
        <v>47.179969892213457</v>
      </c>
      <c r="CM393" s="791">
        <v>47.179969892213457</v>
      </c>
      <c r="CN393" s="791"/>
      <c r="CO393" s="706"/>
      <c r="CP393" s="706"/>
      <c r="CQ393" s="706"/>
      <c r="CR393" s="706"/>
    </row>
    <row r="394" spans="1:96">
      <c r="A394" s="694" t="s">
        <v>3</v>
      </c>
      <c r="B394" s="794">
        <v>41880</v>
      </c>
      <c r="C394" s="743">
        <v>2014</v>
      </c>
      <c r="D394" s="746" t="s">
        <v>15</v>
      </c>
      <c r="E394" s="746" t="s">
        <v>25</v>
      </c>
      <c r="F394" s="746" t="s">
        <v>17</v>
      </c>
      <c r="G394" s="746" t="s">
        <v>58</v>
      </c>
      <c r="H394" s="694" t="s">
        <v>393</v>
      </c>
      <c r="I394" s="746" t="s">
        <v>5</v>
      </c>
      <c r="J394" s="746" t="s">
        <v>376</v>
      </c>
      <c r="K394" s="706">
        <v>1</v>
      </c>
      <c r="L394" s="745" t="s">
        <v>58</v>
      </c>
      <c r="M394" s="706" t="s">
        <v>890</v>
      </c>
      <c r="N394" s="706">
        <v>18</v>
      </c>
      <c r="O394" s="706"/>
      <c r="P394" s="706"/>
      <c r="Q394" s="706"/>
      <c r="R394" s="706"/>
      <c r="S394" s="706"/>
      <c r="T394" s="706"/>
      <c r="U394" s="738">
        <v>0.1051154994194438</v>
      </c>
      <c r="V394" s="738">
        <v>94</v>
      </c>
      <c r="W394" s="793">
        <v>0.1051154994194438</v>
      </c>
      <c r="X394" s="708">
        <v>94</v>
      </c>
      <c r="Y394" s="719">
        <v>1692</v>
      </c>
      <c r="Z394" s="719">
        <v>849.23945805984226</v>
      </c>
      <c r="AA394" s="719">
        <v>47.179969892213457</v>
      </c>
      <c r="AB394" s="738">
        <v>5.2759001040578082E-2</v>
      </c>
      <c r="AC394" s="792">
        <v>1</v>
      </c>
      <c r="AD394" s="792">
        <v>1</v>
      </c>
      <c r="AE394" s="717">
        <v>0.54049295774647899</v>
      </c>
      <c r="AF394" s="714">
        <v>4.2407531067898789E-2</v>
      </c>
      <c r="AG394" s="706"/>
      <c r="AH394" s="792">
        <v>0.50191457332141975</v>
      </c>
      <c r="AI394" s="748">
        <v>0.54049295774647899</v>
      </c>
      <c r="AJ394" s="748">
        <v>4.2407531067898789E-2</v>
      </c>
      <c r="AK394" s="748"/>
      <c r="AL394" s="714">
        <v>0.50191457332141975</v>
      </c>
      <c r="AM394" s="706"/>
      <c r="AN394" s="706"/>
      <c r="AO394" s="706"/>
      <c r="AP394" s="706"/>
      <c r="AQ394" s="706"/>
      <c r="AR394" s="706" t="s">
        <v>877</v>
      </c>
      <c r="AS394" s="706"/>
      <c r="AT394" s="706"/>
      <c r="AU394" s="706"/>
      <c r="AV394" s="706">
        <v>5.2759001040578082E-2</v>
      </c>
      <c r="AW394" s="706">
        <v>5.2759001040578082E-2</v>
      </c>
      <c r="AX394" s="706">
        <v>5.2759001040578082E-2</v>
      </c>
      <c r="AY394" s="706">
        <v>5.2759001040578082E-2</v>
      </c>
      <c r="AZ394" s="706">
        <v>5.2759001040578082E-2</v>
      </c>
      <c r="BA394" s="706">
        <v>5.2759001040578082E-2</v>
      </c>
      <c r="BB394" s="706">
        <v>5.2759001040578082E-2</v>
      </c>
      <c r="BC394" s="706">
        <v>5.2759001040578082E-2</v>
      </c>
      <c r="BD394" s="706">
        <v>5.2759001040578082E-2</v>
      </c>
      <c r="BE394" s="706">
        <v>5.2759001040578082E-2</v>
      </c>
      <c r="BF394" s="706">
        <v>5.2759001040578082E-2</v>
      </c>
      <c r="BG394" s="706">
        <v>5.2759001040578082E-2</v>
      </c>
      <c r="BH394" s="706">
        <v>5.2759001040578082E-2</v>
      </c>
      <c r="BI394" s="706">
        <v>5.2759001040578082E-2</v>
      </c>
      <c r="BJ394" s="706">
        <v>5.2759001040578082E-2</v>
      </c>
      <c r="BK394" s="706">
        <v>5.2759001040578082E-2</v>
      </c>
      <c r="BL394" s="706">
        <v>5.2759001040578082E-2</v>
      </c>
      <c r="BM394" s="706">
        <v>5.2759001040578082E-2</v>
      </c>
      <c r="BN394" s="706"/>
      <c r="BO394" s="706"/>
      <c r="BP394" s="706"/>
      <c r="BQ394" s="706"/>
      <c r="BR394" s="706"/>
      <c r="BS394" s="706"/>
      <c r="BT394" s="706"/>
      <c r="BU394" s="706"/>
      <c r="BV394" s="791">
        <v>47.179969892213457</v>
      </c>
      <c r="BW394" s="791">
        <v>47.179969892213457</v>
      </c>
      <c r="BX394" s="791">
        <v>47.179969892213457</v>
      </c>
      <c r="BY394" s="791">
        <v>47.179969892213457</v>
      </c>
      <c r="BZ394" s="791">
        <v>47.179969892213457</v>
      </c>
      <c r="CA394" s="791">
        <v>47.179969892213457</v>
      </c>
      <c r="CB394" s="791">
        <v>47.179969892213457</v>
      </c>
      <c r="CC394" s="791">
        <v>47.179969892213457</v>
      </c>
      <c r="CD394" s="791">
        <v>47.179969892213457</v>
      </c>
      <c r="CE394" s="791">
        <v>47.179969892213457</v>
      </c>
      <c r="CF394" s="791">
        <v>47.179969892213457</v>
      </c>
      <c r="CG394" s="791">
        <v>47.179969892213457</v>
      </c>
      <c r="CH394" s="791">
        <v>47.179969892213457</v>
      </c>
      <c r="CI394" s="791">
        <v>47.179969892213457</v>
      </c>
      <c r="CJ394" s="791">
        <v>47.179969892213457</v>
      </c>
      <c r="CK394" s="791">
        <v>47.179969892213457</v>
      </c>
      <c r="CL394" s="791">
        <v>47.179969892213457</v>
      </c>
      <c r="CM394" s="791">
        <v>47.179969892213457</v>
      </c>
      <c r="CN394" s="791"/>
      <c r="CO394" s="706"/>
      <c r="CP394" s="706"/>
      <c r="CQ394" s="706"/>
      <c r="CR394" s="706"/>
    </row>
    <row r="395" spans="1:96">
      <c r="A395" s="694" t="s">
        <v>3</v>
      </c>
      <c r="B395" s="794">
        <v>41926</v>
      </c>
      <c r="C395" s="743">
        <v>2014</v>
      </c>
      <c r="D395" s="746" t="s">
        <v>15</v>
      </c>
      <c r="E395" s="746" t="s">
        <v>25</v>
      </c>
      <c r="F395" s="746" t="s">
        <v>17</v>
      </c>
      <c r="G395" s="746" t="s">
        <v>58</v>
      </c>
      <c r="H395" s="694" t="s">
        <v>393</v>
      </c>
      <c r="I395" s="746" t="s">
        <v>5</v>
      </c>
      <c r="J395" s="746" t="s">
        <v>376</v>
      </c>
      <c r="K395" s="706">
        <v>1</v>
      </c>
      <c r="L395" s="745" t="s">
        <v>58</v>
      </c>
      <c r="M395" s="706" t="s">
        <v>889</v>
      </c>
      <c r="N395" s="706">
        <v>18</v>
      </c>
      <c r="O395" s="706"/>
      <c r="P395" s="706"/>
      <c r="Q395" s="706"/>
      <c r="R395" s="706"/>
      <c r="S395" s="706"/>
      <c r="T395" s="706"/>
      <c r="U395" s="738">
        <v>0.1051154994194438</v>
      </c>
      <c r="V395" s="738">
        <v>94</v>
      </c>
      <c r="W395" s="793">
        <v>0.1051154994194438</v>
      </c>
      <c r="X395" s="708">
        <v>94</v>
      </c>
      <c r="Y395" s="719">
        <v>1692</v>
      </c>
      <c r="Z395" s="719">
        <v>849.23945805984226</v>
      </c>
      <c r="AA395" s="719">
        <v>47.179969892213457</v>
      </c>
      <c r="AB395" s="738">
        <v>5.2759001040578082E-2</v>
      </c>
      <c r="AC395" s="792">
        <v>1</v>
      </c>
      <c r="AD395" s="792">
        <v>1</v>
      </c>
      <c r="AE395" s="717">
        <v>0.54049295774647899</v>
      </c>
      <c r="AF395" s="714">
        <v>4.2407531067898789E-2</v>
      </c>
      <c r="AG395" s="706"/>
      <c r="AH395" s="792">
        <v>0.50191457332141975</v>
      </c>
      <c r="AI395" s="748">
        <v>0.54049295774647899</v>
      </c>
      <c r="AJ395" s="748">
        <v>4.2407531067898789E-2</v>
      </c>
      <c r="AK395" s="748"/>
      <c r="AL395" s="714">
        <v>0.50191457332141975</v>
      </c>
      <c r="AM395" s="706"/>
      <c r="AN395" s="706"/>
      <c r="AO395" s="706"/>
      <c r="AP395" s="706"/>
      <c r="AQ395" s="706"/>
      <c r="AR395" s="706" t="s">
        <v>877</v>
      </c>
      <c r="AS395" s="706"/>
      <c r="AT395" s="706"/>
      <c r="AU395" s="706"/>
      <c r="AV395" s="706">
        <v>5.2759001040578082E-2</v>
      </c>
      <c r="AW395" s="706">
        <v>5.2759001040578082E-2</v>
      </c>
      <c r="AX395" s="706">
        <v>5.2759001040578082E-2</v>
      </c>
      <c r="AY395" s="706">
        <v>5.2759001040578082E-2</v>
      </c>
      <c r="AZ395" s="706">
        <v>5.2759001040578082E-2</v>
      </c>
      <c r="BA395" s="706">
        <v>5.2759001040578082E-2</v>
      </c>
      <c r="BB395" s="706">
        <v>5.2759001040578082E-2</v>
      </c>
      <c r="BC395" s="706">
        <v>5.2759001040578082E-2</v>
      </c>
      <c r="BD395" s="706">
        <v>5.2759001040578082E-2</v>
      </c>
      <c r="BE395" s="706">
        <v>5.2759001040578082E-2</v>
      </c>
      <c r="BF395" s="706">
        <v>5.2759001040578082E-2</v>
      </c>
      <c r="BG395" s="706">
        <v>5.2759001040578082E-2</v>
      </c>
      <c r="BH395" s="706">
        <v>5.2759001040578082E-2</v>
      </c>
      <c r="BI395" s="706">
        <v>5.2759001040578082E-2</v>
      </c>
      <c r="BJ395" s="706">
        <v>5.2759001040578082E-2</v>
      </c>
      <c r="BK395" s="706">
        <v>5.2759001040578082E-2</v>
      </c>
      <c r="BL395" s="706">
        <v>5.2759001040578082E-2</v>
      </c>
      <c r="BM395" s="706">
        <v>5.2759001040578082E-2</v>
      </c>
      <c r="BN395" s="706"/>
      <c r="BO395" s="706"/>
      <c r="BP395" s="706"/>
      <c r="BQ395" s="706"/>
      <c r="BR395" s="706"/>
      <c r="BS395" s="706"/>
      <c r="BT395" s="706"/>
      <c r="BU395" s="706"/>
      <c r="BV395" s="791">
        <v>47.179969892213457</v>
      </c>
      <c r="BW395" s="791">
        <v>47.179969892213457</v>
      </c>
      <c r="BX395" s="791">
        <v>47.179969892213457</v>
      </c>
      <c r="BY395" s="791">
        <v>47.179969892213457</v>
      </c>
      <c r="BZ395" s="791">
        <v>47.179969892213457</v>
      </c>
      <c r="CA395" s="791">
        <v>47.179969892213457</v>
      </c>
      <c r="CB395" s="791">
        <v>47.179969892213457</v>
      </c>
      <c r="CC395" s="791">
        <v>47.179969892213457</v>
      </c>
      <c r="CD395" s="791">
        <v>47.179969892213457</v>
      </c>
      <c r="CE395" s="791">
        <v>47.179969892213457</v>
      </c>
      <c r="CF395" s="791">
        <v>47.179969892213457</v>
      </c>
      <c r="CG395" s="791">
        <v>47.179969892213457</v>
      </c>
      <c r="CH395" s="791">
        <v>47.179969892213457</v>
      </c>
      <c r="CI395" s="791">
        <v>47.179969892213457</v>
      </c>
      <c r="CJ395" s="791">
        <v>47.179969892213457</v>
      </c>
      <c r="CK395" s="791">
        <v>47.179969892213457</v>
      </c>
      <c r="CL395" s="791">
        <v>47.179969892213457</v>
      </c>
      <c r="CM395" s="791">
        <v>47.179969892213457</v>
      </c>
      <c r="CN395" s="791"/>
      <c r="CO395" s="706"/>
      <c r="CP395" s="706"/>
      <c r="CQ395" s="706"/>
      <c r="CR395" s="706"/>
    </row>
    <row r="396" spans="1:96">
      <c r="A396" s="694" t="s">
        <v>3</v>
      </c>
      <c r="B396" s="794">
        <v>41879</v>
      </c>
      <c r="C396" s="743">
        <v>2014</v>
      </c>
      <c r="D396" s="746" t="s">
        <v>15</v>
      </c>
      <c r="E396" s="746" t="s">
        <v>25</v>
      </c>
      <c r="F396" s="746" t="s">
        <v>17</v>
      </c>
      <c r="G396" s="746" t="s">
        <v>58</v>
      </c>
      <c r="H396" s="694" t="s">
        <v>393</v>
      </c>
      <c r="I396" s="746" t="s">
        <v>5</v>
      </c>
      <c r="J396" s="746" t="s">
        <v>376</v>
      </c>
      <c r="K396" s="706">
        <v>1</v>
      </c>
      <c r="L396" s="745" t="s">
        <v>58</v>
      </c>
      <c r="M396" s="706" t="s">
        <v>888</v>
      </c>
      <c r="N396" s="706">
        <v>18</v>
      </c>
      <c r="O396" s="706"/>
      <c r="P396" s="706"/>
      <c r="Q396" s="706"/>
      <c r="R396" s="706"/>
      <c r="S396" s="706"/>
      <c r="T396" s="706"/>
      <c r="U396" s="738">
        <v>0.1051154994194438</v>
      </c>
      <c r="V396" s="738">
        <v>94</v>
      </c>
      <c r="W396" s="793">
        <v>0.1051154994194438</v>
      </c>
      <c r="X396" s="708">
        <v>94</v>
      </c>
      <c r="Y396" s="719">
        <v>1692</v>
      </c>
      <c r="Z396" s="719">
        <v>849.23945805984226</v>
      </c>
      <c r="AA396" s="719">
        <v>47.179969892213457</v>
      </c>
      <c r="AB396" s="738">
        <v>5.2759001040578082E-2</v>
      </c>
      <c r="AC396" s="792">
        <v>1</v>
      </c>
      <c r="AD396" s="792">
        <v>1</v>
      </c>
      <c r="AE396" s="717">
        <v>0.54049295774647899</v>
      </c>
      <c r="AF396" s="714">
        <v>4.2407531067898789E-2</v>
      </c>
      <c r="AG396" s="706"/>
      <c r="AH396" s="792">
        <v>0.50191457332141975</v>
      </c>
      <c r="AI396" s="748">
        <v>0.54049295774647899</v>
      </c>
      <c r="AJ396" s="748">
        <v>4.2407531067898789E-2</v>
      </c>
      <c r="AK396" s="748"/>
      <c r="AL396" s="714">
        <v>0.50191457332141975</v>
      </c>
      <c r="AM396" s="706"/>
      <c r="AN396" s="706"/>
      <c r="AO396" s="706"/>
      <c r="AP396" s="706"/>
      <c r="AQ396" s="706"/>
      <c r="AR396" s="706" t="s">
        <v>877</v>
      </c>
      <c r="AS396" s="706"/>
      <c r="AT396" s="706"/>
      <c r="AU396" s="706"/>
      <c r="AV396" s="706">
        <v>5.2759001040578082E-2</v>
      </c>
      <c r="AW396" s="706">
        <v>5.2759001040578082E-2</v>
      </c>
      <c r="AX396" s="706">
        <v>5.2759001040578082E-2</v>
      </c>
      <c r="AY396" s="706">
        <v>5.2759001040578082E-2</v>
      </c>
      <c r="AZ396" s="706">
        <v>5.2759001040578082E-2</v>
      </c>
      <c r="BA396" s="706">
        <v>5.2759001040578082E-2</v>
      </c>
      <c r="BB396" s="706">
        <v>5.2759001040578082E-2</v>
      </c>
      <c r="BC396" s="706">
        <v>5.2759001040578082E-2</v>
      </c>
      <c r="BD396" s="706">
        <v>5.2759001040578082E-2</v>
      </c>
      <c r="BE396" s="706">
        <v>5.2759001040578082E-2</v>
      </c>
      <c r="BF396" s="706">
        <v>5.2759001040578082E-2</v>
      </c>
      <c r="BG396" s="706">
        <v>5.2759001040578082E-2</v>
      </c>
      <c r="BH396" s="706">
        <v>5.2759001040578082E-2</v>
      </c>
      <c r="BI396" s="706">
        <v>5.2759001040578082E-2</v>
      </c>
      <c r="BJ396" s="706">
        <v>5.2759001040578082E-2</v>
      </c>
      <c r="BK396" s="706">
        <v>5.2759001040578082E-2</v>
      </c>
      <c r="BL396" s="706">
        <v>5.2759001040578082E-2</v>
      </c>
      <c r="BM396" s="706">
        <v>5.2759001040578082E-2</v>
      </c>
      <c r="BN396" s="706"/>
      <c r="BO396" s="706"/>
      <c r="BP396" s="706"/>
      <c r="BQ396" s="706"/>
      <c r="BR396" s="706"/>
      <c r="BS396" s="706"/>
      <c r="BT396" s="706"/>
      <c r="BU396" s="706"/>
      <c r="BV396" s="791">
        <v>47.179969892213457</v>
      </c>
      <c r="BW396" s="791">
        <v>47.179969892213457</v>
      </c>
      <c r="BX396" s="791">
        <v>47.179969892213457</v>
      </c>
      <c r="BY396" s="791">
        <v>47.179969892213457</v>
      </c>
      <c r="BZ396" s="791">
        <v>47.179969892213457</v>
      </c>
      <c r="CA396" s="791">
        <v>47.179969892213457</v>
      </c>
      <c r="CB396" s="791">
        <v>47.179969892213457</v>
      </c>
      <c r="CC396" s="791">
        <v>47.179969892213457</v>
      </c>
      <c r="CD396" s="791">
        <v>47.179969892213457</v>
      </c>
      <c r="CE396" s="791">
        <v>47.179969892213457</v>
      </c>
      <c r="CF396" s="791">
        <v>47.179969892213457</v>
      </c>
      <c r="CG396" s="791">
        <v>47.179969892213457</v>
      </c>
      <c r="CH396" s="791">
        <v>47.179969892213457</v>
      </c>
      <c r="CI396" s="791">
        <v>47.179969892213457</v>
      </c>
      <c r="CJ396" s="791">
        <v>47.179969892213457</v>
      </c>
      <c r="CK396" s="791">
        <v>47.179969892213457</v>
      </c>
      <c r="CL396" s="791">
        <v>47.179969892213457</v>
      </c>
      <c r="CM396" s="791">
        <v>47.179969892213457</v>
      </c>
      <c r="CN396" s="791"/>
      <c r="CO396" s="706"/>
      <c r="CP396" s="706"/>
      <c r="CQ396" s="706"/>
      <c r="CR396" s="706"/>
    </row>
    <row r="397" spans="1:96">
      <c r="A397" s="694" t="s">
        <v>3</v>
      </c>
      <c r="B397" s="794">
        <v>41709</v>
      </c>
      <c r="C397" s="743">
        <v>2014</v>
      </c>
      <c r="D397" s="746" t="s">
        <v>15</v>
      </c>
      <c r="E397" s="746" t="s">
        <v>25</v>
      </c>
      <c r="F397" s="746" t="s">
        <v>17</v>
      </c>
      <c r="G397" s="746" t="s">
        <v>58</v>
      </c>
      <c r="H397" s="694" t="s">
        <v>393</v>
      </c>
      <c r="I397" s="746" t="s">
        <v>5</v>
      </c>
      <c r="J397" s="746" t="s">
        <v>376</v>
      </c>
      <c r="K397" s="706">
        <v>1</v>
      </c>
      <c r="L397" s="745" t="s">
        <v>58</v>
      </c>
      <c r="M397" s="706" t="s">
        <v>887</v>
      </c>
      <c r="N397" s="706">
        <v>18</v>
      </c>
      <c r="O397" s="706"/>
      <c r="P397" s="706"/>
      <c r="Q397" s="706"/>
      <c r="R397" s="706"/>
      <c r="S397" s="706"/>
      <c r="T397" s="706"/>
      <c r="U397" s="738">
        <v>0.1051154994194438</v>
      </c>
      <c r="V397" s="738">
        <v>94</v>
      </c>
      <c r="W397" s="793">
        <v>0.1051154994194438</v>
      </c>
      <c r="X397" s="708">
        <v>94</v>
      </c>
      <c r="Y397" s="719">
        <v>1692</v>
      </c>
      <c r="Z397" s="719">
        <v>849.23945805984226</v>
      </c>
      <c r="AA397" s="719">
        <v>47.179969892213457</v>
      </c>
      <c r="AB397" s="738">
        <v>5.2759001040578082E-2</v>
      </c>
      <c r="AC397" s="792">
        <v>1</v>
      </c>
      <c r="AD397" s="792">
        <v>1</v>
      </c>
      <c r="AE397" s="717">
        <v>0.54049295774647899</v>
      </c>
      <c r="AF397" s="714">
        <v>4.2407531067898789E-2</v>
      </c>
      <c r="AG397" s="706"/>
      <c r="AH397" s="792">
        <v>0.50191457332141975</v>
      </c>
      <c r="AI397" s="748">
        <v>0.54049295774647899</v>
      </c>
      <c r="AJ397" s="748">
        <v>4.2407531067898789E-2</v>
      </c>
      <c r="AK397" s="748"/>
      <c r="AL397" s="714">
        <v>0.50191457332141975</v>
      </c>
      <c r="AM397" s="706"/>
      <c r="AN397" s="706"/>
      <c r="AO397" s="706"/>
      <c r="AP397" s="706"/>
      <c r="AQ397" s="706"/>
      <c r="AR397" s="706" t="s">
        <v>877</v>
      </c>
      <c r="AS397" s="706"/>
      <c r="AT397" s="706"/>
      <c r="AU397" s="706"/>
      <c r="AV397" s="706">
        <v>5.2759001040578082E-2</v>
      </c>
      <c r="AW397" s="706">
        <v>5.2759001040578082E-2</v>
      </c>
      <c r="AX397" s="706">
        <v>5.2759001040578082E-2</v>
      </c>
      <c r="AY397" s="706">
        <v>5.2759001040578082E-2</v>
      </c>
      <c r="AZ397" s="706">
        <v>5.2759001040578082E-2</v>
      </c>
      <c r="BA397" s="706">
        <v>5.2759001040578082E-2</v>
      </c>
      <c r="BB397" s="706">
        <v>5.2759001040578082E-2</v>
      </c>
      <c r="BC397" s="706">
        <v>5.2759001040578082E-2</v>
      </c>
      <c r="BD397" s="706">
        <v>5.2759001040578082E-2</v>
      </c>
      <c r="BE397" s="706">
        <v>5.2759001040578082E-2</v>
      </c>
      <c r="BF397" s="706">
        <v>5.2759001040578082E-2</v>
      </c>
      <c r="BG397" s="706">
        <v>5.2759001040578082E-2</v>
      </c>
      <c r="BH397" s="706">
        <v>5.2759001040578082E-2</v>
      </c>
      <c r="BI397" s="706">
        <v>5.2759001040578082E-2</v>
      </c>
      <c r="BJ397" s="706">
        <v>5.2759001040578082E-2</v>
      </c>
      <c r="BK397" s="706">
        <v>5.2759001040578082E-2</v>
      </c>
      <c r="BL397" s="706">
        <v>5.2759001040578082E-2</v>
      </c>
      <c r="BM397" s="706">
        <v>5.2759001040578082E-2</v>
      </c>
      <c r="BN397" s="706"/>
      <c r="BO397" s="706"/>
      <c r="BP397" s="706"/>
      <c r="BQ397" s="706"/>
      <c r="BR397" s="706"/>
      <c r="BS397" s="706"/>
      <c r="BT397" s="706"/>
      <c r="BU397" s="706"/>
      <c r="BV397" s="791">
        <v>47.179969892213457</v>
      </c>
      <c r="BW397" s="791">
        <v>47.179969892213457</v>
      </c>
      <c r="BX397" s="791">
        <v>47.179969892213457</v>
      </c>
      <c r="BY397" s="791">
        <v>47.179969892213457</v>
      </c>
      <c r="BZ397" s="791">
        <v>47.179969892213457</v>
      </c>
      <c r="CA397" s="791">
        <v>47.179969892213457</v>
      </c>
      <c r="CB397" s="791">
        <v>47.179969892213457</v>
      </c>
      <c r="CC397" s="791">
        <v>47.179969892213457</v>
      </c>
      <c r="CD397" s="791">
        <v>47.179969892213457</v>
      </c>
      <c r="CE397" s="791">
        <v>47.179969892213457</v>
      </c>
      <c r="CF397" s="791">
        <v>47.179969892213457</v>
      </c>
      <c r="CG397" s="791">
        <v>47.179969892213457</v>
      </c>
      <c r="CH397" s="791">
        <v>47.179969892213457</v>
      </c>
      <c r="CI397" s="791">
        <v>47.179969892213457</v>
      </c>
      <c r="CJ397" s="791">
        <v>47.179969892213457</v>
      </c>
      <c r="CK397" s="791">
        <v>47.179969892213457</v>
      </c>
      <c r="CL397" s="791">
        <v>47.179969892213457</v>
      </c>
      <c r="CM397" s="791">
        <v>47.179969892213457</v>
      </c>
      <c r="CN397" s="791"/>
      <c r="CO397" s="706"/>
      <c r="CP397" s="706"/>
      <c r="CQ397" s="706"/>
      <c r="CR397" s="706"/>
    </row>
    <row r="398" spans="1:96">
      <c r="A398" s="694" t="s">
        <v>3</v>
      </c>
      <c r="B398" s="794">
        <v>41816</v>
      </c>
      <c r="C398" s="743">
        <v>2014</v>
      </c>
      <c r="D398" s="746" t="s">
        <v>15</v>
      </c>
      <c r="E398" s="746" t="s">
        <v>25</v>
      </c>
      <c r="F398" s="746" t="s">
        <v>17</v>
      </c>
      <c r="G398" s="746" t="s">
        <v>58</v>
      </c>
      <c r="H398" s="694" t="s">
        <v>393</v>
      </c>
      <c r="I398" s="746" t="s">
        <v>5</v>
      </c>
      <c r="J398" s="746" t="s">
        <v>376</v>
      </c>
      <c r="K398" s="706">
        <v>1</v>
      </c>
      <c r="L398" s="745" t="s">
        <v>58</v>
      </c>
      <c r="M398" s="706" t="s">
        <v>886</v>
      </c>
      <c r="N398" s="706">
        <v>18</v>
      </c>
      <c r="O398" s="706"/>
      <c r="P398" s="706"/>
      <c r="Q398" s="706"/>
      <c r="R398" s="706"/>
      <c r="S398" s="706"/>
      <c r="T398" s="706"/>
      <c r="U398" s="738">
        <v>0.1051154994194438</v>
      </c>
      <c r="V398" s="738">
        <v>94</v>
      </c>
      <c r="W398" s="793">
        <v>0.1051154994194438</v>
      </c>
      <c r="X398" s="708">
        <v>94</v>
      </c>
      <c r="Y398" s="719">
        <v>1692</v>
      </c>
      <c r="Z398" s="719">
        <v>849.23945805984226</v>
      </c>
      <c r="AA398" s="719">
        <v>47.179969892213457</v>
      </c>
      <c r="AB398" s="738">
        <v>5.2759001040578082E-2</v>
      </c>
      <c r="AC398" s="792">
        <v>1</v>
      </c>
      <c r="AD398" s="792">
        <v>1</v>
      </c>
      <c r="AE398" s="717">
        <v>0.54049295774647899</v>
      </c>
      <c r="AF398" s="714">
        <v>4.2407531067898789E-2</v>
      </c>
      <c r="AG398" s="706"/>
      <c r="AH398" s="792">
        <v>0.50191457332141975</v>
      </c>
      <c r="AI398" s="748">
        <v>0.54049295774647899</v>
      </c>
      <c r="AJ398" s="748">
        <v>4.2407531067898789E-2</v>
      </c>
      <c r="AK398" s="748"/>
      <c r="AL398" s="714">
        <v>0.50191457332141975</v>
      </c>
      <c r="AM398" s="706"/>
      <c r="AN398" s="706"/>
      <c r="AO398" s="706"/>
      <c r="AP398" s="706"/>
      <c r="AQ398" s="706"/>
      <c r="AR398" s="706" t="s">
        <v>877</v>
      </c>
      <c r="AS398" s="706"/>
      <c r="AT398" s="706"/>
      <c r="AU398" s="706"/>
      <c r="AV398" s="706">
        <v>5.2759001040578082E-2</v>
      </c>
      <c r="AW398" s="706">
        <v>5.2759001040578082E-2</v>
      </c>
      <c r="AX398" s="706">
        <v>5.2759001040578082E-2</v>
      </c>
      <c r="AY398" s="706">
        <v>5.2759001040578082E-2</v>
      </c>
      <c r="AZ398" s="706">
        <v>5.2759001040578082E-2</v>
      </c>
      <c r="BA398" s="706">
        <v>5.2759001040578082E-2</v>
      </c>
      <c r="BB398" s="706">
        <v>5.2759001040578082E-2</v>
      </c>
      <c r="BC398" s="706">
        <v>5.2759001040578082E-2</v>
      </c>
      <c r="BD398" s="706">
        <v>5.2759001040578082E-2</v>
      </c>
      <c r="BE398" s="706">
        <v>5.2759001040578082E-2</v>
      </c>
      <c r="BF398" s="706">
        <v>5.2759001040578082E-2</v>
      </c>
      <c r="BG398" s="706">
        <v>5.2759001040578082E-2</v>
      </c>
      <c r="BH398" s="706">
        <v>5.2759001040578082E-2</v>
      </c>
      <c r="BI398" s="706">
        <v>5.2759001040578082E-2</v>
      </c>
      <c r="BJ398" s="706">
        <v>5.2759001040578082E-2</v>
      </c>
      <c r="BK398" s="706">
        <v>5.2759001040578082E-2</v>
      </c>
      <c r="BL398" s="706">
        <v>5.2759001040578082E-2</v>
      </c>
      <c r="BM398" s="706">
        <v>5.2759001040578082E-2</v>
      </c>
      <c r="BN398" s="706"/>
      <c r="BO398" s="706"/>
      <c r="BP398" s="706"/>
      <c r="BQ398" s="706"/>
      <c r="BR398" s="706"/>
      <c r="BS398" s="706"/>
      <c r="BT398" s="706"/>
      <c r="BU398" s="706"/>
      <c r="BV398" s="791">
        <v>47.179969892213457</v>
      </c>
      <c r="BW398" s="791">
        <v>47.179969892213457</v>
      </c>
      <c r="BX398" s="791">
        <v>47.179969892213457</v>
      </c>
      <c r="BY398" s="791">
        <v>47.179969892213457</v>
      </c>
      <c r="BZ398" s="791">
        <v>47.179969892213457</v>
      </c>
      <c r="CA398" s="791">
        <v>47.179969892213457</v>
      </c>
      <c r="CB398" s="791">
        <v>47.179969892213457</v>
      </c>
      <c r="CC398" s="791">
        <v>47.179969892213457</v>
      </c>
      <c r="CD398" s="791">
        <v>47.179969892213457</v>
      </c>
      <c r="CE398" s="791">
        <v>47.179969892213457</v>
      </c>
      <c r="CF398" s="791">
        <v>47.179969892213457</v>
      </c>
      <c r="CG398" s="791">
        <v>47.179969892213457</v>
      </c>
      <c r="CH398" s="791">
        <v>47.179969892213457</v>
      </c>
      <c r="CI398" s="791">
        <v>47.179969892213457</v>
      </c>
      <c r="CJ398" s="791">
        <v>47.179969892213457</v>
      </c>
      <c r="CK398" s="791">
        <v>47.179969892213457</v>
      </c>
      <c r="CL398" s="791">
        <v>47.179969892213457</v>
      </c>
      <c r="CM398" s="791">
        <v>47.179969892213457</v>
      </c>
      <c r="CN398" s="791"/>
      <c r="CO398" s="706"/>
      <c r="CP398" s="706"/>
      <c r="CQ398" s="706"/>
      <c r="CR398" s="706"/>
    </row>
    <row r="399" spans="1:96">
      <c r="A399" s="694" t="s">
        <v>3</v>
      </c>
      <c r="B399" s="794">
        <v>41760</v>
      </c>
      <c r="C399" s="743">
        <v>2014</v>
      </c>
      <c r="D399" s="746" t="s">
        <v>15</v>
      </c>
      <c r="E399" s="746" t="s">
        <v>25</v>
      </c>
      <c r="F399" s="746" t="s">
        <v>17</v>
      </c>
      <c r="G399" s="746" t="s">
        <v>58</v>
      </c>
      <c r="H399" s="694" t="s">
        <v>393</v>
      </c>
      <c r="I399" s="746" t="s">
        <v>5</v>
      </c>
      <c r="J399" s="746" t="s">
        <v>376</v>
      </c>
      <c r="K399" s="706">
        <v>1</v>
      </c>
      <c r="L399" s="745" t="s">
        <v>58</v>
      </c>
      <c r="M399" s="706" t="s">
        <v>885</v>
      </c>
      <c r="N399" s="706">
        <v>18</v>
      </c>
      <c r="O399" s="706"/>
      <c r="P399" s="706"/>
      <c r="Q399" s="706"/>
      <c r="R399" s="706"/>
      <c r="S399" s="706"/>
      <c r="T399" s="706"/>
      <c r="U399" s="738">
        <v>0.1051154994194438</v>
      </c>
      <c r="V399" s="738">
        <v>94</v>
      </c>
      <c r="W399" s="793">
        <v>0.1051154994194438</v>
      </c>
      <c r="X399" s="708">
        <v>94</v>
      </c>
      <c r="Y399" s="719">
        <v>1692</v>
      </c>
      <c r="Z399" s="719">
        <v>849.23945805984226</v>
      </c>
      <c r="AA399" s="719">
        <v>47.179969892213457</v>
      </c>
      <c r="AB399" s="738">
        <v>5.2759001040578082E-2</v>
      </c>
      <c r="AC399" s="792">
        <v>1</v>
      </c>
      <c r="AD399" s="792">
        <v>1</v>
      </c>
      <c r="AE399" s="717">
        <v>0.54049295774647899</v>
      </c>
      <c r="AF399" s="714">
        <v>4.2407531067898789E-2</v>
      </c>
      <c r="AG399" s="706"/>
      <c r="AH399" s="792">
        <v>0.50191457332141975</v>
      </c>
      <c r="AI399" s="748">
        <v>0.54049295774647899</v>
      </c>
      <c r="AJ399" s="748">
        <v>4.2407531067898789E-2</v>
      </c>
      <c r="AK399" s="748"/>
      <c r="AL399" s="714">
        <v>0.50191457332141975</v>
      </c>
      <c r="AM399" s="706"/>
      <c r="AN399" s="706"/>
      <c r="AO399" s="706"/>
      <c r="AP399" s="706"/>
      <c r="AQ399" s="706"/>
      <c r="AR399" s="706" t="s">
        <v>877</v>
      </c>
      <c r="AS399" s="706"/>
      <c r="AT399" s="706"/>
      <c r="AU399" s="706"/>
      <c r="AV399" s="706">
        <v>5.2759001040578082E-2</v>
      </c>
      <c r="AW399" s="706">
        <v>5.2759001040578082E-2</v>
      </c>
      <c r="AX399" s="706">
        <v>5.2759001040578082E-2</v>
      </c>
      <c r="AY399" s="706">
        <v>5.2759001040578082E-2</v>
      </c>
      <c r="AZ399" s="706">
        <v>5.2759001040578082E-2</v>
      </c>
      <c r="BA399" s="706">
        <v>5.2759001040578082E-2</v>
      </c>
      <c r="BB399" s="706">
        <v>5.2759001040578082E-2</v>
      </c>
      <c r="BC399" s="706">
        <v>5.2759001040578082E-2</v>
      </c>
      <c r="BD399" s="706">
        <v>5.2759001040578082E-2</v>
      </c>
      <c r="BE399" s="706">
        <v>5.2759001040578082E-2</v>
      </c>
      <c r="BF399" s="706">
        <v>5.2759001040578082E-2</v>
      </c>
      <c r="BG399" s="706">
        <v>5.2759001040578082E-2</v>
      </c>
      <c r="BH399" s="706">
        <v>5.2759001040578082E-2</v>
      </c>
      <c r="BI399" s="706">
        <v>5.2759001040578082E-2</v>
      </c>
      <c r="BJ399" s="706">
        <v>5.2759001040578082E-2</v>
      </c>
      <c r="BK399" s="706">
        <v>5.2759001040578082E-2</v>
      </c>
      <c r="BL399" s="706">
        <v>5.2759001040578082E-2</v>
      </c>
      <c r="BM399" s="706">
        <v>5.2759001040578082E-2</v>
      </c>
      <c r="BN399" s="706"/>
      <c r="BO399" s="706"/>
      <c r="BP399" s="706"/>
      <c r="BQ399" s="706"/>
      <c r="BR399" s="706"/>
      <c r="BS399" s="706"/>
      <c r="BT399" s="706"/>
      <c r="BU399" s="706"/>
      <c r="BV399" s="791">
        <v>47.179969892213457</v>
      </c>
      <c r="BW399" s="791">
        <v>47.179969892213457</v>
      </c>
      <c r="BX399" s="791">
        <v>47.179969892213457</v>
      </c>
      <c r="BY399" s="791">
        <v>47.179969892213457</v>
      </c>
      <c r="BZ399" s="791">
        <v>47.179969892213457</v>
      </c>
      <c r="CA399" s="791">
        <v>47.179969892213457</v>
      </c>
      <c r="CB399" s="791">
        <v>47.179969892213457</v>
      </c>
      <c r="CC399" s="791">
        <v>47.179969892213457</v>
      </c>
      <c r="CD399" s="791">
        <v>47.179969892213457</v>
      </c>
      <c r="CE399" s="791">
        <v>47.179969892213457</v>
      </c>
      <c r="CF399" s="791">
        <v>47.179969892213457</v>
      </c>
      <c r="CG399" s="791">
        <v>47.179969892213457</v>
      </c>
      <c r="CH399" s="791">
        <v>47.179969892213457</v>
      </c>
      <c r="CI399" s="791">
        <v>47.179969892213457</v>
      </c>
      <c r="CJ399" s="791">
        <v>47.179969892213457</v>
      </c>
      <c r="CK399" s="791">
        <v>47.179969892213457</v>
      </c>
      <c r="CL399" s="791">
        <v>47.179969892213457</v>
      </c>
      <c r="CM399" s="791">
        <v>47.179969892213457</v>
      </c>
      <c r="CN399" s="791"/>
      <c r="CO399" s="706"/>
      <c r="CP399" s="706"/>
      <c r="CQ399" s="706"/>
      <c r="CR399" s="706"/>
    </row>
    <row r="400" spans="1:96">
      <c r="A400" s="694" t="s">
        <v>3</v>
      </c>
      <c r="B400" s="794">
        <v>41821</v>
      </c>
      <c r="C400" s="743">
        <v>2014</v>
      </c>
      <c r="D400" s="746" t="s">
        <v>15</v>
      </c>
      <c r="E400" s="746" t="s">
        <v>25</v>
      </c>
      <c r="F400" s="746" t="s">
        <v>17</v>
      </c>
      <c r="G400" s="746" t="s">
        <v>58</v>
      </c>
      <c r="H400" s="694" t="s">
        <v>393</v>
      </c>
      <c r="I400" s="746" t="s">
        <v>5</v>
      </c>
      <c r="J400" s="746" t="s">
        <v>376</v>
      </c>
      <c r="K400" s="706">
        <v>1</v>
      </c>
      <c r="L400" s="745" t="s">
        <v>58</v>
      </c>
      <c r="M400" s="706" t="s">
        <v>884</v>
      </c>
      <c r="N400" s="706">
        <v>18</v>
      </c>
      <c r="O400" s="706"/>
      <c r="P400" s="706"/>
      <c r="Q400" s="706"/>
      <c r="R400" s="706"/>
      <c r="S400" s="706"/>
      <c r="T400" s="706"/>
      <c r="U400" s="738">
        <v>0.1051154994194438</v>
      </c>
      <c r="V400" s="738">
        <v>94</v>
      </c>
      <c r="W400" s="793">
        <v>0.1051154994194438</v>
      </c>
      <c r="X400" s="708">
        <v>94</v>
      </c>
      <c r="Y400" s="719">
        <v>1692</v>
      </c>
      <c r="Z400" s="719">
        <v>849.23945805984226</v>
      </c>
      <c r="AA400" s="719">
        <v>47.179969892213457</v>
      </c>
      <c r="AB400" s="738">
        <v>5.2759001040578082E-2</v>
      </c>
      <c r="AC400" s="792">
        <v>1</v>
      </c>
      <c r="AD400" s="792">
        <v>1</v>
      </c>
      <c r="AE400" s="717">
        <v>0.54049295774647899</v>
      </c>
      <c r="AF400" s="714">
        <v>4.2407531067898789E-2</v>
      </c>
      <c r="AG400" s="706"/>
      <c r="AH400" s="792">
        <v>0.50191457332141975</v>
      </c>
      <c r="AI400" s="748">
        <v>0.54049295774647899</v>
      </c>
      <c r="AJ400" s="748">
        <v>4.2407531067898789E-2</v>
      </c>
      <c r="AK400" s="748"/>
      <c r="AL400" s="714">
        <v>0.50191457332141975</v>
      </c>
      <c r="AM400" s="706"/>
      <c r="AN400" s="706"/>
      <c r="AO400" s="706"/>
      <c r="AP400" s="706"/>
      <c r="AQ400" s="706"/>
      <c r="AR400" s="706" t="s">
        <v>877</v>
      </c>
      <c r="AS400" s="706"/>
      <c r="AT400" s="706"/>
      <c r="AU400" s="706"/>
      <c r="AV400" s="706">
        <v>5.2759001040578082E-2</v>
      </c>
      <c r="AW400" s="706">
        <v>5.2759001040578082E-2</v>
      </c>
      <c r="AX400" s="706">
        <v>5.2759001040578082E-2</v>
      </c>
      <c r="AY400" s="706">
        <v>5.2759001040578082E-2</v>
      </c>
      <c r="AZ400" s="706">
        <v>5.2759001040578082E-2</v>
      </c>
      <c r="BA400" s="706">
        <v>5.2759001040578082E-2</v>
      </c>
      <c r="BB400" s="706">
        <v>5.2759001040578082E-2</v>
      </c>
      <c r="BC400" s="706">
        <v>5.2759001040578082E-2</v>
      </c>
      <c r="BD400" s="706">
        <v>5.2759001040578082E-2</v>
      </c>
      <c r="BE400" s="706">
        <v>5.2759001040578082E-2</v>
      </c>
      <c r="BF400" s="706">
        <v>5.2759001040578082E-2</v>
      </c>
      <c r="BG400" s="706">
        <v>5.2759001040578082E-2</v>
      </c>
      <c r="BH400" s="706">
        <v>5.2759001040578082E-2</v>
      </c>
      <c r="BI400" s="706">
        <v>5.2759001040578082E-2</v>
      </c>
      <c r="BJ400" s="706">
        <v>5.2759001040578082E-2</v>
      </c>
      <c r="BK400" s="706">
        <v>5.2759001040578082E-2</v>
      </c>
      <c r="BL400" s="706">
        <v>5.2759001040578082E-2</v>
      </c>
      <c r="BM400" s="706">
        <v>5.2759001040578082E-2</v>
      </c>
      <c r="BN400" s="706"/>
      <c r="BO400" s="706"/>
      <c r="BP400" s="706"/>
      <c r="BQ400" s="706"/>
      <c r="BR400" s="706"/>
      <c r="BS400" s="706"/>
      <c r="BT400" s="706"/>
      <c r="BU400" s="706"/>
      <c r="BV400" s="791">
        <v>47.179969892213457</v>
      </c>
      <c r="BW400" s="791">
        <v>47.179969892213457</v>
      </c>
      <c r="BX400" s="791">
        <v>47.179969892213457</v>
      </c>
      <c r="BY400" s="791">
        <v>47.179969892213457</v>
      </c>
      <c r="BZ400" s="791">
        <v>47.179969892213457</v>
      </c>
      <c r="CA400" s="791">
        <v>47.179969892213457</v>
      </c>
      <c r="CB400" s="791">
        <v>47.179969892213457</v>
      </c>
      <c r="CC400" s="791">
        <v>47.179969892213457</v>
      </c>
      <c r="CD400" s="791">
        <v>47.179969892213457</v>
      </c>
      <c r="CE400" s="791">
        <v>47.179969892213457</v>
      </c>
      <c r="CF400" s="791">
        <v>47.179969892213457</v>
      </c>
      <c r="CG400" s="791">
        <v>47.179969892213457</v>
      </c>
      <c r="CH400" s="791">
        <v>47.179969892213457</v>
      </c>
      <c r="CI400" s="791">
        <v>47.179969892213457</v>
      </c>
      <c r="CJ400" s="791">
        <v>47.179969892213457</v>
      </c>
      <c r="CK400" s="791">
        <v>47.179969892213457</v>
      </c>
      <c r="CL400" s="791">
        <v>47.179969892213457</v>
      </c>
      <c r="CM400" s="791">
        <v>47.179969892213457</v>
      </c>
      <c r="CN400" s="791"/>
      <c r="CO400" s="706"/>
      <c r="CP400" s="706"/>
      <c r="CQ400" s="706"/>
      <c r="CR400" s="706"/>
    </row>
    <row r="401" spans="1:96">
      <c r="A401" s="694" t="s">
        <v>3</v>
      </c>
      <c r="B401" s="794">
        <v>41756</v>
      </c>
      <c r="C401" s="743">
        <v>2014</v>
      </c>
      <c r="D401" s="746" t="s">
        <v>15</v>
      </c>
      <c r="E401" s="746" t="s">
        <v>25</v>
      </c>
      <c r="F401" s="746" t="s">
        <v>17</v>
      </c>
      <c r="G401" s="746" t="s">
        <v>58</v>
      </c>
      <c r="H401" s="694" t="s">
        <v>393</v>
      </c>
      <c r="I401" s="746" t="s">
        <v>5</v>
      </c>
      <c r="J401" s="746" t="s">
        <v>376</v>
      </c>
      <c r="K401" s="706">
        <v>1</v>
      </c>
      <c r="L401" s="745" t="s">
        <v>58</v>
      </c>
      <c r="M401" s="706" t="s">
        <v>883</v>
      </c>
      <c r="N401" s="706">
        <v>18</v>
      </c>
      <c r="O401" s="706"/>
      <c r="P401" s="706"/>
      <c r="Q401" s="706"/>
      <c r="R401" s="706"/>
      <c r="S401" s="706"/>
      <c r="T401" s="706"/>
      <c r="U401" s="738">
        <v>0.1051154994194438</v>
      </c>
      <c r="V401" s="738">
        <v>94</v>
      </c>
      <c r="W401" s="793">
        <v>0.1051154994194438</v>
      </c>
      <c r="X401" s="708">
        <v>94</v>
      </c>
      <c r="Y401" s="719">
        <v>1692</v>
      </c>
      <c r="Z401" s="719">
        <v>849.23945805984226</v>
      </c>
      <c r="AA401" s="719">
        <v>47.179969892213457</v>
      </c>
      <c r="AB401" s="738">
        <v>5.2759001040578082E-2</v>
      </c>
      <c r="AC401" s="792">
        <v>1</v>
      </c>
      <c r="AD401" s="792">
        <v>1</v>
      </c>
      <c r="AE401" s="717">
        <v>0.54049295774647899</v>
      </c>
      <c r="AF401" s="714">
        <v>4.2407531067898789E-2</v>
      </c>
      <c r="AG401" s="706"/>
      <c r="AH401" s="792">
        <v>0.50191457332141975</v>
      </c>
      <c r="AI401" s="748">
        <v>0.54049295774647899</v>
      </c>
      <c r="AJ401" s="748">
        <v>4.2407531067898789E-2</v>
      </c>
      <c r="AK401" s="748"/>
      <c r="AL401" s="714">
        <v>0.50191457332141975</v>
      </c>
      <c r="AM401" s="706"/>
      <c r="AN401" s="706"/>
      <c r="AO401" s="706"/>
      <c r="AP401" s="706"/>
      <c r="AQ401" s="706"/>
      <c r="AR401" s="706" t="s">
        <v>877</v>
      </c>
      <c r="AS401" s="706"/>
      <c r="AT401" s="706"/>
      <c r="AU401" s="706"/>
      <c r="AV401" s="706">
        <v>5.2759001040578082E-2</v>
      </c>
      <c r="AW401" s="706">
        <v>5.2759001040578082E-2</v>
      </c>
      <c r="AX401" s="706">
        <v>5.2759001040578082E-2</v>
      </c>
      <c r="AY401" s="706">
        <v>5.2759001040578082E-2</v>
      </c>
      <c r="AZ401" s="706">
        <v>5.2759001040578082E-2</v>
      </c>
      <c r="BA401" s="706">
        <v>5.2759001040578082E-2</v>
      </c>
      <c r="BB401" s="706">
        <v>5.2759001040578082E-2</v>
      </c>
      <c r="BC401" s="706">
        <v>5.2759001040578082E-2</v>
      </c>
      <c r="BD401" s="706">
        <v>5.2759001040578082E-2</v>
      </c>
      <c r="BE401" s="706">
        <v>5.2759001040578082E-2</v>
      </c>
      <c r="BF401" s="706">
        <v>5.2759001040578082E-2</v>
      </c>
      <c r="BG401" s="706">
        <v>5.2759001040578082E-2</v>
      </c>
      <c r="BH401" s="706">
        <v>5.2759001040578082E-2</v>
      </c>
      <c r="BI401" s="706">
        <v>5.2759001040578082E-2</v>
      </c>
      <c r="BJ401" s="706">
        <v>5.2759001040578082E-2</v>
      </c>
      <c r="BK401" s="706">
        <v>5.2759001040578082E-2</v>
      </c>
      <c r="BL401" s="706">
        <v>5.2759001040578082E-2</v>
      </c>
      <c r="BM401" s="706">
        <v>5.2759001040578082E-2</v>
      </c>
      <c r="BN401" s="706"/>
      <c r="BO401" s="706"/>
      <c r="BP401" s="706"/>
      <c r="BQ401" s="706"/>
      <c r="BR401" s="706"/>
      <c r="BS401" s="706"/>
      <c r="BT401" s="706"/>
      <c r="BU401" s="706"/>
      <c r="BV401" s="791">
        <v>47.179969892213457</v>
      </c>
      <c r="BW401" s="791">
        <v>47.179969892213457</v>
      </c>
      <c r="BX401" s="791">
        <v>47.179969892213457</v>
      </c>
      <c r="BY401" s="791">
        <v>47.179969892213457</v>
      </c>
      <c r="BZ401" s="791">
        <v>47.179969892213457</v>
      </c>
      <c r="CA401" s="791">
        <v>47.179969892213457</v>
      </c>
      <c r="CB401" s="791">
        <v>47.179969892213457</v>
      </c>
      <c r="CC401" s="791">
        <v>47.179969892213457</v>
      </c>
      <c r="CD401" s="791">
        <v>47.179969892213457</v>
      </c>
      <c r="CE401" s="791">
        <v>47.179969892213457</v>
      </c>
      <c r="CF401" s="791">
        <v>47.179969892213457</v>
      </c>
      <c r="CG401" s="791">
        <v>47.179969892213457</v>
      </c>
      <c r="CH401" s="791">
        <v>47.179969892213457</v>
      </c>
      <c r="CI401" s="791">
        <v>47.179969892213457</v>
      </c>
      <c r="CJ401" s="791">
        <v>47.179969892213457</v>
      </c>
      <c r="CK401" s="791">
        <v>47.179969892213457</v>
      </c>
      <c r="CL401" s="791">
        <v>47.179969892213457</v>
      </c>
      <c r="CM401" s="791">
        <v>47.179969892213457</v>
      </c>
      <c r="CN401" s="791"/>
      <c r="CO401" s="706"/>
      <c r="CP401" s="706"/>
      <c r="CQ401" s="706"/>
      <c r="CR401" s="706"/>
    </row>
    <row r="402" spans="1:96">
      <c r="A402" s="694" t="s">
        <v>3</v>
      </c>
      <c r="B402" s="794">
        <v>41953</v>
      </c>
      <c r="C402" s="743">
        <v>2014</v>
      </c>
      <c r="D402" s="746" t="s">
        <v>15</v>
      </c>
      <c r="E402" s="746" t="s">
        <v>25</v>
      </c>
      <c r="F402" s="746" t="s">
        <v>17</v>
      </c>
      <c r="G402" s="746" t="s">
        <v>58</v>
      </c>
      <c r="H402" s="694" t="s">
        <v>393</v>
      </c>
      <c r="I402" s="746" t="s">
        <v>5</v>
      </c>
      <c r="J402" s="746" t="s">
        <v>376</v>
      </c>
      <c r="K402" s="706">
        <v>1</v>
      </c>
      <c r="L402" s="745" t="s">
        <v>58</v>
      </c>
      <c r="M402" s="706" t="s">
        <v>882</v>
      </c>
      <c r="N402" s="706">
        <v>18</v>
      </c>
      <c r="O402" s="706"/>
      <c r="P402" s="706"/>
      <c r="Q402" s="706"/>
      <c r="R402" s="706"/>
      <c r="S402" s="706"/>
      <c r="T402" s="706"/>
      <c r="U402" s="738">
        <v>0.1051154994194438</v>
      </c>
      <c r="V402" s="738">
        <v>94</v>
      </c>
      <c r="W402" s="793">
        <v>0.1051154994194438</v>
      </c>
      <c r="X402" s="708">
        <v>94</v>
      </c>
      <c r="Y402" s="719">
        <v>1692</v>
      </c>
      <c r="Z402" s="719">
        <v>849.23945805984226</v>
      </c>
      <c r="AA402" s="719">
        <v>47.179969892213457</v>
      </c>
      <c r="AB402" s="738">
        <v>5.2759001040578082E-2</v>
      </c>
      <c r="AC402" s="792">
        <v>1</v>
      </c>
      <c r="AD402" s="792">
        <v>1</v>
      </c>
      <c r="AE402" s="717">
        <v>0.54049295774647899</v>
      </c>
      <c r="AF402" s="714">
        <v>4.2407531067898789E-2</v>
      </c>
      <c r="AG402" s="706"/>
      <c r="AH402" s="792">
        <v>0.50191457332141975</v>
      </c>
      <c r="AI402" s="748">
        <v>0.54049295774647899</v>
      </c>
      <c r="AJ402" s="748">
        <v>4.2407531067898789E-2</v>
      </c>
      <c r="AK402" s="748"/>
      <c r="AL402" s="714">
        <v>0.50191457332141975</v>
      </c>
      <c r="AM402" s="706"/>
      <c r="AN402" s="706"/>
      <c r="AO402" s="706"/>
      <c r="AP402" s="706"/>
      <c r="AQ402" s="706"/>
      <c r="AR402" s="706" t="s">
        <v>877</v>
      </c>
      <c r="AS402" s="706"/>
      <c r="AT402" s="706"/>
      <c r="AU402" s="706"/>
      <c r="AV402" s="706">
        <v>5.2759001040578082E-2</v>
      </c>
      <c r="AW402" s="706">
        <v>5.2759001040578082E-2</v>
      </c>
      <c r="AX402" s="706">
        <v>5.2759001040578082E-2</v>
      </c>
      <c r="AY402" s="706">
        <v>5.2759001040578082E-2</v>
      </c>
      <c r="AZ402" s="706">
        <v>5.2759001040578082E-2</v>
      </c>
      <c r="BA402" s="706">
        <v>5.2759001040578082E-2</v>
      </c>
      <c r="BB402" s="706">
        <v>5.2759001040578082E-2</v>
      </c>
      <c r="BC402" s="706">
        <v>5.2759001040578082E-2</v>
      </c>
      <c r="BD402" s="706">
        <v>5.2759001040578082E-2</v>
      </c>
      <c r="BE402" s="706">
        <v>5.2759001040578082E-2</v>
      </c>
      <c r="BF402" s="706">
        <v>5.2759001040578082E-2</v>
      </c>
      <c r="BG402" s="706">
        <v>5.2759001040578082E-2</v>
      </c>
      <c r="BH402" s="706">
        <v>5.2759001040578082E-2</v>
      </c>
      <c r="BI402" s="706">
        <v>5.2759001040578082E-2</v>
      </c>
      <c r="BJ402" s="706">
        <v>5.2759001040578082E-2</v>
      </c>
      <c r="BK402" s="706">
        <v>5.2759001040578082E-2</v>
      </c>
      <c r="BL402" s="706">
        <v>5.2759001040578082E-2</v>
      </c>
      <c r="BM402" s="706">
        <v>5.2759001040578082E-2</v>
      </c>
      <c r="BN402" s="706"/>
      <c r="BO402" s="706"/>
      <c r="BP402" s="706"/>
      <c r="BQ402" s="706"/>
      <c r="BR402" s="706"/>
      <c r="BS402" s="706"/>
      <c r="BT402" s="706"/>
      <c r="BU402" s="706"/>
      <c r="BV402" s="791">
        <v>47.179969892213457</v>
      </c>
      <c r="BW402" s="791">
        <v>47.179969892213457</v>
      </c>
      <c r="BX402" s="791">
        <v>47.179969892213457</v>
      </c>
      <c r="BY402" s="791">
        <v>47.179969892213457</v>
      </c>
      <c r="BZ402" s="791">
        <v>47.179969892213457</v>
      </c>
      <c r="CA402" s="791">
        <v>47.179969892213457</v>
      </c>
      <c r="CB402" s="791">
        <v>47.179969892213457</v>
      </c>
      <c r="CC402" s="791">
        <v>47.179969892213457</v>
      </c>
      <c r="CD402" s="791">
        <v>47.179969892213457</v>
      </c>
      <c r="CE402" s="791">
        <v>47.179969892213457</v>
      </c>
      <c r="CF402" s="791">
        <v>47.179969892213457</v>
      </c>
      <c r="CG402" s="791">
        <v>47.179969892213457</v>
      </c>
      <c r="CH402" s="791">
        <v>47.179969892213457</v>
      </c>
      <c r="CI402" s="791">
        <v>47.179969892213457</v>
      </c>
      <c r="CJ402" s="791">
        <v>47.179969892213457</v>
      </c>
      <c r="CK402" s="791">
        <v>47.179969892213457</v>
      </c>
      <c r="CL402" s="791">
        <v>47.179969892213457</v>
      </c>
      <c r="CM402" s="791">
        <v>47.179969892213457</v>
      </c>
      <c r="CN402" s="791"/>
      <c r="CO402" s="706"/>
      <c r="CP402" s="706"/>
      <c r="CQ402" s="706"/>
      <c r="CR402" s="706"/>
    </row>
    <row r="403" spans="1:96">
      <c r="A403" s="694" t="s">
        <v>3</v>
      </c>
      <c r="B403" s="794">
        <v>41970</v>
      </c>
      <c r="C403" s="743">
        <v>2014</v>
      </c>
      <c r="D403" s="746" t="s">
        <v>15</v>
      </c>
      <c r="E403" s="746" t="s">
        <v>25</v>
      </c>
      <c r="F403" s="746" t="s">
        <v>17</v>
      </c>
      <c r="G403" s="746" t="s">
        <v>58</v>
      </c>
      <c r="H403" s="694" t="s">
        <v>393</v>
      </c>
      <c r="I403" s="746" t="s">
        <v>5</v>
      </c>
      <c r="J403" s="746" t="s">
        <v>376</v>
      </c>
      <c r="K403" s="706">
        <v>1</v>
      </c>
      <c r="L403" s="745" t="s">
        <v>58</v>
      </c>
      <c r="M403" s="706" t="s">
        <v>881</v>
      </c>
      <c r="N403" s="706">
        <v>18</v>
      </c>
      <c r="O403" s="706"/>
      <c r="P403" s="706"/>
      <c r="Q403" s="706"/>
      <c r="R403" s="706"/>
      <c r="S403" s="706"/>
      <c r="T403" s="706"/>
      <c r="U403" s="738">
        <v>0.1051154994194438</v>
      </c>
      <c r="V403" s="738">
        <v>94</v>
      </c>
      <c r="W403" s="793">
        <v>0.1051154994194438</v>
      </c>
      <c r="X403" s="708">
        <v>94</v>
      </c>
      <c r="Y403" s="719">
        <v>1692</v>
      </c>
      <c r="Z403" s="719">
        <v>849.23945805984226</v>
      </c>
      <c r="AA403" s="719">
        <v>47.179969892213457</v>
      </c>
      <c r="AB403" s="738">
        <v>5.2759001040578082E-2</v>
      </c>
      <c r="AC403" s="792">
        <v>1</v>
      </c>
      <c r="AD403" s="792">
        <v>1</v>
      </c>
      <c r="AE403" s="717">
        <v>0.54049295774647899</v>
      </c>
      <c r="AF403" s="714">
        <v>4.2407531067898789E-2</v>
      </c>
      <c r="AG403" s="706"/>
      <c r="AH403" s="792">
        <v>0.50191457332141975</v>
      </c>
      <c r="AI403" s="748">
        <v>0.54049295774647899</v>
      </c>
      <c r="AJ403" s="748">
        <v>4.2407531067898789E-2</v>
      </c>
      <c r="AK403" s="748"/>
      <c r="AL403" s="714">
        <v>0.50191457332141975</v>
      </c>
      <c r="AM403" s="706"/>
      <c r="AN403" s="706"/>
      <c r="AO403" s="706"/>
      <c r="AP403" s="706"/>
      <c r="AQ403" s="706"/>
      <c r="AR403" s="706" t="s">
        <v>877</v>
      </c>
      <c r="AS403" s="706"/>
      <c r="AT403" s="706"/>
      <c r="AU403" s="706"/>
      <c r="AV403" s="706">
        <v>5.2759001040578082E-2</v>
      </c>
      <c r="AW403" s="706">
        <v>5.2759001040578082E-2</v>
      </c>
      <c r="AX403" s="706">
        <v>5.2759001040578082E-2</v>
      </c>
      <c r="AY403" s="706">
        <v>5.2759001040578082E-2</v>
      </c>
      <c r="AZ403" s="706">
        <v>5.2759001040578082E-2</v>
      </c>
      <c r="BA403" s="706">
        <v>5.2759001040578082E-2</v>
      </c>
      <c r="BB403" s="706">
        <v>5.2759001040578082E-2</v>
      </c>
      <c r="BC403" s="706">
        <v>5.2759001040578082E-2</v>
      </c>
      <c r="BD403" s="706">
        <v>5.2759001040578082E-2</v>
      </c>
      <c r="BE403" s="706">
        <v>5.2759001040578082E-2</v>
      </c>
      <c r="BF403" s="706">
        <v>5.2759001040578082E-2</v>
      </c>
      <c r="BG403" s="706">
        <v>5.2759001040578082E-2</v>
      </c>
      <c r="BH403" s="706">
        <v>5.2759001040578082E-2</v>
      </c>
      <c r="BI403" s="706">
        <v>5.2759001040578082E-2</v>
      </c>
      <c r="BJ403" s="706">
        <v>5.2759001040578082E-2</v>
      </c>
      <c r="BK403" s="706">
        <v>5.2759001040578082E-2</v>
      </c>
      <c r="BL403" s="706">
        <v>5.2759001040578082E-2</v>
      </c>
      <c r="BM403" s="706">
        <v>5.2759001040578082E-2</v>
      </c>
      <c r="BN403" s="706"/>
      <c r="BO403" s="706"/>
      <c r="BP403" s="706"/>
      <c r="BQ403" s="706"/>
      <c r="BR403" s="706"/>
      <c r="BS403" s="706"/>
      <c r="BT403" s="706"/>
      <c r="BU403" s="706"/>
      <c r="BV403" s="791">
        <v>47.179969892213457</v>
      </c>
      <c r="BW403" s="791">
        <v>47.179969892213457</v>
      </c>
      <c r="BX403" s="791">
        <v>47.179969892213457</v>
      </c>
      <c r="BY403" s="791">
        <v>47.179969892213457</v>
      </c>
      <c r="BZ403" s="791">
        <v>47.179969892213457</v>
      </c>
      <c r="CA403" s="791">
        <v>47.179969892213457</v>
      </c>
      <c r="CB403" s="791">
        <v>47.179969892213457</v>
      </c>
      <c r="CC403" s="791">
        <v>47.179969892213457</v>
      </c>
      <c r="CD403" s="791">
        <v>47.179969892213457</v>
      </c>
      <c r="CE403" s="791">
        <v>47.179969892213457</v>
      </c>
      <c r="CF403" s="791">
        <v>47.179969892213457</v>
      </c>
      <c r="CG403" s="791">
        <v>47.179969892213457</v>
      </c>
      <c r="CH403" s="791">
        <v>47.179969892213457</v>
      </c>
      <c r="CI403" s="791">
        <v>47.179969892213457</v>
      </c>
      <c r="CJ403" s="791">
        <v>47.179969892213457</v>
      </c>
      <c r="CK403" s="791">
        <v>47.179969892213457</v>
      </c>
      <c r="CL403" s="791">
        <v>47.179969892213457</v>
      </c>
      <c r="CM403" s="791">
        <v>47.179969892213457</v>
      </c>
      <c r="CN403" s="791"/>
      <c r="CO403" s="706"/>
      <c r="CP403" s="706"/>
      <c r="CQ403" s="706"/>
      <c r="CR403" s="706"/>
    </row>
    <row r="404" spans="1:96">
      <c r="A404" s="694" t="s">
        <v>3</v>
      </c>
      <c r="B404" s="794">
        <v>41722</v>
      </c>
      <c r="C404" s="743">
        <v>2014</v>
      </c>
      <c r="D404" s="746" t="s">
        <v>15</v>
      </c>
      <c r="E404" s="746" t="s">
        <v>25</v>
      </c>
      <c r="F404" s="746" t="s">
        <v>17</v>
      </c>
      <c r="G404" s="746" t="s">
        <v>58</v>
      </c>
      <c r="H404" s="694" t="s">
        <v>393</v>
      </c>
      <c r="I404" s="746" t="s">
        <v>5</v>
      </c>
      <c r="J404" s="746" t="s">
        <v>376</v>
      </c>
      <c r="K404" s="706">
        <v>1</v>
      </c>
      <c r="L404" s="745" t="s">
        <v>58</v>
      </c>
      <c r="M404" s="706" t="s">
        <v>880</v>
      </c>
      <c r="N404" s="706">
        <v>18</v>
      </c>
      <c r="O404" s="706"/>
      <c r="P404" s="706"/>
      <c r="Q404" s="706"/>
      <c r="R404" s="706"/>
      <c r="S404" s="706"/>
      <c r="T404" s="706"/>
      <c r="U404" s="738">
        <v>0.1051154994194438</v>
      </c>
      <c r="V404" s="738">
        <v>94</v>
      </c>
      <c r="W404" s="793">
        <v>0.1051154994194438</v>
      </c>
      <c r="X404" s="708">
        <v>94</v>
      </c>
      <c r="Y404" s="719">
        <v>1692</v>
      </c>
      <c r="Z404" s="719">
        <v>849.23945805984226</v>
      </c>
      <c r="AA404" s="719">
        <v>47.179969892213457</v>
      </c>
      <c r="AB404" s="738">
        <v>5.2759001040578082E-2</v>
      </c>
      <c r="AC404" s="792">
        <v>1</v>
      </c>
      <c r="AD404" s="792">
        <v>1</v>
      </c>
      <c r="AE404" s="717">
        <v>0.54049295774647899</v>
      </c>
      <c r="AF404" s="714">
        <v>4.2407531067898789E-2</v>
      </c>
      <c r="AG404" s="706"/>
      <c r="AH404" s="792">
        <v>0.50191457332141975</v>
      </c>
      <c r="AI404" s="748">
        <v>0.54049295774647899</v>
      </c>
      <c r="AJ404" s="748">
        <v>4.2407531067898789E-2</v>
      </c>
      <c r="AK404" s="748"/>
      <c r="AL404" s="714">
        <v>0.50191457332141975</v>
      </c>
      <c r="AM404" s="706"/>
      <c r="AN404" s="706"/>
      <c r="AO404" s="706"/>
      <c r="AP404" s="706"/>
      <c r="AQ404" s="706"/>
      <c r="AR404" s="706" t="s">
        <v>877</v>
      </c>
      <c r="AS404" s="706"/>
      <c r="AT404" s="706"/>
      <c r="AU404" s="706"/>
      <c r="AV404" s="706">
        <v>5.2759001040578082E-2</v>
      </c>
      <c r="AW404" s="706">
        <v>5.2759001040578082E-2</v>
      </c>
      <c r="AX404" s="706">
        <v>5.2759001040578082E-2</v>
      </c>
      <c r="AY404" s="706">
        <v>5.2759001040578082E-2</v>
      </c>
      <c r="AZ404" s="706">
        <v>5.2759001040578082E-2</v>
      </c>
      <c r="BA404" s="706">
        <v>5.2759001040578082E-2</v>
      </c>
      <c r="BB404" s="706">
        <v>5.2759001040578082E-2</v>
      </c>
      <c r="BC404" s="706">
        <v>5.2759001040578082E-2</v>
      </c>
      <c r="BD404" s="706">
        <v>5.2759001040578082E-2</v>
      </c>
      <c r="BE404" s="706">
        <v>5.2759001040578082E-2</v>
      </c>
      <c r="BF404" s="706">
        <v>5.2759001040578082E-2</v>
      </c>
      <c r="BG404" s="706">
        <v>5.2759001040578082E-2</v>
      </c>
      <c r="BH404" s="706">
        <v>5.2759001040578082E-2</v>
      </c>
      <c r="BI404" s="706">
        <v>5.2759001040578082E-2</v>
      </c>
      <c r="BJ404" s="706">
        <v>5.2759001040578082E-2</v>
      </c>
      <c r="BK404" s="706">
        <v>5.2759001040578082E-2</v>
      </c>
      <c r="BL404" s="706">
        <v>5.2759001040578082E-2</v>
      </c>
      <c r="BM404" s="706">
        <v>5.2759001040578082E-2</v>
      </c>
      <c r="BN404" s="706"/>
      <c r="BO404" s="706"/>
      <c r="BP404" s="706"/>
      <c r="BQ404" s="706"/>
      <c r="BR404" s="706"/>
      <c r="BS404" s="706"/>
      <c r="BT404" s="706"/>
      <c r="BU404" s="706"/>
      <c r="BV404" s="791">
        <v>47.179969892213457</v>
      </c>
      <c r="BW404" s="791">
        <v>47.179969892213457</v>
      </c>
      <c r="BX404" s="791">
        <v>47.179969892213457</v>
      </c>
      <c r="BY404" s="791">
        <v>47.179969892213457</v>
      </c>
      <c r="BZ404" s="791">
        <v>47.179969892213457</v>
      </c>
      <c r="CA404" s="791">
        <v>47.179969892213457</v>
      </c>
      <c r="CB404" s="791">
        <v>47.179969892213457</v>
      </c>
      <c r="CC404" s="791">
        <v>47.179969892213457</v>
      </c>
      <c r="CD404" s="791">
        <v>47.179969892213457</v>
      </c>
      <c r="CE404" s="791">
        <v>47.179969892213457</v>
      </c>
      <c r="CF404" s="791">
        <v>47.179969892213457</v>
      </c>
      <c r="CG404" s="791">
        <v>47.179969892213457</v>
      </c>
      <c r="CH404" s="791">
        <v>47.179969892213457</v>
      </c>
      <c r="CI404" s="791">
        <v>47.179969892213457</v>
      </c>
      <c r="CJ404" s="791">
        <v>47.179969892213457</v>
      </c>
      <c r="CK404" s="791">
        <v>47.179969892213457</v>
      </c>
      <c r="CL404" s="791">
        <v>47.179969892213457</v>
      </c>
      <c r="CM404" s="791">
        <v>47.179969892213457</v>
      </c>
      <c r="CN404" s="791"/>
      <c r="CO404" s="706"/>
      <c r="CP404" s="706"/>
      <c r="CQ404" s="706"/>
      <c r="CR404" s="706"/>
    </row>
    <row r="405" spans="1:96">
      <c r="A405" s="694" t="s">
        <v>3</v>
      </c>
      <c r="B405" s="794">
        <v>41992</v>
      </c>
      <c r="C405" s="743">
        <v>2014</v>
      </c>
      <c r="D405" s="746" t="s">
        <v>15</v>
      </c>
      <c r="E405" s="746" t="s">
        <v>25</v>
      </c>
      <c r="F405" s="746" t="s">
        <v>17</v>
      </c>
      <c r="G405" s="746" t="s">
        <v>58</v>
      </c>
      <c r="H405" s="694" t="s">
        <v>393</v>
      </c>
      <c r="I405" s="746" t="s">
        <v>5</v>
      </c>
      <c r="J405" s="746" t="s">
        <v>376</v>
      </c>
      <c r="K405" s="706">
        <v>1</v>
      </c>
      <c r="L405" s="745" t="s">
        <v>58</v>
      </c>
      <c r="M405" s="706" t="s">
        <v>879</v>
      </c>
      <c r="N405" s="706">
        <v>18</v>
      </c>
      <c r="O405" s="706"/>
      <c r="P405" s="706"/>
      <c r="Q405" s="706"/>
      <c r="R405" s="706"/>
      <c r="S405" s="706"/>
      <c r="T405" s="706"/>
      <c r="U405" s="738">
        <v>0.1051154994194438</v>
      </c>
      <c r="V405" s="738">
        <v>94</v>
      </c>
      <c r="W405" s="793">
        <v>0.1051154994194438</v>
      </c>
      <c r="X405" s="708">
        <v>94</v>
      </c>
      <c r="Y405" s="719">
        <v>1692</v>
      </c>
      <c r="Z405" s="719">
        <v>849.23945805984226</v>
      </c>
      <c r="AA405" s="719">
        <v>47.179969892213457</v>
      </c>
      <c r="AB405" s="738">
        <v>5.2759001040578082E-2</v>
      </c>
      <c r="AC405" s="792">
        <v>1</v>
      </c>
      <c r="AD405" s="792">
        <v>1</v>
      </c>
      <c r="AE405" s="717">
        <v>0.54049295774647899</v>
      </c>
      <c r="AF405" s="714">
        <v>4.2407531067898789E-2</v>
      </c>
      <c r="AG405" s="706"/>
      <c r="AH405" s="792">
        <v>0.50191457332141975</v>
      </c>
      <c r="AI405" s="748">
        <v>0.54049295774647899</v>
      </c>
      <c r="AJ405" s="748">
        <v>4.2407531067898789E-2</v>
      </c>
      <c r="AK405" s="748"/>
      <c r="AL405" s="714">
        <v>0.50191457332141975</v>
      </c>
      <c r="AM405" s="706"/>
      <c r="AN405" s="706"/>
      <c r="AO405" s="706"/>
      <c r="AP405" s="706"/>
      <c r="AQ405" s="706"/>
      <c r="AR405" s="706" t="s">
        <v>877</v>
      </c>
      <c r="AS405" s="706"/>
      <c r="AT405" s="706"/>
      <c r="AU405" s="706"/>
      <c r="AV405" s="706">
        <v>5.2759001040578082E-2</v>
      </c>
      <c r="AW405" s="706">
        <v>5.2759001040578082E-2</v>
      </c>
      <c r="AX405" s="706">
        <v>5.2759001040578082E-2</v>
      </c>
      <c r="AY405" s="706">
        <v>5.2759001040578082E-2</v>
      </c>
      <c r="AZ405" s="706">
        <v>5.2759001040578082E-2</v>
      </c>
      <c r="BA405" s="706">
        <v>5.2759001040578082E-2</v>
      </c>
      <c r="BB405" s="706">
        <v>5.2759001040578082E-2</v>
      </c>
      <c r="BC405" s="706">
        <v>5.2759001040578082E-2</v>
      </c>
      <c r="BD405" s="706">
        <v>5.2759001040578082E-2</v>
      </c>
      <c r="BE405" s="706">
        <v>5.2759001040578082E-2</v>
      </c>
      <c r="BF405" s="706">
        <v>5.2759001040578082E-2</v>
      </c>
      <c r="BG405" s="706">
        <v>5.2759001040578082E-2</v>
      </c>
      <c r="BH405" s="706">
        <v>5.2759001040578082E-2</v>
      </c>
      <c r="BI405" s="706">
        <v>5.2759001040578082E-2</v>
      </c>
      <c r="BJ405" s="706">
        <v>5.2759001040578082E-2</v>
      </c>
      <c r="BK405" s="706">
        <v>5.2759001040578082E-2</v>
      </c>
      <c r="BL405" s="706">
        <v>5.2759001040578082E-2</v>
      </c>
      <c r="BM405" s="706">
        <v>5.2759001040578082E-2</v>
      </c>
      <c r="BN405" s="706"/>
      <c r="BO405" s="706"/>
      <c r="BP405" s="706"/>
      <c r="BQ405" s="706"/>
      <c r="BR405" s="706"/>
      <c r="BS405" s="706"/>
      <c r="BT405" s="706"/>
      <c r="BU405" s="706"/>
      <c r="BV405" s="791">
        <v>47.179969892213457</v>
      </c>
      <c r="BW405" s="791">
        <v>47.179969892213457</v>
      </c>
      <c r="BX405" s="791">
        <v>47.179969892213457</v>
      </c>
      <c r="BY405" s="791">
        <v>47.179969892213457</v>
      </c>
      <c r="BZ405" s="791">
        <v>47.179969892213457</v>
      </c>
      <c r="CA405" s="791">
        <v>47.179969892213457</v>
      </c>
      <c r="CB405" s="791">
        <v>47.179969892213457</v>
      </c>
      <c r="CC405" s="791">
        <v>47.179969892213457</v>
      </c>
      <c r="CD405" s="791">
        <v>47.179969892213457</v>
      </c>
      <c r="CE405" s="791">
        <v>47.179969892213457</v>
      </c>
      <c r="CF405" s="791">
        <v>47.179969892213457</v>
      </c>
      <c r="CG405" s="791">
        <v>47.179969892213457</v>
      </c>
      <c r="CH405" s="791">
        <v>47.179969892213457</v>
      </c>
      <c r="CI405" s="791">
        <v>47.179969892213457</v>
      </c>
      <c r="CJ405" s="791">
        <v>47.179969892213457</v>
      </c>
      <c r="CK405" s="791">
        <v>47.179969892213457</v>
      </c>
      <c r="CL405" s="791">
        <v>47.179969892213457</v>
      </c>
      <c r="CM405" s="791">
        <v>47.179969892213457</v>
      </c>
      <c r="CN405" s="791"/>
      <c r="CO405" s="706"/>
      <c r="CP405" s="706"/>
      <c r="CQ405" s="706"/>
      <c r="CR405" s="706"/>
    </row>
    <row r="406" spans="1:96">
      <c r="A406" s="694" t="s">
        <v>3</v>
      </c>
      <c r="B406" s="794">
        <v>41904</v>
      </c>
      <c r="C406" s="743">
        <v>2014</v>
      </c>
      <c r="D406" s="746" t="s">
        <v>15</v>
      </c>
      <c r="E406" s="746" t="s">
        <v>25</v>
      </c>
      <c r="F406" s="746" t="s">
        <v>17</v>
      </c>
      <c r="G406" s="746" t="s">
        <v>58</v>
      </c>
      <c r="H406" s="694" t="s">
        <v>393</v>
      </c>
      <c r="I406" s="746" t="s">
        <v>5</v>
      </c>
      <c r="J406" s="746" t="s">
        <v>376</v>
      </c>
      <c r="K406" s="706">
        <v>1</v>
      </c>
      <c r="L406" s="745" t="s">
        <v>58</v>
      </c>
      <c r="M406" s="706" t="s">
        <v>878</v>
      </c>
      <c r="N406" s="706">
        <v>18</v>
      </c>
      <c r="O406" s="706"/>
      <c r="P406" s="706"/>
      <c r="Q406" s="706"/>
      <c r="R406" s="706"/>
      <c r="S406" s="706"/>
      <c r="T406" s="706"/>
      <c r="U406" s="738">
        <v>0.1051154994194438</v>
      </c>
      <c r="V406" s="738">
        <v>94</v>
      </c>
      <c r="W406" s="793">
        <v>0.1051154994194438</v>
      </c>
      <c r="X406" s="708">
        <v>94</v>
      </c>
      <c r="Y406" s="719">
        <v>1692</v>
      </c>
      <c r="Z406" s="719">
        <v>849.23945805984226</v>
      </c>
      <c r="AA406" s="719">
        <v>47.179969892213457</v>
      </c>
      <c r="AB406" s="738">
        <v>5.2759001040578082E-2</v>
      </c>
      <c r="AC406" s="792">
        <v>1</v>
      </c>
      <c r="AD406" s="792">
        <v>1</v>
      </c>
      <c r="AE406" s="717">
        <v>0.54049295774647899</v>
      </c>
      <c r="AF406" s="714">
        <v>4.2407531067898789E-2</v>
      </c>
      <c r="AG406" s="706"/>
      <c r="AH406" s="792">
        <v>0.50191457332141975</v>
      </c>
      <c r="AI406" s="748">
        <v>0.54049295774647899</v>
      </c>
      <c r="AJ406" s="748">
        <v>4.2407531067898789E-2</v>
      </c>
      <c r="AK406" s="748"/>
      <c r="AL406" s="714">
        <v>0.50191457332141975</v>
      </c>
      <c r="AM406" s="706"/>
      <c r="AN406" s="706"/>
      <c r="AO406" s="706"/>
      <c r="AP406" s="706"/>
      <c r="AQ406" s="706"/>
      <c r="AR406" s="706" t="s">
        <v>877</v>
      </c>
      <c r="AS406" s="706"/>
      <c r="AT406" s="706"/>
      <c r="AU406" s="706"/>
      <c r="AV406" s="706">
        <v>5.2759001040578082E-2</v>
      </c>
      <c r="AW406" s="706">
        <v>5.2759001040578082E-2</v>
      </c>
      <c r="AX406" s="706">
        <v>5.2759001040578082E-2</v>
      </c>
      <c r="AY406" s="706">
        <v>5.2759001040578082E-2</v>
      </c>
      <c r="AZ406" s="706">
        <v>5.2759001040578082E-2</v>
      </c>
      <c r="BA406" s="706">
        <v>5.2759001040578082E-2</v>
      </c>
      <c r="BB406" s="706">
        <v>5.2759001040578082E-2</v>
      </c>
      <c r="BC406" s="706">
        <v>5.2759001040578082E-2</v>
      </c>
      <c r="BD406" s="706">
        <v>5.2759001040578082E-2</v>
      </c>
      <c r="BE406" s="706">
        <v>5.2759001040578082E-2</v>
      </c>
      <c r="BF406" s="706">
        <v>5.2759001040578082E-2</v>
      </c>
      <c r="BG406" s="706">
        <v>5.2759001040578082E-2</v>
      </c>
      <c r="BH406" s="706">
        <v>5.2759001040578082E-2</v>
      </c>
      <c r="BI406" s="706">
        <v>5.2759001040578082E-2</v>
      </c>
      <c r="BJ406" s="706">
        <v>5.2759001040578082E-2</v>
      </c>
      <c r="BK406" s="706">
        <v>5.2759001040578082E-2</v>
      </c>
      <c r="BL406" s="706">
        <v>5.2759001040578082E-2</v>
      </c>
      <c r="BM406" s="706">
        <v>5.2759001040578082E-2</v>
      </c>
      <c r="BN406" s="706"/>
      <c r="BO406" s="706"/>
      <c r="BP406" s="706"/>
      <c r="BQ406" s="706"/>
      <c r="BR406" s="706"/>
      <c r="BS406" s="706"/>
      <c r="BT406" s="706"/>
      <c r="BU406" s="706"/>
      <c r="BV406" s="791">
        <v>47.179969892213457</v>
      </c>
      <c r="BW406" s="791">
        <v>47.179969892213457</v>
      </c>
      <c r="BX406" s="791">
        <v>47.179969892213457</v>
      </c>
      <c r="BY406" s="791">
        <v>47.179969892213457</v>
      </c>
      <c r="BZ406" s="791">
        <v>47.179969892213457</v>
      </c>
      <c r="CA406" s="791">
        <v>47.179969892213457</v>
      </c>
      <c r="CB406" s="791">
        <v>47.179969892213457</v>
      </c>
      <c r="CC406" s="791">
        <v>47.179969892213457</v>
      </c>
      <c r="CD406" s="791">
        <v>47.179969892213457</v>
      </c>
      <c r="CE406" s="791">
        <v>47.179969892213457</v>
      </c>
      <c r="CF406" s="791">
        <v>47.179969892213457</v>
      </c>
      <c r="CG406" s="791">
        <v>47.179969892213457</v>
      </c>
      <c r="CH406" s="791">
        <v>47.179969892213457</v>
      </c>
      <c r="CI406" s="791">
        <v>47.179969892213457</v>
      </c>
      <c r="CJ406" s="791">
        <v>47.179969892213457</v>
      </c>
      <c r="CK406" s="791">
        <v>47.179969892213457</v>
      </c>
      <c r="CL406" s="791">
        <v>47.179969892213457</v>
      </c>
      <c r="CM406" s="791">
        <v>47.179969892213457</v>
      </c>
      <c r="CN406" s="791"/>
      <c r="CO406" s="706"/>
      <c r="CP406" s="706"/>
      <c r="CQ406" s="706"/>
      <c r="CR406" s="706"/>
    </row>
    <row r="407" spans="1:96">
      <c r="A407" s="781" t="s">
        <v>3</v>
      </c>
      <c r="B407" s="781"/>
      <c r="C407" s="788">
        <v>2014</v>
      </c>
      <c r="D407" s="781" t="s">
        <v>15</v>
      </c>
      <c r="E407" s="789" t="s">
        <v>866</v>
      </c>
      <c r="F407" s="781" t="s">
        <v>17</v>
      </c>
      <c r="G407" s="781"/>
      <c r="H407" s="781" t="s">
        <v>876</v>
      </c>
      <c r="I407" s="788" t="s">
        <v>5</v>
      </c>
      <c r="J407" s="788" t="s">
        <v>376</v>
      </c>
      <c r="K407" s="787">
        <v>2</v>
      </c>
      <c r="L407" s="781"/>
      <c r="M407" s="781"/>
      <c r="N407" s="779">
        <v>10.467886838536952</v>
      </c>
      <c r="O407" s="781">
        <v>1</v>
      </c>
      <c r="P407" s="790">
        <v>0.83214395698285004</v>
      </c>
      <c r="Q407" s="781">
        <v>1</v>
      </c>
      <c r="R407" s="790">
        <v>0.66428791396570008</v>
      </c>
      <c r="S407" s="781">
        <v>13</v>
      </c>
      <c r="T407" s="781"/>
      <c r="U407" s="786">
        <v>2.5537704734555208E-3</v>
      </c>
      <c r="V407" s="786">
        <v>28.138936507307115</v>
      </c>
      <c r="W407" s="780">
        <v>2.5537704734555208E-3</v>
      </c>
      <c r="X407" s="784">
        <v>28.138936507307115</v>
      </c>
      <c r="Y407" s="784">
        <v>294.55520311526709</v>
      </c>
      <c r="Z407" s="785">
        <v>437.29308956384864</v>
      </c>
      <c r="AA407" s="784">
        <v>39.281910254376825</v>
      </c>
      <c r="AB407" s="780">
        <v>3.5650594869677072E-3</v>
      </c>
      <c r="AC407" s="781">
        <v>1</v>
      </c>
      <c r="AD407" s="781">
        <v>1</v>
      </c>
      <c r="AE407" s="780">
        <v>0.54</v>
      </c>
      <c r="AF407" s="780">
        <v>0.9359983968895238</v>
      </c>
      <c r="AG407" s="781">
        <v>0</v>
      </c>
      <c r="AH407" s="780">
        <v>1.3959983968895238</v>
      </c>
      <c r="AI407" s="780">
        <v>0.54</v>
      </c>
      <c r="AJ407" s="780">
        <v>0.9359983968895238</v>
      </c>
      <c r="AK407" s="781">
        <v>0</v>
      </c>
      <c r="AL407" s="780">
        <v>1.3959983968895238</v>
      </c>
      <c r="AM407" s="781"/>
      <c r="AN407" s="781"/>
      <c r="AO407" s="781"/>
      <c r="AP407" s="783">
        <v>0.7</v>
      </c>
      <c r="AQ407" s="782">
        <v>4.1999999999999993</v>
      </c>
      <c r="AR407" s="781" t="s">
        <v>7</v>
      </c>
      <c r="AS407" s="780">
        <v>0</v>
      </c>
      <c r="AT407" s="780">
        <v>0</v>
      </c>
      <c r="AU407" s="780">
        <v>0</v>
      </c>
      <c r="AV407" s="780">
        <v>3.5650594869677072E-3</v>
      </c>
      <c r="AW407" s="780">
        <v>2.9666427083645574E-3</v>
      </c>
      <c r="AX407" s="780">
        <v>2.368225929761407E-3</v>
      </c>
      <c r="AY407" s="780">
        <v>2.368225929761407E-3</v>
      </c>
      <c r="AZ407" s="780">
        <v>2.368225929761407E-3</v>
      </c>
      <c r="BA407" s="780">
        <v>2.368225929761407E-3</v>
      </c>
      <c r="BB407" s="780">
        <v>2.368225929761407E-3</v>
      </c>
      <c r="BC407" s="780">
        <v>2.368225929761407E-3</v>
      </c>
      <c r="BD407" s="780">
        <v>2.368225929761407E-3</v>
      </c>
      <c r="BE407" s="780">
        <v>2.368225929761407E-3</v>
      </c>
      <c r="BF407" s="780">
        <v>2.368225929761407E-3</v>
      </c>
      <c r="BG407" s="780">
        <v>2.368225929761407E-3</v>
      </c>
      <c r="BH407" s="780">
        <v>2.368225929761407E-3</v>
      </c>
      <c r="BI407" s="780">
        <v>2.368225929761407E-3</v>
      </c>
      <c r="BJ407" s="780">
        <v>2.368225929761407E-3</v>
      </c>
      <c r="BK407" s="780">
        <v>2.368225929761407E-3</v>
      </c>
      <c r="BL407" s="780">
        <v>0</v>
      </c>
      <c r="BM407" s="780">
        <v>0</v>
      </c>
      <c r="BN407" s="780">
        <v>0</v>
      </c>
      <c r="BO407" s="780">
        <v>0</v>
      </c>
      <c r="BP407" s="780">
        <v>0</v>
      </c>
      <c r="BQ407" s="780">
        <v>0</v>
      </c>
      <c r="BR407" s="780">
        <v>0</v>
      </c>
      <c r="BS407" s="779">
        <v>0</v>
      </c>
      <c r="BT407" s="779">
        <v>0</v>
      </c>
      <c r="BU407" s="779">
        <v>0</v>
      </c>
      <c r="BV407" s="778">
        <v>39.281910254376825</v>
      </c>
      <c r="BW407" s="778">
        <v>32.688204236922324</v>
      </c>
      <c r="BX407" s="778">
        <v>26.094498219467823</v>
      </c>
      <c r="BY407" s="778">
        <v>26.094498219467823</v>
      </c>
      <c r="BZ407" s="778">
        <v>26.094498219467823</v>
      </c>
      <c r="CA407" s="778">
        <v>26.094498219467823</v>
      </c>
      <c r="CB407" s="778">
        <v>26.094498219467823</v>
      </c>
      <c r="CC407" s="778">
        <v>26.094498219467823</v>
      </c>
      <c r="CD407" s="778">
        <v>26.094498219467823</v>
      </c>
      <c r="CE407" s="778">
        <v>26.094498219467823</v>
      </c>
      <c r="CF407" s="778">
        <v>26.094498219467823</v>
      </c>
      <c r="CG407" s="778">
        <v>26.094498219467823</v>
      </c>
      <c r="CH407" s="778">
        <v>26.094498219467823</v>
      </c>
      <c r="CI407" s="778">
        <v>26.094498219467823</v>
      </c>
      <c r="CJ407" s="778">
        <v>26.094498219467823</v>
      </c>
      <c r="CK407" s="778">
        <v>26.094498219467823</v>
      </c>
      <c r="CL407" s="777">
        <v>0</v>
      </c>
      <c r="CM407" s="777">
        <v>0</v>
      </c>
      <c r="CN407" s="777">
        <v>0</v>
      </c>
      <c r="CO407" s="777">
        <v>0</v>
      </c>
      <c r="CP407" s="777">
        <v>0</v>
      </c>
      <c r="CQ407" s="777">
        <v>0</v>
      </c>
      <c r="CR407" s="777">
        <v>0</v>
      </c>
    </row>
    <row r="408" spans="1:96">
      <c r="A408" s="781" t="s">
        <v>3</v>
      </c>
      <c r="B408" s="781"/>
      <c r="C408" s="788">
        <v>2014</v>
      </c>
      <c r="D408" s="781" t="s">
        <v>15</v>
      </c>
      <c r="E408" s="789" t="s">
        <v>866</v>
      </c>
      <c r="F408" s="781" t="s">
        <v>17</v>
      </c>
      <c r="G408" s="781"/>
      <c r="H408" s="781" t="s">
        <v>875</v>
      </c>
      <c r="I408" s="788" t="s">
        <v>5</v>
      </c>
      <c r="J408" s="788" t="s">
        <v>376</v>
      </c>
      <c r="K408" s="787">
        <v>1061</v>
      </c>
      <c r="L408" s="781"/>
      <c r="M408" s="781"/>
      <c r="N408" s="779">
        <v>13.789326408365453</v>
      </c>
      <c r="O408" s="781">
        <v>1</v>
      </c>
      <c r="P408" s="790">
        <v>0.83214395698285004</v>
      </c>
      <c r="Q408" s="781">
        <v>1</v>
      </c>
      <c r="R408" s="790">
        <v>0.66428791396570008</v>
      </c>
      <c r="S408" s="781">
        <v>18</v>
      </c>
      <c r="T408" s="781"/>
      <c r="U408" s="786">
        <v>1.3731256375555692</v>
      </c>
      <c r="V408" s="786">
        <v>21872.964565003258</v>
      </c>
      <c r="W408" s="780">
        <v>1.3731256375555692</v>
      </c>
      <c r="X408" s="784">
        <v>21872.964565003258</v>
      </c>
      <c r="Y408" s="784">
        <v>301613.44790544116</v>
      </c>
      <c r="Z408" s="785">
        <v>428781.13158322463</v>
      </c>
      <c r="AA408" s="784">
        <v>38517.28356014438</v>
      </c>
      <c r="AB408" s="780">
        <v>2.4180110285578023</v>
      </c>
      <c r="AC408" s="781">
        <v>1</v>
      </c>
      <c r="AD408" s="781">
        <v>1</v>
      </c>
      <c r="AE408" s="780">
        <v>0.15924276169265034</v>
      </c>
      <c r="AF408" s="780">
        <v>0.92019672134803376</v>
      </c>
      <c r="AG408" s="781">
        <v>0</v>
      </c>
      <c r="AH408" s="780">
        <v>1.7609539596553834</v>
      </c>
      <c r="AI408" s="780">
        <v>0.15924276169265034</v>
      </c>
      <c r="AJ408" s="780">
        <v>0.92019672134803376</v>
      </c>
      <c r="AK408" s="781">
        <v>0</v>
      </c>
      <c r="AL408" s="780">
        <v>1.7609539596553834</v>
      </c>
      <c r="AM408" s="781"/>
      <c r="AN408" s="781"/>
      <c r="AO408" s="781"/>
      <c r="AP408" s="783">
        <v>-0.52444892335517324</v>
      </c>
      <c r="AQ408" s="782">
        <v>-763.31113526946024</v>
      </c>
      <c r="AR408" s="781" t="s">
        <v>7</v>
      </c>
      <c r="AS408" s="780">
        <v>0</v>
      </c>
      <c r="AT408" s="780">
        <v>0</v>
      </c>
      <c r="AU408" s="780">
        <v>0</v>
      </c>
      <c r="AV408" s="780">
        <v>2.4180110285578023</v>
      </c>
      <c r="AW408" s="780">
        <v>2.012133265332261</v>
      </c>
      <c r="AX408" s="780">
        <v>1.6062555021067193</v>
      </c>
      <c r="AY408" s="780">
        <v>1.6062555021067193</v>
      </c>
      <c r="AZ408" s="780">
        <v>1.6062555021067193</v>
      </c>
      <c r="BA408" s="780">
        <v>1.6062555021067193</v>
      </c>
      <c r="BB408" s="780">
        <v>1.6062555021067193</v>
      </c>
      <c r="BC408" s="780">
        <v>1.6062555021067193</v>
      </c>
      <c r="BD408" s="780">
        <v>1.6062555021067193</v>
      </c>
      <c r="BE408" s="780">
        <v>1.6062555021067193</v>
      </c>
      <c r="BF408" s="780">
        <v>1.6062555021067193</v>
      </c>
      <c r="BG408" s="780">
        <v>1.6062555021067193</v>
      </c>
      <c r="BH408" s="780">
        <v>1.6062555021067193</v>
      </c>
      <c r="BI408" s="780">
        <v>1.6062555021067193</v>
      </c>
      <c r="BJ408" s="780">
        <v>1.6062555021067193</v>
      </c>
      <c r="BK408" s="780">
        <v>1.6062555021067193</v>
      </c>
      <c r="BL408" s="780">
        <v>0</v>
      </c>
      <c r="BM408" s="780">
        <v>0</v>
      </c>
      <c r="BN408" s="780">
        <v>0</v>
      </c>
      <c r="BO408" s="780">
        <v>0</v>
      </c>
      <c r="BP408" s="780">
        <v>0</v>
      </c>
      <c r="BQ408" s="780">
        <v>0</v>
      </c>
      <c r="BR408" s="780">
        <v>0</v>
      </c>
      <c r="BS408" s="779">
        <v>0</v>
      </c>
      <c r="BT408" s="779">
        <v>0</v>
      </c>
      <c r="BU408" s="779">
        <v>0</v>
      </c>
      <c r="BV408" s="778">
        <v>38517.28356014438</v>
      </c>
      <c r="BW408" s="778">
        <v>32051.924753969022</v>
      </c>
      <c r="BX408" s="778">
        <v>25586.565947793664</v>
      </c>
      <c r="BY408" s="778">
        <v>25586.565947793664</v>
      </c>
      <c r="BZ408" s="778">
        <v>25586.565947793664</v>
      </c>
      <c r="CA408" s="778">
        <v>25586.565947793664</v>
      </c>
      <c r="CB408" s="778">
        <v>25586.565947793664</v>
      </c>
      <c r="CC408" s="778">
        <v>25586.565947793664</v>
      </c>
      <c r="CD408" s="778">
        <v>25586.565947793664</v>
      </c>
      <c r="CE408" s="778">
        <v>25586.565947793664</v>
      </c>
      <c r="CF408" s="778">
        <v>25586.565947793664</v>
      </c>
      <c r="CG408" s="778">
        <v>25586.565947793664</v>
      </c>
      <c r="CH408" s="778">
        <v>25586.565947793664</v>
      </c>
      <c r="CI408" s="778">
        <v>25586.565947793664</v>
      </c>
      <c r="CJ408" s="778">
        <v>25586.565947793664</v>
      </c>
      <c r="CK408" s="778">
        <v>25586.565947793664</v>
      </c>
      <c r="CL408" s="777">
        <v>0</v>
      </c>
      <c r="CM408" s="777">
        <v>0</v>
      </c>
      <c r="CN408" s="777">
        <v>0</v>
      </c>
      <c r="CO408" s="777">
        <v>0</v>
      </c>
      <c r="CP408" s="777">
        <v>0</v>
      </c>
      <c r="CQ408" s="777">
        <v>0</v>
      </c>
      <c r="CR408" s="777">
        <v>0</v>
      </c>
    </row>
    <row r="409" spans="1:96">
      <c r="A409" s="781" t="s">
        <v>3</v>
      </c>
      <c r="B409" s="781"/>
      <c r="C409" s="788">
        <v>2014</v>
      </c>
      <c r="D409" s="781" t="s">
        <v>15</v>
      </c>
      <c r="E409" s="789" t="s">
        <v>866</v>
      </c>
      <c r="F409" s="781" t="s">
        <v>17</v>
      </c>
      <c r="G409" s="781"/>
      <c r="H409" s="781" t="s">
        <v>874</v>
      </c>
      <c r="I409" s="788" t="s">
        <v>5</v>
      </c>
      <c r="J409" s="788" t="s">
        <v>376</v>
      </c>
      <c r="K409" s="787">
        <v>6</v>
      </c>
      <c r="L409" s="781"/>
      <c r="M409" s="781"/>
      <c r="N409" s="779">
        <v>9</v>
      </c>
      <c r="O409" s="781">
        <v>9</v>
      </c>
      <c r="P409" s="781"/>
      <c r="Q409" s="781"/>
      <c r="R409" s="781"/>
      <c r="S409" s="781"/>
      <c r="T409" s="781"/>
      <c r="U409" s="786">
        <v>5.654950950094135E-3</v>
      </c>
      <c r="V409" s="786">
        <v>90.079551619496186</v>
      </c>
      <c r="W409" s="780">
        <v>5.654950950094135E-3</v>
      </c>
      <c r="X409" s="784">
        <v>90.079551619496186</v>
      </c>
      <c r="Y409" s="784">
        <v>810.7159645754657</v>
      </c>
      <c r="Z409" s="785">
        <v>1382.1856177822601</v>
      </c>
      <c r="AA409" s="784">
        <v>153.57617975358443</v>
      </c>
      <c r="AB409" s="780">
        <v>9.6410977629843731E-3</v>
      </c>
      <c r="AC409" s="781">
        <v>1</v>
      </c>
      <c r="AD409" s="781">
        <v>1</v>
      </c>
      <c r="AE409" s="780">
        <v>0.238517745302714</v>
      </c>
      <c r="AF409" s="780">
        <v>0.94341277411350888</v>
      </c>
      <c r="AG409" s="781">
        <v>0</v>
      </c>
      <c r="AH409" s="780">
        <v>1.7048950288107949</v>
      </c>
      <c r="AI409" s="780">
        <v>0.238517745302714</v>
      </c>
      <c r="AJ409" s="780">
        <v>0.94341277411350888</v>
      </c>
      <c r="AK409" s="781">
        <v>0</v>
      </c>
      <c r="AL409" s="780">
        <v>1.7048950288107949</v>
      </c>
      <c r="AM409" s="781"/>
      <c r="AN409" s="781"/>
      <c r="AO409" s="781"/>
      <c r="AP409" s="783">
        <v>-3.2455942696481328</v>
      </c>
      <c r="AQ409" s="782">
        <v>-24.991075876290626</v>
      </c>
      <c r="AR409" s="781" t="s">
        <v>7</v>
      </c>
      <c r="AS409" s="780">
        <v>0</v>
      </c>
      <c r="AT409" s="780">
        <v>0</v>
      </c>
      <c r="AU409" s="780">
        <v>0</v>
      </c>
      <c r="AV409" s="780">
        <v>9.6410977629843731E-3</v>
      </c>
      <c r="AW409" s="780">
        <v>9.6410977629843731E-3</v>
      </c>
      <c r="AX409" s="780">
        <v>9.6410977629843731E-3</v>
      </c>
      <c r="AY409" s="780">
        <v>9.6410977629843731E-3</v>
      </c>
      <c r="AZ409" s="780">
        <v>9.6410977629843731E-3</v>
      </c>
      <c r="BA409" s="780">
        <v>9.6410977629843731E-3</v>
      </c>
      <c r="BB409" s="780">
        <v>9.6410977629843731E-3</v>
      </c>
      <c r="BC409" s="780">
        <v>9.6410977629843731E-3</v>
      </c>
      <c r="BD409" s="780">
        <v>9.6410977629843731E-3</v>
      </c>
      <c r="BE409" s="780">
        <v>0</v>
      </c>
      <c r="BF409" s="780">
        <v>0</v>
      </c>
      <c r="BG409" s="780">
        <v>0</v>
      </c>
      <c r="BH409" s="780">
        <v>0</v>
      </c>
      <c r="BI409" s="780">
        <v>0</v>
      </c>
      <c r="BJ409" s="780">
        <v>0</v>
      </c>
      <c r="BK409" s="780">
        <v>0</v>
      </c>
      <c r="BL409" s="780">
        <v>0</v>
      </c>
      <c r="BM409" s="780">
        <v>0</v>
      </c>
      <c r="BN409" s="780">
        <v>0</v>
      </c>
      <c r="BO409" s="780">
        <v>0</v>
      </c>
      <c r="BP409" s="780">
        <v>0</v>
      </c>
      <c r="BQ409" s="780">
        <v>0</v>
      </c>
      <c r="BR409" s="780">
        <v>0</v>
      </c>
      <c r="BS409" s="779">
        <v>0</v>
      </c>
      <c r="BT409" s="779">
        <v>0</v>
      </c>
      <c r="BU409" s="779">
        <v>0</v>
      </c>
      <c r="BV409" s="778">
        <v>153.57617975358443</v>
      </c>
      <c r="BW409" s="778">
        <v>153.57617975358443</v>
      </c>
      <c r="BX409" s="778">
        <v>153.57617975358443</v>
      </c>
      <c r="BY409" s="778">
        <v>153.57617975358443</v>
      </c>
      <c r="BZ409" s="778">
        <v>153.57617975358443</v>
      </c>
      <c r="CA409" s="778">
        <v>153.57617975358443</v>
      </c>
      <c r="CB409" s="778">
        <v>153.57617975358443</v>
      </c>
      <c r="CC409" s="778">
        <v>153.57617975358443</v>
      </c>
      <c r="CD409" s="778">
        <v>153.57617975358443</v>
      </c>
      <c r="CE409" s="777">
        <v>0</v>
      </c>
      <c r="CF409" s="777">
        <v>0</v>
      </c>
      <c r="CG409" s="777">
        <v>0</v>
      </c>
      <c r="CH409" s="777">
        <v>0</v>
      </c>
      <c r="CI409" s="777">
        <v>0</v>
      </c>
      <c r="CJ409" s="777">
        <v>0</v>
      </c>
      <c r="CK409" s="777">
        <v>0</v>
      </c>
      <c r="CL409" s="777">
        <v>0</v>
      </c>
      <c r="CM409" s="777">
        <v>0</v>
      </c>
      <c r="CN409" s="777">
        <v>0</v>
      </c>
      <c r="CO409" s="777">
        <v>0</v>
      </c>
      <c r="CP409" s="777">
        <v>0</v>
      </c>
      <c r="CQ409" s="777">
        <v>0</v>
      </c>
      <c r="CR409" s="777">
        <v>0</v>
      </c>
    </row>
    <row r="410" spans="1:96">
      <c r="A410" s="781" t="s">
        <v>3</v>
      </c>
      <c r="B410" s="781"/>
      <c r="C410" s="788">
        <v>2014</v>
      </c>
      <c r="D410" s="781" t="s">
        <v>15</v>
      </c>
      <c r="E410" s="789" t="s">
        <v>866</v>
      </c>
      <c r="F410" s="781" t="s">
        <v>17</v>
      </c>
      <c r="G410" s="781"/>
      <c r="H410" s="781" t="s">
        <v>873</v>
      </c>
      <c r="I410" s="788" t="s">
        <v>5</v>
      </c>
      <c r="J410" s="788" t="s">
        <v>376</v>
      </c>
      <c r="K410" s="787">
        <v>68</v>
      </c>
      <c r="L410" s="781"/>
      <c r="M410" s="781"/>
      <c r="N410" s="779">
        <v>16</v>
      </c>
      <c r="O410" s="781">
        <v>16</v>
      </c>
      <c r="P410" s="781"/>
      <c r="Q410" s="781"/>
      <c r="R410" s="781"/>
      <c r="S410" s="781"/>
      <c r="T410" s="781"/>
      <c r="U410" s="786">
        <v>9.8136151335558627E-2</v>
      </c>
      <c r="V410" s="786">
        <v>1563.2426501989353</v>
      </c>
      <c r="W410" s="780">
        <v>9.8136151335558627E-2</v>
      </c>
      <c r="X410" s="784">
        <v>1563.2426501989353</v>
      </c>
      <c r="Y410" s="784">
        <v>25011.882403182964</v>
      </c>
      <c r="Z410" s="785">
        <v>24373.978875028675</v>
      </c>
      <c r="AA410" s="784">
        <v>2708.2198750031862</v>
      </c>
      <c r="AB410" s="780">
        <v>0.17001472897982819</v>
      </c>
      <c r="AC410" s="781">
        <v>1</v>
      </c>
      <c r="AD410" s="781">
        <v>1</v>
      </c>
      <c r="AE410" s="780">
        <v>0.2013157894736842</v>
      </c>
      <c r="AF410" s="780">
        <v>0.93375308873656127</v>
      </c>
      <c r="AG410" s="781">
        <v>0</v>
      </c>
      <c r="AH410" s="780">
        <v>1.7324372992628772</v>
      </c>
      <c r="AI410" s="780">
        <v>0.2013157894736842</v>
      </c>
      <c r="AJ410" s="780">
        <v>0.93375308873656127</v>
      </c>
      <c r="AK410" s="781">
        <v>0</v>
      </c>
      <c r="AL410" s="780">
        <v>1.7324372992628772</v>
      </c>
      <c r="AM410" s="781"/>
      <c r="AN410" s="781"/>
      <c r="AO410" s="781"/>
      <c r="AP410" s="783">
        <v>-7.0276529160824861</v>
      </c>
      <c r="AQ410" s="782">
        <v>-670.48068003012418</v>
      </c>
      <c r="AR410" s="781" t="s">
        <v>7</v>
      </c>
      <c r="AS410" s="780">
        <v>0</v>
      </c>
      <c r="AT410" s="780">
        <v>0</v>
      </c>
      <c r="AU410" s="780">
        <v>0</v>
      </c>
      <c r="AV410" s="780">
        <v>0.17001472897982819</v>
      </c>
      <c r="AW410" s="780">
        <v>0.17001472897982819</v>
      </c>
      <c r="AX410" s="780">
        <v>0.17001472897982819</v>
      </c>
      <c r="AY410" s="780">
        <v>0.17001472897982819</v>
      </c>
      <c r="AZ410" s="780">
        <v>0.17001472897982819</v>
      </c>
      <c r="BA410" s="780">
        <v>0.17001472897982819</v>
      </c>
      <c r="BB410" s="780">
        <v>0.17001472897982819</v>
      </c>
      <c r="BC410" s="780">
        <v>0.17001472897982819</v>
      </c>
      <c r="BD410" s="780">
        <v>0.17001472897982819</v>
      </c>
      <c r="BE410" s="780">
        <v>0</v>
      </c>
      <c r="BF410" s="780">
        <v>0</v>
      </c>
      <c r="BG410" s="780">
        <v>0</v>
      </c>
      <c r="BH410" s="780">
        <v>0</v>
      </c>
      <c r="BI410" s="780">
        <v>0</v>
      </c>
      <c r="BJ410" s="780">
        <v>0</v>
      </c>
      <c r="BK410" s="780">
        <v>0</v>
      </c>
      <c r="BL410" s="780">
        <v>0</v>
      </c>
      <c r="BM410" s="780">
        <v>0</v>
      </c>
      <c r="BN410" s="780">
        <v>0</v>
      </c>
      <c r="BO410" s="780">
        <v>0</v>
      </c>
      <c r="BP410" s="780">
        <v>0</v>
      </c>
      <c r="BQ410" s="780">
        <v>0</v>
      </c>
      <c r="BR410" s="780">
        <v>0</v>
      </c>
      <c r="BS410" s="779">
        <v>0</v>
      </c>
      <c r="BT410" s="779">
        <v>0</v>
      </c>
      <c r="BU410" s="779">
        <v>0</v>
      </c>
      <c r="BV410" s="778">
        <v>2708.2198750031862</v>
      </c>
      <c r="BW410" s="778">
        <v>2708.2198750031862</v>
      </c>
      <c r="BX410" s="778">
        <v>2708.2198750031862</v>
      </c>
      <c r="BY410" s="778">
        <v>2708.2198750031862</v>
      </c>
      <c r="BZ410" s="778">
        <v>2708.2198750031862</v>
      </c>
      <c r="CA410" s="778">
        <v>2708.2198750031862</v>
      </c>
      <c r="CB410" s="778">
        <v>2708.2198750031862</v>
      </c>
      <c r="CC410" s="778">
        <v>2708.2198750031862</v>
      </c>
      <c r="CD410" s="778">
        <v>2708.2198750031862</v>
      </c>
      <c r="CE410" s="777">
        <v>0</v>
      </c>
      <c r="CF410" s="777">
        <v>0</v>
      </c>
      <c r="CG410" s="777">
        <v>0</v>
      </c>
      <c r="CH410" s="777">
        <v>0</v>
      </c>
      <c r="CI410" s="777">
        <v>0</v>
      </c>
      <c r="CJ410" s="777">
        <v>0</v>
      </c>
      <c r="CK410" s="777">
        <v>0</v>
      </c>
      <c r="CL410" s="777">
        <v>0</v>
      </c>
      <c r="CM410" s="777">
        <v>0</v>
      </c>
      <c r="CN410" s="777">
        <v>0</v>
      </c>
      <c r="CO410" s="777">
        <v>0</v>
      </c>
      <c r="CP410" s="777">
        <v>0</v>
      </c>
      <c r="CQ410" s="777">
        <v>0</v>
      </c>
      <c r="CR410" s="777">
        <v>0</v>
      </c>
    </row>
    <row r="411" spans="1:96">
      <c r="A411" s="781" t="s">
        <v>3</v>
      </c>
      <c r="B411" s="781"/>
      <c r="C411" s="788">
        <v>2014</v>
      </c>
      <c r="D411" s="781" t="s">
        <v>15</v>
      </c>
      <c r="E411" s="789" t="s">
        <v>866</v>
      </c>
      <c r="F411" s="781" t="s">
        <v>17</v>
      </c>
      <c r="G411" s="781"/>
      <c r="H411" s="781" t="s">
        <v>872</v>
      </c>
      <c r="I411" s="788" t="s">
        <v>5</v>
      </c>
      <c r="J411" s="788" t="s">
        <v>376</v>
      </c>
      <c r="K411" s="787">
        <v>1</v>
      </c>
      <c r="L411" s="781"/>
      <c r="M411" s="781"/>
      <c r="N411" s="779">
        <v>7</v>
      </c>
      <c r="O411" s="781">
        <v>7</v>
      </c>
      <c r="P411" s="781"/>
      <c r="Q411" s="781"/>
      <c r="R411" s="781"/>
      <c r="S411" s="781"/>
      <c r="T411" s="781"/>
      <c r="U411" s="786">
        <v>8.63864025837781E-3</v>
      </c>
      <c r="V411" s="786">
        <v>75.67448866338988</v>
      </c>
      <c r="W411" s="780">
        <v>8.63864025837781E-3</v>
      </c>
      <c r="X411" s="784">
        <v>75.67448866338988</v>
      </c>
      <c r="Y411" s="784">
        <v>529.72142064372918</v>
      </c>
      <c r="Z411" s="785">
        <v>1932.1920755783578</v>
      </c>
      <c r="AA411" s="784">
        <v>120.76200472364737</v>
      </c>
      <c r="AB411" s="780">
        <v>1.3785616977585268E-2</v>
      </c>
      <c r="AC411" s="781">
        <v>1</v>
      </c>
      <c r="AD411" s="781">
        <v>1</v>
      </c>
      <c r="AE411" s="780">
        <v>0.36</v>
      </c>
      <c r="AF411" s="780">
        <v>0.95580866493611494</v>
      </c>
      <c r="AG411" s="781">
        <v>0</v>
      </c>
      <c r="AH411" s="780">
        <v>1.595808664936115</v>
      </c>
      <c r="AI411" s="780">
        <v>0.36</v>
      </c>
      <c r="AJ411" s="780">
        <v>0.95580866493611494</v>
      </c>
      <c r="AK411" s="781">
        <v>0</v>
      </c>
      <c r="AL411" s="780">
        <v>1.595808664936115</v>
      </c>
      <c r="AM411" s="781"/>
      <c r="AN411" s="781"/>
      <c r="AO411" s="781"/>
      <c r="AP411" s="783">
        <v>44.492439024390244</v>
      </c>
      <c r="AQ411" s="782">
        <v>44.492439024390244</v>
      </c>
      <c r="AR411" s="781" t="s">
        <v>7</v>
      </c>
      <c r="AS411" s="780">
        <v>0</v>
      </c>
      <c r="AT411" s="780">
        <v>0</v>
      </c>
      <c r="AU411" s="780">
        <v>0</v>
      </c>
      <c r="AV411" s="780">
        <v>1.3785616977585268E-2</v>
      </c>
      <c r="AW411" s="780">
        <v>1.3785616977585268E-2</v>
      </c>
      <c r="AX411" s="780">
        <v>1.3785616977585268E-2</v>
      </c>
      <c r="AY411" s="780">
        <v>1.3785616977585268E-2</v>
      </c>
      <c r="AZ411" s="780">
        <v>1.3785616977585268E-2</v>
      </c>
      <c r="BA411" s="780">
        <v>1.3785616977585268E-2</v>
      </c>
      <c r="BB411" s="780">
        <v>1.3785616977585268E-2</v>
      </c>
      <c r="BC411" s="780">
        <v>1.3785616977585268E-2</v>
      </c>
      <c r="BD411" s="780">
        <v>1.3785616977585268E-2</v>
      </c>
      <c r="BE411" s="780">
        <v>1.3785616977585268E-2</v>
      </c>
      <c r="BF411" s="780">
        <v>1.3785616977585268E-2</v>
      </c>
      <c r="BG411" s="780">
        <v>1.3785616977585268E-2</v>
      </c>
      <c r="BH411" s="780">
        <v>1.3785616977585268E-2</v>
      </c>
      <c r="BI411" s="780">
        <v>1.3785616977585268E-2</v>
      </c>
      <c r="BJ411" s="780">
        <v>1.3785616977585268E-2</v>
      </c>
      <c r="BK411" s="780">
        <v>1.3785616977585268E-2</v>
      </c>
      <c r="BL411" s="780">
        <v>0</v>
      </c>
      <c r="BM411" s="780">
        <v>0</v>
      </c>
      <c r="BN411" s="780">
        <v>0</v>
      </c>
      <c r="BO411" s="780">
        <v>0</v>
      </c>
      <c r="BP411" s="780">
        <v>0</v>
      </c>
      <c r="BQ411" s="780">
        <v>0</v>
      </c>
      <c r="BR411" s="780">
        <v>0</v>
      </c>
      <c r="BS411" s="779">
        <v>0</v>
      </c>
      <c r="BT411" s="779">
        <v>0</v>
      </c>
      <c r="BU411" s="779">
        <v>0</v>
      </c>
      <c r="BV411" s="778">
        <v>120.76200472364737</v>
      </c>
      <c r="BW411" s="778">
        <v>120.76200472364737</v>
      </c>
      <c r="BX411" s="778">
        <v>120.76200472364737</v>
      </c>
      <c r="BY411" s="778">
        <v>120.76200472364737</v>
      </c>
      <c r="BZ411" s="778">
        <v>120.76200472364737</v>
      </c>
      <c r="CA411" s="778">
        <v>120.76200472364737</v>
      </c>
      <c r="CB411" s="778">
        <v>120.76200472364737</v>
      </c>
      <c r="CC411" s="778">
        <v>120.76200472364737</v>
      </c>
      <c r="CD411" s="778">
        <v>120.76200472364737</v>
      </c>
      <c r="CE411" s="778">
        <v>120.76200472364737</v>
      </c>
      <c r="CF411" s="778">
        <v>120.76200472364737</v>
      </c>
      <c r="CG411" s="778">
        <v>120.76200472364737</v>
      </c>
      <c r="CH411" s="778">
        <v>120.76200472364737</v>
      </c>
      <c r="CI411" s="778">
        <v>120.76200472364737</v>
      </c>
      <c r="CJ411" s="778">
        <v>120.76200472364737</v>
      </c>
      <c r="CK411" s="778">
        <v>120.76200472364737</v>
      </c>
      <c r="CL411" s="777">
        <v>0</v>
      </c>
      <c r="CM411" s="777">
        <v>0</v>
      </c>
      <c r="CN411" s="777">
        <v>0</v>
      </c>
      <c r="CO411" s="777">
        <v>0</v>
      </c>
      <c r="CP411" s="777">
        <v>0</v>
      </c>
      <c r="CQ411" s="777">
        <v>0</v>
      </c>
      <c r="CR411" s="777">
        <v>0</v>
      </c>
    </row>
    <row r="412" spans="1:96">
      <c r="A412" s="781" t="s">
        <v>3</v>
      </c>
      <c r="B412" s="781"/>
      <c r="C412" s="788">
        <v>2014</v>
      </c>
      <c r="D412" s="781" t="s">
        <v>15</v>
      </c>
      <c r="E412" s="789" t="s">
        <v>866</v>
      </c>
      <c r="F412" s="781" t="s">
        <v>17</v>
      </c>
      <c r="G412" s="781"/>
      <c r="H412" s="781" t="s">
        <v>871</v>
      </c>
      <c r="I412" s="788" t="s">
        <v>5</v>
      </c>
      <c r="J412" s="788" t="s">
        <v>376</v>
      </c>
      <c r="K412" s="787">
        <v>2</v>
      </c>
      <c r="L412" s="781"/>
      <c r="M412" s="781"/>
      <c r="N412" s="779">
        <v>10</v>
      </c>
      <c r="O412" s="781">
        <v>10</v>
      </c>
      <c r="P412" s="781"/>
      <c r="Q412" s="781"/>
      <c r="R412" s="781"/>
      <c r="S412" s="781"/>
      <c r="T412" s="781"/>
      <c r="U412" s="786">
        <v>1.0776703393596051E-3</v>
      </c>
      <c r="V412" s="786">
        <v>33.872704181876109</v>
      </c>
      <c r="W412" s="780">
        <v>1.0776703393596051E-3</v>
      </c>
      <c r="X412" s="784">
        <v>33.872704181876109</v>
      </c>
      <c r="Y412" s="784">
        <v>338.72704181876111</v>
      </c>
      <c r="Z412" s="785">
        <v>554.90467978718709</v>
      </c>
      <c r="AA412" s="784">
        <v>55.490467978718705</v>
      </c>
      <c r="AB412" s="780">
        <v>1.7654460398779095E-3</v>
      </c>
      <c r="AC412" s="781">
        <v>1</v>
      </c>
      <c r="AD412" s="781">
        <v>1</v>
      </c>
      <c r="AE412" s="780">
        <v>0.31</v>
      </c>
      <c r="AF412" s="780">
        <v>0.94820602219321404</v>
      </c>
      <c r="AG412" s="781">
        <v>0</v>
      </c>
      <c r="AH412" s="780">
        <v>1.638206022193214</v>
      </c>
      <c r="AI412" s="780">
        <v>0.31</v>
      </c>
      <c r="AJ412" s="780">
        <v>0.94820602219321404</v>
      </c>
      <c r="AK412" s="781">
        <v>0</v>
      </c>
      <c r="AL412" s="780">
        <v>1.638206022193214</v>
      </c>
      <c r="AM412" s="781"/>
      <c r="AN412" s="781"/>
      <c r="AO412" s="781"/>
      <c r="AP412" s="783">
        <v>33.02466101694916</v>
      </c>
      <c r="AQ412" s="782">
        <v>66.049322033898321</v>
      </c>
      <c r="AR412" s="781" t="s">
        <v>870</v>
      </c>
      <c r="AS412" s="780">
        <v>0</v>
      </c>
      <c r="AT412" s="780">
        <v>0</v>
      </c>
      <c r="AU412" s="780">
        <v>0</v>
      </c>
      <c r="AV412" s="780">
        <v>1.7654460398779095E-3</v>
      </c>
      <c r="AW412" s="780">
        <v>1.7654460398779095E-3</v>
      </c>
      <c r="AX412" s="780">
        <v>1.7654460398779095E-3</v>
      </c>
      <c r="AY412" s="780">
        <v>1.7654460398779095E-3</v>
      </c>
      <c r="AZ412" s="780">
        <v>1.7654460398779095E-3</v>
      </c>
      <c r="BA412" s="780">
        <v>1.7654460398779095E-3</v>
      </c>
      <c r="BB412" s="780">
        <v>1.7654460398779095E-3</v>
      </c>
      <c r="BC412" s="780">
        <v>1.7654460398779095E-3</v>
      </c>
      <c r="BD412" s="780">
        <v>1.7654460398779095E-3</v>
      </c>
      <c r="BE412" s="780">
        <v>1.7654460398779095E-3</v>
      </c>
      <c r="BF412" s="780">
        <v>0</v>
      </c>
      <c r="BG412" s="780">
        <v>0</v>
      </c>
      <c r="BH412" s="780">
        <v>0</v>
      </c>
      <c r="BI412" s="780">
        <v>0</v>
      </c>
      <c r="BJ412" s="780">
        <v>0</v>
      </c>
      <c r="BK412" s="780">
        <v>0</v>
      </c>
      <c r="BL412" s="780">
        <v>0</v>
      </c>
      <c r="BM412" s="780">
        <v>0</v>
      </c>
      <c r="BN412" s="780">
        <v>0</v>
      </c>
      <c r="BO412" s="780">
        <v>0</v>
      </c>
      <c r="BP412" s="780">
        <v>0</v>
      </c>
      <c r="BQ412" s="780">
        <v>0</v>
      </c>
      <c r="BR412" s="780">
        <v>0</v>
      </c>
      <c r="BS412" s="779">
        <v>0</v>
      </c>
      <c r="BT412" s="779">
        <v>0</v>
      </c>
      <c r="BU412" s="779">
        <v>0</v>
      </c>
      <c r="BV412" s="778">
        <v>55.490467978718705</v>
      </c>
      <c r="BW412" s="778">
        <v>55.490467978718705</v>
      </c>
      <c r="BX412" s="778">
        <v>55.490467978718705</v>
      </c>
      <c r="BY412" s="778">
        <v>55.490467978718705</v>
      </c>
      <c r="BZ412" s="778">
        <v>55.490467978718705</v>
      </c>
      <c r="CA412" s="778">
        <v>55.490467978718705</v>
      </c>
      <c r="CB412" s="778">
        <v>55.490467978718705</v>
      </c>
      <c r="CC412" s="778">
        <v>55.490467978718705</v>
      </c>
      <c r="CD412" s="778">
        <v>55.490467978718705</v>
      </c>
      <c r="CE412" s="778">
        <v>55.490467978718705</v>
      </c>
      <c r="CF412" s="777">
        <v>0</v>
      </c>
      <c r="CG412" s="777">
        <v>0</v>
      </c>
      <c r="CH412" s="777">
        <v>0</v>
      </c>
      <c r="CI412" s="777">
        <v>0</v>
      </c>
      <c r="CJ412" s="777">
        <v>0</v>
      </c>
      <c r="CK412" s="777">
        <v>0</v>
      </c>
      <c r="CL412" s="777">
        <v>0</v>
      </c>
      <c r="CM412" s="777">
        <v>0</v>
      </c>
      <c r="CN412" s="777">
        <v>0</v>
      </c>
      <c r="CO412" s="777">
        <v>0</v>
      </c>
      <c r="CP412" s="777">
        <v>0</v>
      </c>
      <c r="CQ412" s="777">
        <v>0</v>
      </c>
      <c r="CR412" s="777">
        <v>0</v>
      </c>
    </row>
    <row r="413" spans="1:96">
      <c r="A413" s="781" t="s">
        <v>3</v>
      </c>
      <c r="B413" s="781"/>
      <c r="C413" s="788">
        <v>2014</v>
      </c>
      <c r="D413" s="781" t="s">
        <v>15</v>
      </c>
      <c r="E413" s="789" t="s">
        <v>866</v>
      </c>
      <c r="F413" s="781" t="s">
        <v>17</v>
      </c>
      <c r="G413" s="781"/>
      <c r="H413" s="781" t="s">
        <v>869</v>
      </c>
      <c r="I413" s="788" t="s">
        <v>5</v>
      </c>
      <c r="J413" s="788" t="s">
        <v>376</v>
      </c>
      <c r="K413" s="787">
        <v>2</v>
      </c>
      <c r="L413" s="781"/>
      <c r="M413" s="781"/>
      <c r="N413" s="779">
        <v>9.5105524203930489</v>
      </c>
      <c r="O413" s="781">
        <v>1</v>
      </c>
      <c r="P413" s="790">
        <v>0.92160802212594994</v>
      </c>
      <c r="Q413" s="781">
        <v>1</v>
      </c>
      <c r="R413" s="790">
        <v>0.84321604425189989</v>
      </c>
      <c r="S413" s="781">
        <v>9</v>
      </c>
      <c r="T413" s="781"/>
      <c r="U413" s="786">
        <v>4.5976626745525333E-5</v>
      </c>
      <c r="V413" s="786">
        <v>378.9</v>
      </c>
      <c r="W413" s="780">
        <v>4.5976626745525333E-5</v>
      </c>
      <c r="X413" s="784">
        <v>378.9</v>
      </c>
      <c r="Y413" s="784">
        <v>3603.5483120869262</v>
      </c>
      <c r="Z413" s="785">
        <v>5102.3202011123194</v>
      </c>
      <c r="AA413" s="784">
        <v>588.68376392517052</v>
      </c>
      <c r="AB413" s="780">
        <v>7.1432287371703666E-5</v>
      </c>
      <c r="AC413" s="781">
        <v>1</v>
      </c>
      <c r="AD413" s="781">
        <v>1</v>
      </c>
      <c r="AE413" s="780">
        <v>0.38</v>
      </c>
      <c r="AF413" s="780">
        <v>0.93366525184790328</v>
      </c>
      <c r="AG413" s="781">
        <v>0</v>
      </c>
      <c r="AH413" s="780">
        <v>1.5536652518479033</v>
      </c>
      <c r="AI413" s="780">
        <v>0.38</v>
      </c>
      <c r="AJ413" s="780">
        <v>0.93366525184790328</v>
      </c>
      <c r="AK413" s="781">
        <v>0</v>
      </c>
      <c r="AL413" s="780">
        <v>1.5536652518479033</v>
      </c>
      <c r="AM413" s="781"/>
      <c r="AN413" s="781"/>
      <c r="AO413" s="781"/>
      <c r="AP413" s="783">
        <v>29.270745614035064</v>
      </c>
      <c r="AQ413" s="782">
        <v>175.62447368421039</v>
      </c>
      <c r="AR413" s="781" t="s">
        <v>7</v>
      </c>
      <c r="AS413" s="780">
        <v>0</v>
      </c>
      <c r="AT413" s="780">
        <v>0</v>
      </c>
      <c r="AU413" s="780">
        <v>0</v>
      </c>
      <c r="AV413" s="780">
        <v>7.1432287371703666E-5</v>
      </c>
      <c r="AW413" s="780">
        <v>6.5832569080568289E-5</v>
      </c>
      <c r="AX413" s="780">
        <v>6.0232850789432912E-5</v>
      </c>
      <c r="AY413" s="780">
        <v>6.0232850789432912E-5</v>
      </c>
      <c r="AZ413" s="780">
        <v>6.0232850789432912E-5</v>
      </c>
      <c r="BA413" s="780">
        <v>6.0232850789432912E-5</v>
      </c>
      <c r="BB413" s="780">
        <v>6.0232850789432912E-5</v>
      </c>
      <c r="BC413" s="780">
        <v>6.0232850789432912E-5</v>
      </c>
      <c r="BD413" s="780">
        <v>6.0232850789432912E-5</v>
      </c>
      <c r="BE413" s="780">
        <v>6.0232850789432912E-5</v>
      </c>
      <c r="BF413" s="780">
        <v>0</v>
      </c>
      <c r="BG413" s="780">
        <v>0</v>
      </c>
      <c r="BH413" s="780">
        <v>0</v>
      </c>
      <c r="BI413" s="780">
        <v>0</v>
      </c>
      <c r="BJ413" s="780">
        <v>0</v>
      </c>
      <c r="BK413" s="780">
        <v>0</v>
      </c>
      <c r="BL413" s="780">
        <v>0</v>
      </c>
      <c r="BM413" s="780">
        <v>0</v>
      </c>
      <c r="BN413" s="780">
        <v>0</v>
      </c>
      <c r="BO413" s="780">
        <v>0</v>
      </c>
      <c r="BP413" s="780">
        <v>0</v>
      </c>
      <c r="BQ413" s="780">
        <v>0</v>
      </c>
      <c r="BR413" s="780">
        <v>0</v>
      </c>
      <c r="BS413" s="779">
        <v>0</v>
      </c>
      <c r="BT413" s="779">
        <v>0</v>
      </c>
      <c r="BU413" s="779">
        <v>0</v>
      </c>
      <c r="BV413" s="778">
        <v>588.68376392517052</v>
      </c>
      <c r="BW413" s="778">
        <v>542.53567932873602</v>
      </c>
      <c r="BX413" s="778">
        <v>496.38759473230158</v>
      </c>
      <c r="BY413" s="778">
        <v>496.38759473230158</v>
      </c>
      <c r="BZ413" s="778">
        <v>496.38759473230158</v>
      </c>
      <c r="CA413" s="778">
        <v>496.38759473230158</v>
      </c>
      <c r="CB413" s="778">
        <v>496.38759473230158</v>
      </c>
      <c r="CC413" s="778">
        <v>496.38759473230158</v>
      </c>
      <c r="CD413" s="778">
        <v>496.38759473230158</v>
      </c>
      <c r="CE413" s="778">
        <v>496.38759473230158</v>
      </c>
      <c r="CF413" s="777">
        <v>0</v>
      </c>
      <c r="CG413" s="777">
        <v>0</v>
      </c>
      <c r="CH413" s="777">
        <v>0</v>
      </c>
      <c r="CI413" s="777">
        <v>0</v>
      </c>
      <c r="CJ413" s="777">
        <v>0</v>
      </c>
      <c r="CK413" s="777">
        <v>0</v>
      </c>
      <c r="CL413" s="777">
        <v>0</v>
      </c>
      <c r="CM413" s="777">
        <v>0</v>
      </c>
      <c r="CN413" s="777">
        <v>0</v>
      </c>
      <c r="CO413" s="777">
        <v>0</v>
      </c>
      <c r="CP413" s="777">
        <v>0</v>
      </c>
      <c r="CQ413" s="777">
        <v>0</v>
      </c>
      <c r="CR413" s="777">
        <v>0</v>
      </c>
    </row>
    <row r="414" spans="1:96">
      <c r="A414" s="781" t="s">
        <v>3</v>
      </c>
      <c r="B414" s="781"/>
      <c r="C414" s="788">
        <v>2014</v>
      </c>
      <c r="D414" s="781" t="s">
        <v>15</v>
      </c>
      <c r="E414" s="789" t="s">
        <v>866</v>
      </c>
      <c r="F414" s="781" t="s">
        <v>17</v>
      </c>
      <c r="G414" s="781"/>
      <c r="H414" s="781" t="s">
        <v>868</v>
      </c>
      <c r="I414" s="788" t="s">
        <v>5</v>
      </c>
      <c r="J414" s="788" t="s">
        <v>376</v>
      </c>
      <c r="K414" s="787">
        <v>6</v>
      </c>
      <c r="L414" s="781"/>
      <c r="M414" s="781"/>
      <c r="N414" s="779">
        <v>9.5105524203930489</v>
      </c>
      <c r="O414" s="781">
        <v>1</v>
      </c>
      <c r="P414" s="790">
        <v>0.92160802212594994</v>
      </c>
      <c r="Q414" s="781">
        <v>1</v>
      </c>
      <c r="R414" s="790">
        <v>0.84321604425189989</v>
      </c>
      <c r="S414" s="781">
        <v>9</v>
      </c>
      <c r="T414" s="781"/>
      <c r="U414" s="786">
        <v>4.5976626745525333E-5</v>
      </c>
      <c r="V414" s="786">
        <v>378.9</v>
      </c>
      <c r="W414" s="780">
        <v>4.5976626745525333E-5</v>
      </c>
      <c r="X414" s="784">
        <v>378.9</v>
      </c>
      <c r="Y414" s="784">
        <v>3603.5483120869262</v>
      </c>
      <c r="Z414" s="785">
        <v>5102.3202011123194</v>
      </c>
      <c r="AA414" s="784">
        <v>588.68376392517052</v>
      </c>
      <c r="AB414" s="780">
        <v>7.1432287371703666E-5</v>
      </c>
      <c r="AC414" s="781">
        <v>1</v>
      </c>
      <c r="AD414" s="781">
        <v>1</v>
      </c>
      <c r="AE414" s="780">
        <v>0.38</v>
      </c>
      <c r="AF414" s="780">
        <v>0.93366525184790328</v>
      </c>
      <c r="AG414" s="781">
        <v>0</v>
      </c>
      <c r="AH414" s="780">
        <v>1.5536652518479033</v>
      </c>
      <c r="AI414" s="780">
        <v>0.38</v>
      </c>
      <c r="AJ414" s="780">
        <v>0.93366525184790328</v>
      </c>
      <c r="AK414" s="781">
        <v>0</v>
      </c>
      <c r="AL414" s="780">
        <v>1.5536652518479033</v>
      </c>
      <c r="AM414" s="781"/>
      <c r="AN414" s="781"/>
      <c r="AO414" s="781"/>
      <c r="AP414" s="783">
        <v>29.270745614035064</v>
      </c>
      <c r="AQ414" s="782">
        <v>175.62447368421039</v>
      </c>
      <c r="AR414" s="781" t="s">
        <v>7</v>
      </c>
      <c r="AS414" s="780">
        <v>0</v>
      </c>
      <c r="AT414" s="780">
        <v>0</v>
      </c>
      <c r="AU414" s="780">
        <v>0</v>
      </c>
      <c r="AV414" s="780">
        <v>7.1432287371703666E-5</v>
      </c>
      <c r="AW414" s="780">
        <v>6.5832569080568289E-5</v>
      </c>
      <c r="AX414" s="780">
        <v>6.0232850789432912E-5</v>
      </c>
      <c r="AY414" s="780">
        <v>6.0232850789432912E-5</v>
      </c>
      <c r="AZ414" s="780">
        <v>6.0232850789432912E-5</v>
      </c>
      <c r="BA414" s="780">
        <v>6.0232850789432912E-5</v>
      </c>
      <c r="BB414" s="780">
        <v>6.0232850789432912E-5</v>
      </c>
      <c r="BC414" s="780">
        <v>6.0232850789432912E-5</v>
      </c>
      <c r="BD414" s="780">
        <v>6.0232850789432912E-5</v>
      </c>
      <c r="BE414" s="780">
        <v>6.0232850789432912E-5</v>
      </c>
      <c r="BF414" s="780">
        <v>0</v>
      </c>
      <c r="BG414" s="780">
        <v>0</v>
      </c>
      <c r="BH414" s="780">
        <v>0</v>
      </c>
      <c r="BI414" s="780">
        <v>0</v>
      </c>
      <c r="BJ414" s="780">
        <v>0</v>
      </c>
      <c r="BK414" s="780">
        <v>0</v>
      </c>
      <c r="BL414" s="780">
        <v>0</v>
      </c>
      <c r="BM414" s="780">
        <v>0</v>
      </c>
      <c r="BN414" s="780">
        <v>0</v>
      </c>
      <c r="BO414" s="780">
        <v>0</v>
      </c>
      <c r="BP414" s="780">
        <v>0</v>
      </c>
      <c r="BQ414" s="780">
        <v>0</v>
      </c>
      <c r="BR414" s="780">
        <v>0</v>
      </c>
      <c r="BS414" s="779">
        <v>0</v>
      </c>
      <c r="BT414" s="779">
        <v>0</v>
      </c>
      <c r="BU414" s="779">
        <v>0</v>
      </c>
      <c r="BV414" s="778">
        <v>588.68376392517052</v>
      </c>
      <c r="BW414" s="778">
        <v>542.53567932873602</v>
      </c>
      <c r="BX414" s="778">
        <v>496.38759473230158</v>
      </c>
      <c r="BY414" s="778">
        <v>496.38759473230158</v>
      </c>
      <c r="BZ414" s="778">
        <v>496.38759473230158</v>
      </c>
      <c r="CA414" s="778">
        <v>496.38759473230158</v>
      </c>
      <c r="CB414" s="778">
        <v>496.38759473230158</v>
      </c>
      <c r="CC414" s="778">
        <v>496.38759473230158</v>
      </c>
      <c r="CD414" s="778">
        <v>496.38759473230158</v>
      </c>
      <c r="CE414" s="778">
        <v>496.38759473230158</v>
      </c>
      <c r="CF414" s="777">
        <v>0</v>
      </c>
      <c r="CG414" s="777">
        <v>0</v>
      </c>
      <c r="CH414" s="777">
        <v>0</v>
      </c>
      <c r="CI414" s="777">
        <v>0</v>
      </c>
      <c r="CJ414" s="777">
        <v>0</v>
      </c>
      <c r="CK414" s="777">
        <v>0</v>
      </c>
      <c r="CL414" s="777">
        <v>0</v>
      </c>
      <c r="CM414" s="777">
        <v>0</v>
      </c>
      <c r="CN414" s="777">
        <v>0</v>
      </c>
      <c r="CO414" s="777">
        <v>0</v>
      </c>
      <c r="CP414" s="777">
        <v>0</v>
      </c>
      <c r="CQ414" s="777">
        <v>0</v>
      </c>
      <c r="CR414" s="777">
        <v>0</v>
      </c>
    </row>
    <row r="415" spans="1:96">
      <c r="A415" s="781" t="s">
        <v>3</v>
      </c>
      <c r="B415" s="781"/>
      <c r="C415" s="788">
        <v>2014</v>
      </c>
      <c r="D415" s="781" t="s">
        <v>15</v>
      </c>
      <c r="E415" s="789" t="s">
        <v>866</v>
      </c>
      <c r="F415" s="781" t="s">
        <v>17</v>
      </c>
      <c r="G415" s="781"/>
      <c r="H415" s="781" t="s">
        <v>867</v>
      </c>
      <c r="I415" s="788" t="s">
        <v>5</v>
      </c>
      <c r="J415" s="788" t="s">
        <v>376</v>
      </c>
      <c r="K415" s="787">
        <v>7</v>
      </c>
      <c r="L415" s="781"/>
      <c r="M415" s="781"/>
      <c r="N415" s="779">
        <v>13</v>
      </c>
      <c r="O415" s="781">
        <v>13</v>
      </c>
      <c r="P415" s="781"/>
      <c r="Q415" s="781"/>
      <c r="R415" s="781"/>
      <c r="S415" s="781"/>
      <c r="T415" s="781"/>
      <c r="U415" s="786">
        <v>5.5508534173647778E-3</v>
      </c>
      <c r="V415" s="786">
        <v>299.27065924328565</v>
      </c>
      <c r="W415" s="780">
        <v>5.5508534173647778E-3</v>
      </c>
      <c r="X415" s="784">
        <v>299.27065924328565</v>
      </c>
      <c r="Y415" s="784">
        <v>3890.5185701627133</v>
      </c>
      <c r="Z415" s="785">
        <v>3010.6963677784502</v>
      </c>
      <c r="AA415" s="784">
        <v>430.09948111120713</v>
      </c>
      <c r="AB415" s="780">
        <v>7.9774581997768147E-3</v>
      </c>
      <c r="AC415" s="781">
        <v>1</v>
      </c>
      <c r="AD415" s="781">
        <v>1</v>
      </c>
      <c r="AE415" s="780">
        <v>0.52</v>
      </c>
      <c r="AF415" s="780">
        <v>0.95715886548559714</v>
      </c>
      <c r="AG415" s="781">
        <v>0</v>
      </c>
      <c r="AH415" s="780">
        <v>1.4371588654855971</v>
      </c>
      <c r="AI415" s="780">
        <v>0.52</v>
      </c>
      <c r="AJ415" s="780">
        <v>0.95715886548559714</v>
      </c>
      <c r="AK415" s="781">
        <v>0</v>
      </c>
      <c r="AL415" s="780">
        <v>1.4371588654855971</v>
      </c>
      <c r="AM415" s="781"/>
      <c r="AN415" s="781"/>
      <c r="AO415" s="781"/>
      <c r="AP415" s="783">
        <v>17.961083457554217</v>
      </c>
      <c r="AQ415" s="782">
        <v>125.72758420287951</v>
      </c>
      <c r="AR415" s="781" t="s">
        <v>7</v>
      </c>
      <c r="AS415" s="780">
        <v>0</v>
      </c>
      <c r="AT415" s="780">
        <v>0</v>
      </c>
      <c r="AU415" s="780">
        <v>0</v>
      </c>
      <c r="AV415" s="780">
        <v>7.9774581997768147E-3</v>
      </c>
      <c r="AW415" s="780">
        <v>7.9774581997768147E-3</v>
      </c>
      <c r="AX415" s="780">
        <v>7.9774581997768147E-3</v>
      </c>
      <c r="AY415" s="780">
        <v>7.9774581997768147E-3</v>
      </c>
      <c r="AZ415" s="780">
        <v>7.9774581997768147E-3</v>
      </c>
      <c r="BA415" s="780">
        <v>7.9774581997768147E-3</v>
      </c>
      <c r="BB415" s="780">
        <v>7.9774581997768147E-3</v>
      </c>
      <c r="BC415" s="780">
        <v>0</v>
      </c>
      <c r="BD415" s="780">
        <v>0</v>
      </c>
      <c r="BE415" s="780">
        <v>0</v>
      </c>
      <c r="BF415" s="780">
        <v>0</v>
      </c>
      <c r="BG415" s="780">
        <v>0</v>
      </c>
      <c r="BH415" s="780">
        <v>0</v>
      </c>
      <c r="BI415" s="780">
        <v>0</v>
      </c>
      <c r="BJ415" s="780">
        <v>0</v>
      </c>
      <c r="BK415" s="780">
        <v>0</v>
      </c>
      <c r="BL415" s="780">
        <v>0</v>
      </c>
      <c r="BM415" s="780">
        <v>0</v>
      </c>
      <c r="BN415" s="780">
        <v>0</v>
      </c>
      <c r="BO415" s="780">
        <v>0</v>
      </c>
      <c r="BP415" s="780">
        <v>0</v>
      </c>
      <c r="BQ415" s="780">
        <v>0</v>
      </c>
      <c r="BR415" s="780">
        <v>0</v>
      </c>
      <c r="BS415" s="779">
        <v>0</v>
      </c>
      <c r="BT415" s="779">
        <v>0</v>
      </c>
      <c r="BU415" s="779">
        <v>0</v>
      </c>
      <c r="BV415" s="778">
        <v>430.09948111120713</v>
      </c>
      <c r="BW415" s="778">
        <v>430.09948111120713</v>
      </c>
      <c r="BX415" s="778">
        <v>430.09948111120713</v>
      </c>
      <c r="BY415" s="778">
        <v>430.09948111120713</v>
      </c>
      <c r="BZ415" s="778">
        <v>430.09948111120713</v>
      </c>
      <c r="CA415" s="778">
        <v>430.09948111120713</v>
      </c>
      <c r="CB415" s="778">
        <v>430.09948111120713</v>
      </c>
      <c r="CC415" s="777">
        <v>0</v>
      </c>
      <c r="CD415" s="777">
        <v>0</v>
      </c>
      <c r="CE415" s="777">
        <v>0</v>
      </c>
      <c r="CF415" s="777">
        <v>0</v>
      </c>
      <c r="CG415" s="777">
        <v>0</v>
      </c>
      <c r="CH415" s="777">
        <v>0</v>
      </c>
      <c r="CI415" s="777">
        <v>0</v>
      </c>
      <c r="CJ415" s="777">
        <v>0</v>
      </c>
      <c r="CK415" s="777">
        <v>0</v>
      </c>
      <c r="CL415" s="777">
        <v>0</v>
      </c>
      <c r="CM415" s="777">
        <v>0</v>
      </c>
      <c r="CN415" s="777">
        <v>0</v>
      </c>
      <c r="CO415" s="777">
        <v>0</v>
      </c>
      <c r="CP415" s="777">
        <v>0</v>
      </c>
      <c r="CQ415" s="777">
        <v>0</v>
      </c>
      <c r="CR415" s="777">
        <v>0</v>
      </c>
    </row>
    <row r="416" spans="1:96">
      <c r="A416" s="781" t="s">
        <v>3</v>
      </c>
      <c r="B416" s="781"/>
      <c r="C416" s="788">
        <v>2014</v>
      </c>
      <c r="D416" s="781" t="s">
        <v>15</v>
      </c>
      <c r="E416" s="789" t="s">
        <v>866</v>
      </c>
      <c r="F416" s="781" t="s">
        <v>17</v>
      </c>
      <c r="G416" s="781"/>
      <c r="H416" s="781" t="s">
        <v>865</v>
      </c>
      <c r="I416" s="788" t="s">
        <v>5</v>
      </c>
      <c r="J416" s="788" t="s">
        <v>376</v>
      </c>
      <c r="K416" s="787">
        <v>10</v>
      </c>
      <c r="L416" s="781"/>
      <c r="M416" s="781"/>
      <c r="N416" s="779">
        <v>13</v>
      </c>
      <c r="O416" s="781">
        <v>13</v>
      </c>
      <c r="P416" s="781"/>
      <c r="Q416" s="781"/>
      <c r="R416" s="781"/>
      <c r="S416" s="781"/>
      <c r="T416" s="781"/>
      <c r="U416" s="786">
        <v>5.2494989391264485E-3</v>
      </c>
      <c r="V416" s="786">
        <v>217.23018960530726</v>
      </c>
      <c r="W416" s="780">
        <v>5.2494989391264485E-3</v>
      </c>
      <c r="X416" s="784">
        <v>217.23018960530726</v>
      </c>
      <c r="Y416" s="784">
        <v>2823.9924648689944</v>
      </c>
      <c r="Z416" s="785">
        <v>3061.8185999213024</v>
      </c>
      <c r="AA416" s="784">
        <v>306.18185999213023</v>
      </c>
      <c r="AB416" s="780">
        <v>7.3990698628436935E-3</v>
      </c>
      <c r="AC416" s="781">
        <v>1</v>
      </c>
      <c r="AD416" s="781">
        <v>1</v>
      </c>
      <c r="AE416" s="780">
        <v>0.55000000000000004</v>
      </c>
      <c r="AF416" s="780">
        <v>0.95948116165824926</v>
      </c>
      <c r="AG416" s="781">
        <v>0</v>
      </c>
      <c r="AH416" s="780">
        <v>1.4094811616582492</v>
      </c>
      <c r="AI416" s="780">
        <v>0.55000000000000004</v>
      </c>
      <c r="AJ416" s="780">
        <v>0.95948116165824926</v>
      </c>
      <c r="AK416" s="781">
        <v>0</v>
      </c>
      <c r="AL416" s="780">
        <v>1.4094811616582492</v>
      </c>
      <c r="AM416" s="781"/>
      <c r="AN416" s="781"/>
      <c r="AO416" s="781"/>
      <c r="AP416" s="783">
        <v>11.502066379193128</v>
      </c>
      <c r="AQ416" s="782">
        <v>115.02066379193127</v>
      </c>
      <c r="AR416" s="781" t="s">
        <v>7</v>
      </c>
      <c r="AS416" s="780">
        <v>0</v>
      </c>
      <c r="AT416" s="780">
        <v>0</v>
      </c>
      <c r="AU416" s="780">
        <v>0</v>
      </c>
      <c r="AV416" s="780">
        <v>7.3990698628436935E-3</v>
      </c>
      <c r="AW416" s="780">
        <v>7.3990698628436935E-3</v>
      </c>
      <c r="AX416" s="780">
        <v>7.3990698628436935E-3</v>
      </c>
      <c r="AY416" s="780">
        <v>7.3990698628436935E-3</v>
      </c>
      <c r="AZ416" s="780">
        <v>7.3990698628436935E-3</v>
      </c>
      <c r="BA416" s="780">
        <v>7.3990698628436935E-3</v>
      </c>
      <c r="BB416" s="780">
        <v>7.3990698628436935E-3</v>
      </c>
      <c r="BC416" s="780">
        <v>7.3990698628436935E-3</v>
      </c>
      <c r="BD416" s="780">
        <v>7.3990698628436935E-3</v>
      </c>
      <c r="BE416" s="780">
        <v>7.3990698628436935E-3</v>
      </c>
      <c r="BF416" s="780">
        <v>0</v>
      </c>
      <c r="BG416" s="780">
        <v>0</v>
      </c>
      <c r="BH416" s="780">
        <v>0</v>
      </c>
      <c r="BI416" s="780">
        <v>0</v>
      </c>
      <c r="BJ416" s="780">
        <v>0</v>
      </c>
      <c r="BK416" s="780">
        <v>0</v>
      </c>
      <c r="BL416" s="780">
        <v>0</v>
      </c>
      <c r="BM416" s="780">
        <v>0</v>
      </c>
      <c r="BN416" s="780">
        <v>0</v>
      </c>
      <c r="BO416" s="780">
        <v>0</v>
      </c>
      <c r="BP416" s="780">
        <v>0</v>
      </c>
      <c r="BQ416" s="780">
        <v>0</v>
      </c>
      <c r="BR416" s="780">
        <v>0</v>
      </c>
      <c r="BS416" s="779">
        <v>0</v>
      </c>
      <c r="BT416" s="779">
        <v>0</v>
      </c>
      <c r="BU416" s="779">
        <v>0</v>
      </c>
      <c r="BV416" s="778">
        <v>306.18185999213023</v>
      </c>
      <c r="BW416" s="778">
        <v>306.18185999213023</v>
      </c>
      <c r="BX416" s="778">
        <v>306.18185999213023</v>
      </c>
      <c r="BY416" s="778">
        <v>306.18185999213023</v>
      </c>
      <c r="BZ416" s="778">
        <v>306.18185999213023</v>
      </c>
      <c r="CA416" s="778">
        <v>306.18185999213023</v>
      </c>
      <c r="CB416" s="778">
        <v>306.18185999213023</v>
      </c>
      <c r="CC416" s="778">
        <v>306.18185999213023</v>
      </c>
      <c r="CD416" s="778">
        <v>306.18185999213023</v>
      </c>
      <c r="CE416" s="778">
        <v>306.18185999213023</v>
      </c>
      <c r="CF416" s="777">
        <v>0</v>
      </c>
      <c r="CG416" s="777">
        <v>0</v>
      </c>
      <c r="CH416" s="777">
        <v>0</v>
      </c>
      <c r="CI416" s="777">
        <v>0</v>
      </c>
      <c r="CJ416" s="777">
        <v>0</v>
      </c>
      <c r="CK416" s="777">
        <v>0</v>
      </c>
      <c r="CL416" s="777">
        <v>0</v>
      </c>
      <c r="CM416" s="777">
        <v>0</v>
      </c>
      <c r="CN416" s="777">
        <v>0</v>
      </c>
      <c r="CO416" s="777">
        <v>0</v>
      </c>
      <c r="CP416" s="777">
        <v>0</v>
      </c>
      <c r="CQ416" s="777">
        <v>0</v>
      </c>
      <c r="CR416" s="777">
        <v>0</v>
      </c>
    </row>
    <row r="417" spans="1:96" s="53" customFormat="1">
      <c r="A417" s="774" t="s">
        <v>3</v>
      </c>
      <c r="B417" s="772">
        <v>41489</v>
      </c>
      <c r="C417" s="776">
        <v>2013</v>
      </c>
      <c r="D417" s="773" t="s">
        <v>1</v>
      </c>
      <c r="E417" s="773" t="s">
        <v>12</v>
      </c>
      <c r="F417" s="773" t="s">
        <v>457</v>
      </c>
      <c r="G417" s="772" t="s">
        <v>665</v>
      </c>
      <c r="H417" s="772" t="s">
        <v>371</v>
      </c>
      <c r="I417" s="773" t="s">
        <v>5</v>
      </c>
      <c r="J417" s="773" t="s">
        <v>376</v>
      </c>
      <c r="K417" s="706">
        <v>434</v>
      </c>
      <c r="L417" s="772" t="s">
        <v>864</v>
      </c>
      <c r="M417" s="772" t="s">
        <v>863</v>
      </c>
      <c r="N417" s="771">
        <v>9.534240385397835</v>
      </c>
      <c r="O417" s="708">
        <v>5</v>
      </c>
      <c r="P417" s="769">
        <v>0.93994472447835054</v>
      </c>
      <c r="Q417" s="706"/>
      <c r="R417" s="706"/>
      <c r="S417" s="706"/>
      <c r="T417" s="706"/>
      <c r="U417" s="710">
        <v>2.2999999999999998</v>
      </c>
      <c r="V417" s="707">
        <v>10004</v>
      </c>
      <c r="W417" s="710">
        <v>1.1800983119829243</v>
      </c>
      <c r="X417" s="707">
        <v>6735.747559532052</v>
      </c>
      <c r="Y417" s="707">
        <v>62386.058294051254</v>
      </c>
      <c r="Z417" s="707">
        <v>40836.921137477737</v>
      </c>
      <c r="AA417" s="707">
        <v>8818.2263605776552</v>
      </c>
      <c r="AB417" s="710">
        <v>0.75900075896299657</v>
      </c>
      <c r="AC417" s="769">
        <v>0.67330543377969332</v>
      </c>
      <c r="AD417" s="769">
        <v>0.51308622260127146</v>
      </c>
      <c r="AE417" s="775"/>
      <c r="AF417" s="770"/>
      <c r="AG417" s="706"/>
      <c r="AH417" s="769">
        <v>0.65458408904432563</v>
      </c>
      <c r="AI417" s="748"/>
      <c r="AJ417" s="748"/>
      <c r="AK417" s="748"/>
      <c r="AL417" s="769">
        <v>0.64316739652617949</v>
      </c>
      <c r="AM417" s="706"/>
      <c r="AN417" s="706"/>
      <c r="AO417" s="706"/>
      <c r="AP417" s="768">
        <v>5830</v>
      </c>
      <c r="AQ417" s="768">
        <v>5830</v>
      </c>
      <c r="AR417" s="706"/>
      <c r="AS417" s="738"/>
      <c r="AT417" s="738"/>
      <c r="AU417" s="710">
        <v>0.75900075896299657</v>
      </c>
      <c r="AV417" s="710">
        <v>0.75900075896299657</v>
      </c>
      <c r="AW417" s="710">
        <v>0.75900075896299657</v>
      </c>
      <c r="AX417" s="710">
        <v>0.75900075896299657</v>
      </c>
      <c r="AY417" s="710">
        <v>0.75900075896299657</v>
      </c>
      <c r="AZ417" s="710">
        <v>0.71341875926233278</v>
      </c>
      <c r="BA417" s="710">
        <v>0.71341875926233278</v>
      </c>
      <c r="BB417" s="710">
        <v>0.71341875926233278</v>
      </c>
      <c r="BC417" s="710">
        <v>0.71341875926233278</v>
      </c>
      <c r="BD417" s="710">
        <v>0.38113711289835395</v>
      </c>
      <c r="BE417" s="710">
        <v>0</v>
      </c>
      <c r="BF417" s="710">
        <v>0</v>
      </c>
      <c r="BG417" s="710">
        <v>0</v>
      </c>
      <c r="BH417" s="710">
        <v>0</v>
      </c>
      <c r="BI417" s="710">
        <v>0</v>
      </c>
      <c r="BJ417" s="710">
        <v>0</v>
      </c>
      <c r="BK417" s="710">
        <v>0</v>
      </c>
      <c r="BL417" s="710">
        <v>0</v>
      </c>
      <c r="BM417" s="710">
        <v>0</v>
      </c>
      <c r="BN417" s="710">
        <v>0</v>
      </c>
      <c r="BO417" s="710">
        <v>0</v>
      </c>
      <c r="BP417" s="710">
        <v>0</v>
      </c>
      <c r="BQ417" s="710">
        <v>0</v>
      </c>
      <c r="BR417" s="710">
        <v>0</v>
      </c>
      <c r="BS417" s="767"/>
      <c r="BT417" s="767"/>
      <c r="BU417" s="707">
        <v>4409.1131802888276</v>
      </c>
      <c r="BV417" s="707">
        <v>4409.1131802888276</v>
      </c>
      <c r="BW417" s="707">
        <v>4409.1131802888276</v>
      </c>
      <c r="BX417" s="707">
        <v>4409.1131802888276</v>
      </c>
      <c r="BY417" s="707">
        <v>4409.1131802888276</v>
      </c>
      <c r="BZ417" s="707">
        <v>4144.3226734404461</v>
      </c>
      <c r="CA417" s="707">
        <v>4144.3226734404461</v>
      </c>
      <c r="CB417" s="707">
        <v>4144.3226734404461</v>
      </c>
      <c r="CC417" s="707">
        <v>4144.3226734404461</v>
      </c>
      <c r="CD417" s="707">
        <v>2214.0645422718098</v>
      </c>
      <c r="CE417" s="707">
        <v>0</v>
      </c>
      <c r="CF417" s="707">
        <v>0</v>
      </c>
      <c r="CG417" s="707">
        <v>0</v>
      </c>
      <c r="CH417" s="707">
        <v>0</v>
      </c>
      <c r="CI417" s="707">
        <v>0</v>
      </c>
      <c r="CJ417" s="707">
        <v>0</v>
      </c>
      <c r="CK417" s="707">
        <v>0</v>
      </c>
      <c r="CL417" s="707">
        <v>0</v>
      </c>
      <c r="CM417" s="707">
        <v>0</v>
      </c>
      <c r="CN417" s="707">
        <v>0</v>
      </c>
      <c r="CO417" s="707">
        <v>0</v>
      </c>
      <c r="CP417" s="707">
        <v>0</v>
      </c>
      <c r="CQ417" s="707">
        <v>0</v>
      </c>
      <c r="CR417" s="707">
        <v>0</v>
      </c>
    </row>
    <row r="418" spans="1:96" s="53" customFormat="1">
      <c r="A418" s="774" t="s">
        <v>3</v>
      </c>
      <c r="B418" s="772">
        <v>41516</v>
      </c>
      <c r="C418" s="776">
        <v>2013</v>
      </c>
      <c r="D418" s="773" t="s">
        <v>1</v>
      </c>
      <c r="E418" s="773" t="s">
        <v>12</v>
      </c>
      <c r="F418" s="773" t="s">
        <v>457</v>
      </c>
      <c r="G418" s="772" t="s">
        <v>661</v>
      </c>
      <c r="H418" s="772" t="s">
        <v>371</v>
      </c>
      <c r="I418" s="773" t="s">
        <v>5</v>
      </c>
      <c r="J418" s="773" t="s">
        <v>376</v>
      </c>
      <c r="K418" s="706">
        <v>464</v>
      </c>
      <c r="L418" s="772" t="s">
        <v>651</v>
      </c>
      <c r="M418" s="772" t="s">
        <v>851</v>
      </c>
      <c r="N418" s="771">
        <v>10.467554891566246</v>
      </c>
      <c r="O418" s="708">
        <v>7.3560136188708594</v>
      </c>
      <c r="P418" s="769">
        <v>0.9194862609604908</v>
      </c>
      <c r="Q418" s="706"/>
      <c r="R418" s="706"/>
      <c r="S418" s="706"/>
      <c r="T418" s="706"/>
      <c r="U418" s="710">
        <v>0</v>
      </c>
      <c r="V418" s="707">
        <v>9261</v>
      </c>
      <c r="W418" s="710">
        <v>0</v>
      </c>
      <c r="X418" s="707">
        <v>8336.5863826784062</v>
      </c>
      <c r="Y418" s="707">
        <v>85175.17875878363</v>
      </c>
      <c r="Z418" s="707">
        <v>60783.996385340579</v>
      </c>
      <c r="AA418" s="707">
        <v>11898.561152090271</v>
      </c>
      <c r="AB418" s="710">
        <v>0</v>
      </c>
      <c r="AC418" s="769">
        <v>0.90018209509538993</v>
      </c>
      <c r="AD418" s="769">
        <v>0</v>
      </c>
      <c r="AE418" s="775"/>
      <c r="AF418" s="770"/>
      <c r="AG418" s="706"/>
      <c r="AH418" s="769">
        <v>0.71363509030583938</v>
      </c>
      <c r="AI418" s="748"/>
      <c r="AJ418" s="748"/>
      <c r="AK418" s="748"/>
      <c r="AL418" s="769">
        <v>0.77578670773417735</v>
      </c>
      <c r="AM418" s="706"/>
      <c r="AN418" s="706"/>
      <c r="AO418" s="706"/>
      <c r="AP418" s="768">
        <v>1420</v>
      </c>
      <c r="AQ418" s="768">
        <v>1420</v>
      </c>
      <c r="AR418" s="706"/>
      <c r="AS418" s="738"/>
      <c r="AT418" s="738"/>
      <c r="AU418" s="710">
        <v>0</v>
      </c>
      <c r="AV418" s="710">
        <v>0</v>
      </c>
      <c r="AW418" s="710">
        <v>0</v>
      </c>
      <c r="AX418" s="710">
        <v>0</v>
      </c>
      <c r="AY418" s="710">
        <v>0</v>
      </c>
      <c r="AZ418" s="710">
        <v>0</v>
      </c>
      <c r="BA418" s="710">
        <v>0</v>
      </c>
      <c r="BB418" s="710">
        <v>0</v>
      </c>
      <c r="BC418" s="710">
        <v>0</v>
      </c>
      <c r="BD418" s="710">
        <v>0</v>
      </c>
      <c r="BE418" s="710">
        <v>0</v>
      </c>
      <c r="BF418" s="710">
        <v>0</v>
      </c>
      <c r="BG418" s="710">
        <v>0</v>
      </c>
      <c r="BH418" s="710">
        <v>0</v>
      </c>
      <c r="BI418" s="710">
        <v>0</v>
      </c>
      <c r="BJ418" s="710">
        <v>0</v>
      </c>
      <c r="BK418" s="710">
        <v>0</v>
      </c>
      <c r="BL418" s="710">
        <v>0</v>
      </c>
      <c r="BM418" s="710">
        <v>0</v>
      </c>
      <c r="BN418" s="710">
        <v>0</v>
      </c>
      <c r="BO418" s="710">
        <v>0</v>
      </c>
      <c r="BP418" s="710">
        <v>0</v>
      </c>
      <c r="BQ418" s="710">
        <v>0</v>
      </c>
      <c r="BR418" s="710">
        <v>0</v>
      </c>
      <c r="BS418" s="767"/>
      <c r="BT418" s="767"/>
      <c r="BU418" s="707">
        <v>5949.2805760451356</v>
      </c>
      <c r="BV418" s="707">
        <v>5949.2805760451356</v>
      </c>
      <c r="BW418" s="707">
        <v>5949.2805760451356</v>
      </c>
      <c r="BX418" s="707">
        <v>5949.2805760451356</v>
      </c>
      <c r="BY418" s="707">
        <v>5949.2805760451356</v>
      </c>
      <c r="BZ418" s="707">
        <v>5949.2805760451356</v>
      </c>
      <c r="CA418" s="707">
        <v>5949.2805760451356</v>
      </c>
      <c r="CB418" s="707">
        <v>5640.8118569587568</v>
      </c>
      <c r="CC418" s="707">
        <v>5470.2817522726164</v>
      </c>
      <c r="CD418" s="707">
        <v>5470.2817522726164</v>
      </c>
      <c r="CE418" s="707">
        <v>2557.6569915206396</v>
      </c>
      <c r="CF418" s="707">
        <v>0</v>
      </c>
      <c r="CG418" s="707">
        <v>0</v>
      </c>
      <c r="CH418" s="707">
        <v>0</v>
      </c>
      <c r="CI418" s="707">
        <v>0</v>
      </c>
      <c r="CJ418" s="707">
        <v>0</v>
      </c>
      <c r="CK418" s="707">
        <v>0</v>
      </c>
      <c r="CL418" s="707">
        <v>0</v>
      </c>
      <c r="CM418" s="707">
        <v>0</v>
      </c>
      <c r="CN418" s="707">
        <v>0</v>
      </c>
      <c r="CO418" s="707">
        <v>0</v>
      </c>
      <c r="CP418" s="707">
        <v>0</v>
      </c>
      <c r="CQ418" s="707">
        <v>0</v>
      </c>
      <c r="CR418" s="707">
        <v>0</v>
      </c>
    </row>
    <row r="419" spans="1:96" s="53" customFormat="1">
      <c r="A419" s="774" t="s">
        <v>3</v>
      </c>
      <c r="B419" s="772">
        <v>41578</v>
      </c>
      <c r="C419" s="776">
        <v>2013</v>
      </c>
      <c r="D419" s="773" t="s">
        <v>1</v>
      </c>
      <c r="E419" s="773" t="s">
        <v>12</v>
      </c>
      <c r="F419" s="773" t="s">
        <v>457</v>
      </c>
      <c r="G419" s="772" t="s">
        <v>661</v>
      </c>
      <c r="H419" s="772" t="s">
        <v>792</v>
      </c>
      <c r="I419" s="773" t="s">
        <v>5</v>
      </c>
      <c r="J419" s="773" t="s">
        <v>376</v>
      </c>
      <c r="K419" s="706">
        <v>486</v>
      </c>
      <c r="L419" s="772" t="s">
        <v>651</v>
      </c>
      <c r="M419" s="772" t="s">
        <v>862</v>
      </c>
      <c r="N419" s="771">
        <v>15.804213890656746</v>
      </c>
      <c r="O419" s="708" t="s">
        <v>7</v>
      </c>
      <c r="P419" s="769" t="s">
        <v>7</v>
      </c>
      <c r="Q419" s="706"/>
      <c r="R419" s="706"/>
      <c r="S419" s="706"/>
      <c r="T419" s="706"/>
      <c r="U419" s="710">
        <v>11.773999999999999</v>
      </c>
      <c r="V419" s="707">
        <v>15054</v>
      </c>
      <c r="W419" s="710">
        <v>12.727059888317713</v>
      </c>
      <c r="X419" s="707">
        <v>14782.061756037363</v>
      </c>
      <c r="Y419" s="707">
        <v>233618.86573731154</v>
      </c>
      <c r="Z419" s="707">
        <v>162828.08496728502</v>
      </c>
      <c r="AA419" s="707">
        <v>20605.6544278418</v>
      </c>
      <c r="AB419" s="710">
        <v>8.9880706449732273</v>
      </c>
      <c r="AC419" s="769">
        <v>0.98193581480253511</v>
      </c>
      <c r="AD419" s="769">
        <v>1.0809461430539931</v>
      </c>
      <c r="AE419" s="775"/>
      <c r="AF419" s="770"/>
      <c r="AG419" s="706"/>
      <c r="AH419" s="769">
        <v>0.69698174611623231</v>
      </c>
      <c r="AI419" s="748"/>
      <c r="AJ419" s="748"/>
      <c r="AK419" s="748"/>
      <c r="AL419" s="769">
        <v>0.7062173607922958</v>
      </c>
      <c r="AM419" s="706"/>
      <c r="AN419" s="706"/>
      <c r="AO419" s="706"/>
      <c r="AP419" s="768">
        <v>8015.77</v>
      </c>
      <c r="AQ419" s="768">
        <v>8015.77</v>
      </c>
      <c r="AR419" s="706"/>
      <c r="AS419" s="738"/>
      <c r="AT419" s="738"/>
      <c r="AU419" s="710">
        <v>8.9880706449732273</v>
      </c>
      <c r="AV419" s="710">
        <v>8.9880706449732273</v>
      </c>
      <c r="AW419" s="710">
        <v>8.9880706449732273</v>
      </c>
      <c r="AX419" s="710">
        <v>8.9880706449732273</v>
      </c>
      <c r="AY419" s="710">
        <v>8.9880706449732273</v>
      </c>
      <c r="AZ419" s="710">
        <v>8.9880706449732273</v>
      </c>
      <c r="BA419" s="710">
        <v>8.9880706449732273</v>
      </c>
      <c r="BB419" s="710">
        <v>8.9880706449732273</v>
      </c>
      <c r="BC419" s="710">
        <v>8.9880706449732273</v>
      </c>
      <c r="BD419" s="710">
        <v>8.9880706449732273</v>
      </c>
      <c r="BE419" s="710">
        <v>8.9880706449732273</v>
      </c>
      <c r="BF419" s="710">
        <v>8.9880706449732273</v>
      </c>
      <c r="BG419" s="710">
        <v>8.9880706449732273</v>
      </c>
      <c r="BH419" s="710">
        <v>8.9880706449732273</v>
      </c>
      <c r="BI419" s="710">
        <v>8.9880706449732273</v>
      </c>
      <c r="BJ419" s="710">
        <v>7.2283312628916034</v>
      </c>
      <c r="BK419" s="710">
        <v>0</v>
      </c>
      <c r="BL419" s="710">
        <v>0</v>
      </c>
      <c r="BM419" s="710">
        <v>0</v>
      </c>
      <c r="BN419" s="710">
        <v>0</v>
      </c>
      <c r="BO419" s="710">
        <v>0</v>
      </c>
      <c r="BP419" s="710">
        <v>0</v>
      </c>
      <c r="BQ419" s="710">
        <v>0</v>
      </c>
      <c r="BR419" s="710">
        <v>0</v>
      </c>
      <c r="BS419" s="767"/>
      <c r="BT419" s="767"/>
      <c r="BU419" s="707">
        <v>10302.8272139209</v>
      </c>
      <c r="BV419" s="707">
        <v>10302.8272139209</v>
      </c>
      <c r="BW419" s="707">
        <v>10302.8272139209</v>
      </c>
      <c r="BX419" s="707">
        <v>10302.8272139209</v>
      </c>
      <c r="BY419" s="707">
        <v>10302.8272139209</v>
      </c>
      <c r="BZ419" s="707">
        <v>10302.8272139209</v>
      </c>
      <c r="CA419" s="707">
        <v>10302.8272139209</v>
      </c>
      <c r="CB419" s="707">
        <v>10302.8272139209</v>
      </c>
      <c r="CC419" s="707">
        <v>10302.8272139209</v>
      </c>
      <c r="CD419" s="707">
        <v>10302.8272139209</v>
      </c>
      <c r="CE419" s="707">
        <v>10302.8272139209</v>
      </c>
      <c r="CF419" s="707">
        <v>10302.8272139209</v>
      </c>
      <c r="CG419" s="707">
        <v>10302.8272139209</v>
      </c>
      <c r="CH419" s="707">
        <v>10302.8272139209</v>
      </c>
      <c r="CI419" s="707">
        <v>10302.8272139209</v>
      </c>
      <c r="CJ419" s="707">
        <v>8285.6767584715253</v>
      </c>
      <c r="CK419" s="707">
        <v>0</v>
      </c>
      <c r="CL419" s="707">
        <v>0</v>
      </c>
      <c r="CM419" s="707">
        <v>0</v>
      </c>
      <c r="CN419" s="707">
        <v>0</v>
      </c>
      <c r="CO419" s="707">
        <v>0</v>
      </c>
      <c r="CP419" s="707">
        <v>0</v>
      </c>
      <c r="CQ419" s="707">
        <v>0</v>
      </c>
      <c r="CR419" s="707">
        <v>0</v>
      </c>
    </row>
    <row r="420" spans="1:96" s="53" customFormat="1">
      <c r="A420" s="774" t="s">
        <v>3</v>
      </c>
      <c r="B420" s="772">
        <v>41547</v>
      </c>
      <c r="C420" s="776">
        <v>2013</v>
      </c>
      <c r="D420" s="773" t="s">
        <v>1</v>
      </c>
      <c r="E420" s="773" t="s">
        <v>12</v>
      </c>
      <c r="F420" s="773" t="s">
        <v>457</v>
      </c>
      <c r="G420" s="772" t="s">
        <v>656</v>
      </c>
      <c r="H420" s="772" t="s">
        <v>371</v>
      </c>
      <c r="I420" s="773" t="s">
        <v>5</v>
      </c>
      <c r="J420" s="773" t="s">
        <v>376</v>
      </c>
      <c r="K420" s="706">
        <v>555</v>
      </c>
      <c r="L420" s="772" t="s">
        <v>651</v>
      </c>
      <c r="M420" s="772" t="s">
        <v>794</v>
      </c>
      <c r="N420" s="771">
        <v>20</v>
      </c>
      <c r="O420" s="708" t="s">
        <v>7</v>
      </c>
      <c r="P420" s="769" t="s">
        <v>7</v>
      </c>
      <c r="Q420" s="706"/>
      <c r="R420" s="706"/>
      <c r="S420" s="706"/>
      <c r="T420" s="706"/>
      <c r="U420" s="710">
        <v>4.8620000000000001</v>
      </c>
      <c r="V420" s="707">
        <v>12612.028</v>
      </c>
      <c r="W420" s="710">
        <v>4.4420938089922632</v>
      </c>
      <c r="X420" s="707">
        <v>15249.57912039101</v>
      </c>
      <c r="Y420" s="707">
        <v>304991.58240782021</v>
      </c>
      <c r="Z420" s="707">
        <v>223792.99718076241</v>
      </c>
      <c r="AA420" s="707">
        <v>22379.29971807624</v>
      </c>
      <c r="AB420" s="710">
        <v>3.2121965575697642</v>
      </c>
      <c r="AC420" s="769">
        <v>1.209129818011109</v>
      </c>
      <c r="AD420" s="769">
        <v>0.91363509029046963</v>
      </c>
      <c r="AE420" s="775"/>
      <c r="AF420" s="770"/>
      <c r="AG420" s="706"/>
      <c r="AH420" s="769">
        <v>0.7337677827498762</v>
      </c>
      <c r="AI420" s="748"/>
      <c r="AJ420" s="748"/>
      <c r="AK420" s="748"/>
      <c r="AL420" s="769">
        <v>0.7231266820766411</v>
      </c>
      <c r="AM420" s="706"/>
      <c r="AN420" s="706"/>
      <c r="AO420" s="706"/>
      <c r="AP420" s="768">
        <v>28.46153846153846</v>
      </c>
      <c r="AQ420" s="768">
        <v>4070</v>
      </c>
      <c r="AR420" s="706"/>
      <c r="AS420" s="738"/>
      <c r="AT420" s="738"/>
      <c r="AU420" s="710">
        <v>3.2121965575697642</v>
      </c>
      <c r="AV420" s="710">
        <v>3.2121965575697642</v>
      </c>
      <c r="AW420" s="710">
        <v>3.2121965575697642</v>
      </c>
      <c r="AX420" s="710">
        <v>3.2121965575697642</v>
      </c>
      <c r="AY420" s="710">
        <v>3.2121965575697642</v>
      </c>
      <c r="AZ420" s="710">
        <v>3.2121965575697642</v>
      </c>
      <c r="BA420" s="710">
        <v>3.2121965575697642</v>
      </c>
      <c r="BB420" s="710">
        <v>3.2121965575697642</v>
      </c>
      <c r="BC420" s="710">
        <v>3.2121965575697642</v>
      </c>
      <c r="BD420" s="710">
        <v>3.2121965575697642</v>
      </c>
      <c r="BE420" s="710">
        <v>3.2121965575697642</v>
      </c>
      <c r="BF420" s="710">
        <v>3.2121965575697642</v>
      </c>
      <c r="BG420" s="710">
        <v>3.2121965575697642</v>
      </c>
      <c r="BH420" s="710">
        <v>3.2121965575697642</v>
      </c>
      <c r="BI420" s="710">
        <v>3.2121965575697642</v>
      </c>
      <c r="BJ420" s="710">
        <v>3.2121965575697642</v>
      </c>
      <c r="BK420" s="710">
        <v>3.2121965575697642</v>
      </c>
      <c r="BL420" s="710">
        <v>3.2121965575697642</v>
      </c>
      <c r="BM420" s="710">
        <v>3.2121965575697642</v>
      </c>
      <c r="BN420" s="710">
        <v>3.2121965575697642</v>
      </c>
      <c r="BO420" s="710">
        <v>0</v>
      </c>
      <c r="BP420" s="710">
        <v>0</v>
      </c>
      <c r="BQ420" s="710">
        <v>0</v>
      </c>
      <c r="BR420" s="710">
        <v>0</v>
      </c>
      <c r="BS420" s="767"/>
      <c r="BT420" s="767"/>
      <c r="BU420" s="707">
        <v>11189.64985903812</v>
      </c>
      <c r="BV420" s="707">
        <v>11189.64985903812</v>
      </c>
      <c r="BW420" s="707">
        <v>11189.64985903812</v>
      </c>
      <c r="BX420" s="707">
        <v>11189.64985903812</v>
      </c>
      <c r="BY420" s="707">
        <v>11189.64985903812</v>
      </c>
      <c r="BZ420" s="707">
        <v>11189.64985903812</v>
      </c>
      <c r="CA420" s="707">
        <v>11189.64985903812</v>
      </c>
      <c r="CB420" s="707">
        <v>11189.64985903812</v>
      </c>
      <c r="CC420" s="707">
        <v>11189.64985903812</v>
      </c>
      <c r="CD420" s="707">
        <v>11189.64985903812</v>
      </c>
      <c r="CE420" s="707">
        <v>11189.64985903812</v>
      </c>
      <c r="CF420" s="707">
        <v>11189.64985903812</v>
      </c>
      <c r="CG420" s="707">
        <v>11189.64985903812</v>
      </c>
      <c r="CH420" s="707">
        <v>11189.64985903812</v>
      </c>
      <c r="CI420" s="707">
        <v>11189.64985903812</v>
      </c>
      <c r="CJ420" s="707">
        <v>11189.64985903812</v>
      </c>
      <c r="CK420" s="707">
        <v>11189.64985903812</v>
      </c>
      <c r="CL420" s="707">
        <v>11189.64985903812</v>
      </c>
      <c r="CM420" s="707">
        <v>11189.64985903812</v>
      </c>
      <c r="CN420" s="707">
        <v>11189.64985903812</v>
      </c>
      <c r="CO420" s="707">
        <v>0</v>
      </c>
      <c r="CP420" s="707">
        <v>0</v>
      </c>
      <c r="CQ420" s="707">
        <v>0</v>
      </c>
      <c r="CR420" s="707">
        <v>0</v>
      </c>
    </row>
    <row r="421" spans="1:96" s="53" customFormat="1">
      <c r="A421" s="774" t="s">
        <v>3</v>
      </c>
      <c r="B421" s="772">
        <v>41593</v>
      </c>
      <c r="C421" s="776">
        <v>2013</v>
      </c>
      <c r="D421" s="773" t="s">
        <v>1</v>
      </c>
      <c r="E421" s="773" t="s">
        <v>12</v>
      </c>
      <c r="F421" s="773" t="s">
        <v>457</v>
      </c>
      <c r="G421" s="772" t="s">
        <v>665</v>
      </c>
      <c r="H421" s="772" t="s">
        <v>792</v>
      </c>
      <c r="I421" s="773" t="s">
        <v>5</v>
      </c>
      <c r="J421" s="773" t="s">
        <v>376</v>
      </c>
      <c r="K421" s="706">
        <v>758</v>
      </c>
      <c r="L421" s="772" t="s">
        <v>651</v>
      </c>
      <c r="M421" s="772" t="s">
        <v>861</v>
      </c>
      <c r="N421" s="771">
        <v>20</v>
      </c>
      <c r="O421" s="708" t="s">
        <v>7</v>
      </c>
      <c r="P421" s="769" t="s">
        <v>7</v>
      </c>
      <c r="Q421" s="706"/>
      <c r="R421" s="706"/>
      <c r="S421" s="706"/>
      <c r="T421" s="706"/>
      <c r="U421" s="710">
        <v>20.5</v>
      </c>
      <c r="V421" s="707">
        <v>6704</v>
      </c>
      <c r="W421" s="710">
        <v>10.255810223083497</v>
      </c>
      <c r="X421" s="707">
        <v>5221.0327732848309</v>
      </c>
      <c r="Y421" s="707">
        <v>104420.65546569662</v>
      </c>
      <c r="Z421" s="707">
        <v>73164.235762066484</v>
      </c>
      <c r="AA421" s="707">
        <v>7316.4235762066482</v>
      </c>
      <c r="AB421" s="710">
        <v>6.9964353477983057</v>
      </c>
      <c r="AC421" s="769">
        <v>0.77879367143270151</v>
      </c>
      <c r="AD421" s="769">
        <v>0.50028342551626814</v>
      </c>
      <c r="AE421" s="775"/>
      <c r="AF421" s="770"/>
      <c r="AG421" s="706"/>
      <c r="AH421" s="769">
        <v>0.70066822924801286</v>
      </c>
      <c r="AI421" s="748"/>
      <c r="AJ421" s="748"/>
      <c r="AK421" s="748"/>
      <c r="AL421" s="769">
        <v>0.68219235687990021</v>
      </c>
      <c r="AM421" s="706"/>
      <c r="AN421" s="706"/>
      <c r="AO421" s="706"/>
      <c r="AP421" s="768">
        <v>80000</v>
      </c>
      <c r="AQ421" s="768">
        <v>80000</v>
      </c>
      <c r="AR421" s="706"/>
      <c r="AS421" s="738"/>
      <c r="AT421" s="738"/>
      <c r="AU421" s="710">
        <v>6.9964353477983057</v>
      </c>
      <c r="AV421" s="710">
        <v>6.9964353477983057</v>
      </c>
      <c r="AW421" s="710">
        <v>6.9964353477983057</v>
      </c>
      <c r="AX421" s="710">
        <v>6.9964353477983057</v>
      </c>
      <c r="AY421" s="710">
        <v>6.9964353477983057</v>
      </c>
      <c r="AZ421" s="710">
        <v>6.9964353477983057</v>
      </c>
      <c r="BA421" s="710">
        <v>6.9964353477983057</v>
      </c>
      <c r="BB421" s="710">
        <v>6.9964353477983057</v>
      </c>
      <c r="BC421" s="710">
        <v>6.9964353477983057</v>
      </c>
      <c r="BD421" s="710">
        <v>6.9964353477983057</v>
      </c>
      <c r="BE421" s="710">
        <v>6.9964353477983057</v>
      </c>
      <c r="BF421" s="710">
        <v>6.9964353477983057</v>
      </c>
      <c r="BG421" s="710">
        <v>6.9964353477983057</v>
      </c>
      <c r="BH421" s="710">
        <v>6.9964353477983057</v>
      </c>
      <c r="BI421" s="710">
        <v>6.9964353477983057</v>
      </c>
      <c r="BJ421" s="710">
        <v>6.9964353477983057</v>
      </c>
      <c r="BK421" s="710">
        <v>6.9964353477983057</v>
      </c>
      <c r="BL421" s="710">
        <v>6.9964353477983057</v>
      </c>
      <c r="BM421" s="710">
        <v>6.9964353477983057</v>
      </c>
      <c r="BN421" s="710">
        <v>6.9964353477983057</v>
      </c>
      <c r="BO421" s="710">
        <v>0</v>
      </c>
      <c r="BP421" s="710">
        <v>0</v>
      </c>
      <c r="BQ421" s="710">
        <v>0</v>
      </c>
      <c r="BR421" s="710">
        <v>0</v>
      </c>
      <c r="BS421" s="767"/>
      <c r="BT421" s="767"/>
      <c r="BU421" s="707">
        <v>3658.2117881033241</v>
      </c>
      <c r="BV421" s="707">
        <v>3658.2117881033241</v>
      </c>
      <c r="BW421" s="707">
        <v>3658.2117881033241</v>
      </c>
      <c r="BX421" s="707">
        <v>3658.2117881033241</v>
      </c>
      <c r="BY421" s="707">
        <v>3658.2117881033241</v>
      </c>
      <c r="BZ421" s="707">
        <v>3658.2117881033241</v>
      </c>
      <c r="CA421" s="707">
        <v>3658.2117881033241</v>
      </c>
      <c r="CB421" s="707">
        <v>3658.2117881033241</v>
      </c>
      <c r="CC421" s="707">
        <v>3658.2117881033241</v>
      </c>
      <c r="CD421" s="707">
        <v>3658.2117881033241</v>
      </c>
      <c r="CE421" s="707">
        <v>3658.2117881033241</v>
      </c>
      <c r="CF421" s="707">
        <v>3658.2117881033241</v>
      </c>
      <c r="CG421" s="707">
        <v>3658.2117881033241</v>
      </c>
      <c r="CH421" s="707">
        <v>3658.2117881033241</v>
      </c>
      <c r="CI421" s="707">
        <v>3658.2117881033241</v>
      </c>
      <c r="CJ421" s="707">
        <v>3658.2117881033241</v>
      </c>
      <c r="CK421" s="707">
        <v>3658.2117881033241</v>
      </c>
      <c r="CL421" s="707">
        <v>3658.2117881033241</v>
      </c>
      <c r="CM421" s="707">
        <v>3658.2117881033241</v>
      </c>
      <c r="CN421" s="707">
        <v>3658.2117881033241</v>
      </c>
      <c r="CO421" s="707">
        <v>0</v>
      </c>
      <c r="CP421" s="707">
        <v>0</v>
      </c>
      <c r="CQ421" s="707">
        <v>0</v>
      </c>
      <c r="CR421" s="707">
        <v>0</v>
      </c>
    </row>
    <row r="422" spans="1:96" s="53" customFormat="1">
      <c r="A422" s="774" t="s">
        <v>3</v>
      </c>
      <c r="B422" s="772">
        <v>41593</v>
      </c>
      <c r="C422" s="776">
        <v>2013</v>
      </c>
      <c r="D422" s="773" t="s">
        <v>1</v>
      </c>
      <c r="E422" s="773" t="s">
        <v>12</v>
      </c>
      <c r="F422" s="773" t="s">
        <v>457</v>
      </c>
      <c r="G422" s="772" t="s">
        <v>665</v>
      </c>
      <c r="H422" s="772" t="s">
        <v>792</v>
      </c>
      <c r="I422" s="773" t="s">
        <v>5</v>
      </c>
      <c r="J422" s="773" t="s">
        <v>376</v>
      </c>
      <c r="K422" s="706">
        <v>970</v>
      </c>
      <c r="L422" s="772" t="s">
        <v>651</v>
      </c>
      <c r="M422" s="772" t="s">
        <v>860</v>
      </c>
      <c r="N422" s="771">
        <v>20</v>
      </c>
      <c r="O422" s="708" t="s">
        <v>7</v>
      </c>
      <c r="P422" s="769" t="s">
        <v>7</v>
      </c>
      <c r="Q422" s="706"/>
      <c r="R422" s="706"/>
      <c r="S422" s="706"/>
      <c r="T422" s="706"/>
      <c r="U422" s="710">
        <v>0.8</v>
      </c>
      <c r="V422" s="707">
        <v>334</v>
      </c>
      <c r="W422" s="710">
        <v>0.40022674041301454</v>
      </c>
      <c r="X422" s="707">
        <v>260.11708625852231</v>
      </c>
      <c r="Y422" s="707">
        <v>5202.3417251704459</v>
      </c>
      <c r="Z422" s="707">
        <v>3645.1155645182289</v>
      </c>
      <c r="AA422" s="707">
        <v>364.51155645182291</v>
      </c>
      <c r="AB422" s="710">
        <v>0.27303162332871439</v>
      </c>
      <c r="AC422" s="769">
        <v>0.77879367143270151</v>
      </c>
      <c r="AD422" s="769">
        <v>0.50028342551626814</v>
      </c>
      <c r="AE422" s="775"/>
      <c r="AF422" s="770"/>
      <c r="AG422" s="706"/>
      <c r="AH422" s="769">
        <v>0.70066822924801286</v>
      </c>
      <c r="AI422" s="748"/>
      <c r="AJ422" s="748"/>
      <c r="AK422" s="748"/>
      <c r="AL422" s="769">
        <v>0.68219235687990021</v>
      </c>
      <c r="AM422" s="706"/>
      <c r="AN422" s="706"/>
      <c r="AO422" s="706"/>
      <c r="AP422" s="768">
        <v>3269.6042456406371</v>
      </c>
      <c r="AQ422" s="768">
        <v>3269.6042456406371</v>
      </c>
      <c r="AR422" s="706"/>
      <c r="AS422" s="738"/>
      <c r="AT422" s="738"/>
      <c r="AU422" s="710">
        <v>0.27303162332871439</v>
      </c>
      <c r="AV422" s="710">
        <v>0.27303162332871439</v>
      </c>
      <c r="AW422" s="710">
        <v>0.27303162332871439</v>
      </c>
      <c r="AX422" s="710">
        <v>0.27303162332871439</v>
      </c>
      <c r="AY422" s="710">
        <v>0.27303162332871439</v>
      </c>
      <c r="AZ422" s="710">
        <v>0.27303162332871439</v>
      </c>
      <c r="BA422" s="710">
        <v>0.27303162332871439</v>
      </c>
      <c r="BB422" s="710">
        <v>0.27303162332871439</v>
      </c>
      <c r="BC422" s="710">
        <v>0.27303162332871439</v>
      </c>
      <c r="BD422" s="710">
        <v>0.27303162332871439</v>
      </c>
      <c r="BE422" s="710">
        <v>0.27303162332871439</v>
      </c>
      <c r="BF422" s="710">
        <v>0.27303162332871439</v>
      </c>
      <c r="BG422" s="710">
        <v>0.27303162332871439</v>
      </c>
      <c r="BH422" s="710">
        <v>0.27303162332871439</v>
      </c>
      <c r="BI422" s="710">
        <v>0.27303162332871439</v>
      </c>
      <c r="BJ422" s="710">
        <v>0.27303162332871439</v>
      </c>
      <c r="BK422" s="710">
        <v>0.27303162332871439</v>
      </c>
      <c r="BL422" s="710">
        <v>0.27303162332871439</v>
      </c>
      <c r="BM422" s="710">
        <v>0.27303162332871439</v>
      </c>
      <c r="BN422" s="710">
        <v>0.27303162332871439</v>
      </c>
      <c r="BO422" s="710">
        <v>0</v>
      </c>
      <c r="BP422" s="710">
        <v>0</v>
      </c>
      <c r="BQ422" s="710">
        <v>0</v>
      </c>
      <c r="BR422" s="710">
        <v>0</v>
      </c>
      <c r="BS422" s="767"/>
      <c r="BT422" s="767"/>
      <c r="BU422" s="707">
        <v>182.25577822591146</v>
      </c>
      <c r="BV422" s="707">
        <v>182.25577822591146</v>
      </c>
      <c r="BW422" s="707">
        <v>182.25577822591146</v>
      </c>
      <c r="BX422" s="707">
        <v>182.25577822591146</v>
      </c>
      <c r="BY422" s="707">
        <v>182.25577822591146</v>
      </c>
      <c r="BZ422" s="707">
        <v>182.25577822591146</v>
      </c>
      <c r="CA422" s="707">
        <v>182.25577822591146</v>
      </c>
      <c r="CB422" s="707">
        <v>182.25577822591146</v>
      </c>
      <c r="CC422" s="707">
        <v>182.25577822591146</v>
      </c>
      <c r="CD422" s="707">
        <v>182.25577822591146</v>
      </c>
      <c r="CE422" s="707">
        <v>182.25577822591146</v>
      </c>
      <c r="CF422" s="707">
        <v>182.25577822591146</v>
      </c>
      <c r="CG422" s="707">
        <v>182.25577822591146</v>
      </c>
      <c r="CH422" s="707">
        <v>182.25577822591146</v>
      </c>
      <c r="CI422" s="707">
        <v>182.25577822591146</v>
      </c>
      <c r="CJ422" s="707">
        <v>182.25577822591146</v>
      </c>
      <c r="CK422" s="707">
        <v>182.25577822591146</v>
      </c>
      <c r="CL422" s="707">
        <v>182.25577822591146</v>
      </c>
      <c r="CM422" s="707">
        <v>182.25577822591146</v>
      </c>
      <c r="CN422" s="707">
        <v>182.25577822591146</v>
      </c>
      <c r="CO422" s="707">
        <v>0</v>
      </c>
      <c r="CP422" s="707">
        <v>0</v>
      </c>
      <c r="CQ422" s="707">
        <v>0</v>
      </c>
      <c r="CR422" s="707">
        <v>0</v>
      </c>
    </row>
    <row r="423" spans="1:96" s="53" customFormat="1">
      <c r="A423" s="774" t="s">
        <v>3</v>
      </c>
      <c r="B423" s="772">
        <v>41593</v>
      </c>
      <c r="C423" s="776">
        <v>2013</v>
      </c>
      <c r="D423" s="773" t="s">
        <v>1</v>
      </c>
      <c r="E423" s="773" t="s">
        <v>12</v>
      </c>
      <c r="F423" s="773" t="s">
        <v>457</v>
      </c>
      <c r="G423" s="772" t="s">
        <v>665</v>
      </c>
      <c r="H423" s="772" t="s">
        <v>792</v>
      </c>
      <c r="I423" s="773" t="s">
        <v>5</v>
      </c>
      <c r="J423" s="773" t="s">
        <v>376</v>
      </c>
      <c r="K423" s="706">
        <v>971</v>
      </c>
      <c r="L423" s="772" t="s">
        <v>651</v>
      </c>
      <c r="M423" s="772" t="s">
        <v>860</v>
      </c>
      <c r="N423" s="771">
        <v>20</v>
      </c>
      <c r="O423" s="708" t="s">
        <v>7</v>
      </c>
      <c r="P423" s="769" t="s">
        <v>7</v>
      </c>
      <c r="Q423" s="706"/>
      <c r="R423" s="706"/>
      <c r="S423" s="706"/>
      <c r="T423" s="706"/>
      <c r="U423" s="710">
        <v>1.9</v>
      </c>
      <c r="V423" s="707">
        <v>785</v>
      </c>
      <c r="W423" s="710">
        <v>0.95053850848090948</v>
      </c>
      <c r="X423" s="707">
        <v>611.35303207467064</v>
      </c>
      <c r="Y423" s="707">
        <v>12227.060641493412</v>
      </c>
      <c r="Z423" s="707">
        <v>8567.1129285832612</v>
      </c>
      <c r="AA423" s="707">
        <v>856.71129285832615</v>
      </c>
      <c r="AB423" s="710">
        <v>0.6484501054056967</v>
      </c>
      <c r="AC423" s="769">
        <v>0.7787936714327014</v>
      </c>
      <c r="AD423" s="769">
        <v>0.50028342551626814</v>
      </c>
      <c r="AE423" s="775"/>
      <c r="AF423" s="770"/>
      <c r="AG423" s="706"/>
      <c r="AH423" s="769">
        <v>0.70066822924801286</v>
      </c>
      <c r="AI423" s="748"/>
      <c r="AJ423" s="748"/>
      <c r="AK423" s="748"/>
      <c r="AL423" s="769">
        <v>0.68219235687990021</v>
      </c>
      <c r="AM423" s="706"/>
      <c r="AN423" s="706"/>
      <c r="AO423" s="706"/>
      <c r="AP423" s="768">
        <v>7684.5489006823345</v>
      </c>
      <c r="AQ423" s="768">
        <v>7684.5489006823345</v>
      </c>
      <c r="AR423" s="706"/>
      <c r="AS423" s="738"/>
      <c r="AT423" s="738"/>
      <c r="AU423" s="710">
        <v>0.6484501054056967</v>
      </c>
      <c r="AV423" s="710">
        <v>0.6484501054056967</v>
      </c>
      <c r="AW423" s="710">
        <v>0.6484501054056967</v>
      </c>
      <c r="AX423" s="710">
        <v>0.6484501054056967</v>
      </c>
      <c r="AY423" s="710">
        <v>0.6484501054056967</v>
      </c>
      <c r="AZ423" s="710">
        <v>0.6484501054056967</v>
      </c>
      <c r="BA423" s="710">
        <v>0.6484501054056967</v>
      </c>
      <c r="BB423" s="710">
        <v>0.6484501054056967</v>
      </c>
      <c r="BC423" s="710">
        <v>0.6484501054056967</v>
      </c>
      <c r="BD423" s="710">
        <v>0.6484501054056967</v>
      </c>
      <c r="BE423" s="710">
        <v>0.6484501054056967</v>
      </c>
      <c r="BF423" s="710">
        <v>0.6484501054056967</v>
      </c>
      <c r="BG423" s="710">
        <v>0.6484501054056967</v>
      </c>
      <c r="BH423" s="710">
        <v>0.6484501054056967</v>
      </c>
      <c r="BI423" s="710">
        <v>0.6484501054056967</v>
      </c>
      <c r="BJ423" s="710">
        <v>0.6484501054056967</v>
      </c>
      <c r="BK423" s="710">
        <v>0.6484501054056967</v>
      </c>
      <c r="BL423" s="710">
        <v>0.6484501054056967</v>
      </c>
      <c r="BM423" s="710">
        <v>0.6484501054056967</v>
      </c>
      <c r="BN423" s="710">
        <v>0.6484501054056967</v>
      </c>
      <c r="BO423" s="710">
        <v>0</v>
      </c>
      <c r="BP423" s="710">
        <v>0</v>
      </c>
      <c r="BQ423" s="710">
        <v>0</v>
      </c>
      <c r="BR423" s="710">
        <v>0</v>
      </c>
      <c r="BS423" s="767"/>
      <c r="BT423" s="767"/>
      <c r="BU423" s="707">
        <v>428.35564642916307</v>
      </c>
      <c r="BV423" s="707">
        <v>428.35564642916307</v>
      </c>
      <c r="BW423" s="707">
        <v>428.35564642916307</v>
      </c>
      <c r="BX423" s="707">
        <v>428.35564642916307</v>
      </c>
      <c r="BY423" s="707">
        <v>428.35564642916307</v>
      </c>
      <c r="BZ423" s="707">
        <v>428.35564642916307</v>
      </c>
      <c r="CA423" s="707">
        <v>428.35564642916307</v>
      </c>
      <c r="CB423" s="707">
        <v>428.35564642916307</v>
      </c>
      <c r="CC423" s="707">
        <v>428.35564642916307</v>
      </c>
      <c r="CD423" s="707">
        <v>428.35564642916307</v>
      </c>
      <c r="CE423" s="707">
        <v>428.35564642916307</v>
      </c>
      <c r="CF423" s="707">
        <v>428.35564642916307</v>
      </c>
      <c r="CG423" s="707">
        <v>428.35564642916307</v>
      </c>
      <c r="CH423" s="707">
        <v>428.35564642916307</v>
      </c>
      <c r="CI423" s="707">
        <v>428.35564642916307</v>
      </c>
      <c r="CJ423" s="707">
        <v>428.35564642916307</v>
      </c>
      <c r="CK423" s="707">
        <v>428.35564642916307</v>
      </c>
      <c r="CL423" s="707">
        <v>428.35564642916307</v>
      </c>
      <c r="CM423" s="707">
        <v>428.35564642916307</v>
      </c>
      <c r="CN423" s="707">
        <v>428.35564642916307</v>
      </c>
      <c r="CO423" s="707">
        <v>0</v>
      </c>
      <c r="CP423" s="707">
        <v>0</v>
      </c>
      <c r="CQ423" s="707">
        <v>0</v>
      </c>
      <c r="CR423" s="707">
        <v>0</v>
      </c>
    </row>
    <row r="424" spans="1:96" s="53" customFormat="1">
      <c r="A424" s="774" t="s">
        <v>3</v>
      </c>
      <c r="B424" s="772">
        <v>41605</v>
      </c>
      <c r="C424" s="776">
        <v>2013</v>
      </c>
      <c r="D424" s="773" t="s">
        <v>1</v>
      </c>
      <c r="E424" s="773" t="s">
        <v>12</v>
      </c>
      <c r="F424" s="773" t="s">
        <v>457</v>
      </c>
      <c r="G424" s="772" t="s">
        <v>665</v>
      </c>
      <c r="H424" s="772" t="s">
        <v>792</v>
      </c>
      <c r="I424" s="773" t="s">
        <v>5</v>
      </c>
      <c r="J424" s="773" t="s">
        <v>376</v>
      </c>
      <c r="K424" s="706">
        <v>972</v>
      </c>
      <c r="L424" s="772" t="s">
        <v>651</v>
      </c>
      <c r="M424" s="772" t="s">
        <v>859</v>
      </c>
      <c r="N424" s="771">
        <v>20</v>
      </c>
      <c r="O424" s="708" t="s">
        <v>7</v>
      </c>
      <c r="P424" s="769" t="s">
        <v>7</v>
      </c>
      <c r="Q424" s="706"/>
      <c r="R424" s="706"/>
      <c r="S424" s="706"/>
      <c r="T424" s="706"/>
      <c r="U424" s="710">
        <v>0.5</v>
      </c>
      <c r="V424" s="707">
        <v>200</v>
      </c>
      <c r="W424" s="710">
        <v>0.25014171275813407</v>
      </c>
      <c r="X424" s="707">
        <v>155.75873428654029</v>
      </c>
      <c r="Y424" s="707">
        <v>3115.1746857308058</v>
      </c>
      <c r="Z424" s="707">
        <v>2182.7039308492385</v>
      </c>
      <c r="AA424" s="707">
        <v>218.27039308492385</v>
      </c>
      <c r="AB424" s="710">
        <v>0.17064476458044647</v>
      </c>
      <c r="AC424" s="769">
        <v>0.7787936714327014</v>
      </c>
      <c r="AD424" s="769">
        <v>0.50028342551626814</v>
      </c>
      <c r="AE424" s="775"/>
      <c r="AF424" s="770"/>
      <c r="AG424" s="706"/>
      <c r="AH424" s="769">
        <v>0.70066822924801286</v>
      </c>
      <c r="AI424" s="748"/>
      <c r="AJ424" s="748"/>
      <c r="AK424" s="748"/>
      <c r="AL424" s="769">
        <v>0.68219235687990021</v>
      </c>
      <c r="AM424" s="706"/>
      <c r="AN424" s="706"/>
      <c r="AO424" s="706"/>
      <c r="AP424" s="768">
        <v>755.11751326762692</v>
      </c>
      <c r="AQ424" s="768">
        <v>755.11751326762692</v>
      </c>
      <c r="AR424" s="706"/>
      <c r="AS424" s="738"/>
      <c r="AT424" s="738"/>
      <c r="AU424" s="710">
        <v>0.17064476458044647</v>
      </c>
      <c r="AV424" s="710">
        <v>0.17064476458044647</v>
      </c>
      <c r="AW424" s="710">
        <v>0.17064476458044647</v>
      </c>
      <c r="AX424" s="710">
        <v>0.17064476458044647</v>
      </c>
      <c r="AY424" s="710">
        <v>0.17064476458044647</v>
      </c>
      <c r="AZ424" s="710">
        <v>0.17064476458044647</v>
      </c>
      <c r="BA424" s="710">
        <v>0.17064476458044647</v>
      </c>
      <c r="BB424" s="710">
        <v>0.17064476458044647</v>
      </c>
      <c r="BC424" s="710">
        <v>0.17064476458044647</v>
      </c>
      <c r="BD424" s="710">
        <v>0.17064476458044647</v>
      </c>
      <c r="BE424" s="710">
        <v>0.17064476458044647</v>
      </c>
      <c r="BF424" s="710">
        <v>0.17064476458044647</v>
      </c>
      <c r="BG424" s="710">
        <v>0.17064476458044647</v>
      </c>
      <c r="BH424" s="710">
        <v>0.17064476458044647</v>
      </c>
      <c r="BI424" s="710">
        <v>0.17064476458044647</v>
      </c>
      <c r="BJ424" s="710">
        <v>0.17064476458044647</v>
      </c>
      <c r="BK424" s="710">
        <v>0.17064476458044647</v>
      </c>
      <c r="BL424" s="710">
        <v>0.17064476458044647</v>
      </c>
      <c r="BM424" s="710">
        <v>0.17064476458044647</v>
      </c>
      <c r="BN424" s="710">
        <v>0.17064476458044647</v>
      </c>
      <c r="BO424" s="710">
        <v>0</v>
      </c>
      <c r="BP424" s="710">
        <v>0</v>
      </c>
      <c r="BQ424" s="710">
        <v>0</v>
      </c>
      <c r="BR424" s="710">
        <v>0</v>
      </c>
      <c r="BS424" s="767"/>
      <c r="BT424" s="767"/>
      <c r="BU424" s="707">
        <v>109.13519654246193</v>
      </c>
      <c r="BV424" s="707">
        <v>109.13519654246193</v>
      </c>
      <c r="BW424" s="707">
        <v>109.13519654246193</v>
      </c>
      <c r="BX424" s="707">
        <v>109.13519654246193</v>
      </c>
      <c r="BY424" s="707">
        <v>109.13519654246193</v>
      </c>
      <c r="BZ424" s="707">
        <v>109.13519654246193</v>
      </c>
      <c r="CA424" s="707">
        <v>109.13519654246193</v>
      </c>
      <c r="CB424" s="707">
        <v>109.13519654246193</v>
      </c>
      <c r="CC424" s="707">
        <v>109.13519654246193</v>
      </c>
      <c r="CD424" s="707">
        <v>109.13519654246193</v>
      </c>
      <c r="CE424" s="707">
        <v>109.13519654246193</v>
      </c>
      <c r="CF424" s="707">
        <v>109.13519654246193</v>
      </c>
      <c r="CG424" s="707">
        <v>109.13519654246193</v>
      </c>
      <c r="CH424" s="707">
        <v>109.13519654246193</v>
      </c>
      <c r="CI424" s="707">
        <v>109.13519654246193</v>
      </c>
      <c r="CJ424" s="707">
        <v>109.13519654246193</v>
      </c>
      <c r="CK424" s="707">
        <v>109.13519654246193</v>
      </c>
      <c r="CL424" s="707">
        <v>109.13519654246193</v>
      </c>
      <c r="CM424" s="707">
        <v>109.13519654246193</v>
      </c>
      <c r="CN424" s="707">
        <v>109.13519654246193</v>
      </c>
      <c r="CO424" s="707">
        <v>0</v>
      </c>
      <c r="CP424" s="707">
        <v>0</v>
      </c>
      <c r="CQ424" s="707">
        <v>0</v>
      </c>
      <c r="CR424" s="707">
        <v>0</v>
      </c>
    </row>
    <row r="425" spans="1:96" s="53" customFormat="1">
      <c r="A425" s="774" t="s">
        <v>3</v>
      </c>
      <c r="B425" s="772">
        <v>41333</v>
      </c>
      <c r="C425" s="776">
        <v>2013</v>
      </c>
      <c r="D425" s="773" t="s">
        <v>1</v>
      </c>
      <c r="E425" s="773" t="s">
        <v>12</v>
      </c>
      <c r="F425" s="773" t="s">
        <v>457</v>
      </c>
      <c r="G425" s="772" t="s">
        <v>661</v>
      </c>
      <c r="H425" s="772" t="s">
        <v>377</v>
      </c>
      <c r="I425" s="773" t="s">
        <v>5</v>
      </c>
      <c r="J425" s="773" t="s">
        <v>376</v>
      </c>
      <c r="K425" s="706">
        <v>1301</v>
      </c>
      <c r="L425" s="772" t="s">
        <v>651</v>
      </c>
      <c r="M425" s="772" t="s">
        <v>798</v>
      </c>
      <c r="N425" s="771">
        <v>15.804213890656746</v>
      </c>
      <c r="O425" s="708" t="s">
        <v>7</v>
      </c>
      <c r="P425" s="769" t="s">
        <v>7</v>
      </c>
      <c r="Q425" s="706"/>
      <c r="R425" s="706"/>
      <c r="S425" s="706"/>
      <c r="T425" s="706"/>
      <c r="U425" s="710">
        <v>0</v>
      </c>
      <c r="V425" s="707">
        <v>111547</v>
      </c>
      <c r="W425" s="710">
        <v>0</v>
      </c>
      <c r="X425" s="707">
        <v>109531.99433377838</v>
      </c>
      <c r="Y425" s="707">
        <v>1731067.0663212361</v>
      </c>
      <c r="Z425" s="707">
        <v>1206522.1465288789</v>
      </c>
      <c r="AA425" s="707">
        <v>152683.60133270023</v>
      </c>
      <c r="AB425" s="710">
        <v>0</v>
      </c>
      <c r="AC425" s="769">
        <v>0.981935814802535</v>
      </c>
      <c r="AD425" s="769">
        <v>0</v>
      </c>
      <c r="AE425" s="775"/>
      <c r="AF425" s="770"/>
      <c r="AG425" s="706"/>
      <c r="AH425" s="769">
        <v>0.69698174611623231</v>
      </c>
      <c r="AI425" s="748"/>
      <c r="AJ425" s="748"/>
      <c r="AK425" s="748"/>
      <c r="AL425" s="769">
        <v>0.7062173607922958</v>
      </c>
      <c r="AM425" s="706"/>
      <c r="AN425" s="706"/>
      <c r="AO425" s="706"/>
      <c r="AP425" s="768">
        <v>95312.09</v>
      </c>
      <c r="AQ425" s="768">
        <v>95312.09</v>
      </c>
      <c r="AR425" s="706"/>
      <c r="AS425" s="738"/>
      <c r="AT425" s="738"/>
      <c r="AU425" s="710">
        <v>0</v>
      </c>
      <c r="AV425" s="710">
        <v>0</v>
      </c>
      <c r="AW425" s="710">
        <v>0</v>
      </c>
      <c r="AX425" s="710">
        <v>0</v>
      </c>
      <c r="AY425" s="710">
        <v>0</v>
      </c>
      <c r="AZ425" s="710">
        <v>0</v>
      </c>
      <c r="BA425" s="710">
        <v>0</v>
      </c>
      <c r="BB425" s="710">
        <v>0</v>
      </c>
      <c r="BC425" s="710">
        <v>0</v>
      </c>
      <c r="BD425" s="710">
        <v>0</v>
      </c>
      <c r="BE425" s="710">
        <v>0</v>
      </c>
      <c r="BF425" s="710">
        <v>0</v>
      </c>
      <c r="BG425" s="710">
        <v>0</v>
      </c>
      <c r="BH425" s="710">
        <v>0</v>
      </c>
      <c r="BI425" s="710">
        <v>0</v>
      </c>
      <c r="BJ425" s="710">
        <v>0</v>
      </c>
      <c r="BK425" s="710">
        <v>0</v>
      </c>
      <c r="BL425" s="710">
        <v>0</v>
      </c>
      <c r="BM425" s="710">
        <v>0</v>
      </c>
      <c r="BN425" s="710">
        <v>0</v>
      </c>
      <c r="BO425" s="710">
        <v>0</v>
      </c>
      <c r="BP425" s="710">
        <v>0</v>
      </c>
      <c r="BQ425" s="710">
        <v>0</v>
      </c>
      <c r="BR425" s="710">
        <v>0</v>
      </c>
      <c r="BS425" s="767"/>
      <c r="BT425" s="767"/>
      <c r="BU425" s="707">
        <v>76341.800666350115</v>
      </c>
      <c r="BV425" s="707">
        <v>76341.800666350115</v>
      </c>
      <c r="BW425" s="707">
        <v>76341.800666350115</v>
      </c>
      <c r="BX425" s="707">
        <v>76341.800666350115</v>
      </c>
      <c r="BY425" s="707">
        <v>76341.800666350115</v>
      </c>
      <c r="BZ425" s="707">
        <v>76341.800666350115</v>
      </c>
      <c r="CA425" s="707">
        <v>76341.800666350115</v>
      </c>
      <c r="CB425" s="707">
        <v>76341.800666350115</v>
      </c>
      <c r="CC425" s="707">
        <v>76341.800666350115</v>
      </c>
      <c r="CD425" s="707">
        <v>76341.800666350115</v>
      </c>
      <c r="CE425" s="707">
        <v>76341.800666350115</v>
      </c>
      <c r="CF425" s="707">
        <v>76341.800666350115</v>
      </c>
      <c r="CG425" s="707">
        <v>76341.800666350115</v>
      </c>
      <c r="CH425" s="707">
        <v>76341.800666350115</v>
      </c>
      <c r="CI425" s="707">
        <v>76341.800666350115</v>
      </c>
      <c r="CJ425" s="707">
        <v>61395.136533627156</v>
      </c>
      <c r="CK425" s="707">
        <v>0</v>
      </c>
      <c r="CL425" s="707">
        <v>0</v>
      </c>
      <c r="CM425" s="707">
        <v>0</v>
      </c>
      <c r="CN425" s="707">
        <v>0</v>
      </c>
      <c r="CO425" s="707">
        <v>0</v>
      </c>
      <c r="CP425" s="707">
        <v>0</v>
      </c>
      <c r="CQ425" s="707">
        <v>0</v>
      </c>
      <c r="CR425" s="707">
        <v>0</v>
      </c>
    </row>
    <row r="426" spans="1:96" s="53" customFormat="1">
      <c r="A426" s="774" t="s">
        <v>3</v>
      </c>
      <c r="B426" s="772">
        <v>41988</v>
      </c>
      <c r="C426" s="771">
        <v>2014</v>
      </c>
      <c r="D426" s="773" t="s">
        <v>1</v>
      </c>
      <c r="E426" s="773" t="s">
        <v>12</v>
      </c>
      <c r="F426" s="773" t="s">
        <v>457</v>
      </c>
      <c r="G426" s="772" t="s">
        <v>656</v>
      </c>
      <c r="H426" s="772" t="s">
        <v>371</v>
      </c>
      <c r="I426" s="773" t="s">
        <v>5</v>
      </c>
      <c r="J426" s="773" t="s">
        <v>376</v>
      </c>
      <c r="K426" s="706"/>
      <c r="L426" s="772" t="s">
        <v>651</v>
      </c>
      <c r="M426" s="772" t="s">
        <v>858</v>
      </c>
      <c r="N426" s="771">
        <v>20</v>
      </c>
      <c r="O426" s="708" t="s">
        <v>7</v>
      </c>
      <c r="P426" s="769" t="s">
        <v>7</v>
      </c>
      <c r="Q426" s="706"/>
      <c r="R426" s="706"/>
      <c r="S426" s="706"/>
      <c r="T426" s="706"/>
      <c r="U426" s="710">
        <v>0</v>
      </c>
      <c r="V426" s="707">
        <v>0</v>
      </c>
      <c r="W426" s="710">
        <v>0</v>
      </c>
      <c r="X426" s="707">
        <v>0</v>
      </c>
      <c r="Y426" s="707">
        <v>0</v>
      </c>
      <c r="Z426" s="707">
        <v>0</v>
      </c>
      <c r="AA426" s="707">
        <v>0</v>
      </c>
      <c r="AB426" s="710">
        <v>0</v>
      </c>
      <c r="AC426" s="769">
        <v>0</v>
      </c>
      <c r="AD426" s="769">
        <v>0</v>
      </c>
      <c r="AE426" s="707"/>
      <c r="AF426" s="770"/>
      <c r="AG426" s="706"/>
      <c r="AH426" s="769">
        <v>0.7337677827498762</v>
      </c>
      <c r="AI426" s="748"/>
      <c r="AJ426" s="748"/>
      <c r="AK426" s="748"/>
      <c r="AL426" s="769">
        <v>0.7231266820766411</v>
      </c>
      <c r="AM426" s="706"/>
      <c r="AN426" s="706"/>
      <c r="AO426" s="706"/>
      <c r="AP426" s="768">
        <v>0</v>
      </c>
      <c r="AQ426" s="768">
        <v>0</v>
      </c>
      <c r="AR426" s="706"/>
      <c r="AS426" s="738"/>
      <c r="AT426" s="738"/>
      <c r="AU426" s="710">
        <v>0</v>
      </c>
      <c r="AV426" s="710">
        <v>0</v>
      </c>
      <c r="AW426" s="710">
        <v>0</v>
      </c>
      <c r="AX426" s="710">
        <v>0</v>
      </c>
      <c r="AY426" s="710">
        <v>0</v>
      </c>
      <c r="AZ426" s="710">
        <v>0</v>
      </c>
      <c r="BA426" s="710">
        <v>0</v>
      </c>
      <c r="BB426" s="710">
        <v>0</v>
      </c>
      <c r="BC426" s="710">
        <v>0</v>
      </c>
      <c r="BD426" s="710">
        <v>0</v>
      </c>
      <c r="BE426" s="710">
        <v>0</v>
      </c>
      <c r="BF426" s="710">
        <v>0</v>
      </c>
      <c r="BG426" s="710">
        <v>0</v>
      </c>
      <c r="BH426" s="710">
        <v>0</v>
      </c>
      <c r="BI426" s="710">
        <v>0</v>
      </c>
      <c r="BJ426" s="710">
        <v>0</v>
      </c>
      <c r="BK426" s="710">
        <v>0</v>
      </c>
      <c r="BL426" s="710">
        <v>0</v>
      </c>
      <c r="BM426" s="710">
        <v>0</v>
      </c>
      <c r="BN426" s="710">
        <v>0</v>
      </c>
      <c r="BO426" s="710">
        <v>0</v>
      </c>
      <c r="BP426" s="710">
        <v>0</v>
      </c>
      <c r="BQ426" s="710">
        <v>0</v>
      </c>
      <c r="BR426" s="710">
        <v>0</v>
      </c>
      <c r="BS426" s="767"/>
      <c r="BT426" s="767"/>
      <c r="BU426" s="707">
        <v>0</v>
      </c>
      <c r="BV426" s="707">
        <v>0</v>
      </c>
      <c r="BW426" s="707">
        <v>0</v>
      </c>
      <c r="BX426" s="707">
        <v>0</v>
      </c>
      <c r="BY426" s="707">
        <v>0</v>
      </c>
      <c r="BZ426" s="707">
        <v>0</v>
      </c>
      <c r="CA426" s="707">
        <v>0</v>
      </c>
      <c r="CB426" s="707">
        <v>0</v>
      </c>
      <c r="CC426" s="707">
        <v>0</v>
      </c>
      <c r="CD426" s="707">
        <v>0</v>
      </c>
      <c r="CE426" s="707">
        <v>0</v>
      </c>
      <c r="CF426" s="707">
        <v>0</v>
      </c>
      <c r="CG426" s="707">
        <v>0</v>
      </c>
      <c r="CH426" s="707">
        <v>0</v>
      </c>
      <c r="CI426" s="707">
        <v>0</v>
      </c>
      <c r="CJ426" s="707">
        <v>0</v>
      </c>
      <c r="CK426" s="707">
        <v>0</v>
      </c>
      <c r="CL426" s="707">
        <v>0</v>
      </c>
      <c r="CM426" s="707">
        <v>0</v>
      </c>
      <c r="CN426" s="707">
        <v>0</v>
      </c>
      <c r="CO426" s="707">
        <v>0</v>
      </c>
      <c r="CP426" s="707">
        <v>0</v>
      </c>
      <c r="CQ426" s="707">
        <v>0</v>
      </c>
      <c r="CR426" s="707">
        <v>0</v>
      </c>
    </row>
    <row r="427" spans="1:96" s="53" customFormat="1">
      <c r="A427" s="774" t="s">
        <v>3</v>
      </c>
      <c r="B427" s="772">
        <v>41988</v>
      </c>
      <c r="C427" s="771">
        <v>2014</v>
      </c>
      <c r="D427" s="773" t="s">
        <v>1</v>
      </c>
      <c r="E427" s="773" t="s">
        <v>12</v>
      </c>
      <c r="F427" s="773" t="s">
        <v>457</v>
      </c>
      <c r="G427" s="772" t="s">
        <v>656</v>
      </c>
      <c r="H427" s="772" t="s">
        <v>371</v>
      </c>
      <c r="I427" s="773" t="s">
        <v>5</v>
      </c>
      <c r="J427" s="773" t="s">
        <v>376</v>
      </c>
      <c r="K427" s="706"/>
      <c r="L427" s="772" t="s">
        <v>651</v>
      </c>
      <c r="M427" s="772" t="s">
        <v>858</v>
      </c>
      <c r="N427" s="771">
        <v>10</v>
      </c>
      <c r="O427" s="708" t="s">
        <v>7</v>
      </c>
      <c r="P427" s="769" t="s">
        <v>7</v>
      </c>
      <c r="Q427" s="706"/>
      <c r="R427" s="706"/>
      <c r="S427" s="706"/>
      <c r="T427" s="706"/>
      <c r="U427" s="710">
        <v>0</v>
      </c>
      <c r="V427" s="707">
        <v>0</v>
      </c>
      <c r="W427" s="710">
        <v>0</v>
      </c>
      <c r="X427" s="707">
        <v>0</v>
      </c>
      <c r="Y427" s="707">
        <v>0</v>
      </c>
      <c r="Z427" s="707">
        <v>0</v>
      </c>
      <c r="AA427" s="707">
        <v>0</v>
      </c>
      <c r="AB427" s="710">
        <v>0</v>
      </c>
      <c r="AC427" s="769">
        <v>0</v>
      </c>
      <c r="AD427" s="769">
        <v>0</v>
      </c>
      <c r="AE427" s="707"/>
      <c r="AF427" s="770"/>
      <c r="AG427" s="706"/>
      <c r="AH427" s="769">
        <v>0.7337677827498762</v>
      </c>
      <c r="AI427" s="748"/>
      <c r="AJ427" s="748"/>
      <c r="AK427" s="748"/>
      <c r="AL427" s="769">
        <v>0.7231266820766411</v>
      </c>
      <c r="AM427" s="706"/>
      <c r="AN427" s="706"/>
      <c r="AO427" s="706"/>
      <c r="AP427" s="768">
        <v>0</v>
      </c>
      <c r="AQ427" s="768">
        <v>0</v>
      </c>
      <c r="AR427" s="706"/>
      <c r="AS427" s="738"/>
      <c r="AT427" s="738"/>
      <c r="AU427" s="710">
        <v>0</v>
      </c>
      <c r="AV427" s="710">
        <v>0</v>
      </c>
      <c r="AW427" s="710">
        <v>0</v>
      </c>
      <c r="AX427" s="710">
        <v>0</v>
      </c>
      <c r="AY427" s="710">
        <v>0</v>
      </c>
      <c r="AZ427" s="710">
        <v>0</v>
      </c>
      <c r="BA427" s="710">
        <v>0</v>
      </c>
      <c r="BB427" s="710">
        <v>0</v>
      </c>
      <c r="BC427" s="710">
        <v>0</v>
      </c>
      <c r="BD427" s="710">
        <v>0</v>
      </c>
      <c r="BE427" s="710">
        <v>0</v>
      </c>
      <c r="BF427" s="710">
        <v>0</v>
      </c>
      <c r="BG427" s="710">
        <v>0</v>
      </c>
      <c r="BH427" s="710">
        <v>0</v>
      </c>
      <c r="BI427" s="710">
        <v>0</v>
      </c>
      <c r="BJ427" s="710">
        <v>0</v>
      </c>
      <c r="BK427" s="710">
        <v>0</v>
      </c>
      <c r="BL427" s="710">
        <v>0</v>
      </c>
      <c r="BM427" s="710">
        <v>0</v>
      </c>
      <c r="BN427" s="710">
        <v>0</v>
      </c>
      <c r="BO427" s="710">
        <v>0</v>
      </c>
      <c r="BP427" s="710">
        <v>0</v>
      </c>
      <c r="BQ427" s="710">
        <v>0</v>
      </c>
      <c r="BR427" s="710">
        <v>0</v>
      </c>
      <c r="BS427" s="767"/>
      <c r="BT427" s="767"/>
      <c r="BU427" s="707">
        <v>0</v>
      </c>
      <c r="BV427" s="707">
        <v>0</v>
      </c>
      <c r="BW427" s="707">
        <v>0</v>
      </c>
      <c r="BX427" s="707">
        <v>0</v>
      </c>
      <c r="BY427" s="707">
        <v>0</v>
      </c>
      <c r="BZ427" s="707">
        <v>0</v>
      </c>
      <c r="CA427" s="707">
        <v>0</v>
      </c>
      <c r="CB427" s="707">
        <v>0</v>
      </c>
      <c r="CC427" s="707">
        <v>0</v>
      </c>
      <c r="CD427" s="707">
        <v>0</v>
      </c>
      <c r="CE427" s="707">
        <v>0</v>
      </c>
      <c r="CF427" s="707">
        <v>0</v>
      </c>
      <c r="CG427" s="707">
        <v>0</v>
      </c>
      <c r="CH427" s="707">
        <v>0</v>
      </c>
      <c r="CI427" s="707">
        <v>0</v>
      </c>
      <c r="CJ427" s="707">
        <v>0</v>
      </c>
      <c r="CK427" s="707">
        <v>0</v>
      </c>
      <c r="CL427" s="707">
        <v>0</v>
      </c>
      <c r="CM427" s="707">
        <v>0</v>
      </c>
      <c r="CN427" s="707">
        <v>0</v>
      </c>
      <c r="CO427" s="707">
        <v>0</v>
      </c>
      <c r="CP427" s="707">
        <v>0</v>
      </c>
      <c r="CQ427" s="707">
        <v>0</v>
      </c>
      <c r="CR427" s="707">
        <v>0</v>
      </c>
    </row>
    <row r="428" spans="1:96" s="53" customFormat="1">
      <c r="A428" s="774" t="s">
        <v>3</v>
      </c>
      <c r="B428" s="772">
        <v>41988</v>
      </c>
      <c r="C428" s="771">
        <v>2014</v>
      </c>
      <c r="D428" s="773" t="s">
        <v>1</v>
      </c>
      <c r="E428" s="773" t="s">
        <v>12</v>
      </c>
      <c r="F428" s="773" t="s">
        <v>457</v>
      </c>
      <c r="G428" s="772" t="s">
        <v>656</v>
      </c>
      <c r="H428" s="772" t="s">
        <v>371</v>
      </c>
      <c r="I428" s="773" t="s">
        <v>5</v>
      </c>
      <c r="J428" s="773" t="s">
        <v>376</v>
      </c>
      <c r="K428" s="706"/>
      <c r="L428" s="772" t="s">
        <v>651</v>
      </c>
      <c r="M428" s="772" t="s">
        <v>858</v>
      </c>
      <c r="N428" s="771">
        <v>3</v>
      </c>
      <c r="O428" s="708" t="s">
        <v>7</v>
      </c>
      <c r="P428" s="769" t="s">
        <v>7</v>
      </c>
      <c r="Q428" s="706"/>
      <c r="R428" s="706"/>
      <c r="S428" s="706"/>
      <c r="T428" s="706"/>
      <c r="U428" s="710">
        <v>0</v>
      </c>
      <c r="V428" s="707">
        <v>0</v>
      </c>
      <c r="W428" s="710">
        <v>0</v>
      </c>
      <c r="X428" s="707">
        <v>0</v>
      </c>
      <c r="Y428" s="707">
        <v>0</v>
      </c>
      <c r="Z428" s="707">
        <v>0</v>
      </c>
      <c r="AA428" s="707">
        <v>0</v>
      </c>
      <c r="AB428" s="710">
        <v>0</v>
      </c>
      <c r="AC428" s="769">
        <v>0</v>
      </c>
      <c r="AD428" s="769">
        <v>0</v>
      </c>
      <c r="AE428" s="707"/>
      <c r="AF428" s="770"/>
      <c r="AG428" s="706"/>
      <c r="AH428" s="769">
        <v>0.7337677827498762</v>
      </c>
      <c r="AI428" s="748"/>
      <c r="AJ428" s="748"/>
      <c r="AK428" s="748"/>
      <c r="AL428" s="769">
        <v>0.7231266820766411</v>
      </c>
      <c r="AM428" s="706"/>
      <c r="AN428" s="706"/>
      <c r="AO428" s="706"/>
      <c r="AP428" s="768">
        <v>0</v>
      </c>
      <c r="AQ428" s="768">
        <v>0</v>
      </c>
      <c r="AR428" s="706"/>
      <c r="AS428" s="738"/>
      <c r="AT428" s="738"/>
      <c r="AU428" s="710">
        <v>0</v>
      </c>
      <c r="AV428" s="710">
        <v>0</v>
      </c>
      <c r="AW428" s="710">
        <v>0</v>
      </c>
      <c r="AX428" s="710">
        <v>0</v>
      </c>
      <c r="AY428" s="710">
        <v>0</v>
      </c>
      <c r="AZ428" s="710">
        <v>0</v>
      </c>
      <c r="BA428" s="710">
        <v>0</v>
      </c>
      <c r="BB428" s="710">
        <v>0</v>
      </c>
      <c r="BC428" s="710">
        <v>0</v>
      </c>
      <c r="BD428" s="710">
        <v>0</v>
      </c>
      <c r="BE428" s="710">
        <v>0</v>
      </c>
      <c r="BF428" s="710">
        <v>0</v>
      </c>
      <c r="BG428" s="710">
        <v>0</v>
      </c>
      <c r="BH428" s="710">
        <v>0</v>
      </c>
      <c r="BI428" s="710">
        <v>0</v>
      </c>
      <c r="BJ428" s="710">
        <v>0</v>
      </c>
      <c r="BK428" s="710">
        <v>0</v>
      </c>
      <c r="BL428" s="710">
        <v>0</v>
      </c>
      <c r="BM428" s="710">
        <v>0</v>
      </c>
      <c r="BN428" s="710">
        <v>0</v>
      </c>
      <c r="BO428" s="710">
        <v>0</v>
      </c>
      <c r="BP428" s="710">
        <v>0</v>
      </c>
      <c r="BQ428" s="710">
        <v>0</v>
      </c>
      <c r="BR428" s="710">
        <v>0</v>
      </c>
      <c r="BS428" s="767"/>
      <c r="BT428" s="767"/>
      <c r="BU428" s="707">
        <v>0</v>
      </c>
      <c r="BV428" s="707">
        <v>0</v>
      </c>
      <c r="BW428" s="707">
        <v>0</v>
      </c>
      <c r="BX428" s="707">
        <v>0</v>
      </c>
      <c r="BY428" s="707">
        <v>0</v>
      </c>
      <c r="BZ428" s="707">
        <v>0</v>
      </c>
      <c r="CA428" s="707">
        <v>0</v>
      </c>
      <c r="CB428" s="707">
        <v>0</v>
      </c>
      <c r="CC428" s="707">
        <v>0</v>
      </c>
      <c r="CD428" s="707">
        <v>0</v>
      </c>
      <c r="CE428" s="707">
        <v>0</v>
      </c>
      <c r="CF428" s="707">
        <v>0</v>
      </c>
      <c r="CG428" s="707">
        <v>0</v>
      </c>
      <c r="CH428" s="707">
        <v>0</v>
      </c>
      <c r="CI428" s="707">
        <v>0</v>
      </c>
      <c r="CJ428" s="707">
        <v>0</v>
      </c>
      <c r="CK428" s="707">
        <v>0</v>
      </c>
      <c r="CL428" s="707">
        <v>0</v>
      </c>
      <c r="CM428" s="707">
        <v>0</v>
      </c>
      <c r="CN428" s="707">
        <v>0</v>
      </c>
      <c r="CO428" s="707">
        <v>0</v>
      </c>
      <c r="CP428" s="707">
        <v>0</v>
      </c>
      <c r="CQ428" s="707">
        <v>0</v>
      </c>
      <c r="CR428" s="707">
        <v>0</v>
      </c>
    </row>
    <row r="429" spans="1:96" s="53" customFormat="1">
      <c r="A429" s="774" t="s">
        <v>3</v>
      </c>
      <c r="B429" s="772">
        <v>41988</v>
      </c>
      <c r="C429" s="771">
        <v>2014</v>
      </c>
      <c r="D429" s="773" t="s">
        <v>1</v>
      </c>
      <c r="E429" s="773" t="s">
        <v>12</v>
      </c>
      <c r="F429" s="773" t="s">
        <v>457</v>
      </c>
      <c r="G429" s="772" t="s">
        <v>656</v>
      </c>
      <c r="H429" s="772" t="s">
        <v>371</v>
      </c>
      <c r="I429" s="773" t="s">
        <v>5</v>
      </c>
      <c r="J429" s="773" t="s">
        <v>376</v>
      </c>
      <c r="K429" s="706"/>
      <c r="L429" s="772" t="s">
        <v>651</v>
      </c>
      <c r="M429" s="772" t="s">
        <v>858</v>
      </c>
      <c r="N429" s="771">
        <v>3</v>
      </c>
      <c r="O429" s="708" t="s">
        <v>7</v>
      </c>
      <c r="P429" s="769" t="s">
        <v>7</v>
      </c>
      <c r="Q429" s="706"/>
      <c r="R429" s="706"/>
      <c r="S429" s="706"/>
      <c r="T429" s="706"/>
      <c r="U429" s="710">
        <v>0</v>
      </c>
      <c r="V429" s="707">
        <v>0</v>
      </c>
      <c r="W429" s="710">
        <v>0</v>
      </c>
      <c r="X429" s="707">
        <v>0</v>
      </c>
      <c r="Y429" s="707">
        <v>0</v>
      </c>
      <c r="Z429" s="707">
        <v>0</v>
      </c>
      <c r="AA429" s="707">
        <v>0</v>
      </c>
      <c r="AB429" s="710">
        <v>0</v>
      </c>
      <c r="AC429" s="769">
        <v>0</v>
      </c>
      <c r="AD429" s="769">
        <v>0</v>
      </c>
      <c r="AE429" s="707"/>
      <c r="AF429" s="770"/>
      <c r="AG429" s="706"/>
      <c r="AH429" s="769">
        <v>0.7337677827498762</v>
      </c>
      <c r="AI429" s="748"/>
      <c r="AJ429" s="748"/>
      <c r="AK429" s="748"/>
      <c r="AL429" s="769">
        <v>0.7231266820766411</v>
      </c>
      <c r="AM429" s="706"/>
      <c r="AN429" s="706"/>
      <c r="AO429" s="706"/>
      <c r="AP429" s="768">
        <v>0</v>
      </c>
      <c r="AQ429" s="768">
        <v>0</v>
      </c>
      <c r="AR429" s="706"/>
      <c r="AS429" s="738"/>
      <c r="AT429" s="738"/>
      <c r="AU429" s="710">
        <v>0</v>
      </c>
      <c r="AV429" s="710">
        <v>0</v>
      </c>
      <c r="AW429" s="710">
        <v>0</v>
      </c>
      <c r="AX429" s="710">
        <v>0</v>
      </c>
      <c r="AY429" s="710">
        <v>0</v>
      </c>
      <c r="AZ429" s="710">
        <v>0</v>
      </c>
      <c r="BA429" s="710">
        <v>0</v>
      </c>
      <c r="BB429" s="710">
        <v>0</v>
      </c>
      <c r="BC429" s="710">
        <v>0</v>
      </c>
      <c r="BD429" s="710">
        <v>0</v>
      </c>
      <c r="BE429" s="710">
        <v>0</v>
      </c>
      <c r="BF429" s="710">
        <v>0</v>
      </c>
      <c r="BG429" s="710">
        <v>0</v>
      </c>
      <c r="BH429" s="710">
        <v>0</v>
      </c>
      <c r="BI429" s="710">
        <v>0</v>
      </c>
      <c r="BJ429" s="710">
        <v>0</v>
      </c>
      <c r="BK429" s="710">
        <v>0</v>
      </c>
      <c r="BL429" s="710">
        <v>0</v>
      </c>
      <c r="BM429" s="710">
        <v>0</v>
      </c>
      <c r="BN429" s="710">
        <v>0</v>
      </c>
      <c r="BO429" s="710">
        <v>0</v>
      </c>
      <c r="BP429" s="710">
        <v>0</v>
      </c>
      <c r="BQ429" s="710">
        <v>0</v>
      </c>
      <c r="BR429" s="710">
        <v>0</v>
      </c>
      <c r="BS429" s="767"/>
      <c r="BT429" s="767"/>
      <c r="BU429" s="707">
        <v>0</v>
      </c>
      <c r="BV429" s="707">
        <v>0</v>
      </c>
      <c r="BW429" s="707">
        <v>0</v>
      </c>
      <c r="BX429" s="707">
        <v>0</v>
      </c>
      <c r="BY429" s="707">
        <v>0</v>
      </c>
      <c r="BZ429" s="707">
        <v>0</v>
      </c>
      <c r="CA429" s="707">
        <v>0</v>
      </c>
      <c r="CB429" s="707">
        <v>0</v>
      </c>
      <c r="CC429" s="707">
        <v>0</v>
      </c>
      <c r="CD429" s="707">
        <v>0</v>
      </c>
      <c r="CE429" s="707">
        <v>0</v>
      </c>
      <c r="CF429" s="707">
        <v>0</v>
      </c>
      <c r="CG429" s="707">
        <v>0</v>
      </c>
      <c r="CH429" s="707">
        <v>0</v>
      </c>
      <c r="CI429" s="707">
        <v>0</v>
      </c>
      <c r="CJ429" s="707">
        <v>0</v>
      </c>
      <c r="CK429" s="707">
        <v>0</v>
      </c>
      <c r="CL429" s="707">
        <v>0</v>
      </c>
      <c r="CM429" s="707">
        <v>0</v>
      </c>
      <c r="CN429" s="707">
        <v>0</v>
      </c>
      <c r="CO429" s="707">
        <v>0</v>
      </c>
      <c r="CP429" s="707">
        <v>0</v>
      </c>
      <c r="CQ429" s="707">
        <v>0</v>
      </c>
      <c r="CR429" s="707">
        <v>0</v>
      </c>
    </row>
    <row r="430" spans="1:96" s="53" customFormat="1">
      <c r="A430" s="774" t="s">
        <v>3</v>
      </c>
      <c r="B430" s="772">
        <v>41988</v>
      </c>
      <c r="C430" s="771">
        <v>2014</v>
      </c>
      <c r="D430" s="773" t="s">
        <v>1</v>
      </c>
      <c r="E430" s="773" t="s">
        <v>12</v>
      </c>
      <c r="F430" s="773" t="s">
        <v>457</v>
      </c>
      <c r="G430" s="772" t="s">
        <v>656</v>
      </c>
      <c r="H430" s="772" t="s">
        <v>371</v>
      </c>
      <c r="I430" s="773" t="s">
        <v>5</v>
      </c>
      <c r="J430" s="773" t="s">
        <v>376</v>
      </c>
      <c r="K430" s="706"/>
      <c r="L430" s="772" t="s">
        <v>651</v>
      </c>
      <c r="M430" s="772" t="s">
        <v>858</v>
      </c>
      <c r="N430" s="771">
        <v>12</v>
      </c>
      <c r="O430" s="708">
        <v>3</v>
      </c>
      <c r="P430" s="769">
        <v>0</v>
      </c>
      <c r="Q430" s="706"/>
      <c r="R430" s="706"/>
      <c r="S430" s="706"/>
      <c r="T430" s="706"/>
      <c r="U430" s="710">
        <v>0</v>
      </c>
      <c r="V430" s="707">
        <v>0</v>
      </c>
      <c r="W430" s="710">
        <v>0</v>
      </c>
      <c r="X430" s="707">
        <v>0</v>
      </c>
      <c r="Y430" s="707">
        <v>0</v>
      </c>
      <c r="Z430" s="707">
        <v>0</v>
      </c>
      <c r="AA430" s="707">
        <v>0</v>
      </c>
      <c r="AB430" s="710">
        <v>0</v>
      </c>
      <c r="AC430" s="769">
        <v>0</v>
      </c>
      <c r="AD430" s="769">
        <v>0</v>
      </c>
      <c r="AE430" s="707"/>
      <c r="AF430" s="770"/>
      <c r="AG430" s="706"/>
      <c r="AH430" s="769">
        <v>0.7337677827498762</v>
      </c>
      <c r="AI430" s="748"/>
      <c r="AJ430" s="748"/>
      <c r="AK430" s="748"/>
      <c r="AL430" s="769">
        <v>0.7231266820766411</v>
      </c>
      <c r="AM430" s="706"/>
      <c r="AN430" s="706"/>
      <c r="AO430" s="706"/>
      <c r="AP430" s="768">
        <v>0</v>
      </c>
      <c r="AQ430" s="768">
        <v>0</v>
      </c>
      <c r="AR430" s="706"/>
      <c r="AS430" s="738"/>
      <c r="AT430" s="738"/>
      <c r="AU430" s="710">
        <v>0</v>
      </c>
      <c r="AV430" s="710">
        <v>0</v>
      </c>
      <c r="AW430" s="710">
        <v>0</v>
      </c>
      <c r="AX430" s="710">
        <v>0</v>
      </c>
      <c r="AY430" s="710">
        <v>0</v>
      </c>
      <c r="AZ430" s="710">
        <v>0</v>
      </c>
      <c r="BA430" s="710">
        <v>0</v>
      </c>
      <c r="BB430" s="710">
        <v>0</v>
      </c>
      <c r="BC430" s="710">
        <v>0</v>
      </c>
      <c r="BD430" s="710">
        <v>0</v>
      </c>
      <c r="BE430" s="710">
        <v>0</v>
      </c>
      <c r="BF430" s="710">
        <v>0</v>
      </c>
      <c r="BG430" s="710">
        <v>0</v>
      </c>
      <c r="BH430" s="710">
        <v>0</v>
      </c>
      <c r="BI430" s="710">
        <v>0</v>
      </c>
      <c r="BJ430" s="710">
        <v>0</v>
      </c>
      <c r="BK430" s="710">
        <v>0</v>
      </c>
      <c r="BL430" s="710">
        <v>0</v>
      </c>
      <c r="BM430" s="710">
        <v>0</v>
      </c>
      <c r="BN430" s="710">
        <v>0</v>
      </c>
      <c r="BO430" s="710">
        <v>0</v>
      </c>
      <c r="BP430" s="710">
        <v>0</v>
      </c>
      <c r="BQ430" s="710">
        <v>0</v>
      </c>
      <c r="BR430" s="710">
        <v>0</v>
      </c>
      <c r="BS430" s="767"/>
      <c r="BT430" s="767"/>
      <c r="BU430" s="707">
        <v>0</v>
      </c>
      <c r="BV430" s="707">
        <v>0</v>
      </c>
      <c r="BW430" s="707">
        <v>0</v>
      </c>
      <c r="BX430" s="707">
        <v>0</v>
      </c>
      <c r="BY430" s="707">
        <v>0</v>
      </c>
      <c r="BZ430" s="707">
        <v>0</v>
      </c>
      <c r="CA430" s="707">
        <v>0</v>
      </c>
      <c r="CB430" s="707">
        <v>0</v>
      </c>
      <c r="CC430" s="707">
        <v>0</v>
      </c>
      <c r="CD430" s="707">
        <v>0</v>
      </c>
      <c r="CE430" s="707">
        <v>0</v>
      </c>
      <c r="CF430" s="707">
        <v>0</v>
      </c>
      <c r="CG430" s="707">
        <v>0</v>
      </c>
      <c r="CH430" s="707">
        <v>0</v>
      </c>
      <c r="CI430" s="707">
        <v>0</v>
      </c>
      <c r="CJ430" s="707">
        <v>0</v>
      </c>
      <c r="CK430" s="707">
        <v>0</v>
      </c>
      <c r="CL430" s="707">
        <v>0</v>
      </c>
      <c r="CM430" s="707">
        <v>0</v>
      </c>
      <c r="CN430" s="707">
        <v>0</v>
      </c>
      <c r="CO430" s="707">
        <v>0</v>
      </c>
      <c r="CP430" s="707">
        <v>0</v>
      </c>
      <c r="CQ430" s="707">
        <v>0</v>
      </c>
      <c r="CR430" s="707">
        <v>0</v>
      </c>
    </row>
    <row r="431" spans="1:96" s="53" customFormat="1">
      <c r="A431" s="774" t="s">
        <v>3</v>
      </c>
      <c r="B431" s="772">
        <v>41988</v>
      </c>
      <c r="C431" s="771">
        <v>2014</v>
      </c>
      <c r="D431" s="773" t="s">
        <v>1</v>
      </c>
      <c r="E431" s="773" t="s">
        <v>12</v>
      </c>
      <c r="F431" s="773" t="s">
        <v>457</v>
      </c>
      <c r="G431" s="772" t="s">
        <v>656</v>
      </c>
      <c r="H431" s="772" t="s">
        <v>371</v>
      </c>
      <c r="I431" s="773" t="s">
        <v>5</v>
      </c>
      <c r="J431" s="773" t="s">
        <v>376</v>
      </c>
      <c r="K431" s="706"/>
      <c r="L431" s="772" t="s">
        <v>651</v>
      </c>
      <c r="M431" s="772" t="s">
        <v>858</v>
      </c>
      <c r="N431" s="771">
        <v>12</v>
      </c>
      <c r="O431" s="708">
        <v>3</v>
      </c>
      <c r="P431" s="769">
        <v>0.22727272727272718</v>
      </c>
      <c r="Q431" s="706"/>
      <c r="R431" s="706"/>
      <c r="S431" s="706"/>
      <c r="T431" s="706"/>
      <c r="U431" s="710">
        <v>0</v>
      </c>
      <c r="V431" s="707">
        <v>0</v>
      </c>
      <c r="W431" s="710">
        <v>0</v>
      </c>
      <c r="X431" s="707">
        <v>0</v>
      </c>
      <c r="Y431" s="707">
        <v>0</v>
      </c>
      <c r="Z431" s="707">
        <v>0</v>
      </c>
      <c r="AA431" s="707">
        <v>0</v>
      </c>
      <c r="AB431" s="710">
        <v>0</v>
      </c>
      <c r="AC431" s="769">
        <v>0</v>
      </c>
      <c r="AD431" s="769">
        <v>0</v>
      </c>
      <c r="AE431" s="707"/>
      <c r="AF431" s="770"/>
      <c r="AG431" s="706"/>
      <c r="AH431" s="769">
        <v>0.7337677827498762</v>
      </c>
      <c r="AI431" s="748"/>
      <c r="AJ431" s="748"/>
      <c r="AK431" s="748"/>
      <c r="AL431" s="769">
        <v>0.7231266820766411</v>
      </c>
      <c r="AM431" s="706"/>
      <c r="AN431" s="706"/>
      <c r="AO431" s="706"/>
      <c r="AP431" s="768">
        <v>0</v>
      </c>
      <c r="AQ431" s="768">
        <v>0</v>
      </c>
      <c r="AR431" s="706"/>
      <c r="AS431" s="738"/>
      <c r="AT431" s="738"/>
      <c r="AU431" s="710">
        <v>0</v>
      </c>
      <c r="AV431" s="710">
        <v>0</v>
      </c>
      <c r="AW431" s="710">
        <v>0</v>
      </c>
      <c r="AX431" s="710">
        <v>0</v>
      </c>
      <c r="AY431" s="710">
        <v>0</v>
      </c>
      <c r="AZ431" s="710">
        <v>0</v>
      </c>
      <c r="BA431" s="710">
        <v>0</v>
      </c>
      <c r="BB431" s="710">
        <v>0</v>
      </c>
      <c r="BC431" s="710">
        <v>0</v>
      </c>
      <c r="BD431" s="710">
        <v>0</v>
      </c>
      <c r="BE431" s="710">
        <v>0</v>
      </c>
      <c r="BF431" s="710">
        <v>0</v>
      </c>
      <c r="BG431" s="710">
        <v>0</v>
      </c>
      <c r="BH431" s="710">
        <v>0</v>
      </c>
      <c r="BI431" s="710">
        <v>0</v>
      </c>
      <c r="BJ431" s="710">
        <v>0</v>
      </c>
      <c r="BK431" s="710">
        <v>0</v>
      </c>
      <c r="BL431" s="710">
        <v>0</v>
      </c>
      <c r="BM431" s="710">
        <v>0</v>
      </c>
      <c r="BN431" s="710">
        <v>0</v>
      </c>
      <c r="BO431" s="710">
        <v>0</v>
      </c>
      <c r="BP431" s="710">
        <v>0</v>
      </c>
      <c r="BQ431" s="710">
        <v>0</v>
      </c>
      <c r="BR431" s="710">
        <v>0</v>
      </c>
      <c r="BS431" s="767"/>
      <c r="BT431" s="767"/>
      <c r="BU431" s="707">
        <v>0</v>
      </c>
      <c r="BV431" s="707">
        <v>0</v>
      </c>
      <c r="BW431" s="707">
        <v>0</v>
      </c>
      <c r="BX431" s="707">
        <v>0</v>
      </c>
      <c r="BY431" s="707">
        <v>0</v>
      </c>
      <c r="BZ431" s="707">
        <v>0</v>
      </c>
      <c r="CA431" s="707">
        <v>0</v>
      </c>
      <c r="CB431" s="707">
        <v>0</v>
      </c>
      <c r="CC431" s="707">
        <v>0</v>
      </c>
      <c r="CD431" s="707">
        <v>0</v>
      </c>
      <c r="CE431" s="707">
        <v>0</v>
      </c>
      <c r="CF431" s="707">
        <v>0</v>
      </c>
      <c r="CG431" s="707">
        <v>0</v>
      </c>
      <c r="CH431" s="707">
        <v>0</v>
      </c>
      <c r="CI431" s="707">
        <v>0</v>
      </c>
      <c r="CJ431" s="707">
        <v>0</v>
      </c>
      <c r="CK431" s="707">
        <v>0</v>
      </c>
      <c r="CL431" s="707">
        <v>0</v>
      </c>
      <c r="CM431" s="707">
        <v>0</v>
      </c>
      <c r="CN431" s="707">
        <v>0</v>
      </c>
      <c r="CO431" s="707">
        <v>0</v>
      </c>
      <c r="CP431" s="707">
        <v>0</v>
      </c>
      <c r="CQ431" s="707">
        <v>0</v>
      </c>
      <c r="CR431" s="707">
        <v>0</v>
      </c>
    </row>
    <row r="432" spans="1:96" s="53" customFormat="1">
      <c r="A432" s="774" t="s">
        <v>3</v>
      </c>
      <c r="B432" s="772">
        <v>41988</v>
      </c>
      <c r="C432" s="771">
        <v>2014</v>
      </c>
      <c r="D432" s="773" t="s">
        <v>1</v>
      </c>
      <c r="E432" s="773" t="s">
        <v>12</v>
      </c>
      <c r="F432" s="773" t="s">
        <v>457</v>
      </c>
      <c r="G432" s="772" t="s">
        <v>656</v>
      </c>
      <c r="H432" s="772" t="s">
        <v>371</v>
      </c>
      <c r="I432" s="773" t="s">
        <v>5</v>
      </c>
      <c r="J432" s="773" t="s">
        <v>376</v>
      </c>
      <c r="K432" s="706"/>
      <c r="L432" s="772" t="s">
        <v>651</v>
      </c>
      <c r="M432" s="772" t="s">
        <v>858</v>
      </c>
      <c r="N432" s="771">
        <v>10</v>
      </c>
      <c r="O432" s="708" t="s">
        <v>7</v>
      </c>
      <c r="P432" s="769" t="s">
        <v>7</v>
      </c>
      <c r="Q432" s="706"/>
      <c r="R432" s="706"/>
      <c r="S432" s="706"/>
      <c r="T432" s="706"/>
      <c r="U432" s="710">
        <v>5.1999999999999998E-2</v>
      </c>
      <c r="V432" s="707">
        <v>455.52</v>
      </c>
      <c r="W432" s="710">
        <v>4.7509024695104422E-2</v>
      </c>
      <c r="X432" s="707">
        <v>550.78281470042043</v>
      </c>
      <c r="Y432" s="707">
        <v>5507.8281470042039</v>
      </c>
      <c r="Z432" s="707">
        <v>4041.4668471946338</v>
      </c>
      <c r="AA432" s="707">
        <v>404.14668471946339</v>
      </c>
      <c r="AB432" s="710">
        <v>3.4355043396468068E-2</v>
      </c>
      <c r="AC432" s="769">
        <v>1.2091298180111092</v>
      </c>
      <c r="AD432" s="769">
        <v>0.91363509029046974</v>
      </c>
      <c r="AE432" s="707"/>
      <c r="AF432" s="770"/>
      <c r="AG432" s="706"/>
      <c r="AH432" s="769">
        <v>0.7337677827498762</v>
      </c>
      <c r="AI432" s="748"/>
      <c r="AJ432" s="748"/>
      <c r="AK432" s="748"/>
      <c r="AL432" s="769">
        <v>0.7231266820766411</v>
      </c>
      <c r="AM432" s="706"/>
      <c r="AN432" s="706"/>
      <c r="AO432" s="706"/>
      <c r="AP432" s="768">
        <v>539.18580232641568</v>
      </c>
      <c r="AQ432" s="768">
        <v>1078.3716046528314</v>
      </c>
      <c r="AR432" s="706"/>
      <c r="AS432" s="738"/>
      <c r="AT432" s="738"/>
      <c r="AU432" s="710">
        <v>0</v>
      </c>
      <c r="AV432" s="710">
        <v>3.4355043396468068E-2</v>
      </c>
      <c r="AW432" s="710">
        <v>3.4355043396468068E-2</v>
      </c>
      <c r="AX432" s="710">
        <v>3.4355043396468068E-2</v>
      </c>
      <c r="AY432" s="710">
        <v>3.4355043396468068E-2</v>
      </c>
      <c r="AZ432" s="710">
        <v>3.4355043396468068E-2</v>
      </c>
      <c r="BA432" s="710">
        <v>3.4355043396468068E-2</v>
      </c>
      <c r="BB432" s="710">
        <v>3.4355043396468068E-2</v>
      </c>
      <c r="BC432" s="710">
        <v>3.4355043396468068E-2</v>
      </c>
      <c r="BD432" s="710">
        <v>3.4355043396468068E-2</v>
      </c>
      <c r="BE432" s="710">
        <v>3.4355043396468068E-2</v>
      </c>
      <c r="BF432" s="710">
        <v>0</v>
      </c>
      <c r="BG432" s="710">
        <v>0</v>
      </c>
      <c r="BH432" s="710">
        <v>0</v>
      </c>
      <c r="BI432" s="710">
        <v>0</v>
      </c>
      <c r="BJ432" s="710">
        <v>0</v>
      </c>
      <c r="BK432" s="710">
        <v>0</v>
      </c>
      <c r="BL432" s="710">
        <v>0</v>
      </c>
      <c r="BM432" s="710">
        <v>0</v>
      </c>
      <c r="BN432" s="710">
        <v>0</v>
      </c>
      <c r="BO432" s="710">
        <v>0</v>
      </c>
      <c r="BP432" s="710">
        <v>0</v>
      </c>
      <c r="BQ432" s="710">
        <v>0</v>
      </c>
      <c r="BR432" s="710">
        <v>0</v>
      </c>
      <c r="BS432" s="767"/>
      <c r="BT432" s="767"/>
      <c r="BU432" s="707">
        <v>0</v>
      </c>
      <c r="BV432" s="707">
        <v>404.14668471946339</v>
      </c>
      <c r="BW432" s="707">
        <v>404.14668471946339</v>
      </c>
      <c r="BX432" s="707">
        <v>404.14668471946339</v>
      </c>
      <c r="BY432" s="707">
        <v>404.14668471946339</v>
      </c>
      <c r="BZ432" s="707">
        <v>404.14668471946339</v>
      </c>
      <c r="CA432" s="707">
        <v>404.14668471946339</v>
      </c>
      <c r="CB432" s="707">
        <v>404.14668471946339</v>
      </c>
      <c r="CC432" s="707">
        <v>404.14668471946339</v>
      </c>
      <c r="CD432" s="707">
        <v>404.14668471946339</v>
      </c>
      <c r="CE432" s="707">
        <v>404.14668471946339</v>
      </c>
      <c r="CF432" s="707">
        <v>0</v>
      </c>
      <c r="CG432" s="707">
        <v>0</v>
      </c>
      <c r="CH432" s="707">
        <v>0</v>
      </c>
      <c r="CI432" s="707">
        <v>0</v>
      </c>
      <c r="CJ432" s="707">
        <v>0</v>
      </c>
      <c r="CK432" s="707">
        <v>0</v>
      </c>
      <c r="CL432" s="707">
        <v>0</v>
      </c>
      <c r="CM432" s="707">
        <v>0</v>
      </c>
      <c r="CN432" s="707">
        <v>0</v>
      </c>
      <c r="CO432" s="707">
        <v>0</v>
      </c>
      <c r="CP432" s="707">
        <v>0</v>
      </c>
      <c r="CQ432" s="707">
        <v>0</v>
      </c>
      <c r="CR432" s="707">
        <v>0</v>
      </c>
    </row>
    <row r="433" spans="1:96" s="53" customFormat="1">
      <c r="A433" s="774" t="s">
        <v>3</v>
      </c>
      <c r="B433" s="772">
        <v>41988</v>
      </c>
      <c r="C433" s="771">
        <v>2014</v>
      </c>
      <c r="D433" s="773" t="s">
        <v>1</v>
      </c>
      <c r="E433" s="773" t="s">
        <v>12</v>
      </c>
      <c r="F433" s="773" t="s">
        <v>457</v>
      </c>
      <c r="G433" s="772" t="s">
        <v>656</v>
      </c>
      <c r="H433" s="772" t="s">
        <v>371</v>
      </c>
      <c r="I433" s="773" t="s">
        <v>5</v>
      </c>
      <c r="J433" s="773" t="s">
        <v>376</v>
      </c>
      <c r="K433" s="706"/>
      <c r="L433" s="772" t="s">
        <v>651</v>
      </c>
      <c r="M433" s="772" t="s">
        <v>858</v>
      </c>
      <c r="N433" s="771">
        <v>12</v>
      </c>
      <c r="O433" s="708">
        <v>3</v>
      </c>
      <c r="P433" s="769">
        <v>0</v>
      </c>
      <c r="Q433" s="706"/>
      <c r="R433" s="706"/>
      <c r="S433" s="706"/>
      <c r="T433" s="706"/>
      <c r="U433" s="710">
        <v>0.29899999999999999</v>
      </c>
      <c r="V433" s="707">
        <v>775.60599999999999</v>
      </c>
      <c r="W433" s="710">
        <v>0.27317689199685041</v>
      </c>
      <c r="X433" s="707">
        <v>937.80834162832423</v>
      </c>
      <c r="Y433" s="707">
        <v>2813.4250248849726</v>
      </c>
      <c r="Z433" s="707">
        <v>2064.4006424428617</v>
      </c>
      <c r="AA433" s="707">
        <v>688.13354748095389</v>
      </c>
      <c r="AB433" s="710">
        <v>0.19754149952969138</v>
      </c>
      <c r="AC433" s="769">
        <v>1.209129818011109</v>
      </c>
      <c r="AD433" s="769">
        <v>0.91363509029046963</v>
      </c>
      <c r="AE433" s="707"/>
      <c r="AF433" s="770"/>
      <c r="AG433" s="706"/>
      <c r="AH433" s="769">
        <v>0.7337677827498762</v>
      </c>
      <c r="AI433" s="748"/>
      <c r="AJ433" s="748"/>
      <c r="AK433" s="748"/>
      <c r="AL433" s="769">
        <v>0.7231266820766411</v>
      </c>
      <c r="AM433" s="706"/>
      <c r="AN433" s="706"/>
      <c r="AO433" s="706"/>
      <c r="AP433" s="768">
        <v>141.24035536704699</v>
      </c>
      <c r="AQ433" s="768">
        <v>1836.1246197716107</v>
      </c>
      <c r="AR433" s="706"/>
      <c r="AS433" s="738"/>
      <c r="AT433" s="738"/>
      <c r="AU433" s="710">
        <v>0</v>
      </c>
      <c r="AV433" s="710">
        <v>0.19754149952969138</v>
      </c>
      <c r="AW433" s="710">
        <v>0.19754149952969138</v>
      </c>
      <c r="AX433" s="710">
        <v>0.19754149952969138</v>
      </c>
      <c r="AY433" s="710">
        <v>0</v>
      </c>
      <c r="AZ433" s="710">
        <v>0</v>
      </c>
      <c r="BA433" s="710">
        <v>0</v>
      </c>
      <c r="BB433" s="710">
        <v>0</v>
      </c>
      <c r="BC433" s="710">
        <v>0</v>
      </c>
      <c r="BD433" s="710">
        <v>0</v>
      </c>
      <c r="BE433" s="710">
        <v>0</v>
      </c>
      <c r="BF433" s="710">
        <v>0</v>
      </c>
      <c r="BG433" s="710">
        <v>0</v>
      </c>
      <c r="BH433" s="710">
        <v>0</v>
      </c>
      <c r="BI433" s="710">
        <v>0</v>
      </c>
      <c r="BJ433" s="710">
        <v>0</v>
      </c>
      <c r="BK433" s="710">
        <v>0</v>
      </c>
      <c r="BL433" s="710">
        <v>0</v>
      </c>
      <c r="BM433" s="710">
        <v>0</v>
      </c>
      <c r="BN433" s="710">
        <v>0</v>
      </c>
      <c r="BO433" s="710">
        <v>0</v>
      </c>
      <c r="BP433" s="710">
        <v>0</v>
      </c>
      <c r="BQ433" s="710">
        <v>0</v>
      </c>
      <c r="BR433" s="710">
        <v>0</v>
      </c>
      <c r="BS433" s="767"/>
      <c r="BT433" s="767"/>
      <c r="BU433" s="707">
        <v>0</v>
      </c>
      <c r="BV433" s="707">
        <v>688.13354748095389</v>
      </c>
      <c r="BW433" s="707">
        <v>688.13354748095389</v>
      </c>
      <c r="BX433" s="707">
        <v>688.13354748095389</v>
      </c>
      <c r="BY433" s="707">
        <v>0</v>
      </c>
      <c r="BZ433" s="707">
        <v>0</v>
      </c>
      <c r="CA433" s="707">
        <v>0</v>
      </c>
      <c r="CB433" s="707">
        <v>0</v>
      </c>
      <c r="CC433" s="707">
        <v>0</v>
      </c>
      <c r="CD433" s="707">
        <v>0</v>
      </c>
      <c r="CE433" s="707">
        <v>0</v>
      </c>
      <c r="CF433" s="707">
        <v>0</v>
      </c>
      <c r="CG433" s="707">
        <v>0</v>
      </c>
      <c r="CH433" s="707">
        <v>0</v>
      </c>
      <c r="CI433" s="707">
        <v>0</v>
      </c>
      <c r="CJ433" s="707">
        <v>0</v>
      </c>
      <c r="CK433" s="707">
        <v>0</v>
      </c>
      <c r="CL433" s="707">
        <v>0</v>
      </c>
      <c r="CM433" s="707">
        <v>0</v>
      </c>
      <c r="CN433" s="707">
        <v>0</v>
      </c>
      <c r="CO433" s="707">
        <v>0</v>
      </c>
      <c r="CP433" s="707">
        <v>0</v>
      </c>
      <c r="CQ433" s="707">
        <v>0</v>
      </c>
      <c r="CR433" s="707">
        <v>0</v>
      </c>
    </row>
    <row r="434" spans="1:96" s="53" customFormat="1">
      <c r="A434" s="774" t="s">
        <v>3</v>
      </c>
      <c r="B434" s="772">
        <v>41988</v>
      </c>
      <c r="C434" s="771">
        <v>2014</v>
      </c>
      <c r="D434" s="773" t="s">
        <v>1</v>
      </c>
      <c r="E434" s="773" t="s">
        <v>12</v>
      </c>
      <c r="F434" s="773" t="s">
        <v>457</v>
      </c>
      <c r="G434" s="772" t="s">
        <v>656</v>
      </c>
      <c r="H434" s="772" t="s">
        <v>371</v>
      </c>
      <c r="I434" s="773" t="s">
        <v>5</v>
      </c>
      <c r="J434" s="773" t="s">
        <v>376</v>
      </c>
      <c r="K434" s="706"/>
      <c r="L434" s="772" t="s">
        <v>651</v>
      </c>
      <c r="M434" s="772" t="s">
        <v>858</v>
      </c>
      <c r="N434" s="771">
        <v>12</v>
      </c>
      <c r="O434" s="708">
        <v>3</v>
      </c>
      <c r="P434" s="769">
        <v>0</v>
      </c>
      <c r="Q434" s="706"/>
      <c r="R434" s="706"/>
      <c r="S434" s="706"/>
      <c r="T434" s="706"/>
      <c r="U434" s="710">
        <v>0.47599999999999998</v>
      </c>
      <c r="V434" s="707">
        <v>1234.7439999999999</v>
      </c>
      <c r="W434" s="710">
        <v>0.43489030297826353</v>
      </c>
      <c r="X434" s="707">
        <v>1492.9657880103086</v>
      </c>
      <c r="Y434" s="707">
        <v>4478.8973640309259</v>
      </c>
      <c r="Z434" s="707">
        <v>3286.4705879692374</v>
      </c>
      <c r="AA434" s="707">
        <v>1095.4901959897459</v>
      </c>
      <c r="AB434" s="710">
        <v>0.31448078185997691</v>
      </c>
      <c r="AC434" s="769">
        <v>1.209129818011109</v>
      </c>
      <c r="AD434" s="769">
        <v>0.91363509029046963</v>
      </c>
      <c r="AE434" s="707"/>
      <c r="AF434" s="770"/>
      <c r="AG434" s="706"/>
      <c r="AH434" s="769">
        <v>0.7337677827498762</v>
      </c>
      <c r="AI434" s="748"/>
      <c r="AJ434" s="748"/>
      <c r="AK434" s="748"/>
      <c r="AL434" s="769">
        <v>0.7231266820766411</v>
      </c>
      <c r="AM434" s="706"/>
      <c r="AN434" s="706"/>
      <c r="AO434" s="706"/>
      <c r="AP434" s="768">
        <v>104.39504527129557</v>
      </c>
      <c r="AQ434" s="768">
        <v>2923.0612675962761</v>
      </c>
      <c r="AR434" s="706"/>
      <c r="AS434" s="738"/>
      <c r="AT434" s="738"/>
      <c r="AU434" s="710">
        <v>0</v>
      </c>
      <c r="AV434" s="710">
        <v>0.31448078185997691</v>
      </c>
      <c r="AW434" s="710">
        <v>0.31448078185997691</v>
      </c>
      <c r="AX434" s="710">
        <v>0.31448078185997691</v>
      </c>
      <c r="AY434" s="710">
        <v>0</v>
      </c>
      <c r="AZ434" s="710">
        <v>0</v>
      </c>
      <c r="BA434" s="710">
        <v>0</v>
      </c>
      <c r="BB434" s="710">
        <v>0</v>
      </c>
      <c r="BC434" s="710">
        <v>0</v>
      </c>
      <c r="BD434" s="710">
        <v>0</v>
      </c>
      <c r="BE434" s="710">
        <v>0</v>
      </c>
      <c r="BF434" s="710">
        <v>0</v>
      </c>
      <c r="BG434" s="710">
        <v>0</v>
      </c>
      <c r="BH434" s="710">
        <v>0</v>
      </c>
      <c r="BI434" s="710">
        <v>0</v>
      </c>
      <c r="BJ434" s="710">
        <v>0</v>
      </c>
      <c r="BK434" s="710">
        <v>0</v>
      </c>
      <c r="BL434" s="710">
        <v>0</v>
      </c>
      <c r="BM434" s="710">
        <v>0</v>
      </c>
      <c r="BN434" s="710">
        <v>0</v>
      </c>
      <c r="BO434" s="710">
        <v>0</v>
      </c>
      <c r="BP434" s="710">
        <v>0</v>
      </c>
      <c r="BQ434" s="710">
        <v>0</v>
      </c>
      <c r="BR434" s="710">
        <v>0</v>
      </c>
      <c r="BS434" s="767"/>
      <c r="BT434" s="767"/>
      <c r="BU434" s="707">
        <v>0</v>
      </c>
      <c r="BV434" s="707">
        <v>1095.4901959897459</v>
      </c>
      <c r="BW434" s="707">
        <v>1095.4901959897459</v>
      </c>
      <c r="BX434" s="707">
        <v>1095.4901959897459</v>
      </c>
      <c r="BY434" s="707">
        <v>0</v>
      </c>
      <c r="BZ434" s="707">
        <v>0</v>
      </c>
      <c r="CA434" s="707">
        <v>0</v>
      </c>
      <c r="CB434" s="707">
        <v>0</v>
      </c>
      <c r="CC434" s="707">
        <v>0</v>
      </c>
      <c r="CD434" s="707">
        <v>0</v>
      </c>
      <c r="CE434" s="707">
        <v>0</v>
      </c>
      <c r="CF434" s="707">
        <v>0</v>
      </c>
      <c r="CG434" s="707">
        <v>0</v>
      </c>
      <c r="CH434" s="707">
        <v>0</v>
      </c>
      <c r="CI434" s="707">
        <v>0</v>
      </c>
      <c r="CJ434" s="707">
        <v>0</v>
      </c>
      <c r="CK434" s="707">
        <v>0</v>
      </c>
      <c r="CL434" s="707">
        <v>0</v>
      </c>
      <c r="CM434" s="707">
        <v>0</v>
      </c>
      <c r="CN434" s="707">
        <v>0</v>
      </c>
      <c r="CO434" s="707">
        <v>0</v>
      </c>
      <c r="CP434" s="707">
        <v>0</v>
      </c>
      <c r="CQ434" s="707">
        <v>0</v>
      </c>
      <c r="CR434" s="707">
        <v>0</v>
      </c>
    </row>
    <row r="435" spans="1:96" s="53" customFormat="1">
      <c r="A435" s="774" t="s">
        <v>3</v>
      </c>
      <c r="B435" s="772">
        <v>41988</v>
      </c>
      <c r="C435" s="771">
        <v>2014</v>
      </c>
      <c r="D435" s="773" t="s">
        <v>1</v>
      </c>
      <c r="E435" s="773" t="s">
        <v>12</v>
      </c>
      <c r="F435" s="773" t="s">
        <v>457</v>
      </c>
      <c r="G435" s="772" t="s">
        <v>656</v>
      </c>
      <c r="H435" s="772" t="s">
        <v>371</v>
      </c>
      <c r="I435" s="773" t="s">
        <v>5</v>
      </c>
      <c r="J435" s="773" t="s">
        <v>376</v>
      </c>
      <c r="K435" s="706"/>
      <c r="L435" s="772" t="s">
        <v>651</v>
      </c>
      <c r="M435" s="772" t="s">
        <v>858</v>
      </c>
      <c r="N435" s="771">
        <v>20</v>
      </c>
      <c r="O435" s="708" t="s">
        <v>7</v>
      </c>
      <c r="P435" s="769" t="s">
        <v>7</v>
      </c>
      <c r="Q435" s="706"/>
      <c r="R435" s="706"/>
      <c r="S435" s="706"/>
      <c r="T435" s="706"/>
      <c r="U435" s="710">
        <v>0.5</v>
      </c>
      <c r="V435" s="707">
        <v>1297</v>
      </c>
      <c r="W435" s="710">
        <v>0.45681754514523482</v>
      </c>
      <c r="X435" s="707">
        <v>1568.2413739604083</v>
      </c>
      <c r="Y435" s="707">
        <v>31364.827479208165</v>
      </c>
      <c r="Z435" s="707">
        <v>23014.499915750966</v>
      </c>
      <c r="AA435" s="707">
        <v>1150.7249957875483</v>
      </c>
      <c r="AB435" s="710">
        <v>0.33033695573526989</v>
      </c>
      <c r="AC435" s="769">
        <v>1.209129818011109</v>
      </c>
      <c r="AD435" s="769">
        <v>0.91363509029046963</v>
      </c>
      <c r="AE435" s="707"/>
      <c r="AF435" s="770"/>
      <c r="AG435" s="706"/>
      <c r="AH435" s="769">
        <v>0.7337677827498762</v>
      </c>
      <c r="AI435" s="748"/>
      <c r="AJ435" s="748"/>
      <c r="AK435" s="748"/>
      <c r="AL435" s="769">
        <v>0.7231266820766411</v>
      </c>
      <c r="AM435" s="706"/>
      <c r="AN435" s="706"/>
      <c r="AO435" s="706"/>
      <c r="AP435" s="768">
        <v>307.04425079792816</v>
      </c>
      <c r="AQ435" s="768">
        <v>3070.4425079792818</v>
      </c>
      <c r="AR435" s="706"/>
      <c r="AS435" s="738"/>
      <c r="AT435" s="738"/>
      <c r="AU435" s="710">
        <v>0</v>
      </c>
      <c r="AV435" s="710">
        <v>0.33033695573526989</v>
      </c>
      <c r="AW435" s="710">
        <v>0.33033695573526989</v>
      </c>
      <c r="AX435" s="710">
        <v>0.33033695573526989</v>
      </c>
      <c r="AY435" s="710">
        <v>0.33033695573526989</v>
      </c>
      <c r="AZ435" s="710">
        <v>0.33033695573526989</v>
      </c>
      <c r="BA435" s="710">
        <v>0.33033695573526989</v>
      </c>
      <c r="BB435" s="710">
        <v>0.33033695573526989</v>
      </c>
      <c r="BC435" s="710">
        <v>0.33033695573526989</v>
      </c>
      <c r="BD435" s="710">
        <v>0.33033695573526989</v>
      </c>
      <c r="BE435" s="710">
        <v>0.33033695573526989</v>
      </c>
      <c r="BF435" s="710">
        <v>0.33033695573526989</v>
      </c>
      <c r="BG435" s="710">
        <v>0.33033695573526989</v>
      </c>
      <c r="BH435" s="710">
        <v>0.33033695573526989</v>
      </c>
      <c r="BI435" s="710">
        <v>0.33033695573526989</v>
      </c>
      <c r="BJ435" s="710">
        <v>0.33033695573526989</v>
      </c>
      <c r="BK435" s="710">
        <v>0.33033695573526989</v>
      </c>
      <c r="BL435" s="710">
        <v>0.33033695573526989</v>
      </c>
      <c r="BM435" s="710">
        <v>0.33033695573526989</v>
      </c>
      <c r="BN435" s="710">
        <v>0.33033695573526989</v>
      </c>
      <c r="BO435" s="710">
        <v>0.33033695573526989</v>
      </c>
      <c r="BP435" s="710">
        <v>0</v>
      </c>
      <c r="BQ435" s="710">
        <v>0</v>
      </c>
      <c r="BR435" s="710">
        <v>0</v>
      </c>
      <c r="BS435" s="767"/>
      <c r="BT435" s="767"/>
      <c r="BU435" s="707">
        <v>0</v>
      </c>
      <c r="BV435" s="707">
        <v>1150.7249957875483</v>
      </c>
      <c r="BW435" s="707">
        <v>1150.7249957875483</v>
      </c>
      <c r="BX435" s="707">
        <v>1150.7249957875483</v>
      </c>
      <c r="BY435" s="707">
        <v>1150.7249957875483</v>
      </c>
      <c r="BZ435" s="707">
        <v>1150.7249957875483</v>
      </c>
      <c r="CA435" s="707">
        <v>1150.7249957875483</v>
      </c>
      <c r="CB435" s="707">
        <v>1150.7249957875483</v>
      </c>
      <c r="CC435" s="707">
        <v>1150.7249957875483</v>
      </c>
      <c r="CD435" s="707">
        <v>1150.7249957875483</v>
      </c>
      <c r="CE435" s="707">
        <v>1150.7249957875483</v>
      </c>
      <c r="CF435" s="707">
        <v>1150.7249957875483</v>
      </c>
      <c r="CG435" s="707">
        <v>1150.7249957875483</v>
      </c>
      <c r="CH435" s="707">
        <v>1150.7249957875483</v>
      </c>
      <c r="CI435" s="707">
        <v>1150.7249957875483</v>
      </c>
      <c r="CJ435" s="707">
        <v>1150.7249957875483</v>
      </c>
      <c r="CK435" s="707">
        <v>1150.7249957875483</v>
      </c>
      <c r="CL435" s="707">
        <v>1150.7249957875483</v>
      </c>
      <c r="CM435" s="707">
        <v>1150.7249957875483</v>
      </c>
      <c r="CN435" s="707">
        <v>1150.7249957875483</v>
      </c>
      <c r="CO435" s="707">
        <v>1150.7249957875483</v>
      </c>
      <c r="CP435" s="707">
        <v>0</v>
      </c>
      <c r="CQ435" s="707">
        <v>0</v>
      </c>
      <c r="CR435" s="707">
        <v>0</v>
      </c>
    </row>
    <row r="436" spans="1:96" s="53" customFormat="1">
      <c r="A436" s="774" t="s">
        <v>3</v>
      </c>
      <c r="B436" s="772">
        <v>41898</v>
      </c>
      <c r="C436" s="771">
        <v>2014</v>
      </c>
      <c r="D436" s="773" t="s">
        <v>1</v>
      </c>
      <c r="E436" s="773" t="s">
        <v>12</v>
      </c>
      <c r="F436" s="773" t="s">
        <v>457</v>
      </c>
      <c r="G436" s="772" t="s">
        <v>661</v>
      </c>
      <c r="H436" s="772" t="s">
        <v>371</v>
      </c>
      <c r="I436" s="773" t="s">
        <v>5</v>
      </c>
      <c r="J436" s="773" t="s">
        <v>376</v>
      </c>
      <c r="K436" s="706"/>
      <c r="L436" s="772" t="s">
        <v>857</v>
      </c>
      <c r="M436" s="772" t="s">
        <v>856</v>
      </c>
      <c r="N436" s="771">
        <v>10.57110211909384</v>
      </c>
      <c r="O436" s="708">
        <v>8.2157863414037848</v>
      </c>
      <c r="P436" s="769">
        <v>0.57011826371785979</v>
      </c>
      <c r="Q436" s="706"/>
      <c r="R436" s="706"/>
      <c r="S436" s="706"/>
      <c r="T436" s="706"/>
      <c r="U436" s="710">
        <v>0</v>
      </c>
      <c r="V436" s="707">
        <v>17488</v>
      </c>
      <c r="W436" s="710">
        <v>0</v>
      </c>
      <c r="X436" s="707">
        <v>15742.384479028178</v>
      </c>
      <c r="Y436" s="707">
        <v>150475.07572883827</v>
      </c>
      <c r="Z436" s="707">
        <v>107384.29425652753</v>
      </c>
      <c r="AA436" s="707">
        <v>11234.317969320518</v>
      </c>
      <c r="AB436" s="710">
        <v>0</v>
      </c>
      <c r="AC436" s="769">
        <v>0.90018209509538993</v>
      </c>
      <c r="AD436" s="769">
        <v>0</v>
      </c>
      <c r="AE436" s="707"/>
      <c r="AF436" s="770"/>
      <c r="AG436" s="706"/>
      <c r="AH436" s="769">
        <v>0.71363509030583938</v>
      </c>
      <c r="AI436" s="748"/>
      <c r="AJ436" s="748"/>
      <c r="AK436" s="748"/>
      <c r="AL436" s="769">
        <v>0.77578670773417735</v>
      </c>
      <c r="AM436" s="706"/>
      <c r="AN436" s="706"/>
      <c r="AO436" s="706"/>
      <c r="AP436" s="768">
        <v>8535.5</v>
      </c>
      <c r="AQ436" s="768">
        <v>8535.5</v>
      </c>
      <c r="AR436" s="706"/>
      <c r="AS436" s="738"/>
      <c r="AT436" s="738"/>
      <c r="AU436" s="710">
        <v>0</v>
      </c>
      <c r="AV436" s="710">
        <v>0</v>
      </c>
      <c r="AW436" s="710">
        <v>0</v>
      </c>
      <c r="AX436" s="710">
        <v>0</v>
      </c>
      <c r="AY436" s="710">
        <v>0</v>
      </c>
      <c r="AZ436" s="710">
        <v>0</v>
      </c>
      <c r="BA436" s="710">
        <v>0</v>
      </c>
      <c r="BB436" s="710">
        <v>0</v>
      </c>
      <c r="BC436" s="710">
        <v>0</v>
      </c>
      <c r="BD436" s="710">
        <v>0</v>
      </c>
      <c r="BE436" s="710">
        <v>0</v>
      </c>
      <c r="BF436" s="710">
        <v>0</v>
      </c>
      <c r="BG436" s="710">
        <v>0</v>
      </c>
      <c r="BH436" s="710">
        <v>0</v>
      </c>
      <c r="BI436" s="710">
        <v>0</v>
      </c>
      <c r="BJ436" s="710">
        <v>0</v>
      </c>
      <c r="BK436" s="710">
        <v>0</v>
      </c>
      <c r="BL436" s="710">
        <v>0</v>
      </c>
      <c r="BM436" s="710">
        <v>0</v>
      </c>
      <c r="BN436" s="710">
        <v>0</v>
      </c>
      <c r="BO436" s="710">
        <v>0</v>
      </c>
      <c r="BP436" s="710">
        <v>0</v>
      </c>
      <c r="BQ436" s="710">
        <v>0</v>
      </c>
      <c r="BR436" s="710">
        <v>0</v>
      </c>
      <c r="BS436" s="767"/>
      <c r="BT436" s="767"/>
      <c r="BU436" s="707">
        <v>0</v>
      </c>
      <c r="BV436" s="707">
        <v>11234.317969320518</v>
      </c>
      <c r="BW436" s="707">
        <v>11234.317969320518</v>
      </c>
      <c r="BX436" s="707">
        <v>11234.317969320518</v>
      </c>
      <c r="BY436" s="707">
        <v>11234.317969320518</v>
      </c>
      <c r="BZ436" s="707">
        <v>11234.317969320518</v>
      </c>
      <c r="CA436" s="707">
        <v>11234.317969320518</v>
      </c>
      <c r="CB436" s="707">
        <v>11234.317969320518</v>
      </c>
      <c r="CC436" s="707">
        <v>11234.317969320518</v>
      </c>
      <c r="CD436" s="707">
        <v>7447.0144786448645</v>
      </c>
      <c r="CE436" s="707">
        <v>6404.8898547233666</v>
      </c>
      <c r="CF436" s="707">
        <v>3657.8461685951538</v>
      </c>
      <c r="CG436" s="707">
        <v>0</v>
      </c>
      <c r="CH436" s="707">
        <v>0</v>
      </c>
      <c r="CI436" s="707">
        <v>0</v>
      </c>
      <c r="CJ436" s="707">
        <v>0</v>
      </c>
      <c r="CK436" s="707">
        <v>0</v>
      </c>
      <c r="CL436" s="707">
        <v>0</v>
      </c>
      <c r="CM436" s="707">
        <v>0</v>
      </c>
      <c r="CN436" s="707">
        <v>0</v>
      </c>
      <c r="CO436" s="707">
        <v>0</v>
      </c>
      <c r="CP436" s="707">
        <v>0</v>
      </c>
      <c r="CQ436" s="707">
        <v>0</v>
      </c>
      <c r="CR436" s="707">
        <v>0</v>
      </c>
    </row>
    <row r="437" spans="1:96" s="53" customFormat="1">
      <c r="A437" s="774" t="s">
        <v>3</v>
      </c>
      <c r="B437" s="772">
        <v>41898</v>
      </c>
      <c r="C437" s="771">
        <v>2014</v>
      </c>
      <c r="D437" s="773" t="s">
        <v>1</v>
      </c>
      <c r="E437" s="773" t="s">
        <v>12</v>
      </c>
      <c r="F437" s="773" t="s">
        <v>457</v>
      </c>
      <c r="G437" s="772" t="s">
        <v>656</v>
      </c>
      <c r="H437" s="772" t="s">
        <v>371</v>
      </c>
      <c r="I437" s="773" t="s">
        <v>5</v>
      </c>
      <c r="J437" s="773" t="s">
        <v>376</v>
      </c>
      <c r="K437" s="706"/>
      <c r="L437" s="772" t="s">
        <v>857</v>
      </c>
      <c r="M437" s="772" t="s">
        <v>856</v>
      </c>
      <c r="N437" s="771">
        <v>13</v>
      </c>
      <c r="O437" s="708">
        <v>1</v>
      </c>
      <c r="P437" s="769">
        <v>0.61496236566876838</v>
      </c>
      <c r="Q437" s="706"/>
      <c r="R437" s="706"/>
      <c r="S437" s="706"/>
      <c r="T437" s="706"/>
      <c r="U437" s="710">
        <v>1.2689999999999999</v>
      </c>
      <c r="V437" s="707">
        <v>3291.7860000000001</v>
      </c>
      <c r="W437" s="710">
        <v>1.1594029295786057</v>
      </c>
      <c r="X437" s="707">
        <v>3980.1966071115162</v>
      </c>
      <c r="Y437" s="707">
        <v>33352.250063144762</v>
      </c>
      <c r="Z437" s="707">
        <v>24472.806578553151</v>
      </c>
      <c r="AA437" s="707">
        <v>2920.5400393087975</v>
      </c>
      <c r="AB437" s="710">
        <v>0.8383951936561147</v>
      </c>
      <c r="AC437" s="769">
        <v>1.209129818011109</v>
      </c>
      <c r="AD437" s="769">
        <v>0.91363509029046952</v>
      </c>
      <c r="AE437" s="707"/>
      <c r="AF437" s="770"/>
      <c r="AG437" s="706"/>
      <c r="AH437" s="769">
        <v>0.7337677827498762</v>
      </c>
      <c r="AI437" s="748"/>
      <c r="AJ437" s="748"/>
      <c r="AK437" s="748"/>
      <c r="AL437" s="769">
        <v>0.7231266820766411</v>
      </c>
      <c r="AM437" s="706"/>
      <c r="AN437" s="706"/>
      <c r="AO437" s="706"/>
      <c r="AP437" s="768">
        <v>60</v>
      </c>
      <c r="AQ437" s="768">
        <v>1620</v>
      </c>
      <c r="AR437" s="706"/>
      <c r="AS437" s="738"/>
      <c r="AT437" s="738"/>
      <c r="AU437" s="710">
        <v>0</v>
      </c>
      <c r="AV437" s="710">
        <v>0.8383951936561147</v>
      </c>
      <c r="AW437" s="710">
        <v>0.51558149165608946</v>
      </c>
      <c r="AX437" s="710">
        <v>0.51558149165608946</v>
      </c>
      <c r="AY437" s="710">
        <v>0.51558149165608946</v>
      </c>
      <c r="AZ437" s="710">
        <v>0.51558149165608946</v>
      </c>
      <c r="BA437" s="710">
        <v>0.51558149165608946</v>
      </c>
      <c r="BB437" s="710">
        <v>0.51558149165608946</v>
      </c>
      <c r="BC437" s="710">
        <v>0.51558149165608946</v>
      </c>
      <c r="BD437" s="710">
        <v>0.51558149165608946</v>
      </c>
      <c r="BE437" s="710">
        <v>0.51558149165608946</v>
      </c>
      <c r="BF437" s="710">
        <v>0.51558149165608946</v>
      </c>
      <c r="BG437" s="710">
        <v>0.51558149165608946</v>
      </c>
      <c r="BH437" s="710">
        <v>0.51558149165608946</v>
      </c>
      <c r="BI437" s="710">
        <v>0</v>
      </c>
      <c r="BJ437" s="710">
        <v>0</v>
      </c>
      <c r="BK437" s="710">
        <v>0</v>
      </c>
      <c r="BL437" s="710">
        <v>0</v>
      </c>
      <c r="BM437" s="710">
        <v>0</v>
      </c>
      <c r="BN437" s="710">
        <v>0</v>
      </c>
      <c r="BO437" s="710">
        <v>0</v>
      </c>
      <c r="BP437" s="710">
        <v>0</v>
      </c>
      <c r="BQ437" s="710">
        <v>0</v>
      </c>
      <c r="BR437" s="710">
        <v>0</v>
      </c>
      <c r="BS437" s="767"/>
      <c r="BT437" s="767"/>
      <c r="BU437" s="707">
        <v>0</v>
      </c>
      <c r="BV437" s="707">
        <v>2920.5400393087975</v>
      </c>
      <c r="BW437" s="707">
        <v>1796.022211603696</v>
      </c>
      <c r="BX437" s="707">
        <v>1796.022211603696</v>
      </c>
      <c r="BY437" s="707">
        <v>1796.022211603696</v>
      </c>
      <c r="BZ437" s="707">
        <v>1796.022211603696</v>
      </c>
      <c r="CA437" s="707">
        <v>1796.022211603696</v>
      </c>
      <c r="CB437" s="707">
        <v>1796.022211603696</v>
      </c>
      <c r="CC437" s="707">
        <v>1796.022211603696</v>
      </c>
      <c r="CD437" s="707">
        <v>1796.022211603696</v>
      </c>
      <c r="CE437" s="707">
        <v>1796.022211603696</v>
      </c>
      <c r="CF437" s="707">
        <v>1796.022211603696</v>
      </c>
      <c r="CG437" s="707">
        <v>1796.022211603696</v>
      </c>
      <c r="CH437" s="707">
        <v>1796.022211603696</v>
      </c>
      <c r="CI437" s="707">
        <v>0</v>
      </c>
      <c r="CJ437" s="707">
        <v>0</v>
      </c>
      <c r="CK437" s="707">
        <v>0</v>
      </c>
      <c r="CL437" s="707">
        <v>0</v>
      </c>
      <c r="CM437" s="707">
        <v>0</v>
      </c>
      <c r="CN437" s="707">
        <v>0</v>
      </c>
      <c r="CO437" s="707">
        <v>0</v>
      </c>
      <c r="CP437" s="707">
        <v>0</v>
      </c>
      <c r="CQ437" s="707">
        <v>0</v>
      </c>
      <c r="CR437" s="707">
        <v>0</v>
      </c>
    </row>
    <row r="438" spans="1:96" s="53" customFormat="1">
      <c r="A438" s="774" t="s">
        <v>3</v>
      </c>
      <c r="B438" s="772">
        <v>41726</v>
      </c>
      <c r="C438" s="771">
        <v>2014</v>
      </c>
      <c r="D438" s="773" t="s">
        <v>1</v>
      </c>
      <c r="E438" s="773" t="s">
        <v>12</v>
      </c>
      <c r="F438" s="773" t="s">
        <v>457</v>
      </c>
      <c r="G438" s="772" t="s">
        <v>656</v>
      </c>
      <c r="H438" s="772" t="s">
        <v>371</v>
      </c>
      <c r="I438" s="773" t="s">
        <v>5</v>
      </c>
      <c r="J438" s="773" t="s">
        <v>376</v>
      </c>
      <c r="K438" s="706"/>
      <c r="L438" s="772" t="s">
        <v>805</v>
      </c>
      <c r="M438" s="772" t="s">
        <v>855</v>
      </c>
      <c r="N438" s="771">
        <v>12</v>
      </c>
      <c r="O438" s="708" t="s">
        <v>7</v>
      </c>
      <c r="P438" s="769" t="s">
        <v>7</v>
      </c>
      <c r="Q438" s="706"/>
      <c r="R438" s="706"/>
      <c r="S438" s="706"/>
      <c r="T438" s="706"/>
      <c r="U438" s="710">
        <v>0.17349999999999999</v>
      </c>
      <c r="V438" s="707">
        <v>831.41200000000003</v>
      </c>
      <c r="W438" s="710">
        <v>0.15851568816539646</v>
      </c>
      <c r="X438" s="707">
        <v>1005.2850402522522</v>
      </c>
      <c r="Y438" s="707">
        <v>12063.420483027026</v>
      </c>
      <c r="Z438" s="707">
        <v>8851.7493002101819</v>
      </c>
      <c r="AA438" s="707">
        <v>737.64577501751512</v>
      </c>
      <c r="AB438" s="710">
        <v>0.11462692364013863</v>
      </c>
      <c r="AC438" s="769">
        <v>1.209129818011109</v>
      </c>
      <c r="AD438" s="769">
        <v>0.91363509029046963</v>
      </c>
      <c r="AE438" s="707"/>
      <c r="AF438" s="770"/>
      <c r="AG438" s="706"/>
      <c r="AH438" s="769">
        <v>0.7337677827498762</v>
      </c>
      <c r="AI438" s="748"/>
      <c r="AJ438" s="748"/>
      <c r="AK438" s="748"/>
      <c r="AL438" s="769">
        <v>0.7231266820766411</v>
      </c>
      <c r="AM438" s="706"/>
      <c r="AN438" s="706"/>
      <c r="AO438" s="706"/>
      <c r="AP438" s="768">
        <v>549.66739285662504</v>
      </c>
      <c r="AQ438" s="768">
        <v>549.66739285662504</v>
      </c>
      <c r="AR438" s="706"/>
      <c r="AS438" s="738"/>
      <c r="AT438" s="738"/>
      <c r="AU438" s="710">
        <v>0</v>
      </c>
      <c r="AV438" s="710">
        <v>0.11462692364013863</v>
      </c>
      <c r="AW438" s="710">
        <v>0.11462692364013863</v>
      </c>
      <c r="AX438" s="710">
        <v>0.11462692364013863</v>
      </c>
      <c r="AY438" s="710">
        <v>0.11462692364013863</v>
      </c>
      <c r="AZ438" s="710">
        <v>0.11462692364013863</v>
      </c>
      <c r="BA438" s="710">
        <v>0.11462692364013863</v>
      </c>
      <c r="BB438" s="710">
        <v>0.11462692364013863</v>
      </c>
      <c r="BC438" s="710">
        <v>0.11462692364013863</v>
      </c>
      <c r="BD438" s="710">
        <v>0.11462692364013863</v>
      </c>
      <c r="BE438" s="710">
        <v>0.11462692364013863</v>
      </c>
      <c r="BF438" s="710">
        <v>0.11462692364013863</v>
      </c>
      <c r="BG438" s="710">
        <v>0.11462692364013863</v>
      </c>
      <c r="BH438" s="710">
        <v>0</v>
      </c>
      <c r="BI438" s="710">
        <v>0</v>
      </c>
      <c r="BJ438" s="710">
        <v>0</v>
      </c>
      <c r="BK438" s="710">
        <v>0</v>
      </c>
      <c r="BL438" s="710">
        <v>0</v>
      </c>
      <c r="BM438" s="710">
        <v>0</v>
      </c>
      <c r="BN438" s="710">
        <v>0</v>
      </c>
      <c r="BO438" s="710">
        <v>0</v>
      </c>
      <c r="BP438" s="710">
        <v>0</v>
      </c>
      <c r="BQ438" s="710">
        <v>0</v>
      </c>
      <c r="BR438" s="710">
        <v>0</v>
      </c>
      <c r="BS438" s="767"/>
      <c r="BT438" s="767"/>
      <c r="BU438" s="707">
        <v>0</v>
      </c>
      <c r="BV438" s="707">
        <v>737.64577501751512</v>
      </c>
      <c r="BW438" s="707">
        <v>737.64577501751512</v>
      </c>
      <c r="BX438" s="707">
        <v>737.64577501751512</v>
      </c>
      <c r="BY438" s="707">
        <v>737.64577501751512</v>
      </c>
      <c r="BZ438" s="707">
        <v>737.64577501751512</v>
      </c>
      <c r="CA438" s="707">
        <v>737.64577501751512</v>
      </c>
      <c r="CB438" s="707">
        <v>737.64577501751512</v>
      </c>
      <c r="CC438" s="707">
        <v>737.64577501751512</v>
      </c>
      <c r="CD438" s="707">
        <v>737.64577501751512</v>
      </c>
      <c r="CE438" s="707">
        <v>737.64577501751512</v>
      </c>
      <c r="CF438" s="707">
        <v>737.64577501751512</v>
      </c>
      <c r="CG438" s="707">
        <v>737.64577501751512</v>
      </c>
      <c r="CH438" s="707">
        <v>0</v>
      </c>
      <c r="CI438" s="707">
        <v>0</v>
      </c>
      <c r="CJ438" s="707">
        <v>0</v>
      </c>
      <c r="CK438" s="707">
        <v>0</v>
      </c>
      <c r="CL438" s="707">
        <v>0</v>
      </c>
      <c r="CM438" s="707">
        <v>0</v>
      </c>
      <c r="CN438" s="707">
        <v>0</v>
      </c>
      <c r="CO438" s="707">
        <v>0</v>
      </c>
      <c r="CP438" s="707">
        <v>0</v>
      </c>
      <c r="CQ438" s="707">
        <v>0</v>
      </c>
      <c r="CR438" s="707">
        <v>0</v>
      </c>
    </row>
    <row r="439" spans="1:96" s="53" customFormat="1">
      <c r="A439" s="774" t="s">
        <v>3</v>
      </c>
      <c r="B439" s="772">
        <v>41726</v>
      </c>
      <c r="C439" s="771">
        <v>2014</v>
      </c>
      <c r="D439" s="773" t="s">
        <v>1</v>
      </c>
      <c r="E439" s="773" t="s">
        <v>12</v>
      </c>
      <c r="F439" s="773" t="s">
        <v>457</v>
      </c>
      <c r="G439" s="772" t="s">
        <v>656</v>
      </c>
      <c r="H439" s="772" t="s">
        <v>371</v>
      </c>
      <c r="I439" s="773" t="s">
        <v>5</v>
      </c>
      <c r="J439" s="773" t="s">
        <v>376</v>
      </c>
      <c r="K439" s="706"/>
      <c r="L439" s="772" t="s">
        <v>805</v>
      </c>
      <c r="M439" s="772" t="s">
        <v>855</v>
      </c>
      <c r="N439" s="771">
        <v>12</v>
      </c>
      <c r="O439" s="708">
        <v>3</v>
      </c>
      <c r="P439" s="769">
        <v>0.21276595744680871</v>
      </c>
      <c r="Q439" s="706"/>
      <c r="R439" s="706"/>
      <c r="S439" s="706"/>
      <c r="T439" s="706"/>
      <c r="U439" s="710">
        <v>0.28199999999999997</v>
      </c>
      <c r="V439" s="707">
        <v>731.50800000000004</v>
      </c>
      <c r="W439" s="710">
        <v>0.25764509546191239</v>
      </c>
      <c r="X439" s="707">
        <v>884.48813491367036</v>
      </c>
      <c r="Y439" s="707">
        <v>4347.1650886182542</v>
      </c>
      <c r="Z439" s="707">
        <v>3189.8096883230855</v>
      </c>
      <c r="AA439" s="707">
        <v>649.00889762417728</v>
      </c>
      <c r="AB439" s="710">
        <v>0.18631004303469217</v>
      </c>
      <c r="AC439" s="769">
        <v>1.209129818011109</v>
      </c>
      <c r="AD439" s="769">
        <v>0.91363509029046952</v>
      </c>
      <c r="AE439" s="707"/>
      <c r="AF439" s="770"/>
      <c r="AG439" s="706"/>
      <c r="AH439" s="769">
        <v>0.7337677827498762</v>
      </c>
      <c r="AI439" s="748"/>
      <c r="AJ439" s="748"/>
      <c r="AK439" s="748"/>
      <c r="AL439" s="769">
        <v>0.7231266820766411</v>
      </c>
      <c r="AM439" s="706"/>
      <c r="AN439" s="706"/>
      <c r="AO439" s="706"/>
      <c r="AP439" s="768">
        <v>80.603057452014198</v>
      </c>
      <c r="AQ439" s="768">
        <v>483.61834471208516</v>
      </c>
      <c r="AR439" s="706"/>
      <c r="AS439" s="738"/>
      <c r="AT439" s="738"/>
      <c r="AU439" s="710">
        <v>0</v>
      </c>
      <c r="AV439" s="710">
        <v>0.18631004303469217</v>
      </c>
      <c r="AW439" s="710">
        <v>0.18631004303469217</v>
      </c>
      <c r="AX439" s="710">
        <v>0.18631004303469217</v>
      </c>
      <c r="AY439" s="710">
        <v>3.9640434688232411E-2</v>
      </c>
      <c r="AZ439" s="710">
        <v>3.9640434688232411E-2</v>
      </c>
      <c r="BA439" s="710">
        <v>3.9640434688232411E-2</v>
      </c>
      <c r="BB439" s="710">
        <v>3.9640434688232411E-2</v>
      </c>
      <c r="BC439" s="710">
        <v>3.9640434688232411E-2</v>
      </c>
      <c r="BD439" s="710">
        <v>3.9640434688232411E-2</v>
      </c>
      <c r="BE439" s="710">
        <v>3.9640434688232411E-2</v>
      </c>
      <c r="BF439" s="710">
        <v>3.9640434688232411E-2</v>
      </c>
      <c r="BG439" s="710">
        <v>3.9640434688232411E-2</v>
      </c>
      <c r="BH439" s="710">
        <v>0</v>
      </c>
      <c r="BI439" s="710">
        <v>0</v>
      </c>
      <c r="BJ439" s="710">
        <v>0</v>
      </c>
      <c r="BK439" s="710">
        <v>0</v>
      </c>
      <c r="BL439" s="710">
        <v>0</v>
      </c>
      <c r="BM439" s="710">
        <v>0</v>
      </c>
      <c r="BN439" s="710">
        <v>0</v>
      </c>
      <c r="BO439" s="710">
        <v>0</v>
      </c>
      <c r="BP439" s="710">
        <v>0</v>
      </c>
      <c r="BQ439" s="710">
        <v>0</v>
      </c>
      <c r="BR439" s="710">
        <v>0</v>
      </c>
      <c r="BS439" s="767"/>
      <c r="BT439" s="767"/>
      <c r="BU439" s="707">
        <v>0</v>
      </c>
      <c r="BV439" s="707">
        <v>649.00889762417728</v>
      </c>
      <c r="BW439" s="707">
        <v>649.00889762417728</v>
      </c>
      <c r="BX439" s="707">
        <v>649.00889762417728</v>
      </c>
      <c r="BY439" s="707">
        <v>138.08699949450593</v>
      </c>
      <c r="BZ439" s="707">
        <v>138.08699949450593</v>
      </c>
      <c r="CA439" s="707">
        <v>138.08699949450593</v>
      </c>
      <c r="CB439" s="707">
        <v>138.08699949450593</v>
      </c>
      <c r="CC439" s="707">
        <v>138.08699949450593</v>
      </c>
      <c r="CD439" s="707">
        <v>138.08699949450593</v>
      </c>
      <c r="CE439" s="707">
        <v>138.08699949450593</v>
      </c>
      <c r="CF439" s="707">
        <v>138.08699949450593</v>
      </c>
      <c r="CG439" s="707">
        <v>138.08699949450593</v>
      </c>
      <c r="CH439" s="707">
        <v>0</v>
      </c>
      <c r="CI439" s="707">
        <v>0</v>
      </c>
      <c r="CJ439" s="707">
        <v>0</v>
      </c>
      <c r="CK439" s="707">
        <v>0</v>
      </c>
      <c r="CL439" s="707">
        <v>0</v>
      </c>
      <c r="CM439" s="707">
        <v>0</v>
      </c>
      <c r="CN439" s="707">
        <v>0</v>
      </c>
      <c r="CO439" s="707">
        <v>0</v>
      </c>
      <c r="CP439" s="707">
        <v>0</v>
      </c>
      <c r="CQ439" s="707">
        <v>0</v>
      </c>
      <c r="CR439" s="707">
        <v>0</v>
      </c>
    </row>
    <row r="440" spans="1:96" s="53" customFormat="1">
      <c r="A440" s="774" t="s">
        <v>3</v>
      </c>
      <c r="B440" s="772">
        <v>41726</v>
      </c>
      <c r="C440" s="771">
        <v>2014</v>
      </c>
      <c r="D440" s="773" t="s">
        <v>1</v>
      </c>
      <c r="E440" s="773" t="s">
        <v>12</v>
      </c>
      <c r="F440" s="773" t="s">
        <v>457</v>
      </c>
      <c r="G440" s="772" t="s">
        <v>656</v>
      </c>
      <c r="H440" s="772" t="s">
        <v>371</v>
      </c>
      <c r="I440" s="773" t="s">
        <v>5</v>
      </c>
      <c r="J440" s="773" t="s">
        <v>376</v>
      </c>
      <c r="K440" s="706"/>
      <c r="L440" s="772" t="s">
        <v>805</v>
      </c>
      <c r="M440" s="772" t="s">
        <v>855</v>
      </c>
      <c r="N440" s="771">
        <v>12</v>
      </c>
      <c r="O440" s="708">
        <v>3</v>
      </c>
      <c r="P440" s="769">
        <v>0.20689655172413807</v>
      </c>
      <c r="Q440" s="706"/>
      <c r="R440" s="706"/>
      <c r="S440" s="706"/>
      <c r="T440" s="706"/>
      <c r="U440" s="710">
        <v>2.0009999999999999</v>
      </c>
      <c r="V440" s="707">
        <v>5190.5940000000001</v>
      </c>
      <c r="W440" s="710">
        <v>1.8281838156712296</v>
      </c>
      <c r="X440" s="707">
        <v>6276.1019785895542</v>
      </c>
      <c r="Y440" s="707">
        <v>30514.840654521631</v>
      </c>
      <c r="Z440" s="707">
        <v>22390.806968034121</v>
      </c>
      <c r="AA440" s="707">
        <v>4605.2014331417686</v>
      </c>
      <c r="AB440" s="710">
        <v>1.3220084968525498</v>
      </c>
      <c r="AC440" s="769">
        <v>1.209129818011109</v>
      </c>
      <c r="AD440" s="769">
        <v>0.91363509029046963</v>
      </c>
      <c r="AE440" s="707"/>
      <c r="AF440" s="770"/>
      <c r="AG440" s="706"/>
      <c r="AH440" s="769">
        <v>0.7337677827498762</v>
      </c>
      <c r="AI440" s="748"/>
      <c r="AJ440" s="748"/>
      <c r="AK440" s="748"/>
      <c r="AL440" s="769">
        <v>0.7231266820766411</v>
      </c>
      <c r="AM440" s="706"/>
      <c r="AN440" s="706"/>
      <c r="AO440" s="706"/>
      <c r="AP440" s="768">
        <v>49.733801406561945</v>
      </c>
      <c r="AQ440" s="768">
        <v>3431.632297052774</v>
      </c>
      <c r="AR440" s="706"/>
      <c r="AS440" s="738"/>
      <c r="AT440" s="738"/>
      <c r="AU440" s="710">
        <v>0</v>
      </c>
      <c r="AV440" s="710">
        <v>1.3220084968525498</v>
      </c>
      <c r="AW440" s="710">
        <v>1.3220084968525498</v>
      </c>
      <c r="AX440" s="710">
        <v>1.3220084968525498</v>
      </c>
      <c r="AY440" s="710">
        <v>0.27351899934880358</v>
      </c>
      <c r="AZ440" s="710">
        <v>0.27351899934880358</v>
      </c>
      <c r="BA440" s="710">
        <v>0.27351899934880358</v>
      </c>
      <c r="BB440" s="710">
        <v>0.27351899934880358</v>
      </c>
      <c r="BC440" s="710">
        <v>0.27351899934880358</v>
      </c>
      <c r="BD440" s="710">
        <v>0.27351899934880358</v>
      </c>
      <c r="BE440" s="710">
        <v>0.27351899934880358</v>
      </c>
      <c r="BF440" s="710">
        <v>0.27351899934880358</v>
      </c>
      <c r="BG440" s="710">
        <v>0.27351899934880358</v>
      </c>
      <c r="BH440" s="710">
        <v>0</v>
      </c>
      <c r="BI440" s="710">
        <v>0</v>
      </c>
      <c r="BJ440" s="710">
        <v>0</v>
      </c>
      <c r="BK440" s="710">
        <v>0</v>
      </c>
      <c r="BL440" s="710">
        <v>0</v>
      </c>
      <c r="BM440" s="710">
        <v>0</v>
      </c>
      <c r="BN440" s="710">
        <v>0</v>
      </c>
      <c r="BO440" s="710">
        <v>0</v>
      </c>
      <c r="BP440" s="710">
        <v>0</v>
      </c>
      <c r="BQ440" s="710">
        <v>0</v>
      </c>
      <c r="BR440" s="710">
        <v>0</v>
      </c>
      <c r="BS440" s="767"/>
      <c r="BT440" s="767"/>
      <c r="BU440" s="707">
        <v>0</v>
      </c>
      <c r="BV440" s="707">
        <v>4605.2014331417686</v>
      </c>
      <c r="BW440" s="707">
        <v>4605.2014331417686</v>
      </c>
      <c r="BX440" s="707">
        <v>4605.2014331417686</v>
      </c>
      <c r="BY440" s="707">
        <v>952.80029651209065</v>
      </c>
      <c r="BZ440" s="707">
        <v>952.80029651209065</v>
      </c>
      <c r="CA440" s="707">
        <v>952.80029651209065</v>
      </c>
      <c r="CB440" s="707">
        <v>952.80029651209065</v>
      </c>
      <c r="CC440" s="707">
        <v>952.80029651209065</v>
      </c>
      <c r="CD440" s="707">
        <v>952.80029651209065</v>
      </c>
      <c r="CE440" s="707">
        <v>952.80029651209065</v>
      </c>
      <c r="CF440" s="707">
        <v>952.80029651209065</v>
      </c>
      <c r="CG440" s="707">
        <v>952.80029651209065</v>
      </c>
      <c r="CH440" s="707">
        <v>0</v>
      </c>
      <c r="CI440" s="707">
        <v>0</v>
      </c>
      <c r="CJ440" s="707">
        <v>0</v>
      </c>
      <c r="CK440" s="707">
        <v>0</v>
      </c>
      <c r="CL440" s="707">
        <v>0</v>
      </c>
      <c r="CM440" s="707">
        <v>0</v>
      </c>
      <c r="CN440" s="707">
        <v>0</v>
      </c>
      <c r="CO440" s="707">
        <v>0</v>
      </c>
      <c r="CP440" s="707">
        <v>0</v>
      </c>
      <c r="CQ440" s="707">
        <v>0</v>
      </c>
      <c r="CR440" s="707">
        <v>0</v>
      </c>
    </row>
    <row r="441" spans="1:96" s="53" customFormat="1">
      <c r="A441" s="774" t="s">
        <v>3</v>
      </c>
      <c r="B441" s="772">
        <v>41726</v>
      </c>
      <c r="C441" s="771">
        <v>2014</v>
      </c>
      <c r="D441" s="773" t="s">
        <v>1</v>
      </c>
      <c r="E441" s="773" t="s">
        <v>12</v>
      </c>
      <c r="F441" s="773" t="s">
        <v>457</v>
      </c>
      <c r="G441" s="772" t="s">
        <v>656</v>
      </c>
      <c r="H441" s="772" t="s">
        <v>371</v>
      </c>
      <c r="I441" s="773" t="s">
        <v>5</v>
      </c>
      <c r="J441" s="773" t="s">
        <v>376</v>
      </c>
      <c r="K441" s="706"/>
      <c r="L441" s="772" t="s">
        <v>805</v>
      </c>
      <c r="M441" s="772" t="s">
        <v>855</v>
      </c>
      <c r="N441" s="771">
        <v>12</v>
      </c>
      <c r="O441" s="708">
        <v>3</v>
      </c>
      <c r="P441" s="769">
        <v>0.2333333333333335</v>
      </c>
      <c r="Q441" s="706"/>
      <c r="R441" s="706"/>
      <c r="S441" s="706"/>
      <c r="T441" s="706"/>
      <c r="U441" s="710">
        <v>2.13</v>
      </c>
      <c r="V441" s="707">
        <v>5525.22</v>
      </c>
      <c r="W441" s="710">
        <v>1.9460427423187003</v>
      </c>
      <c r="X441" s="707">
        <v>6680.7082530713396</v>
      </c>
      <c r="Y441" s="707">
        <v>34071.612090663846</v>
      </c>
      <c r="Z441" s="707">
        <v>25000.651258480284</v>
      </c>
      <c r="AA441" s="707">
        <v>4902.0884820549554</v>
      </c>
      <c r="AB441" s="710">
        <v>1.4072354314322497</v>
      </c>
      <c r="AC441" s="769">
        <v>1.209129818011109</v>
      </c>
      <c r="AD441" s="769">
        <v>0.91363509029046974</v>
      </c>
      <c r="AE441" s="707"/>
      <c r="AF441" s="770"/>
      <c r="AG441" s="706"/>
      <c r="AH441" s="769">
        <v>0.7337677827498762</v>
      </c>
      <c r="AI441" s="748"/>
      <c r="AJ441" s="748"/>
      <c r="AK441" s="748"/>
      <c r="AL441" s="769">
        <v>0.7231266820766411</v>
      </c>
      <c r="AM441" s="706"/>
      <c r="AN441" s="706"/>
      <c r="AO441" s="706"/>
      <c r="AP441" s="768">
        <v>51.448760075753739</v>
      </c>
      <c r="AQ441" s="768">
        <v>3652.8619653785154</v>
      </c>
      <c r="AR441" s="706"/>
      <c r="AS441" s="738"/>
      <c r="AT441" s="738"/>
      <c r="AU441" s="710">
        <v>0</v>
      </c>
      <c r="AV441" s="710">
        <v>1.4072354314322497</v>
      </c>
      <c r="AW441" s="710">
        <v>1.4072354314322497</v>
      </c>
      <c r="AX441" s="710">
        <v>1.4072354314322497</v>
      </c>
      <c r="AY441" s="710">
        <v>0.32835493400085852</v>
      </c>
      <c r="AZ441" s="710">
        <v>0.32835493400085852</v>
      </c>
      <c r="BA441" s="710">
        <v>0.32835493400085852</v>
      </c>
      <c r="BB441" s="710">
        <v>0.32835493400085852</v>
      </c>
      <c r="BC441" s="710">
        <v>0.32835493400085852</v>
      </c>
      <c r="BD441" s="710">
        <v>0.32835493400085852</v>
      </c>
      <c r="BE441" s="710">
        <v>0.32835493400085852</v>
      </c>
      <c r="BF441" s="710">
        <v>0.32835493400085852</v>
      </c>
      <c r="BG441" s="710">
        <v>0.32835493400085852</v>
      </c>
      <c r="BH441" s="710">
        <v>0</v>
      </c>
      <c r="BI441" s="710">
        <v>0</v>
      </c>
      <c r="BJ441" s="710">
        <v>0</v>
      </c>
      <c r="BK441" s="710">
        <v>0</v>
      </c>
      <c r="BL441" s="710">
        <v>0</v>
      </c>
      <c r="BM441" s="710">
        <v>0</v>
      </c>
      <c r="BN441" s="710">
        <v>0</v>
      </c>
      <c r="BO441" s="710">
        <v>0</v>
      </c>
      <c r="BP441" s="710">
        <v>0</v>
      </c>
      <c r="BQ441" s="710">
        <v>0</v>
      </c>
      <c r="BR441" s="710">
        <v>0</v>
      </c>
      <c r="BS441" s="767"/>
      <c r="BT441" s="767"/>
      <c r="BU441" s="707">
        <v>0</v>
      </c>
      <c r="BV441" s="707">
        <v>4902.0884820549554</v>
      </c>
      <c r="BW441" s="707">
        <v>4902.0884820549554</v>
      </c>
      <c r="BX441" s="707">
        <v>4902.0884820549554</v>
      </c>
      <c r="BY441" s="707">
        <v>1143.8206458128238</v>
      </c>
      <c r="BZ441" s="707">
        <v>1143.8206458128238</v>
      </c>
      <c r="CA441" s="707">
        <v>1143.8206458128238</v>
      </c>
      <c r="CB441" s="707">
        <v>1143.8206458128238</v>
      </c>
      <c r="CC441" s="707">
        <v>1143.8206458128238</v>
      </c>
      <c r="CD441" s="707">
        <v>1143.8206458128238</v>
      </c>
      <c r="CE441" s="707">
        <v>1143.8206458128238</v>
      </c>
      <c r="CF441" s="707">
        <v>1143.8206458128238</v>
      </c>
      <c r="CG441" s="707">
        <v>1143.8206458128238</v>
      </c>
      <c r="CH441" s="707">
        <v>0</v>
      </c>
      <c r="CI441" s="707">
        <v>0</v>
      </c>
      <c r="CJ441" s="707">
        <v>0</v>
      </c>
      <c r="CK441" s="707">
        <v>0</v>
      </c>
      <c r="CL441" s="707">
        <v>0</v>
      </c>
      <c r="CM441" s="707">
        <v>0</v>
      </c>
      <c r="CN441" s="707">
        <v>0</v>
      </c>
      <c r="CO441" s="707">
        <v>0</v>
      </c>
      <c r="CP441" s="707">
        <v>0</v>
      </c>
      <c r="CQ441" s="707">
        <v>0</v>
      </c>
      <c r="CR441" s="707">
        <v>0</v>
      </c>
    </row>
    <row r="442" spans="1:96" s="53" customFormat="1">
      <c r="A442" s="774" t="s">
        <v>3</v>
      </c>
      <c r="B442" s="772">
        <v>41680</v>
      </c>
      <c r="C442" s="771">
        <v>2014</v>
      </c>
      <c r="D442" s="773" t="s">
        <v>1</v>
      </c>
      <c r="E442" s="773" t="s">
        <v>12</v>
      </c>
      <c r="F442" s="773" t="s">
        <v>457</v>
      </c>
      <c r="G442" s="772" t="s">
        <v>656</v>
      </c>
      <c r="H442" s="772" t="s">
        <v>371</v>
      </c>
      <c r="I442" s="773" t="s">
        <v>5</v>
      </c>
      <c r="J442" s="773" t="s">
        <v>376</v>
      </c>
      <c r="K442" s="706"/>
      <c r="L442" s="772" t="s">
        <v>854</v>
      </c>
      <c r="M442" s="772" t="s">
        <v>853</v>
      </c>
      <c r="N442" s="771">
        <v>13</v>
      </c>
      <c r="O442" s="708">
        <v>0</v>
      </c>
      <c r="P442" s="769">
        <v>0.71848773221682527</v>
      </c>
      <c r="Q442" s="706"/>
      <c r="R442" s="706"/>
      <c r="S442" s="706"/>
      <c r="T442" s="706"/>
      <c r="U442" s="710">
        <v>0</v>
      </c>
      <c r="V442" s="707">
        <v>0</v>
      </c>
      <c r="W442" s="710">
        <v>0</v>
      </c>
      <c r="X442" s="707">
        <v>0</v>
      </c>
      <c r="Y442" s="707">
        <v>0</v>
      </c>
      <c r="Z442" s="707">
        <v>0</v>
      </c>
      <c r="AA442" s="707">
        <v>0</v>
      </c>
      <c r="AB442" s="710">
        <v>0</v>
      </c>
      <c r="AC442" s="769">
        <v>0</v>
      </c>
      <c r="AD442" s="769">
        <v>0</v>
      </c>
      <c r="AE442" s="707"/>
      <c r="AF442" s="770"/>
      <c r="AG442" s="706"/>
      <c r="AH442" s="769">
        <v>0.79199768730116782</v>
      </c>
      <c r="AI442" s="748"/>
      <c r="AJ442" s="748"/>
      <c r="AK442" s="748"/>
      <c r="AL442" s="769">
        <v>0.80349226016608544</v>
      </c>
      <c r="AM442" s="706"/>
      <c r="AN442" s="706"/>
      <c r="AO442" s="706"/>
      <c r="AP442" s="768">
        <v>0</v>
      </c>
      <c r="AQ442" s="768">
        <v>0</v>
      </c>
      <c r="AR442" s="706"/>
      <c r="AS442" s="738"/>
      <c r="AT442" s="738"/>
      <c r="AU442" s="710">
        <v>0</v>
      </c>
      <c r="AV442" s="710">
        <v>0</v>
      </c>
      <c r="AW442" s="710">
        <v>0</v>
      </c>
      <c r="AX442" s="710">
        <v>0</v>
      </c>
      <c r="AY442" s="710">
        <v>0</v>
      </c>
      <c r="AZ442" s="710">
        <v>0</v>
      </c>
      <c r="BA442" s="710">
        <v>0</v>
      </c>
      <c r="BB442" s="710">
        <v>0</v>
      </c>
      <c r="BC442" s="710">
        <v>0</v>
      </c>
      <c r="BD442" s="710">
        <v>0</v>
      </c>
      <c r="BE442" s="710">
        <v>0</v>
      </c>
      <c r="BF442" s="710">
        <v>0</v>
      </c>
      <c r="BG442" s="710">
        <v>0</v>
      </c>
      <c r="BH442" s="710">
        <v>0</v>
      </c>
      <c r="BI442" s="710">
        <v>0</v>
      </c>
      <c r="BJ442" s="710">
        <v>0</v>
      </c>
      <c r="BK442" s="710">
        <v>0</v>
      </c>
      <c r="BL442" s="710">
        <v>0</v>
      </c>
      <c r="BM442" s="710">
        <v>0</v>
      </c>
      <c r="BN442" s="710">
        <v>0</v>
      </c>
      <c r="BO442" s="710">
        <v>0</v>
      </c>
      <c r="BP442" s="710">
        <v>0</v>
      </c>
      <c r="BQ442" s="710">
        <v>0</v>
      </c>
      <c r="BR442" s="710">
        <v>0</v>
      </c>
      <c r="BS442" s="767"/>
      <c r="BT442" s="767"/>
      <c r="BU442" s="707">
        <v>0</v>
      </c>
      <c r="BV442" s="707">
        <v>0</v>
      </c>
      <c r="BW442" s="707">
        <v>0</v>
      </c>
      <c r="BX442" s="707">
        <v>0</v>
      </c>
      <c r="BY442" s="707">
        <v>0</v>
      </c>
      <c r="BZ442" s="707">
        <v>0</v>
      </c>
      <c r="CA442" s="707">
        <v>0</v>
      </c>
      <c r="CB442" s="707">
        <v>0</v>
      </c>
      <c r="CC442" s="707">
        <v>0</v>
      </c>
      <c r="CD442" s="707">
        <v>0</v>
      </c>
      <c r="CE442" s="707">
        <v>0</v>
      </c>
      <c r="CF442" s="707">
        <v>0</v>
      </c>
      <c r="CG442" s="707">
        <v>0</v>
      </c>
      <c r="CH442" s="707">
        <v>0</v>
      </c>
      <c r="CI442" s="707">
        <v>0</v>
      </c>
      <c r="CJ442" s="707">
        <v>0</v>
      </c>
      <c r="CK442" s="707">
        <v>0</v>
      </c>
      <c r="CL442" s="707">
        <v>0</v>
      </c>
      <c r="CM442" s="707">
        <v>0</v>
      </c>
      <c r="CN442" s="707">
        <v>0</v>
      </c>
      <c r="CO442" s="707">
        <v>0</v>
      </c>
      <c r="CP442" s="707">
        <v>0</v>
      </c>
      <c r="CQ442" s="707">
        <v>0</v>
      </c>
      <c r="CR442" s="707">
        <v>0</v>
      </c>
    </row>
    <row r="443" spans="1:96" s="53" customFormat="1">
      <c r="A443" s="774" t="s">
        <v>3</v>
      </c>
      <c r="B443" s="772">
        <v>41680</v>
      </c>
      <c r="C443" s="771">
        <v>2014</v>
      </c>
      <c r="D443" s="773" t="s">
        <v>1</v>
      </c>
      <c r="E443" s="773" t="s">
        <v>12</v>
      </c>
      <c r="F443" s="773" t="s">
        <v>457</v>
      </c>
      <c r="G443" s="772" t="s">
        <v>656</v>
      </c>
      <c r="H443" s="772" t="s">
        <v>371</v>
      </c>
      <c r="I443" s="773" t="s">
        <v>5</v>
      </c>
      <c r="J443" s="773" t="s">
        <v>376</v>
      </c>
      <c r="K443" s="706"/>
      <c r="L443" s="772" t="s">
        <v>854</v>
      </c>
      <c r="M443" s="772" t="s">
        <v>853</v>
      </c>
      <c r="N443" s="771">
        <v>20</v>
      </c>
      <c r="O443" s="708" t="s">
        <v>7</v>
      </c>
      <c r="P443" s="769" t="s">
        <v>7</v>
      </c>
      <c r="Q443" s="706"/>
      <c r="R443" s="706"/>
      <c r="S443" s="706"/>
      <c r="T443" s="706"/>
      <c r="U443" s="710">
        <v>1.3939999999999999</v>
      </c>
      <c r="V443" s="707">
        <v>3616.0360000000001</v>
      </c>
      <c r="W443" s="710">
        <v>1.3048588374540315</v>
      </c>
      <c r="X443" s="707">
        <v>4649.2512183231311</v>
      </c>
      <c r="Y443" s="707">
        <v>92985.024366462618</v>
      </c>
      <c r="Z443" s="707">
        <v>73643.924251881137</v>
      </c>
      <c r="AA443" s="707">
        <v>3682.1962125940568</v>
      </c>
      <c r="AB443" s="710">
        <v>1.0484439765036304</v>
      </c>
      <c r="AC443" s="769">
        <v>1.2857314524310961</v>
      </c>
      <c r="AD443" s="769">
        <v>0.93605368540461376</v>
      </c>
      <c r="AE443" s="707"/>
      <c r="AF443" s="770"/>
      <c r="AG443" s="706"/>
      <c r="AH443" s="769">
        <v>0.79199768730116782</v>
      </c>
      <c r="AI443" s="748"/>
      <c r="AJ443" s="748"/>
      <c r="AK443" s="748"/>
      <c r="AL443" s="769">
        <v>0.80349226016608544</v>
      </c>
      <c r="AM443" s="706"/>
      <c r="AN443" s="706"/>
      <c r="AO443" s="706"/>
      <c r="AP443" s="768">
        <v>33.061901057157641</v>
      </c>
      <c r="AQ443" s="768">
        <v>1355.5379433434632</v>
      </c>
      <c r="AR443" s="706"/>
      <c r="AS443" s="738"/>
      <c r="AT443" s="738"/>
      <c r="AU443" s="710">
        <v>0</v>
      </c>
      <c r="AV443" s="710">
        <v>1.0484439765036304</v>
      </c>
      <c r="AW443" s="710">
        <v>1.0484439765036304</v>
      </c>
      <c r="AX443" s="710">
        <v>1.0484439765036304</v>
      </c>
      <c r="AY443" s="710">
        <v>1.0484439765036304</v>
      </c>
      <c r="AZ443" s="710">
        <v>1.0484439765036304</v>
      </c>
      <c r="BA443" s="710">
        <v>1.0484439765036304</v>
      </c>
      <c r="BB443" s="710">
        <v>1.0484439765036304</v>
      </c>
      <c r="BC443" s="710">
        <v>1.0484439765036304</v>
      </c>
      <c r="BD443" s="710">
        <v>1.0484439765036304</v>
      </c>
      <c r="BE443" s="710">
        <v>1.0484439765036304</v>
      </c>
      <c r="BF443" s="710">
        <v>1.0484439765036304</v>
      </c>
      <c r="BG443" s="710">
        <v>1.0484439765036304</v>
      </c>
      <c r="BH443" s="710">
        <v>1.0484439765036304</v>
      </c>
      <c r="BI443" s="710">
        <v>1.0484439765036304</v>
      </c>
      <c r="BJ443" s="710">
        <v>1.0484439765036304</v>
      </c>
      <c r="BK443" s="710">
        <v>1.0484439765036304</v>
      </c>
      <c r="BL443" s="710">
        <v>1.0484439765036304</v>
      </c>
      <c r="BM443" s="710">
        <v>1.0484439765036304</v>
      </c>
      <c r="BN443" s="710">
        <v>1.0484439765036304</v>
      </c>
      <c r="BO443" s="710">
        <v>1.0484439765036304</v>
      </c>
      <c r="BP443" s="710">
        <v>0</v>
      </c>
      <c r="BQ443" s="710">
        <v>0</v>
      </c>
      <c r="BR443" s="710">
        <v>0</v>
      </c>
      <c r="BS443" s="767"/>
      <c r="BT443" s="767"/>
      <c r="BU443" s="707">
        <v>0</v>
      </c>
      <c r="BV443" s="707">
        <v>3682.1962125940568</v>
      </c>
      <c r="BW443" s="707">
        <v>3682.1962125940568</v>
      </c>
      <c r="BX443" s="707">
        <v>3682.1962125940568</v>
      </c>
      <c r="BY443" s="707">
        <v>3682.1962125940568</v>
      </c>
      <c r="BZ443" s="707">
        <v>3682.1962125940568</v>
      </c>
      <c r="CA443" s="707">
        <v>3682.1962125940568</v>
      </c>
      <c r="CB443" s="707">
        <v>3682.1962125940568</v>
      </c>
      <c r="CC443" s="707">
        <v>3682.1962125940568</v>
      </c>
      <c r="CD443" s="707">
        <v>3682.1962125940568</v>
      </c>
      <c r="CE443" s="707">
        <v>3682.1962125940568</v>
      </c>
      <c r="CF443" s="707">
        <v>3682.1962125940568</v>
      </c>
      <c r="CG443" s="707">
        <v>3682.1962125940568</v>
      </c>
      <c r="CH443" s="707">
        <v>3682.1962125940568</v>
      </c>
      <c r="CI443" s="707">
        <v>3682.1962125940568</v>
      </c>
      <c r="CJ443" s="707">
        <v>3682.1962125940568</v>
      </c>
      <c r="CK443" s="707">
        <v>3682.1962125940568</v>
      </c>
      <c r="CL443" s="707">
        <v>3682.1962125940568</v>
      </c>
      <c r="CM443" s="707">
        <v>3682.1962125940568</v>
      </c>
      <c r="CN443" s="707">
        <v>3682.1962125940568</v>
      </c>
      <c r="CO443" s="707">
        <v>3682.1962125940568</v>
      </c>
      <c r="CP443" s="707">
        <v>0</v>
      </c>
      <c r="CQ443" s="707">
        <v>0</v>
      </c>
      <c r="CR443" s="707">
        <v>0</v>
      </c>
    </row>
    <row r="444" spans="1:96" s="53" customFormat="1">
      <c r="A444" s="774" t="s">
        <v>3</v>
      </c>
      <c r="B444" s="772">
        <v>41680</v>
      </c>
      <c r="C444" s="771">
        <v>2014</v>
      </c>
      <c r="D444" s="773" t="s">
        <v>1</v>
      </c>
      <c r="E444" s="773" t="s">
        <v>12</v>
      </c>
      <c r="F444" s="773" t="s">
        <v>457</v>
      </c>
      <c r="G444" s="772" t="s">
        <v>656</v>
      </c>
      <c r="H444" s="772" t="s">
        <v>371</v>
      </c>
      <c r="I444" s="773" t="s">
        <v>5</v>
      </c>
      <c r="J444" s="773" t="s">
        <v>376</v>
      </c>
      <c r="K444" s="706"/>
      <c r="L444" s="772" t="s">
        <v>854</v>
      </c>
      <c r="M444" s="772" t="s">
        <v>853</v>
      </c>
      <c r="N444" s="771">
        <v>20</v>
      </c>
      <c r="O444" s="708">
        <v>0</v>
      </c>
      <c r="P444" s="769">
        <v>0.71336932734804026</v>
      </c>
      <c r="Q444" s="706"/>
      <c r="R444" s="706"/>
      <c r="S444" s="706"/>
      <c r="T444" s="706"/>
      <c r="U444" s="710">
        <v>8.5955999999999992</v>
      </c>
      <c r="V444" s="707">
        <v>22296.923999999999</v>
      </c>
      <c r="W444" s="710">
        <v>5.7397289873543507</v>
      </c>
      <c r="X444" s="707">
        <v>20450.769493123978</v>
      </c>
      <c r="Y444" s="707">
        <v>409015.38986247958</v>
      </c>
      <c r="Z444" s="707">
        <v>323939.24284166936</v>
      </c>
      <c r="AA444" s="707">
        <v>16196.962142083466</v>
      </c>
      <c r="AB444" s="710">
        <v>4.6118278167901439</v>
      </c>
      <c r="AC444" s="769">
        <v>0.91720138137098994</v>
      </c>
      <c r="AD444" s="769">
        <v>0.66775198791874346</v>
      </c>
      <c r="AE444" s="707"/>
      <c r="AF444" s="770"/>
      <c r="AG444" s="706"/>
      <c r="AH444" s="769">
        <v>0.79199768730116782</v>
      </c>
      <c r="AI444" s="748"/>
      <c r="AJ444" s="748"/>
      <c r="AK444" s="748"/>
      <c r="AL444" s="769">
        <v>0.80349226016608544</v>
      </c>
      <c r="AM444" s="706"/>
      <c r="AN444" s="706"/>
      <c r="AO444" s="706"/>
      <c r="AP444" s="768">
        <v>53.579577942293113</v>
      </c>
      <c r="AQ444" s="768">
        <v>8358.4141589977262</v>
      </c>
      <c r="AR444" s="706"/>
      <c r="AS444" s="738"/>
      <c r="AT444" s="738"/>
      <c r="AU444" s="710">
        <v>0</v>
      </c>
      <c r="AV444" s="710">
        <v>4.6118278167901439</v>
      </c>
      <c r="AW444" s="710">
        <v>4.6118278167901439</v>
      </c>
      <c r="AX444" s="710">
        <v>4.6118278167901439</v>
      </c>
      <c r="AY444" s="710">
        <v>4.6118278167901439</v>
      </c>
      <c r="AZ444" s="710">
        <v>4.6118278167901439</v>
      </c>
      <c r="BA444" s="710">
        <v>4.6118278167901439</v>
      </c>
      <c r="BB444" s="710">
        <v>4.6118278167901439</v>
      </c>
      <c r="BC444" s="710">
        <v>4.6118278167901439</v>
      </c>
      <c r="BD444" s="710">
        <v>4.6118278167901439</v>
      </c>
      <c r="BE444" s="710">
        <v>4.6118278167901439</v>
      </c>
      <c r="BF444" s="710">
        <v>4.6118278167901439</v>
      </c>
      <c r="BG444" s="710">
        <v>4.6118278167901439</v>
      </c>
      <c r="BH444" s="710">
        <v>4.6118278167901439</v>
      </c>
      <c r="BI444" s="710">
        <v>4.6118278167901439</v>
      </c>
      <c r="BJ444" s="710">
        <v>4.6118278167901439</v>
      </c>
      <c r="BK444" s="710">
        <v>4.6118278167901439</v>
      </c>
      <c r="BL444" s="710">
        <v>4.6118278167901439</v>
      </c>
      <c r="BM444" s="710">
        <v>4.6118278167901439</v>
      </c>
      <c r="BN444" s="710">
        <v>4.6118278167901439</v>
      </c>
      <c r="BO444" s="710">
        <v>4.6118278167901439</v>
      </c>
      <c r="BP444" s="710">
        <v>0</v>
      </c>
      <c r="BQ444" s="710">
        <v>0</v>
      </c>
      <c r="BR444" s="710">
        <v>0</v>
      </c>
      <c r="BS444" s="767"/>
      <c r="BT444" s="767"/>
      <c r="BU444" s="707">
        <v>0</v>
      </c>
      <c r="BV444" s="707">
        <v>16196.962142083466</v>
      </c>
      <c r="BW444" s="707">
        <v>16196.962142083466</v>
      </c>
      <c r="BX444" s="707">
        <v>16196.962142083466</v>
      </c>
      <c r="BY444" s="707">
        <v>16196.962142083466</v>
      </c>
      <c r="BZ444" s="707">
        <v>16196.962142083466</v>
      </c>
      <c r="CA444" s="707">
        <v>16196.962142083466</v>
      </c>
      <c r="CB444" s="707">
        <v>16196.962142083466</v>
      </c>
      <c r="CC444" s="707">
        <v>16196.962142083466</v>
      </c>
      <c r="CD444" s="707">
        <v>16196.962142083466</v>
      </c>
      <c r="CE444" s="707">
        <v>16196.962142083466</v>
      </c>
      <c r="CF444" s="707">
        <v>16196.962142083466</v>
      </c>
      <c r="CG444" s="707">
        <v>16196.962142083466</v>
      </c>
      <c r="CH444" s="707">
        <v>16196.962142083466</v>
      </c>
      <c r="CI444" s="707">
        <v>16196.962142083466</v>
      </c>
      <c r="CJ444" s="707">
        <v>16196.962142083466</v>
      </c>
      <c r="CK444" s="707">
        <v>16196.962142083466</v>
      </c>
      <c r="CL444" s="707">
        <v>16196.962142083466</v>
      </c>
      <c r="CM444" s="707">
        <v>16196.962142083466</v>
      </c>
      <c r="CN444" s="707">
        <v>16196.962142083466</v>
      </c>
      <c r="CO444" s="707">
        <v>16196.962142083466</v>
      </c>
      <c r="CP444" s="707">
        <v>0</v>
      </c>
      <c r="CQ444" s="707">
        <v>0</v>
      </c>
      <c r="CR444" s="707">
        <v>0</v>
      </c>
    </row>
    <row r="445" spans="1:96" s="53" customFormat="1">
      <c r="A445" s="774" t="s">
        <v>3</v>
      </c>
      <c r="B445" s="772">
        <v>41680</v>
      </c>
      <c r="C445" s="771">
        <v>2014</v>
      </c>
      <c r="D445" s="773" t="s">
        <v>1</v>
      </c>
      <c r="E445" s="773" t="s">
        <v>12</v>
      </c>
      <c r="F445" s="773" t="s">
        <v>457</v>
      </c>
      <c r="G445" s="772" t="s">
        <v>656</v>
      </c>
      <c r="H445" s="772" t="s">
        <v>371</v>
      </c>
      <c r="I445" s="773" t="s">
        <v>5</v>
      </c>
      <c r="J445" s="773" t="s">
        <v>376</v>
      </c>
      <c r="K445" s="706"/>
      <c r="L445" s="772" t="s">
        <v>854</v>
      </c>
      <c r="M445" s="772" t="s">
        <v>853</v>
      </c>
      <c r="N445" s="771">
        <v>20</v>
      </c>
      <c r="O445" s="708">
        <v>1</v>
      </c>
      <c r="P445" s="769">
        <v>0.60659198231374156</v>
      </c>
      <c r="Q445" s="706"/>
      <c r="R445" s="706"/>
      <c r="S445" s="706"/>
      <c r="T445" s="706"/>
      <c r="U445" s="710">
        <v>15.438000000000001</v>
      </c>
      <c r="V445" s="707">
        <v>40046.171999999999</v>
      </c>
      <c r="W445" s="710">
        <v>14.45079679527643</v>
      </c>
      <c r="X445" s="707">
        <v>51488.622889865495</v>
      </c>
      <c r="Y445" s="707">
        <v>644907.75357186131</v>
      </c>
      <c r="Z445" s="707">
        <v>510765.44935150561</v>
      </c>
      <c r="AA445" s="707">
        <v>40778.870251095446</v>
      </c>
      <c r="AB445" s="710">
        <v>11.611103378237482</v>
      </c>
      <c r="AC445" s="769">
        <v>1.2857314524310963</v>
      </c>
      <c r="AD445" s="769">
        <v>0.93605368540461387</v>
      </c>
      <c r="AE445" s="707"/>
      <c r="AF445" s="770"/>
      <c r="AG445" s="706"/>
      <c r="AH445" s="769">
        <v>0.79199768730116782</v>
      </c>
      <c r="AI445" s="748"/>
      <c r="AJ445" s="748"/>
      <c r="AK445" s="748"/>
      <c r="AL445" s="769">
        <v>0.80349226016608544</v>
      </c>
      <c r="AM445" s="706"/>
      <c r="AN445" s="706"/>
      <c r="AO445" s="706"/>
      <c r="AP445" s="768">
        <v>45.217011739936176</v>
      </c>
      <c r="AQ445" s="768">
        <v>15012.047897658811</v>
      </c>
      <c r="AR445" s="706"/>
      <c r="AS445" s="738"/>
      <c r="AT445" s="738"/>
      <c r="AU445" s="710">
        <v>0</v>
      </c>
      <c r="AV445" s="710">
        <v>11.611103378237482</v>
      </c>
      <c r="AW445" s="710">
        <v>7.0432022150548557</v>
      </c>
      <c r="AX445" s="710">
        <v>7.0432022150548557</v>
      </c>
      <c r="AY445" s="710">
        <v>7.0432022150548557</v>
      </c>
      <c r="AZ445" s="710">
        <v>7.0432022150548557</v>
      </c>
      <c r="BA445" s="710">
        <v>7.0432022150548557</v>
      </c>
      <c r="BB445" s="710">
        <v>7.0432022150548557</v>
      </c>
      <c r="BC445" s="710">
        <v>7.0432022150548557</v>
      </c>
      <c r="BD445" s="710">
        <v>7.0432022150548557</v>
      </c>
      <c r="BE445" s="710">
        <v>7.0432022150548557</v>
      </c>
      <c r="BF445" s="710">
        <v>7.0432022150548557</v>
      </c>
      <c r="BG445" s="710">
        <v>7.0432022150548557</v>
      </c>
      <c r="BH445" s="710">
        <v>7.0432022150548557</v>
      </c>
      <c r="BI445" s="710">
        <v>7.0432022150548557</v>
      </c>
      <c r="BJ445" s="710">
        <v>7.0432022150548557</v>
      </c>
      <c r="BK445" s="710">
        <v>7.0432022150548557</v>
      </c>
      <c r="BL445" s="710">
        <v>7.0432022150548557</v>
      </c>
      <c r="BM445" s="710">
        <v>7.0432022150548557</v>
      </c>
      <c r="BN445" s="710">
        <v>7.0432022150548557</v>
      </c>
      <c r="BO445" s="710">
        <v>7.0432022150548557</v>
      </c>
      <c r="BP445" s="710">
        <v>0</v>
      </c>
      <c r="BQ445" s="710">
        <v>0</v>
      </c>
      <c r="BR445" s="710">
        <v>0</v>
      </c>
      <c r="BS445" s="767"/>
      <c r="BT445" s="767"/>
      <c r="BU445" s="707">
        <v>0</v>
      </c>
      <c r="BV445" s="707">
        <v>40778.870251095446</v>
      </c>
      <c r="BW445" s="707">
        <v>24736.135742126851</v>
      </c>
      <c r="BX445" s="707">
        <v>24736.135742126851</v>
      </c>
      <c r="BY445" s="707">
        <v>24736.135742126851</v>
      </c>
      <c r="BZ445" s="707">
        <v>24736.135742126851</v>
      </c>
      <c r="CA445" s="707">
        <v>24736.135742126851</v>
      </c>
      <c r="CB445" s="707">
        <v>24736.135742126851</v>
      </c>
      <c r="CC445" s="707">
        <v>24736.135742126851</v>
      </c>
      <c r="CD445" s="707">
        <v>24736.135742126851</v>
      </c>
      <c r="CE445" s="707">
        <v>24736.135742126851</v>
      </c>
      <c r="CF445" s="707">
        <v>24736.135742126851</v>
      </c>
      <c r="CG445" s="707">
        <v>24736.135742126851</v>
      </c>
      <c r="CH445" s="707">
        <v>24736.135742126851</v>
      </c>
      <c r="CI445" s="707">
        <v>24736.135742126851</v>
      </c>
      <c r="CJ445" s="707">
        <v>24736.135742126851</v>
      </c>
      <c r="CK445" s="707">
        <v>24736.135742126851</v>
      </c>
      <c r="CL445" s="707">
        <v>24736.135742126851</v>
      </c>
      <c r="CM445" s="707">
        <v>24736.135742126851</v>
      </c>
      <c r="CN445" s="707">
        <v>24736.135742126851</v>
      </c>
      <c r="CO445" s="707">
        <v>24736.135742126851</v>
      </c>
      <c r="CP445" s="707">
        <v>0</v>
      </c>
      <c r="CQ445" s="707">
        <v>0</v>
      </c>
      <c r="CR445" s="707">
        <v>0</v>
      </c>
    </row>
    <row r="446" spans="1:96" s="53" customFormat="1">
      <c r="A446" s="774" t="s">
        <v>3</v>
      </c>
      <c r="B446" s="772">
        <v>41731</v>
      </c>
      <c r="C446" s="771">
        <v>2014</v>
      </c>
      <c r="D446" s="773" t="s">
        <v>1</v>
      </c>
      <c r="E446" s="773" t="s">
        <v>12</v>
      </c>
      <c r="F446" s="773" t="s">
        <v>457</v>
      </c>
      <c r="G446" s="772" t="s">
        <v>665</v>
      </c>
      <c r="H446" s="772" t="s">
        <v>371</v>
      </c>
      <c r="I446" s="773" t="s">
        <v>5</v>
      </c>
      <c r="J446" s="773" t="s">
        <v>376</v>
      </c>
      <c r="K446" s="706"/>
      <c r="L446" s="772" t="s">
        <v>651</v>
      </c>
      <c r="M446" s="772" t="s">
        <v>852</v>
      </c>
      <c r="N446" s="771">
        <v>9.4946198835018958</v>
      </c>
      <c r="O446" s="708">
        <v>6.0000000000000009</v>
      </c>
      <c r="P446" s="769">
        <v>0.89342167347094836</v>
      </c>
      <c r="Q446" s="706"/>
      <c r="R446" s="706"/>
      <c r="S446" s="706"/>
      <c r="T446" s="706"/>
      <c r="U446" s="710">
        <v>2.6</v>
      </c>
      <c r="V446" s="707">
        <v>8258</v>
      </c>
      <c r="W446" s="710">
        <v>1.334024178763306</v>
      </c>
      <c r="X446" s="707">
        <v>5560.156272152708</v>
      </c>
      <c r="Y446" s="707">
        <v>50720.685984224488</v>
      </c>
      <c r="Z446" s="707">
        <v>33200.95403068688</v>
      </c>
      <c r="AA446" s="707">
        <v>3639.5898283511738</v>
      </c>
      <c r="AB446" s="710">
        <v>0.85800085795817016</v>
      </c>
      <c r="AC446" s="769">
        <v>0.67330543377969343</v>
      </c>
      <c r="AD446" s="769">
        <v>0.51308622260127157</v>
      </c>
      <c r="AE446" s="707"/>
      <c r="AF446" s="770"/>
      <c r="AG446" s="706"/>
      <c r="AH446" s="769">
        <v>0.65458408904432563</v>
      </c>
      <c r="AI446" s="748"/>
      <c r="AJ446" s="748"/>
      <c r="AK446" s="748"/>
      <c r="AL446" s="769">
        <v>0.64316739652617949</v>
      </c>
      <c r="AM446" s="706"/>
      <c r="AN446" s="706"/>
      <c r="AO446" s="706"/>
      <c r="AP446" s="768">
        <v>1097.55</v>
      </c>
      <c r="AQ446" s="768">
        <v>1097.55</v>
      </c>
      <c r="AR446" s="706"/>
      <c r="AS446" s="738"/>
      <c r="AT446" s="738"/>
      <c r="AU446" s="710">
        <v>0</v>
      </c>
      <c r="AV446" s="710">
        <v>0.85800085795817016</v>
      </c>
      <c r="AW446" s="710">
        <v>0.85800085795817016</v>
      </c>
      <c r="AX446" s="710">
        <v>0.85800085795817016</v>
      </c>
      <c r="AY446" s="710">
        <v>0.85800085795817016</v>
      </c>
      <c r="AZ446" s="710">
        <v>0.85800085795817016</v>
      </c>
      <c r="BA446" s="710">
        <v>0.85800085795817016</v>
      </c>
      <c r="BB446" s="710">
        <v>0.76655656235649783</v>
      </c>
      <c r="BC446" s="710">
        <v>0.76655656235649783</v>
      </c>
      <c r="BD446" s="710">
        <v>0.76655656235649783</v>
      </c>
      <c r="BE446" s="710">
        <v>0.37915411757038464</v>
      </c>
      <c r="BF446" s="710">
        <v>0</v>
      </c>
      <c r="BG446" s="710">
        <v>0</v>
      </c>
      <c r="BH446" s="710">
        <v>0</v>
      </c>
      <c r="BI446" s="710">
        <v>0</v>
      </c>
      <c r="BJ446" s="710">
        <v>0</v>
      </c>
      <c r="BK446" s="710">
        <v>0</v>
      </c>
      <c r="BL446" s="710">
        <v>0</v>
      </c>
      <c r="BM446" s="710">
        <v>0</v>
      </c>
      <c r="BN446" s="710">
        <v>0</v>
      </c>
      <c r="BO446" s="710">
        <v>0</v>
      </c>
      <c r="BP446" s="710">
        <v>0</v>
      </c>
      <c r="BQ446" s="710">
        <v>0</v>
      </c>
      <c r="BR446" s="710">
        <v>0</v>
      </c>
      <c r="BS446" s="767"/>
      <c r="BT446" s="767"/>
      <c r="BU446" s="707">
        <v>0</v>
      </c>
      <c r="BV446" s="707">
        <v>3639.5898283511738</v>
      </c>
      <c r="BW446" s="707">
        <v>3639.5898283511738</v>
      </c>
      <c r="BX446" s="707">
        <v>3639.5898283511738</v>
      </c>
      <c r="BY446" s="707">
        <v>3639.5898283511738</v>
      </c>
      <c r="BZ446" s="707">
        <v>3639.5898283511738</v>
      </c>
      <c r="CA446" s="707">
        <v>3639.5898283511738</v>
      </c>
      <c r="CB446" s="707">
        <v>3251.6884351933472</v>
      </c>
      <c r="CC446" s="707">
        <v>3251.6884351933472</v>
      </c>
      <c r="CD446" s="707">
        <v>3251.6884351933472</v>
      </c>
      <c r="CE446" s="707">
        <v>1608.3497549997953</v>
      </c>
      <c r="CF446" s="707">
        <v>0</v>
      </c>
      <c r="CG446" s="707">
        <v>0</v>
      </c>
      <c r="CH446" s="707">
        <v>0</v>
      </c>
      <c r="CI446" s="707">
        <v>0</v>
      </c>
      <c r="CJ446" s="707">
        <v>0</v>
      </c>
      <c r="CK446" s="707">
        <v>0</v>
      </c>
      <c r="CL446" s="707">
        <v>0</v>
      </c>
      <c r="CM446" s="707">
        <v>0</v>
      </c>
      <c r="CN446" s="707">
        <v>0</v>
      </c>
      <c r="CO446" s="707">
        <v>0</v>
      </c>
      <c r="CP446" s="707">
        <v>0</v>
      </c>
      <c r="CQ446" s="707">
        <v>0</v>
      </c>
      <c r="CR446" s="707">
        <v>0</v>
      </c>
    </row>
    <row r="447" spans="1:96" s="53" customFormat="1">
      <c r="A447" s="774" t="s">
        <v>3</v>
      </c>
      <c r="B447" s="772">
        <v>41759</v>
      </c>
      <c r="C447" s="771">
        <v>2014</v>
      </c>
      <c r="D447" s="773" t="s">
        <v>1</v>
      </c>
      <c r="E447" s="773" t="s">
        <v>12</v>
      </c>
      <c r="F447" s="773" t="s">
        <v>457</v>
      </c>
      <c r="G447" s="772" t="s">
        <v>661</v>
      </c>
      <c r="H447" s="772" t="s">
        <v>371</v>
      </c>
      <c r="I447" s="773" t="s">
        <v>5</v>
      </c>
      <c r="J447" s="773" t="s">
        <v>376</v>
      </c>
      <c r="K447" s="706"/>
      <c r="L447" s="772" t="s">
        <v>651</v>
      </c>
      <c r="M447" s="772" t="s">
        <v>851</v>
      </c>
      <c r="N447" s="771">
        <v>10.57110211909384</v>
      </c>
      <c r="O447" s="708">
        <v>8.2157863414037848</v>
      </c>
      <c r="P447" s="769">
        <v>0.57011826371785979</v>
      </c>
      <c r="Q447" s="706"/>
      <c r="R447" s="706"/>
      <c r="S447" s="706"/>
      <c r="T447" s="706"/>
      <c r="U447" s="710">
        <v>0</v>
      </c>
      <c r="V447" s="707">
        <v>1937</v>
      </c>
      <c r="W447" s="710">
        <v>0</v>
      </c>
      <c r="X447" s="707">
        <v>1743.6527181997701</v>
      </c>
      <c r="Y447" s="707">
        <v>16666.869950066317</v>
      </c>
      <c r="Z447" s="707">
        <v>11894.063241931255</v>
      </c>
      <c r="AA447" s="707">
        <v>1244.3317650145152</v>
      </c>
      <c r="AB447" s="710">
        <v>0</v>
      </c>
      <c r="AC447" s="769">
        <v>0.90018209509538982</v>
      </c>
      <c r="AD447" s="769">
        <v>0</v>
      </c>
      <c r="AE447" s="707"/>
      <c r="AF447" s="770"/>
      <c r="AG447" s="706"/>
      <c r="AH447" s="769">
        <v>0.71363509030583938</v>
      </c>
      <c r="AI447" s="748"/>
      <c r="AJ447" s="748"/>
      <c r="AK447" s="748"/>
      <c r="AL447" s="769">
        <v>0.77578670773417735</v>
      </c>
      <c r="AM447" s="706"/>
      <c r="AN447" s="706"/>
      <c r="AO447" s="706"/>
      <c r="AP447" s="768">
        <v>249.38822887243467</v>
      </c>
      <c r="AQ447" s="768">
        <v>249.38822887243467</v>
      </c>
      <c r="AR447" s="706"/>
      <c r="AS447" s="738"/>
      <c r="AT447" s="738"/>
      <c r="AU447" s="710">
        <v>0</v>
      </c>
      <c r="AV447" s="710">
        <v>0</v>
      </c>
      <c r="AW447" s="710">
        <v>0</v>
      </c>
      <c r="AX447" s="710">
        <v>0</v>
      </c>
      <c r="AY447" s="710">
        <v>0</v>
      </c>
      <c r="AZ447" s="710">
        <v>0</v>
      </c>
      <c r="BA447" s="710">
        <v>0</v>
      </c>
      <c r="BB447" s="710">
        <v>0</v>
      </c>
      <c r="BC447" s="710">
        <v>0</v>
      </c>
      <c r="BD447" s="710">
        <v>0</v>
      </c>
      <c r="BE447" s="710">
        <v>0</v>
      </c>
      <c r="BF447" s="710">
        <v>0</v>
      </c>
      <c r="BG447" s="710">
        <v>0</v>
      </c>
      <c r="BH447" s="710">
        <v>0</v>
      </c>
      <c r="BI447" s="710">
        <v>0</v>
      </c>
      <c r="BJ447" s="710">
        <v>0</v>
      </c>
      <c r="BK447" s="710">
        <v>0</v>
      </c>
      <c r="BL447" s="710">
        <v>0</v>
      </c>
      <c r="BM447" s="710">
        <v>0</v>
      </c>
      <c r="BN447" s="710">
        <v>0</v>
      </c>
      <c r="BO447" s="710">
        <v>0</v>
      </c>
      <c r="BP447" s="710">
        <v>0</v>
      </c>
      <c r="BQ447" s="710">
        <v>0</v>
      </c>
      <c r="BR447" s="710">
        <v>0</v>
      </c>
      <c r="BS447" s="767"/>
      <c r="BT447" s="767"/>
      <c r="BU447" s="707">
        <v>0</v>
      </c>
      <c r="BV447" s="707">
        <v>1244.3317650145152</v>
      </c>
      <c r="BW447" s="707">
        <v>1244.3317650145152</v>
      </c>
      <c r="BX447" s="707">
        <v>1244.3317650145152</v>
      </c>
      <c r="BY447" s="707">
        <v>1244.3317650145152</v>
      </c>
      <c r="BZ447" s="707">
        <v>1244.3317650145152</v>
      </c>
      <c r="CA447" s="707">
        <v>1244.3317650145152</v>
      </c>
      <c r="CB447" s="707">
        <v>1244.3317650145152</v>
      </c>
      <c r="CC447" s="707">
        <v>1244.3317650145152</v>
      </c>
      <c r="CD447" s="707">
        <v>824.84372398988444</v>
      </c>
      <c r="CE447" s="707">
        <v>709.41626535905527</v>
      </c>
      <c r="CF447" s="707">
        <v>405.14913246619466</v>
      </c>
      <c r="CG447" s="707">
        <v>0</v>
      </c>
      <c r="CH447" s="707">
        <v>0</v>
      </c>
      <c r="CI447" s="707">
        <v>0</v>
      </c>
      <c r="CJ447" s="707">
        <v>0</v>
      </c>
      <c r="CK447" s="707">
        <v>0</v>
      </c>
      <c r="CL447" s="707">
        <v>0</v>
      </c>
      <c r="CM447" s="707">
        <v>0</v>
      </c>
      <c r="CN447" s="707">
        <v>0</v>
      </c>
      <c r="CO447" s="707">
        <v>0</v>
      </c>
      <c r="CP447" s="707">
        <v>0</v>
      </c>
      <c r="CQ447" s="707">
        <v>0</v>
      </c>
      <c r="CR447" s="707">
        <v>0</v>
      </c>
    </row>
    <row r="448" spans="1:96" s="53" customFormat="1">
      <c r="A448" s="774" t="s">
        <v>3</v>
      </c>
      <c r="B448" s="772">
        <v>41759</v>
      </c>
      <c r="C448" s="771">
        <v>2014</v>
      </c>
      <c r="D448" s="773" t="s">
        <v>1</v>
      </c>
      <c r="E448" s="773" t="s">
        <v>12</v>
      </c>
      <c r="F448" s="773" t="s">
        <v>457</v>
      </c>
      <c r="G448" s="772" t="s">
        <v>661</v>
      </c>
      <c r="H448" s="772" t="s">
        <v>371</v>
      </c>
      <c r="I448" s="773" t="s">
        <v>5</v>
      </c>
      <c r="J448" s="773" t="s">
        <v>376</v>
      </c>
      <c r="K448" s="706"/>
      <c r="L448" s="772" t="s">
        <v>651</v>
      </c>
      <c r="M448" s="772" t="s">
        <v>851</v>
      </c>
      <c r="N448" s="771">
        <v>10.57110211909384</v>
      </c>
      <c r="O448" s="708">
        <v>8.2157863414037848</v>
      </c>
      <c r="P448" s="769">
        <v>0.57011826371785979</v>
      </c>
      <c r="Q448" s="706"/>
      <c r="R448" s="706"/>
      <c r="S448" s="706"/>
      <c r="T448" s="706"/>
      <c r="U448" s="710">
        <v>0.9</v>
      </c>
      <c r="V448" s="707">
        <v>5091.75</v>
      </c>
      <c r="W448" s="710">
        <v>0.36745069689343196</v>
      </c>
      <c r="X448" s="707">
        <v>4583.5021827019509</v>
      </c>
      <c r="Y448" s="707">
        <v>43811.840510196256</v>
      </c>
      <c r="Z448" s="707">
        <v>31265.666758958945</v>
      </c>
      <c r="AA448" s="707">
        <v>3270.9479940695187</v>
      </c>
      <c r="AB448" s="710">
        <v>0.28506336639758467</v>
      </c>
      <c r="AC448" s="769">
        <v>0.90018209509538982</v>
      </c>
      <c r="AD448" s="769">
        <v>0.40827855210381325</v>
      </c>
      <c r="AE448" s="707"/>
      <c r="AF448" s="770"/>
      <c r="AG448" s="706"/>
      <c r="AH448" s="769">
        <v>0.71363509030583938</v>
      </c>
      <c r="AI448" s="748"/>
      <c r="AJ448" s="748"/>
      <c r="AK448" s="748"/>
      <c r="AL448" s="769">
        <v>0.77578670773417735</v>
      </c>
      <c r="AM448" s="706"/>
      <c r="AN448" s="706"/>
      <c r="AO448" s="706"/>
      <c r="AP448" s="768">
        <v>655.56144262324176</v>
      </c>
      <c r="AQ448" s="768">
        <v>655.56144262324176</v>
      </c>
      <c r="AR448" s="706"/>
      <c r="AS448" s="738"/>
      <c r="AT448" s="738"/>
      <c r="AU448" s="710">
        <v>0</v>
      </c>
      <c r="AV448" s="710">
        <v>0.28506336639758467</v>
      </c>
      <c r="AW448" s="710">
        <v>0.28506336639758467</v>
      </c>
      <c r="AX448" s="710">
        <v>0.28506336639758467</v>
      </c>
      <c r="AY448" s="710">
        <v>0.28506336639758467</v>
      </c>
      <c r="AZ448" s="710">
        <v>0.28506336639758467</v>
      </c>
      <c r="BA448" s="710">
        <v>0.28506336639758467</v>
      </c>
      <c r="BB448" s="710">
        <v>0.28506336639758467</v>
      </c>
      <c r="BC448" s="710">
        <v>0.28506336639758467</v>
      </c>
      <c r="BD448" s="710">
        <v>0.16251983150015906</v>
      </c>
      <c r="BE448" s="710">
        <v>0.16251983150015906</v>
      </c>
      <c r="BF448" s="710">
        <v>9.2815420164514717E-2</v>
      </c>
      <c r="BG448" s="710">
        <v>0</v>
      </c>
      <c r="BH448" s="710">
        <v>0</v>
      </c>
      <c r="BI448" s="710">
        <v>0</v>
      </c>
      <c r="BJ448" s="710">
        <v>0</v>
      </c>
      <c r="BK448" s="710">
        <v>0</v>
      </c>
      <c r="BL448" s="710">
        <v>0</v>
      </c>
      <c r="BM448" s="710">
        <v>0</v>
      </c>
      <c r="BN448" s="710">
        <v>0</v>
      </c>
      <c r="BO448" s="710">
        <v>0</v>
      </c>
      <c r="BP448" s="710">
        <v>0</v>
      </c>
      <c r="BQ448" s="710">
        <v>0</v>
      </c>
      <c r="BR448" s="710">
        <v>0</v>
      </c>
      <c r="BS448" s="767"/>
      <c r="BT448" s="767"/>
      <c r="BU448" s="707">
        <v>0</v>
      </c>
      <c r="BV448" s="707">
        <v>3270.9479940695187</v>
      </c>
      <c r="BW448" s="707">
        <v>3270.9479940695187</v>
      </c>
      <c r="BX448" s="707">
        <v>3270.9479940695187</v>
      </c>
      <c r="BY448" s="707">
        <v>3270.9479940695187</v>
      </c>
      <c r="BZ448" s="707">
        <v>3270.9479940695187</v>
      </c>
      <c r="CA448" s="707">
        <v>3270.9479940695187</v>
      </c>
      <c r="CB448" s="707">
        <v>3270.9479940695187</v>
      </c>
      <c r="CC448" s="707">
        <v>3270.9479940695187</v>
      </c>
      <c r="CD448" s="707">
        <v>2168.2488547369617</v>
      </c>
      <c r="CE448" s="707">
        <v>1864.8271910903304</v>
      </c>
      <c r="CF448" s="707">
        <v>1065.0067605755016</v>
      </c>
      <c r="CG448" s="707">
        <v>0</v>
      </c>
      <c r="CH448" s="707">
        <v>0</v>
      </c>
      <c r="CI448" s="707">
        <v>0</v>
      </c>
      <c r="CJ448" s="707">
        <v>0</v>
      </c>
      <c r="CK448" s="707">
        <v>0</v>
      </c>
      <c r="CL448" s="707">
        <v>0</v>
      </c>
      <c r="CM448" s="707">
        <v>0</v>
      </c>
      <c r="CN448" s="707">
        <v>0</v>
      </c>
      <c r="CO448" s="707">
        <v>0</v>
      </c>
      <c r="CP448" s="707">
        <v>0</v>
      </c>
      <c r="CQ448" s="707">
        <v>0</v>
      </c>
      <c r="CR448" s="707">
        <v>0</v>
      </c>
    </row>
    <row r="449" spans="1:96" s="53" customFormat="1">
      <c r="A449" s="774" t="s">
        <v>3</v>
      </c>
      <c r="B449" s="772">
        <v>41759</v>
      </c>
      <c r="C449" s="771">
        <v>2014</v>
      </c>
      <c r="D449" s="773" t="s">
        <v>1</v>
      </c>
      <c r="E449" s="773" t="s">
        <v>12</v>
      </c>
      <c r="F449" s="773" t="s">
        <v>457</v>
      </c>
      <c r="G449" s="772" t="s">
        <v>661</v>
      </c>
      <c r="H449" s="772" t="s">
        <v>371</v>
      </c>
      <c r="I449" s="773" t="s">
        <v>5</v>
      </c>
      <c r="J449" s="773" t="s">
        <v>376</v>
      </c>
      <c r="K449" s="706"/>
      <c r="L449" s="772" t="s">
        <v>651</v>
      </c>
      <c r="M449" s="772" t="s">
        <v>851</v>
      </c>
      <c r="N449" s="771">
        <v>10.57110211909384</v>
      </c>
      <c r="O449" s="708">
        <v>8.2157863414037848</v>
      </c>
      <c r="P449" s="769">
        <v>0.57011826371785979</v>
      </c>
      <c r="Q449" s="706"/>
      <c r="R449" s="706"/>
      <c r="S449" s="706"/>
      <c r="T449" s="706"/>
      <c r="U449" s="710">
        <v>1.77</v>
      </c>
      <c r="V449" s="707">
        <v>15505.2</v>
      </c>
      <c r="W449" s="710">
        <v>0.72265303722374952</v>
      </c>
      <c r="X449" s="707">
        <v>13957.503420873039</v>
      </c>
      <c r="Y449" s="707">
        <v>133414.12077943637</v>
      </c>
      <c r="Z449" s="707">
        <v>95208.998130507243</v>
      </c>
      <c r="AA449" s="707">
        <v>9960.5642141987937</v>
      </c>
      <c r="AB449" s="710">
        <v>0.56062462058191653</v>
      </c>
      <c r="AC449" s="769">
        <v>0.90018209509538982</v>
      </c>
      <c r="AD449" s="769">
        <v>0.40827855210381331</v>
      </c>
      <c r="AE449" s="707"/>
      <c r="AF449" s="770"/>
      <c r="AG449" s="706"/>
      <c r="AH449" s="769">
        <v>0.71363509030583938</v>
      </c>
      <c r="AI449" s="748"/>
      <c r="AJ449" s="748"/>
      <c r="AK449" s="748"/>
      <c r="AL449" s="769">
        <v>0.77578670773417735</v>
      </c>
      <c r="AM449" s="706"/>
      <c r="AN449" s="706"/>
      <c r="AO449" s="706"/>
      <c r="AP449" s="768">
        <v>1996.2903285043233</v>
      </c>
      <c r="AQ449" s="768">
        <v>1996.2903285043233</v>
      </c>
      <c r="AR449" s="706"/>
      <c r="AS449" s="738"/>
      <c r="AT449" s="738"/>
      <c r="AU449" s="710">
        <v>0</v>
      </c>
      <c r="AV449" s="710">
        <v>0.56062462058191653</v>
      </c>
      <c r="AW449" s="710">
        <v>0.56062462058191653</v>
      </c>
      <c r="AX449" s="710">
        <v>0.56062462058191653</v>
      </c>
      <c r="AY449" s="710">
        <v>0.56062462058191653</v>
      </c>
      <c r="AZ449" s="710">
        <v>0.56062462058191653</v>
      </c>
      <c r="BA449" s="710">
        <v>0.56062462058191653</v>
      </c>
      <c r="BB449" s="710">
        <v>0.56062462058191653</v>
      </c>
      <c r="BC449" s="710">
        <v>0.56062462058191653</v>
      </c>
      <c r="BD449" s="710">
        <v>0.3196223352836462</v>
      </c>
      <c r="BE449" s="710">
        <v>0.3196223352836462</v>
      </c>
      <c r="BF449" s="710">
        <v>0.18253699299021228</v>
      </c>
      <c r="BG449" s="710">
        <v>0</v>
      </c>
      <c r="BH449" s="710">
        <v>0</v>
      </c>
      <c r="BI449" s="710">
        <v>0</v>
      </c>
      <c r="BJ449" s="710">
        <v>0</v>
      </c>
      <c r="BK449" s="710">
        <v>0</v>
      </c>
      <c r="BL449" s="710">
        <v>0</v>
      </c>
      <c r="BM449" s="710">
        <v>0</v>
      </c>
      <c r="BN449" s="710">
        <v>0</v>
      </c>
      <c r="BO449" s="710">
        <v>0</v>
      </c>
      <c r="BP449" s="710">
        <v>0</v>
      </c>
      <c r="BQ449" s="710">
        <v>0</v>
      </c>
      <c r="BR449" s="710">
        <v>0</v>
      </c>
      <c r="BS449" s="767"/>
      <c r="BT449" s="767"/>
      <c r="BU449" s="707">
        <v>0</v>
      </c>
      <c r="BV449" s="707">
        <v>9960.5642141987937</v>
      </c>
      <c r="BW449" s="707">
        <v>9960.5642141987937</v>
      </c>
      <c r="BX449" s="707">
        <v>9960.5642141987937</v>
      </c>
      <c r="BY449" s="707">
        <v>9960.5642141987937</v>
      </c>
      <c r="BZ449" s="707">
        <v>9960.5642141987937</v>
      </c>
      <c r="CA449" s="707">
        <v>9960.5642141987937</v>
      </c>
      <c r="CB449" s="707">
        <v>9960.5642141987937</v>
      </c>
      <c r="CC449" s="707">
        <v>9960.5642141987937</v>
      </c>
      <c r="CD449" s="707">
        <v>6602.6674802312646</v>
      </c>
      <c r="CE449" s="707">
        <v>5678.6995754492646</v>
      </c>
      <c r="CF449" s="707">
        <v>3243.1173612363668</v>
      </c>
      <c r="CG449" s="707">
        <v>0</v>
      </c>
      <c r="CH449" s="707">
        <v>0</v>
      </c>
      <c r="CI449" s="707">
        <v>0</v>
      </c>
      <c r="CJ449" s="707">
        <v>0</v>
      </c>
      <c r="CK449" s="707">
        <v>0</v>
      </c>
      <c r="CL449" s="707">
        <v>0</v>
      </c>
      <c r="CM449" s="707">
        <v>0</v>
      </c>
      <c r="CN449" s="707">
        <v>0</v>
      </c>
      <c r="CO449" s="707">
        <v>0</v>
      </c>
      <c r="CP449" s="707">
        <v>0</v>
      </c>
      <c r="CQ449" s="707">
        <v>0</v>
      </c>
      <c r="CR449" s="707">
        <v>0</v>
      </c>
    </row>
    <row r="450" spans="1:96" s="53" customFormat="1">
      <c r="A450" s="774" t="s">
        <v>3</v>
      </c>
      <c r="B450" s="772">
        <v>41759</v>
      </c>
      <c r="C450" s="771">
        <v>2014</v>
      </c>
      <c r="D450" s="773" t="s">
        <v>1</v>
      </c>
      <c r="E450" s="773" t="s">
        <v>12</v>
      </c>
      <c r="F450" s="773" t="s">
        <v>457</v>
      </c>
      <c r="G450" s="772" t="s">
        <v>656</v>
      </c>
      <c r="H450" s="772" t="s">
        <v>371</v>
      </c>
      <c r="I450" s="773" t="s">
        <v>5</v>
      </c>
      <c r="J450" s="773" t="s">
        <v>376</v>
      </c>
      <c r="K450" s="706"/>
      <c r="L450" s="772" t="s">
        <v>651</v>
      </c>
      <c r="M450" s="772" t="s">
        <v>851</v>
      </c>
      <c r="N450" s="771">
        <v>20</v>
      </c>
      <c r="O450" s="708" t="s">
        <v>7</v>
      </c>
      <c r="P450" s="769" t="s">
        <v>7</v>
      </c>
      <c r="Q450" s="706"/>
      <c r="R450" s="706"/>
      <c r="S450" s="706"/>
      <c r="T450" s="706"/>
      <c r="U450" s="710">
        <v>0.81599999999999995</v>
      </c>
      <c r="V450" s="707">
        <v>2116.7040000000002</v>
      </c>
      <c r="W450" s="710">
        <v>0.7455262336770232</v>
      </c>
      <c r="X450" s="707">
        <v>2559.3699223033868</v>
      </c>
      <c r="Y450" s="707">
        <v>51187.398446067738</v>
      </c>
      <c r="Z450" s="707">
        <v>37559.663862505578</v>
      </c>
      <c r="AA450" s="707">
        <v>1877.9831931252791</v>
      </c>
      <c r="AB450" s="710">
        <v>0.53910991175996037</v>
      </c>
      <c r="AC450" s="769">
        <v>1.209129818011109</v>
      </c>
      <c r="AD450" s="769">
        <v>0.91363509029046963</v>
      </c>
      <c r="AE450" s="707"/>
      <c r="AF450" s="770"/>
      <c r="AG450" s="706"/>
      <c r="AH450" s="769">
        <v>0.7337677827498762</v>
      </c>
      <c r="AI450" s="748"/>
      <c r="AJ450" s="748"/>
      <c r="AK450" s="748"/>
      <c r="AL450" s="769">
        <v>0.7231266820766411</v>
      </c>
      <c r="AM450" s="706"/>
      <c r="AN450" s="706"/>
      <c r="AO450" s="706"/>
      <c r="AP450" s="768">
        <v>25.754166666666666</v>
      </c>
      <c r="AQ450" s="768">
        <v>618.1</v>
      </c>
      <c r="AR450" s="706"/>
      <c r="AS450" s="738"/>
      <c r="AT450" s="738"/>
      <c r="AU450" s="710">
        <v>0</v>
      </c>
      <c r="AV450" s="710">
        <v>0.53910991175996037</v>
      </c>
      <c r="AW450" s="710">
        <v>0.53910991175996037</v>
      </c>
      <c r="AX450" s="710">
        <v>0.53910991175996037</v>
      </c>
      <c r="AY450" s="710">
        <v>0.53910991175996037</v>
      </c>
      <c r="AZ450" s="710">
        <v>0.53910991175996037</v>
      </c>
      <c r="BA450" s="710">
        <v>0.53910991175996037</v>
      </c>
      <c r="BB450" s="710">
        <v>0.53910991175996037</v>
      </c>
      <c r="BC450" s="710">
        <v>0.53910991175996037</v>
      </c>
      <c r="BD450" s="710">
        <v>0.53910991175996037</v>
      </c>
      <c r="BE450" s="710">
        <v>0.53910991175996037</v>
      </c>
      <c r="BF450" s="710">
        <v>0.53910991175996037</v>
      </c>
      <c r="BG450" s="710">
        <v>0.53910991175996037</v>
      </c>
      <c r="BH450" s="710">
        <v>0.53910991175996037</v>
      </c>
      <c r="BI450" s="710">
        <v>0.53910991175996037</v>
      </c>
      <c r="BJ450" s="710">
        <v>0.53910991175996037</v>
      </c>
      <c r="BK450" s="710">
        <v>0.53910991175996037</v>
      </c>
      <c r="BL450" s="710">
        <v>0.53910991175996037</v>
      </c>
      <c r="BM450" s="710">
        <v>0.53910991175996037</v>
      </c>
      <c r="BN450" s="710">
        <v>0.53910991175996037</v>
      </c>
      <c r="BO450" s="710">
        <v>0.53910991175996037</v>
      </c>
      <c r="BP450" s="710">
        <v>0</v>
      </c>
      <c r="BQ450" s="710">
        <v>0</v>
      </c>
      <c r="BR450" s="710">
        <v>0</v>
      </c>
      <c r="BS450" s="767"/>
      <c r="BT450" s="767"/>
      <c r="BU450" s="707">
        <v>0</v>
      </c>
      <c r="BV450" s="707">
        <v>1877.9831931252791</v>
      </c>
      <c r="BW450" s="707">
        <v>1877.9831931252791</v>
      </c>
      <c r="BX450" s="707">
        <v>1877.9831931252791</v>
      </c>
      <c r="BY450" s="707">
        <v>1877.9831931252791</v>
      </c>
      <c r="BZ450" s="707">
        <v>1877.9831931252791</v>
      </c>
      <c r="CA450" s="707">
        <v>1877.9831931252791</v>
      </c>
      <c r="CB450" s="707">
        <v>1877.9831931252791</v>
      </c>
      <c r="CC450" s="707">
        <v>1877.9831931252791</v>
      </c>
      <c r="CD450" s="707">
        <v>1877.9831931252791</v>
      </c>
      <c r="CE450" s="707">
        <v>1877.9831931252791</v>
      </c>
      <c r="CF450" s="707">
        <v>1877.9831931252791</v>
      </c>
      <c r="CG450" s="707">
        <v>1877.9831931252791</v>
      </c>
      <c r="CH450" s="707">
        <v>1877.9831931252791</v>
      </c>
      <c r="CI450" s="707">
        <v>1877.9831931252791</v>
      </c>
      <c r="CJ450" s="707">
        <v>1877.9831931252791</v>
      </c>
      <c r="CK450" s="707">
        <v>1877.9831931252791</v>
      </c>
      <c r="CL450" s="707">
        <v>1877.9831931252791</v>
      </c>
      <c r="CM450" s="707">
        <v>1877.9831931252791</v>
      </c>
      <c r="CN450" s="707">
        <v>1877.9831931252791</v>
      </c>
      <c r="CO450" s="707">
        <v>1877.9831931252791</v>
      </c>
      <c r="CP450" s="707">
        <v>0</v>
      </c>
      <c r="CQ450" s="707">
        <v>0</v>
      </c>
      <c r="CR450" s="707">
        <v>0</v>
      </c>
    </row>
    <row r="451" spans="1:96" s="53" customFormat="1">
      <c r="A451" s="774" t="s">
        <v>3</v>
      </c>
      <c r="B451" s="772">
        <v>42004</v>
      </c>
      <c r="C451" s="771">
        <v>2014</v>
      </c>
      <c r="D451" s="773" t="s">
        <v>1</v>
      </c>
      <c r="E451" s="773" t="s">
        <v>12</v>
      </c>
      <c r="F451" s="773" t="s">
        <v>457</v>
      </c>
      <c r="G451" s="772" t="s">
        <v>661</v>
      </c>
      <c r="H451" s="772" t="s">
        <v>371</v>
      </c>
      <c r="I451" s="773" t="s">
        <v>5</v>
      </c>
      <c r="J451" s="773" t="s">
        <v>376</v>
      </c>
      <c r="K451" s="706"/>
      <c r="L451" s="772" t="s">
        <v>651</v>
      </c>
      <c r="M451" s="772" t="s">
        <v>790</v>
      </c>
      <c r="N451" s="771">
        <v>10.57110211909384</v>
      </c>
      <c r="O451" s="708">
        <v>8.2157863414037848</v>
      </c>
      <c r="P451" s="769">
        <v>0.57011826371785979</v>
      </c>
      <c r="Q451" s="706"/>
      <c r="R451" s="706"/>
      <c r="S451" s="706"/>
      <c r="T451" s="706"/>
      <c r="U451" s="710">
        <v>0</v>
      </c>
      <c r="V451" s="707">
        <v>61852.9</v>
      </c>
      <c r="W451" s="710">
        <v>0</v>
      </c>
      <c r="X451" s="707">
        <v>80511.255718391258</v>
      </c>
      <c r="Y451" s="707">
        <v>769574.47694078158</v>
      </c>
      <c r="Z451" s="707">
        <v>557565.05654920929</v>
      </c>
      <c r="AA451" s="707">
        <v>58331.278118682923</v>
      </c>
      <c r="AB451" s="710">
        <v>0</v>
      </c>
      <c r="AC451" s="769">
        <v>1.3016569266500237</v>
      </c>
      <c r="AD451" s="769">
        <v>0</v>
      </c>
      <c r="AE451" s="707"/>
      <c r="AF451" s="770"/>
      <c r="AG451" s="706"/>
      <c r="AH451" s="769">
        <v>0.72451084756038975</v>
      </c>
      <c r="AI451" s="748"/>
      <c r="AJ451" s="748"/>
      <c r="AK451" s="748"/>
      <c r="AL451" s="769">
        <v>0.69347675508305828</v>
      </c>
      <c r="AM451" s="706"/>
      <c r="AN451" s="706"/>
      <c r="AO451" s="706"/>
      <c r="AP451" s="768">
        <v>23339.990358790717</v>
      </c>
      <c r="AQ451" s="768">
        <v>23339.990358790717</v>
      </c>
      <c r="AR451" s="706"/>
      <c r="AS451" s="738"/>
      <c r="AT451" s="738"/>
      <c r="AU451" s="710">
        <v>0</v>
      </c>
      <c r="AV451" s="710">
        <v>0</v>
      </c>
      <c r="AW451" s="710">
        <v>0</v>
      </c>
      <c r="AX451" s="710">
        <v>0</v>
      </c>
      <c r="AY451" s="710">
        <v>0</v>
      </c>
      <c r="AZ451" s="710">
        <v>0</v>
      </c>
      <c r="BA451" s="710">
        <v>0</v>
      </c>
      <c r="BB451" s="710">
        <v>0</v>
      </c>
      <c r="BC451" s="710">
        <v>0</v>
      </c>
      <c r="BD451" s="710">
        <v>0</v>
      </c>
      <c r="BE451" s="710">
        <v>0</v>
      </c>
      <c r="BF451" s="710">
        <v>0</v>
      </c>
      <c r="BG451" s="710">
        <v>0</v>
      </c>
      <c r="BH451" s="710">
        <v>0</v>
      </c>
      <c r="BI451" s="710">
        <v>0</v>
      </c>
      <c r="BJ451" s="710">
        <v>0</v>
      </c>
      <c r="BK451" s="710">
        <v>0</v>
      </c>
      <c r="BL451" s="710">
        <v>0</v>
      </c>
      <c r="BM451" s="710">
        <v>0</v>
      </c>
      <c r="BN451" s="710">
        <v>0</v>
      </c>
      <c r="BO451" s="710">
        <v>0</v>
      </c>
      <c r="BP451" s="710">
        <v>0</v>
      </c>
      <c r="BQ451" s="710">
        <v>0</v>
      </c>
      <c r="BR451" s="710">
        <v>0</v>
      </c>
      <c r="BS451" s="767"/>
      <c r="BT451" s="767"/>
      <c r="BU451" s="707">
        <v>0</v>
      </c>
      <c r="BV451" s="707">
        <v>58331.278118682923</v>
      </c>
      <c r="BW451" s="707">
        <v>58331.278118682923</v>
      </c>
      <c r="BX451" s="707">
        <v>58331.278118682923</v>
      </c>
      <c r="BY451" s="707">
        <v>58331.278118682923</v>
      </c>
      <c r="BZ451" s="707">
        <v>58331.278118682923</v>
      </c>
      <c r="CA451" s="707">
        <v>58331.278118682923</v>
      </c>
      <c r="CB451" s="707">
        <v>58331.278118682923</v>
      </c>
      <c r="CC451" s="707">
        <v>58331.278118682923</v>
      </c>
      <c r="CD451" s="707">
        <v>38666.688435734686</v>
      </c>
      <c r="CE451" s="707">
        <v>33255.727001467094</v>
      </c>
      <c r="CF451" s="707">
        <v>18992.416162544105</v>
      </c>
      <c r="CG451" s="707">
        <v>0</v>
      </c>
      <c r="CH451" s="707">
        <v>0</v>
      </c>
      <c r="CI451" s="707">
        <v>0</v>
      </c>
      <c r="CJ451" s="707">
        <v>0</v>
      </c>
      <c r="CK451" s="707">
        <v>0</v>
      </c>
      <c r="CL451" s="707">
        <v>0</v>
      </c>
      <c r="CM451" s="707">
        <v>0</v>
      </c>
      <c r="CN451" s="707">
        <v>0</v>
      </c>
      <c r="CO451" s="707">
        <v>0</v>
      </c>
      <c r="CP451" s="707">
        <v>0</v>
      </c>
      <c r="CQ451" s="707">
        <v>0</v>
      </c>
      <c r="CR451" s="707">
        <v>0</v>
      </c>
    </row>
    <row r="452" spans="1:96" s="53" customFormat="1">
      <c r="A452" s="774" t="s">
        <v>3</v>
      </c>
      <c r="B452" s="772">
        <v>42004</v>
      </c>
      <c r="C452" s="771">
        <v>2014</v>
      </c>
      <c r="D452" s="773" t="s">
        <v>1</v>
      </c>
      <c r="E452" s="773" t="s">
        <v>12</v>
      </c>
      <c r="F452" s="773" t="s">
        <v>457</v>
      </c>
      <c r="G452" s="772" t="s">
        <v>661</v>
      </c>
      <c r="H452" s="772" t="s">
        <v>371</v>
      </c>
      <c r="I452" s="773" t="s">
        <v>5</v>
      </c>
      <c r="J452" s="773" t="s">
        <v>376</v>
      </c>
      <c r="K452" s="706"/>
      <c r="L452" s="772" t="s">
        <v>651</v>
      </c>
      <c r="M452" s="772" t="s">
        <v>790</v>
      </c>
      <c r="N452" s="771">
        <v>10.57110211909384</v>
      </c>
      <c r="O452" s="708">
        <v>8.2157863414037848</v>
      </c>
      <c r="P452" s="769">
        <v>0.57011826371785979</v>
      </c>
      <c r="Q452" s="706"/>
      <c r="R452" s="706"/>
      <c r="S452" s="706"/>
      <c r="T452" s="706"/>
      <c r="U452" s="710">
        <v>5.04</v>
      </c>
      <c r="V452" s="707">
        <v>44150.400000000001</v>
      </c>
      <c r="W452" s="710">
        <v>5.9241353804232917</v>
      </c>
      <c r="X452" s="707">
        <v>57468.673974369209</v>
      </c>
      <c r="Y452" s="707">
        <v>549319.77298924187</v>
      </c>
      <c r="Z452" s="707">
        <v>397988.13431011653</v>
      </c>
      <c r="AA452" s="707">
        <v>41636.677689341945</v>
      </c>
      <c r="AB452" s="710">
        <v>4.1082501802886835</v>
      </c>
      <c r="AC452" s="769">
        <v>1.3016569266500237</v>
      </c>
      <c r="AD452" s="769">
        <v>1.175423686591923</v>
      </c>
      <c r="AE452" s="707"/>
      <c r="AF452" s="770"/>
      <c r="AG452" s="706"/>
      <c r="AH452" s="769">
        <v>0.72451084756038975</v>
      </c>
      <c r="AI452" s="748"/>
      <c r="AJ452" s="748"/>
      <c r="AK452" s="748"/>
      <c r="AL452" s="769">
        <v>0.69347675508305828</v>
      </c>
      <c r="AM452" s="706"/>
      <c r="AN452" s="706"/>
      <c r="AO452" s="706"/>
      <c r="AP452" s="768">
        <v>16660.009641209283</v>
      </c>
      <c r="AQ452" s="768">
        <v>16660.009641209283</v>
      </c>
      <c r="AR452" s="706"/>
      <c r="AS452" s="738"/>
      <c r="AT452" s="738"/>
      <c r="AU452" s="710">
        <v>0</v>
      </c>
      <c r="AV452" s="710">
        <v>4.1082501802886835</v>
      </c>
      <c r="AW452" s="710">
        <v>4.1082501802886835</v>
      </c>
      <c r="AX452" s="710">
        <v>4.1082501802886835</v>
      </c>
      <c r="AY452" s="710">
        <v>4.1082501802886835</v>
      </c>
      <c r="AZ452" s="710">
        <v>4.1082501802886835</v>
      </c>
      <c r="BA452" s="710">
        <v>4.1082501802886835</v>
      </c>
      <c r="BB452" s="710">
        <v>4.1082501802886835</v>
      </c>
      <c r="BC452" s="710">
        <v>4.1082501802886835</v>
      </c>
      <c r="BD452" s="710">
        <v>2.3421884597047686</v>
      </c>
      <c r="BE452" s="710">
        <v>2.3421884597047686</v>
      </c>
      <c r="BF452" s="710">
        <v>1.3376287926545314</v>
      </c>
      <c r="BG452" s="710">
        <v>0</v>
      </c>
      <c r="BH452" s="710">
        <v>0</v>
      </c>
      <c r="BI452" s="710">
        <v>0</v>
      </c>
      <c r="BJ452" s="710">
        <v>0</v>
      </c>
      <c r="BK452" s="710">
        <v>0</v>
      </c>
      <c r="BL452" s="710">
        <v>0</v>
      </c>
      <c r="BM452" s="710">
        <v>0</v>
      </c>
      <c r="BN452" s="710">
        <v>0</v>
      </c>
      <c r="BO452" s="710">
        <v>0</v>
      </c>
      <c r="BP452" s="710">
        <v>0</v>
      </c>
      <c r="BQ452" s="710">
        <v>0</v>
      </c>
      <c r="BR452" s="710">
        <v>0</v>
      </c>
      <c r="BS452" s="767"/>
      <c r="BT452" s="767"/>
      <c r="BU452" s="707">
        <v>0</v>
      </c>
      <c r="BV452" s="707">
        <v>41636.677689341945</v>
      </c>
      <c r="BW452" s="707">
        <v>41636.677689341945</v>
      </c>
      <c r="BX452" s="707">
        <v>41636.677689341945</v>
      </c>
      <c r="BY452" s="707">
        <v>41636.677689341945</v>
      </c>
      <c r="BZ452" s="707">
        <v>41636.677689341945</v>
      </c>
      <c r="CA452" s="707">
        <v>41636.677689341945</v>
      </c>
      <c r="CB452" s="707">
        <v>41636.677689341945</v>
      </c>
      <c r="CC452" s="707">
        <v>41636.677689341945</v>
      </c>
      <c r="CD452" s="707">
        <v>27600.157165032855</v>
      </c>
      <c r="CE452" s="707">
        <v>23737.830391227781</v>
      </c>
      <c r="CF452" s="707">
        <v>13556.725239120351</v>
      </c>
      <c r="CG452" s="707">
        <v>0</v>
      </c>
      <c r="CH452" s="707">
        <v>0</v>
      </c>
      <c r="CI452" s="707">
        <v>0</v>
      </c>
      <c r="CJ452" s="707">
        <v>0</v>
      </c>
      <c r="CK452" s="707">
        <v>0</v>
      </c>
      <c r="CL452" s="707">
        <v>0</v>
      </c>
      <c r="CM452" s="707">
        <v>0</v>
      </c>
      <c r="CN452" s="707">
        <v>0</v>
      </c>
      <c r="CO452" s="707">
        <v>0</v>
      </c>
      <c r="CP452" s="707">
        <v>0</v>
      </c>
      <c r="CQ452" s="707">
        <v>0</v>
      </c>
      <c r="CR452" s="707">
        <v>0</v>
      </c>
    </row>
    <row r="453" spans="1:96" s="53" customFormat="1">
      <c r="A453" s="774" t="s">
        <v>3</v>
      </c>
      <c r="B453" s="772">
        <v>41912</v>
      </c>
      <c r="C453" s="771">
        <v>2014</v>
      </c>
      <c r="D453" s="773" t="s">
        <v>1</v>
      </c>
      <c r="E453" s="773" t="s">
        <v>12</v>
      </c>
      <c r="F453" s="773" t="s">
        <v>457</v>
      </c>
      <c r="G453" s="772" t="s">
        <v>661</v>
      </c>
      <c r="H453" s="772" t="s">
        <v>371</v>
      </c>
      <c r="I453" s="773" t="s">
        <v>5</v>
      </c>
      <c r="J453" s="773" t="s">
        <v>376</v>
      </c>
      <c r="K453" s="706"/>
      <c r="L453" s="772" t="s">
        <v>651</v>
      </c>
      <c r="M453" s="772" t="s">
        <v>850</v>
      </c>
      <c r="N453" s="771">
        <v>10.57110211909384</v>
      </c>
      <c r="O453" s="708">
        <v>8.2157863414037848</v>
      </c>
      <c r="P453" s="769">
        <v>0.57011826371785979</v>
      </c>
      <c r="Q453" s="706"/>
      <c r="R453" s="706"/>
      <c r="S453" s="706"/>
      <c r="T453" s="706"/>
      <c r="U453" s="710">
        <v>0</v>
      </c>
      <c r="V453" s="707">
        <v>0</v>
      </c>
      <c r="W453" s="710">
        <v>0</v>
      </c>
      <c r="X453" s="707">
        <v>0</v>
      </c>
      <c r="Y453" s="707">
        <v>0</v>
      </c>
      <c r="Z453" s="707">
        <v>0</v>
      </c>
      <c r="AA453" s="707">
        <v>0</v>
      </c>
      <c r="AB453" s="710">
        <v>0</v>
      </c>
      <c r="AC453" s="769">
        <v>0</v>
      </c>
      <c r="AD453" s="769">
        <v>0</v>
      </c>
      <c r="AE453" s="707"/>
      <c r="AF453" s="770"/>
      <c r="AG453" s="706"/>
      <c r="AH453" s="769">
        <v>0.72451084756038975</v>
      </c>
      <c r="AI453" s="748"/>
      <c r="AJ453" s="748"/>
      <c r="AK453" s="748"/>
      <c r="AL453" s="769">
        <v>0.69347675508305828</v>
      </c>
      <c r="AM453" s="706"/>
      <c r="AN453" s="706"/>
      <c r="AO453" s="706"/>
      <c r="AP453" s="768">
        <v>0</v>
      </c>
      <c r="AQ453" s="768">
        <v>0</v>
      </c>
      <c r="AR453" s="706"/>
      <c r="AS453" s="738"/>
      <c r="AT453" s="738"/>
      <c r="AU453" s="710">
        <v>0</v>
      </c>
      <c r="AV453" s="710">
        <v>0</v>
      </c>
      <c r="AW453" s="710">
        <v>0</v>
      </c>
      <c r="AX453" s="710">
        <v>0</v>
      </c>
      <c r="AY453" s="710">
        <v>0</v>
      </c>
      <c r="AZ453" s="710">
        <v>0</v>
      </c>
      <c r="BA453" s="710">
        <v>0</v>
      </c>
      <c r="BB453" s="710">
        <v>0</v>
      </c>
      <c r="BC453" s="710">
        <v>0</v>
      </c>
      <c r="BD453" s="710">
        <v>0</v>
      </c>
      <c r="BE453" s="710">
        <v>0</v>
      </c>
      <c r="BF453" s="710">
        <v>0</v>
      </c>
      <c r="BG453" s="710">
        <v>0</v>
      </c>
      <c r="BH453" s="710">
        <v>0</v>
      </c>
      <c r="BI453" s="710">
        <v>0</v>
      </c>
      <c r="BJ453" s="710">
        <v>0</v>
      </c>
      <c r="BK453" s="710">
        <v>0</v>
      </c>
      <c r="BL453" s="710">
        <v>0</v>
      </c>
      <c r="BM453" s="710">
        <v>0</v>
      </c>
      <c r="BN453" s="710">
        <v>0</v>
      </c>
      <c r="BO453" s="710">
        <v>0</v>
      </c>
      <c r="BP453" s="710">
        <v>0</v>
      </c>
      <c r="BQ453" s="710">
        <v>0</v>
      </c>
      <c r="BR453" s="710">
        <v>0</v>
      </c>
      <c r="BS453" s="767"/>
      <c r="BT453" s="767"/>
      <c r="BU453" s="707">
        <v>0</v>
      </c>
      <c r="BV453" s="707">
        <v>0</v>
      </c>
      <c r="BW453" s="707">
        <v>0</v>
      </c>
      <c r="BX453" s="707">
        <v>0</v>
      </c>
      <c r="BY453" s="707">
        <v>0</v>
      </c>
      <c r="BZ453" s="707">
        <v>0</v>
      </c>
      <c r="CA453" s="707">
        <v>0</v>
      </c>
      <c r="CB453" s="707">
        <v>0</v>
      </c>
      <c r="CC453" s="707">
        <v>0</v>
      </c>
      <c r="CD453" s="707">
        <v>0</v>
      </c>
      <c r="CE453" s="707">
        <v>0</v>
      </c>
      <c r="CF453" s="707">
        <v>0</v>
      </c>
      <c r="CG453" s="707">
        <v>0</v>
      </c>
      <c r="CH453" s="707">
        <v>0</v>
      </c>
      <c r="CI453" s="707">
        <v>0</v>
      </c>
      <c r="CJ453" s="707">
        <v>0</v>
      </c>
      <c r="CK453" s="707">
        <v>0</v>
      </c>
      <c r="CL453" s="707">
        <v>0</v>
      </c>
      <c r="CM453" s="707">
        <v>0</v>
      </c>
      <c r="CN453" s="707">
        <v>0</v>
      </c>
      <c r="CO453" s="707">
        <v>0</v>
      </c>
      <c r="CP453" s="707">
        <v>0</v>
      </c>
      <c r="CQ453" s="707">
        <v>0</v>
      </c>
      <c r="CR453" s="707">
        <v>0</v>
      </c>
    </row>
    <row r="454" spans="1:96" s="53" customFormat="1">
      <c r="A454" s="774" t="s">
        <v>3</v>
      </c>
      <c r="B454" s="772">
        <v>41912</v>
      </c>
      <c r="C454" s="771">
        <v>2014</v>
      </c>
      <c r="D454" s="773" t="s">
        <v>1</v>
      </c>
      <c r="E454" s="773" t="s">
        <v>12</v>
      </c>
      <c r="F454" s="773" t="s">
        <v>457</v>
      </c>
      <c r="G454" s="772" t="s">
        <v>661</v>
      </c>
      <c r="H454" s="772" t="s">
        <v>371</v>
      </c>
      <c r="I454" s="773" t="s">
        <v>5</v>
      </c>
      <c r="J454" s="773" t="s">
        <v>376</v>
      </c>
      <c r="K454" s="706"/>
      <c r="L454" s="772" t="s">
        <v>651</v>
      </c>
      <c r="M454" s="772" t="s">
        <v>850</v>
      </c>
      <c r="N454" s="771">
        <v>10.57110211909384</v>
      </c>
      <c r="O454" s="708">
        <v>8.2157863414037848</v>
      </c>
      <c r="P454" s="769">
        <v>0.57011826371785979</v>
      </c>
      <c r="Q454" s="706"/>
      <c r="R454" s="706"/>
      <c r="S454" s="706"/>
      <c r="T454" s="706"/>
      <c r="U454" s="710">
        <v>0</v>
      </c>
      <c r="V454" s="707">
        <v>0</v>
      </c>
      <c r="W454" s="710">
        <v>0</v>
      </c>
      <c r="X454" s="707">
        <v>0</v>
      </c>
      <c r="Y454" s="707">
        <v>0</v>
      </c>
      <c r="Z454" s="707">
        <v>0</v>
      </c>
      <c r="AA454" s="707">
        <v>0</v>
      </c>
      <c r="AB454" s="710">
        <v>0</v>
      </c>
      <c r="AC454" s="769">
        <v>0</v>
      </c>
      <c r="AD454" s="769">
        <v>0</v>
      </c>
      <c r="AE454" s="707"/>
      <c r="AF454" s="770"/>
      <c r="AG454" s="706"/>
      <c r="AH454" s="769">
        <v>0.72451084756038975</v>
      </c>
      <c r="AI454" s="748"/>
      <c r="AJ454" s="748"/>
      <c r="AK454" s="748"/>
      <c r="AL454" s="769">
        <v>0.69347675508305828</v>
      </c>
      <c r="AM454" s="706"/>
      <c r="AN454" s="706"/>
      <c r="AO454" s="706"/>
      <c r="AP454" s="768">
        <v>0</v>
      </c>
      <c r="AQ454" s="768">
        <v>0</v>
      </c>
      <c r="AR454" s="706"/>
      <c r="AS454" s="738"/>
      <c r="AT454" s="738"/>
      <c r="AU454" s="710">
        <v>0</v>
      </c>
      <c r="AV454" s="710">
        <v>0</v>
      </c>
      <c r="AW454" s="710">
        <v>0</v>
      </c>
      <c r="AX454" s="710">
        <v>0</v>
      </c>
      <c r="AY454" s="710">
        <v>0</v>
      </c>
      <c r="AZ454" s="710">
        <v>0</v>
      </c>
      <c r="BA454" s="710">
        <v>0</v>
      </c>
      <c r="BB454" s="710">
        <v>0</v>
      </c>
      <c r="BC454" s="710">
        <v>0</v>
      </c>
      <c r="BD454" s="710">
        <v>0</v>
      </c>
      <c r="BE454" s="710">
        <v>0</v>
      </c>
      <c r="BF454" s="710">
        <v>0</v>
      </c>
      <c r="BG454" s="710">
        <v>0</v>
      </c>
      <c r="BH454" s="710">
        <v>0</v>
      </c>
      <c r="BI454" s="710">
        <v>0</v>
      </c>
      <c r="BJ454" s="710">
        <v>0</v>
      </c>
      <c r="BK454" s="710">
        <v>0</v>
      </c>
      <c r="BL454" s="710">
        <v>0</v>
      </c>
      <c r="BM454" s="710">
        <v>0</v>
      </c>
      <c r="BN454" s="710">
        <v>0</v>
      </c>
      <c r="BO454" s="710">
        <v>0</v>
      </c>
      <c r="BP454" s="710">
        <v>0</v>
      </c>
      <c r="BQ454" s="710">
        <v>0</v>
      </c>
      <c r="BR454" s="710">
        <v>0</v>
      </c>
      <c r="BS454" s="767"/>
      <c r="BT454" s="767"/>
      <c r="BU454" s="707">
        <v>0</v>
      </c>
      <c r="BV454" s="707">
        <v>0</v>
      </c>
      <c r="BW454" s="707">
        <v>0</v>
      </c>
      <c r="BX454" s="707">
        <v>0</v>
      </c>
      <c r="BY454" s="707">
        <v>0</v>
      </c>
      <c r="BZ454" s="707">
        <v>0</v>
      </c>
      <c r="CA454" s="707">
        <v>0</v>
      </c>
      <c r="CB454" s="707">
        <v>0</v>
      </c>
      <c r="CC454" s="707">
        <v>0</v>
      </c>
      <c r="CD454" s="707">
        <v>0</v>
      </c>
      <c r="CE454" s="707">
        <v>0</v>
      </c>
      <c r="CF454" s="707">
        <v>0</v>
      </c>
      <c r="CG454" s="707">
        <v>0</v>
      </c>
      <c r="CH454" s="707">
        <v>0</v>
      </c>
      <c r="CI454" s="707">
        <v>0</v>
      </c>
      <c r="CJ454" s="707">
        <v>0</v>
      </c>
      <c r="CK454" s="707">
        <v>0</v>
      </c>
      <c r="CL454" s="707">
        <v>0</v>
      </c>
      <c r="CM454" s="707">
        <v>0</v>
      </c>
      <c r="CN454" s="707">
        <v>0</v>
      </c>
      <c r="CO454" s="707">
        <v>0</v>
      </c>
      <c r="CP454" s="707">
        <v>0</v>
      </c>
      <c r="CQ454" s="707">
        <v>0</v>
      </c>
      <c r="CR454" s="707">
        <v>0</v>
      </c>
    </row>
    <row r="455" spans="1:96" s="53" customFormat="1">
      <c r="A455" s="774" t="s">
        <v>3</v>
      </c>
      <c r="B455" s="772">
        <v>41912</v>
      </c>
      <c r="C455" s="771">
        <v>2014</v>
      </c>
      <c r="D455" s="773" t="s">
        <v>1</v>
      </c>
      <c r="E455" s="773" t="s">
        <v>12</v>
      </c>
      <c r="F455" s="773" t="s">
        <v>457</v>
      </c>
      <c r="G455" s="772" t="s">
        <v>661</v>
      </c>
      <c r="H455" s="772" t="s">
        <v>371</v>
      </c>
      <c r="I455" s="773" t="s">
        <v>5</v>
      </c>
      <c r="J455" s="773" t="s">
        <v>376</v>
      </c>
      <c r="K455" s="706"/>
      <c r="L455" s="772" t="s">
        <v>651</v>
      </c>
      <c r="M455" s="772" t="s">
        <v>850</v>
      </c>
      <c r="N455" s="771">
        <v>10.57110211909384</v>
      </c>
      <c r="O455" s="708">
        <v>8.2157863414037848</v>
      </c>
      <c r="P455" s="769">
        <v>0.57011826371785979</v>
      </c>
      <c r="Q455" s="706"/>
      <c r="R455" s="706"/>
      <c r="S455" s="706"/>
      <c r="T455" s="706"/>
      <c r="U455" s="710">
        <v>0</v>
      </c>
      <c r="V455" s="707">
        <v>0</v>
      </c>
      <c r="W455" s="710">
        <v>0</v>
      </c>
      <c r="X455" s="707">
        <v>0</v>
      </c>
      <c r="Y455" s="707">
        <v>0</v>
      </c>
      <c r="Z455" s="707">
        <v>0</v>
      </c>
      <c r="AA455" s="707">
        <v>0</v>
      </c>
      <c r="AB455" s="710">
        <v>0</v>
      </c>
      <c r="AC455" s="769">
        <v>0</v>
      </c>
      <c r="AD455" s="769">
        <v>0</v>
      </c>
      <c r="AE455" s="707"/>
      <c r="AF455" s="770"/>
      <c r="AG455" s="706"/>
      <c r="AH455" s="769">
        <v>0.72451084756038975</v>
      </c>
      <c r="AI455" s="748"/>
      <c r="AJ455" s="748"/>
      <c r="AK455" s="748"/>
      <c r="AL455" s="769">
        <v>0.69347675508305828</v>
      </c>
      <c r="AM455" s="706"/>
      <c r="AN455" s="706"/>
      <c r="AO455" s="706"/>
      <c r="AP455" s="768">
        <v>0</v>
      </c>
      <c r="AQ455" s="768">
        <v>0</v>
      </c>
      <c r="AR455" s="706"/>
      <c r="AS455" s="738"/>
      <c r="AT455" s="738"/>
      <c r="AU455" s="710">
        <v>0</v>
      </c>
      <c r="AV455" s="710">
        <v>0</v>
      </c>
      <c r="AW455" s="710">
        <v>0</v>
      </c>
      <c r="AX455" s="710">
        <v>0</v>
      </c>
      <c r="AY455" s="710">
        <v>0</v>
      </c>
      <c r="AZ455" s="710">
        <v>0</v>
      </c>
      <c r="BA455" s="710">
        <v>0</v>
      </c>
      <c r="BB455" s="710">
        <v>0</v>
      </c>
      <c r="BC455" s="710">
        <v>0</v>
      </c>
      <c r="BD455" s="710">
        <v>0</v>
      </c>
      <c r="BE455" s="710">
        <v>0</v>
      </c>
      <c r="BF455" s="710">
        <v>0</v>
      </c>
      <c r="BG455" s="710">
        <v>0</v>
      </c>
      <c r="BH455" s="710">
        <v>0</v>
      </c>
      <c r="BI455" s="710">
        <v>0</v>
      </c>
      <c r="BJ455" s="710">
        <v>0</v>
      </c>
      <c r="BK455" s="710">
        <v>0</v>
      </c>
      <c r="BL455" s="710">
        <v>0</v>
      </c>
      <c r="BM455" s="710">
        <v>0</v>
      </c>
      <c r="BN455" s="710">
        <v>0</v>
      </c>
      <c r="BO455" s="710">
        <v>0</v>
      </c>
      <c r="BP455" s="710">
        <v>0</v>
      </c>
      <c r="BQ455" s="710">
        <v>0</v>
      </c>
      <c r="BR455" s="710">
        <v>0</v>
      </c>
      <c r="BS455" s="767"/>
      <c r="BT455" s="767"/>
      <c r="BU455" s="707">
        <v>0</v>
      </c>
      <c r="BV455" s="707">
        <v>0</v>
      </c>
      <c r="BW455" s="707">
        <v>0</v>
      </c>
      <c r="BX455" s="707">
        <v>0</v>
      </c>
      <c r="BY455" s="707">
        <v>0</v>
      </c>
      <c r="BZ455" s="707">
        <v>0</v>
      </c>
      <c r="CA455" s="707">
        <v>0</v>
      </c>
      <c r="CB455" s="707">
        <v>0</v>
      </c>
      <c r="CC455" s="707">
        <v>0</v>
      </c>
      <c r="CD455" s="707">
        <v>0</v>
      </c>
      <c r="CE455" s="707">
        <v>0</v>
      </c>
      <c r="CF455" s="707">
        <v>0</v>
      </c>
      <c r="CG455" s="707">
        <v>0</v>
      </c>
      <c r="CH455" s="707">
        <v>0</v>
      </c>
      <c r="CI455" s="707">
        <v>0</v>
      </c>
      <c r="CJ455" s="707">
        <v>0</v>
      </c>
      <c r="CK455" s="707">
        <v>0</v>
      </c>
      <c r="CL455" s="707">
        <v>0</v>
      </c>
      <c r="CM455" s="707">
        <v>0</v>
      </c>
      <c r="CN455" s="707">
        <v>0</v>
      </c>
      <c r="CO455" s="707">
        <v>0</v>
      </c>
      <c r="CP455" s="707">
        <v>0</v>
      </c>
      <c r="CQ455" s="707">
        <v>0</v>
      </c>
      <c r="CR455" s="707">
        <v>0</v>
      </c>
    </row>
    <row r="456" spans="1:96" s="53" customFormat="1">
      <c r="A456" s="774" t="s">
        <v>3</v>
      </c>
      <c r="B456" s="772">
        <v>41912</v>
      </c>
      <c r="C456" s="771">
        <v>2014</v>
      </c>
      <c r="D456" s="773" t="s">
        <v>1</v>
      </c>
      <c r="E456" s="773" t="s">
        <v>12</v>
      </c>
      <c r="F456" s="773" t="s">
        <v>457</v>
      </c>
      <c r="G456" s="772" t="s">
        <v>661</v>
      </c>
      <c r="H456" s="772" t="s">
        <v>371</v>
      </c>
      <c r="I456" s="773" t="s">
        <v>5</v>
      </c>
      <c r="J456" s="773" t="s">
        <v>376</v>
      </c>
      <c r="K456" s="706"/>
      <c r="L456" s="772" t="s">
        <v>651</v>
      </c>
      <c r="M456" s="772" t="s">
        <v>850</v>
      </c>
      <c r="N456" s="771">
        <v>10.57110211909384</v>
      </c>
      <c r="O456" s="708">
        <v>8.2157863414037848</v>
      </c>
      <c r="P456" s="769">
        <v>0.57011826371785979</v>
      </c>
      <c r="Q456" s="706"/>
      <c r="R456" s="706"/>
      <c r="S456" s="706"/>
      <c r="T456" s="706"/>
      <c r="U456" s="710">
        <v>0</v>
      </c>
      <c r="V456" s="707">
        <v>227992.3</v>
      </c>
      <c r="W456" s="710">
        <v>0</v>
      </c>
      <c r="X456" s="707">
        <v>296767.75651787018</v>
      </c>
      <c r="Y456" s="707">
        <v>2836682.7589171361</v>
      </c>
      <c r="Z456" s="707">
        <v>2055207.4299229991</v>
      </c>
      <c r="AA456" s="707">
        <v>215011.4588033575</v>
      </c>
      <c r="AB456" s="710">
        <v>0</v>
      </c>
      <c r="AC456" s="769">
        <v>1.3016569266500237</v>
      </c>
      <c r="AD456" s="769">
        <v>0</v>
      </c>
      <c r="AE456" s="707"/>
      <c r="AF456" s="770"/>
      <c r="AG456" s="706"/>
      <c r="AH456" s="769">
        <v>0.72451084756038975</v>
      </c>
      <c r="AI456" s="748"/>
      <c r="AJ456" s="748"/>
      <c r="AK456" s="748"/>
      <c r="AL456" s="769">
        <v>0.69347675508305828</v>
      </c>
      <c r="AM456" s="706"/>
      <c r="AN456" s="706"/>
      <c r="AO456" s="706"/>
      <c r="AP456" s="768">
        <v>124301</v>
      </c>
      <c r="AQ456" s="768">
        <v>124301</v>
      </c>
      <c r="AR456" s="706"/>
      <c r="AS456" s="738"/>
      <c r="AT456" s="738"/>
      <c r="AU456" s="710">
        <v>0</v>
      </c>
      <c r="AV456" s="710">
        <v>0</v>
      </c>
      <c r="AW456" s="710">
        <v>0</v>
      </c>
      <c r="AX456" s="710">
        <v>0</v>
      </c>
      <c r="AY456" s="710">
        <v>0</v>
      </c>
      <c r="AZ456" s="710">
        <v>0</v>
      </c>
      <c r="BA456" s="710">
        <v>0</v>
      </c>
      <c r="BB456" s="710">
        <v>0</v>
      </c>
      <c r="BC456" s="710">
        <v>0</v>
      </c>
      <c r="BD456" s="710">
        <v>0</v>
      </c>
      <c r="BE456" s="710">
        <v>0</v>
      </c>
      <c r="BF456" s="710">
        <v>0</v>
      </c>
      <c r="BG456" s="710">
        <v>0</v>
      </c>
      <c r="BH456" s="710">
        <v>0</v>
      </c>
      <c r="BI456" s="710">
        <v>0</v>
      </c>
      <c r="BJ456" s="710">
        <v>0</v>
      </c>
      <c r="BK456" s="710">
        <v>0</v>
      </c>
      <c r="BL456" s="710">
        <v>0</v>
      </c>
      <c r="BM456" s="710">
        <v>0</v>
      </c>
      <c r="BN456" s="710">
        <v>0</v>
      </c>
      <c r="BO456" s="710">
        <v>0</v>
      </c>
      <c r="BP456" s="710">
        <v>0</v>
      </c>
      <c r="BQ456" s="710">
        <v>0</v>
      </c>
      <c r="BR456" s="710">
        <v>0</v>
      </c>
      <c r="BS456" s="767"/>
      <c r="BT456" s="767"/>
      <c r="BU456" s="707">
        <v>0</v>
      </c>
      <c r="BV456" s="707">
        <v>215011.4588033575</v>
      </c>
      <c r="BW456" s="707">
        <v>215011.4588033575</v>
      </c>
      <c r="BX456" s="707">
        <v>215011.4588033575</v>
      </c>
      <c r="BY456" s="707">
        <v>215011.4588033575</v>
      </c>
      <c r="BZ456" s="707">
        <v>215011.4588033575</v>
      </c>
      <c r="CA456" s="707">
        <v>215011.4588033575</v>
      </c>
      <c r="CB456" s="707">
        <v>215011.4588033575</v>
      </c>
      <c r="CC456" s="707">
        <v>215011.4588033575</v>
      </c>
      <c r="CD456" s="707">
        <v>142526.98304924348</v>
      </c>
      <c r="CE456" s="707">
        <v>122581.95957241431</v>
      </c>
      <c r="CF456" s="707">
        <v>70006.816874481287</v>
      </c>
      <c r="CG456" s="707">
        <v>0</v>
      </c>
      <c r="CH456" s="707">
        <v>0</v>
      </c>
      <c r="CI456" s="707">
        <v>0</v>
      </c>
      <c r="CJ456" s="707">
        <v>0</v>
      </c>
      <c r="CK456" s="707">
        <v>0</v>
      </c>
      <c r="CL456" s="707">
        <v>0</v>
      </c>
      <c r="CM456" s="707">
        <v>0</v>
      </c>
      <c r="CN456" s="707">
        <v>0</v>
      </c>
      <c r="CO456" s="707">
        <v>0</v>
      </c>
      <c r="CP456" s="707">
        <v>0</v>
      </c>
      <c r="CQ456" s="707">
        <v>0</v>
      </c>
      <c r="CR456" s="707">
        <v>0</v>
      </c>
    </row>
    <row r="457" spans="1:96" s="53" customFormat="1">
      <c r="A457" s="774" t="s">
        <v>3</v>
      </c>
      <c r="B457" s="772">
        <v>41744</v>
      </c>
      <c r="C457" s="771">
        <v>2014</v>
      </c>
      <c r="D457" s="773" t="s">
        <v>1</v>
      </c>
      <c r="E457" s="773" t="s">
        <v>12</v>
      </c>
      <c r="F457" s="773" t="s">
        <v>457</v>
      </c>
      <c r="G457" s="772" t="s">
        <v>661</v>
      </c>
      <c r="H457" s="772" t="s">
        <v>371</v>
      </c>
      <c r="I457" s="773" t="s">
        <v>5</v>
      </c>
      <c r="J457" s="773" t="s">
        <v>376</v>
      </c>
      <c r="K457" s="706"/>
      <c r="L457" s="772" t="s">
        <v>849</v>
      </c>
      <c r="M457" s="772" t="s">
        <v>848</v>
      </c>
      <c r="N457" s="771">
        <v>10.57110211909384</v>
      </c>
      <c r="O457" s="708">
        <v>8.2157863414037848</v>
      </c>
      <c r="P457" s="769">
        <v>0.57011826371785979</v>
      </c>
      <c r="Q457" s="706"/>
      <c r="R457" s="706"/>
      <c r="S457" s="706"/>
      <c r="T457" s="706"/>
      <c r="U457" s="710">
        <v>0</v>
      </c>
      <c r="V457" s="707">
        <v>6401</v>
      </c>
      <c r="W457" s="710">
        <v>0</v>
      </c>
      <c r="X457" s="707">
        <v>5762.0655907055907</v>
      </c>
      <c r="Y457" s="707">
        <v>55077.250671334281</v>
      </c>
      <c r="Z457" s="707">
        <v>39305.058756634986</v>
      </c>
      <c r="AA457" s="707">
        <v>4112.0121981713537</v>
      </c>
      <c r="AB457" s="710">
        <v>0</v>
      </c>
      <c r="AC457" s="769">
        <v>0.90018209509538993</v>
      </c>
      <c r="AD457" s="769">
        <v>0</v>
      </c>
      <c r="AE457" s="707"/>
      <c r="AF457" s="770"/>
      <c r="AG457" s="706"/>
      <c r="AH457" s="769">
        <v>0.71363509030583938</v>
      </c>
      <c r="AI457" s="748"/>
      <c r="AJ457" s="748"/>
      <c r="AK457" s="748"/>
      <c r="AL457" s="769">
        <v>0.77578670773417735</v>
      </c>
      <c r="AM457" s="706"/>
      <c r="AN457" s="706"/>
      <c r="AO457" s="706"/>
      <c r="AP457" s="768">
        <v>5000</v>
      </c>
      <c r="AQ457" s="768">
        <v>5000</v>
      </c>
      <c r="AR457" s="706"/>
      <c r="AS457" s="738"/>
      <c r="AT457" s="738"/>
      <c r="AU457" s="710">
        <v>0</v>
      </c>
      <c r="AV457" s="710">
        <v>0</v>
      </c>
      <c r="AW457" s="710">
        <v>0</v>
      </c>
      <c r="AX457" s="710">
        <v>0</v>
      </c>
      <c r="AY457" s="710">
        <v>0</v>
      </c>
      <c r="AZ457" s="710">
        <v>0</v>
      </c>
      <c r="BA457" s="710">
        <v>0</v>
      </c>
      <c r="BB457" s="710">
        <v>0</v>
      </c>
      <c r="BC457" s="710">
        <v>0</v>
      </c>
      <c r="BD457" s="710">
        <v>0</v>
      </c>
      <c r="BE457" s="710">
        <v>0</v>
      </c>
      <c r="BF457" s="710">
        <v>0</v>
      </c>
      <c r="BG457" s="710">
        <v>0</v>
      </c>
      <c r="BH457" s="710">
        <v>0</v>
      </c>
      <c r="BI457" s="710">
        <v>0</v>
      </c>
      <c r="BJ457" s="710">
        <v>0</v>
      </c>
      <c r="BK457" s="710">
        <v>0</v>
      </c>
      <c r="BL457" s="710">
        <v>0</v>
      </c>
      <c r="BM457" s="710">
        <v>0</v>
      </c>
      <c r="BN457" s="710">
        <v>0</v>
      </c>
      <c r="BO457" s="710">
        <v>0</v>
      </c>
      <c r="BP457" s="710">
        <v>0</v>
      </c>
      <c r="BQ457" s="710">
        <v>0</v>
      </c>
      <c r="BR457" s="710">
        <v>0</v>
      </c>
      <c r="BS457" s="767"/>
      <c r="BT457" s="767"/>
      <c r="BU457" s="707">
        <v>0</v>
      </c>
      <c r="BV457" s="707">
        <v>4112.0121981713537</v>
      </c>
      <c r="BW457" s="707">
        <v>4112.0121981713537</v>
      </c>
      <c r="BX457" s="707">
        <v>4112.0121981713537</v>
      </c>
      <c r="BY457" s="707">
        <v>4112.0121981713537</v>
      </c>
      <c r="BZ457" s="707">
        <v>4112.0121981713537</v>
      </c>
      <c r="CA457" s="707">
        <v>4112.0121981713537</v>
      </c>
      <c r="CB457" s="707">
        <v>4112.0121981713537</v>
      </c>
      <c r="CC457" s="707">
        <v>4112.0121981713537</v>
      </c>
      <c r="CD457" s="707">
        <v>2725.7742267729745</v>
      </c>
      <c r="CE457" s="707">
        <v>2344.3332548081121</v>
      </c>
      <c r="CF457" s="707">
        <v>1338.8536896830728</v>
      </c>
      <c r="CG457" s="707">
        <v>0</v>
      </c>
      <c r="CH457" s="707">
        <v>0</v>
      </c>
      <c r="CI457" s="707">
        <v>0</v>
      </c>
      <c r="CJ457" s="707">
        <v>0</v>
      </c>
      <c r="CK457" s="707">
        <v>0</v>
      </c>
      <c r="CL457" s="707">
        <v>0</v>
      </c>
      <c r="CM457" s="707">
        <v>0</v>
      </c>
      <c r="CN457" s="707">
        <v>0</v>
      </c>
      <c r="CO457" s="707">
        <v>0</v>
      </c>
      <c r="CP457" s="707">
        <v>0</v>
      </c>
      <c r="CQ457" s="707">
        <v>0</v>
      </c>
      <c r="CR457" s="707">
        <v>0</v>
      </c>
    </row>
    <row r="458" spans="1:96" s="53" customFormat="1">
      <c r="A458" s="774" t="s">
        <v>3</v>
      </c>
      <c r="B458" s="772">
        <v>41744</v>
      </c>
      <c r="C458" s="771">
        <v>2014</v>
      </c>
      <c r="D458" s="773" t="s">
        <v>1</v>
      </c>
      <c r="E458" s="773" t="s">
        <v>12</v>
      </c>
      <c r="F458" s="773" t="s">
        <v>457</v>
      </c>
      <c r="G458" s="772" t="s">
        <v>665</v>
      </c>
      <c r="H458" s="772" t="s">
        <v>371</v>
      </c>
      <c r="I458" s="773" t="s">
        <v>5</v>
      </c>
      <c r="J458" s="773" t="s">
        <v>376</v>
      </c>
      <c r="K458" s="706"/>
      <c r="L458" s="772" t="s">
        <v>849</v>
      </c>
      <c r="M458" s="772" t="s">
        <v>848</v>
      </c>
      <c r="N458" s="771">
        <v>9.4946198835018958</v>
      </c>
      <c r="O458" s="708">
        <v>6.0000000000000009</v>
      </c>
      <c r="P458" s="769">
        <v>0.89342167347094836</v>
      </c>
      <c r="Q458" s="706"/>
      <c r="R458" s="706"/>
      <c r="S458" s="706"/>
      <c r="T458" s="706"/>
      <c r="U458" s="710">
        <v>6.9</v>
      </c>
      <c r="V458" s="707">
        <v>16089</v>
      </c>
      <c r="W458" s="710">
        <v>3.540294935948773</v>
      </c>
      <c r="X458" s="707">
        <v>10832.811124081487</v>
      </c>
      <c r="Y458" s="707">
        <v>98818.735383892927</v>
      </c>
      <c r="Z458" s="707">
        <v>64685.171881777816</v>
      </c>
      <c r="AA458" s="707">
        <v>7090.985801446117</v>
      </c>
      <c r="AB458" s="710">
        <v>2.2770022768889895</v>
      </c>
      <c r="AC458" s="769">
        <v>0.67330543377969343</v>
      </c>
      <c r="AD458" s="769">
        <v>0.51308622260127146</v>
      </c>
      <c r="AE458" s="707"/>
      <c r="AF458" s="770"/>
      <c r="AG458" s="706"/>
      <c r="AH458" s="769">
        <v>0.65458408904432563</v>
      </c>
      <c r="AI458" s="748"/>
      <c r="AJ458" s="748"/>
      <c r="AK458" s="748"/>
      <c r="AL458" s="769">
        <v>0.64316739652617949</v>
      </c>
      <c r="AM458" s="706"/>
      <c r="AN458" s="706"/>
      <c r="AO458" s="706"/>
      <c r="AP458" s="768">
        <v>16500</v>
      </c>
      <c r="AQ458" s="768">
        <v>16500</v>
      </c>
      <c r="AR458" s="706"/>
      <c r="AS458" s="738"/>
      <c r="AT458" s="738"/>
      <c r="AU458" s="710">
        <v>0</v>
      </c>
      <c r="AV458" s="710">
        <v>2.2770022768889895</v>
      </c>
      <c r="AW458" s="710">
        <v>2.2770022768889895</v>
      </c>
      <c r="AX458" s="710">
        <v>2.2770022768889895</v>
      </c>
      <c r="AY458" s="710">
        <v>2.2770022768889895</v>
      </c>
      <c r="AZ458" s="710">
        <v>2.2770022768889895</v>
      </c>
      <c r="BA458" s="710">
        <v>2.2770022768889895</v>
      </c>
      <c r="BB458" s="710">
        <v>2.0343231847153209</v>
      </c>
      <c r="BC458" s="710">
        <v>2.0343231847153209</v>
      </c>
      <c r="BD458" s="710">
        <v>2.0343231847153209</v>
      </c>
      <c r="BE458" s="710">
        <v>1.0062166966290975</v>
      </c>
      <c r="BF458" s="710">
        <v>0</v>
      </c>
      <c r="BG458" s="710">
        <v>0</v>
      </c>
      <c r="BH458" s="710">
        <v>0</v>
      </c>
      <c r="BI458" s="710">
        <v>0</v>
      </c>
      <c r="BJ458" s="710">
        <v>0</v>
      </c>
      <c r="BK458" s="710">
        <v>0</v>
      </c>
      <c r="BL458" s="710">
        <v>0</v>
      </c>
      <c r="BM458" s="710">
        <v>0</v>
      </c>
      <c r="BN458" s="710">
        <v>0</v>
      </c>
      <c r="BO458" s="710">
        <v>0</v>
      </c>
      <c r="BP458" s="710">
        <v>0</v>
      </c>
      <c r="BQ458" s="710">
        <v>0</v>
      </c>
      <c r="BR458" s="710">
        <v>0</v>
      </c>
      <c r="BS458" s="767"/>
      <c r="BT458" s="767"/>
      <c r="BU458" s="707">
        <v>0</v>
      </c>
      <c r="BV458" s="707">
        <v>7090.985801446117</v>
      </c>
      <c r="BW458" s="707">
        <v>7090.985801446117</v>
      </c>
      <c r="BX458" s="707">
        <v>7090.985801446117</v>
      </c>
      <c r="BY458" s="707">
        <v>7090.985801446117</v>
      </c>
      <c r="BZ458" s="707">
        <v>7090.985801446117</v>
      </c>
      <c r="CA458" s="707">
        <v>7090.985801446117</v>
      </c>
      <c r="CB458" s="707">
        <v>6335.2404012867237</v>
      </c>
      <c r="CC458" s="707">
        <v>6335.2404012867237</v>
      </c>
      <c r="CD458" s="707">
        <v>6335.2404012867237</v>
      </c>
      <c r="CE458" s="707">
        <v>3133.5358692409427</v>
      </c>
      <c r="CF458" s="707">
        <v>0</v>
      </c>
      <c r="CG458" s="707">
        <v>0</v>
      </c>
      <c r="CH458" s="707">
        <v>0</v>
      </c>
      <c r="CI458" s="707">
        <v>0</v>
      </c>
      <c r="CJ458" s="707">
        <v>0</v>
      </c>
      <c r="CK458" s="707">
        <v>0</v>
      </c>
      <c r="CL458" s="707">
        <v>0</v>
      </c>
      <c r="CM458" s="707">
        <v>0</v>
      </c>
      <c r="CN458" s="707">
        <v>0</v>
      </c>
      <c r="CO458" s="707">
        <v>0</v>
      </c>
      <c r="CP458" s="707">
        <v>0</v>
      </c>
      <c r="CQ458" s="707">
        <v>0</v>
      </c>
      <c r="CR458" s="707">
        <v>0</v>
      </c>
    </row>
    <row r="459" spans="1:96" s="53" customFormat="1">
      <c r="A459" s="774" t="s">
        <v>3</v>
      </c>
      <c r="B459" s="772">
        <v>41744</v>
      </c>
      <c r="C459" s="771">
        <v>2014</v>
      </c>
      <c r="D459" s="773" t="s">
        <v>1</v>
      </c>
      <c r="E459" s="773" t="s">
        <v>12</v>
      </c>
      <c r="F459" s="773" t="s">
        <v>457</v>
      </c>
      <c r="G459" s="772" t="s">
        <v>656</v>
      </c>
      <c r="H459" s="772" t="s">
        <v>371</v>
      </c>
      <c r="I459" s="773" t="s">
        <v>5</v>
      </c>
      <c r="J459" s="773" t="s">
        <v>376</v>
      </c>
      <c r="K459" s="706"/>
      <c r="L459" s="772" t="s">
        <v>849</v>
      </c>
      <c r="M459" s="772" t="s">
        <v>848</v>
      </c>
      <c r="N459" s="771">
        <v>10</v>
      </c>
      <c r="O459" s="708" t="s">
        <v>7</v>
      </c>
      <c r="P459" s="769" t="s">
        <v>7</v>
      </c>
      <c r="Q459" s="706"/>
      <c r="R459" s="706"/>
      <c r="S459" s="706"/>
      <c r="T459" s="706"/>
      <c r="U459" s="710">
        <v>0.23400000000000001</v>
      </c>
      <c r="V459" s="707">
        <v>2049.84</v>
      </c>
      <c r="W459" s="710">
        <v>0.2137906111279699</v>
      </c>
      <c r="X459" s="707">
        <v>2478.5226661518918</v>
      </c>
      <c r="Y459" s="707">
        <v>24785.226661518918</v>
      </c>
      <c r="Z459" s="707">
        <v>18186.600812375851</v>
      </c>
      <c r="AA459" s="707">
        <v>1818.6600812375852</v>
      </c>
      <c r="AB459" s="710">
        <v>0.1545976952841063</v>
      </c>
      <c r="AC459" s="769">
        <v>1.209129818011109</v>
      </c>
      <c r="AD459" s="769">
        <v>0.91363509029046963</v>
      </c>
      <c r="AE459" s="707"/>
      <c r="AF459" s="770"/>
      <c r="AG459" s="706"/>
      <c r="AH459" s="769">
        <v>0.7337677827498762</v>
      </c>
      <c r="AI459" s="748"/>
      <c r="AJ459" s="748"/>
      <c r="AK459" s="748"/>
      <c r="AL459" s="769">
        <v>0.7231266820766411</v>
      </c>
      <c r="AM459" s="706"/>
      <c r="AN459" s="706"/>
      <c r="AO459" s="706"/>
      <c r="AP459" s="768">
        <v>77.777777777777771</v>
      </c>
      <c r="AQ459" s="768">
        <v>700</v>
      </c>
      <c r="AR459" s="706"/>
      <c r="AS459" s="738"/>
      <c r="AT459" s="738"/>
      <c r="AU459" s="710">
        <v>0</v>
      </c>
      <c r="AV459" s="710">
        <v>0.1545976952841063</v>
      </c>
      <c r="AW459" s="710">
        <v>0.1545976952841063</v>
      </c>
      <c r="AX459" s="710">
        <v>0.1545976952841063</v>
      </c>
      <c r="AY459" s="710">
        <v>0.1545976952841063</v>
      </c>
      <c r="AZ459" s="710">
        <v>0.1545976952841063</v>
      </c>
      <c r="BA459" s="710">
        <v>0.1545976952841063</v>
      </c>
      <c r="BB459" s="710">
        <v>0.1545976952841063</v>
      </c>
      <c r="BC459" s="710">
        <v>0.1545976952841063</v>
      </c>
      <c r="BD459" s="710">
        <v>0.1545976952841063</v>
      </c>
      <c r="BE459" s="710">
        <v>0.1545976952841063</v>
      </c>
      <c r="BF459" s="710">
        <v>0</v>
      </c>
      <c r="BG459" s="710">
        <v>0</v>
      </c>
      <c r="BH459" s="710">
        <v>0</v>
      </c>
      <c r="BI459" s="710">
        <v>0</v>
      </c>
      <c r="BJ459" s="710">
        <v>0</v>
      </c>
      <c r="BK459" s="710">
        <v>0</v>
      </c>
      <c r="BL459" s="710">
        <v>0</v>
      </c>
      <c r="BM459" s="710">
        <v>0</v>
      </c>
      <c r="BN459" s="710">
        <v>0</v>
      </c>
      <c r="BO459" s="710">
        <v>0</v>
      </c>
      <c r="BP459" s="710">
        <v>0</v>
      </c>
      <c r="BQ459" s="710">
        <v>0</v>
      </c>
      <c r="BR459" s="710">
        <v>0</v>
      </c>
      <c r="BS459" s="767"/>
      <c r="BT459" s="767"/>
      <c r="BU459" s="707">
        <v>0</v>
      </c>
      <c r="BV459" s="707">
        <v>1818.6600812375852</v>
      </c>
      <c r="BW459" s="707">
        <v>1818.6600812375852</v>
      </c>
      <c r="BX459" s="707">
        <v>1818.6600812375852</v>
      </c>
      <c r="BY459" s="707">
        <v>1818.6600812375852</v>
      </c>
      <c r="BZ459" s="707">
        <v>1818.6600812375852</v>
      </c>
      <c r="CA459" s="707">
        <v>1818.6600812375852</v>
      </c>
      <c r="CB459" s="707">
        <v>1818.6600812375852</v>
      </c>
      <c r="CC459" s="707">
        <v>1818.6600812375852</v>
      </c>
      <c r="CD459" s="707">
        <v>1818.6600812375852</v>
      </c>
      <c r="CE459" s="707">
        <v>1818.6600812375852</v>
      </c>
      <c r="CF459" s="707">
        <v>0</v>
      </c>
      <c r="CG459" s="707">
        <v>0</v>
      </c>
      <c r="CH459" s="707">
        <v>0</v>
      </c>
      <c r="CI459" s="707">
        <v>0</v>
      </c>
      <c r="CJ459" s="707">
        <v>0</v>
      </c>
      <c r="CK459" s="707">
        <v>0</v>
      </c>
      <c r="CL459" s="707">
        <v>0</v>
      </c>
      <c r="CM459" s="707">
        <v>0</v>
      </c>
      <c r="CN459" s="707">
        <v>0</v>
      </c>
      <c r="CO459" s="707">
        <v>0</v>
      </c>
      <c r="CP459" s="707">
        <v>0</v>
      </c>
      <c r="CQ459" s="707">
        <v>0</v>
      </c>
      <c r="CR459" s="707">
        <v>0</v>
      </c>
    </row>
    <row r="460" spans="1:96" s="53" customFormat="1">
      <c r="A460" s="774" t="s">
        <v>3</v>
      </c>
      <c r="B460" s="772">
        <v>41722</v>
      </c>
      <c r="C460" s="771">
        <v>2014</v>
      </c>
      <c r="D460" s="773" t="s">
        <v>1</v>
      </c>
      <c r="E460" s="773" t="s">
        <v>12</v>
      </c>
      <c r="F460" s="773" t="s">
        <v>457</v>
      </c>
      <c r="G460" s="772" t="s">
        <v>661</v>
      </c>
      <c r="H460" s="772" t="s">
        <v>371</v>
      </c>
      <c r="I460" s="773" t="s">
        <v>5</v>
      </c>
      <c r="J460" s="773" t="s">
        <v>376</v>
      </c>
      <c r="K460" s="706"/>
      <c r="L460" s="772" t="s">
        <v>847</v>
      </c>
      <c r="M460" s="772" t="s">
        <v>846</v>
      </c>
      <c r="N460" s="771">
        <v>10.57110211909384</v>
      </c>
      <c r="O460" s="708">
        <v>8.2157863414037848</v>
      </c>
      <c r="P460" s="769">
        <v>0.57011826371785979</v>
      </c>
      <c r="Q460" s="706"/>
      <c r="R460" s="706"/>
      <c r="S460" s="706"/>
      <c r="T460" s="706"/>
      <c r="U460" s="710">
        <v>0</v>
      </c>
      <c r="V460" s="707">
        <v>9016.64</v>
      </c>
      <c r="W460" s="710">
        <v>0</v>
      </c>
      <c r="X460" s="707">
        <v>8116.6178859208958</v>
      </c>
      <c r="Y460" s="707">
        <v>77583.462192341744</v>
      </c>
      <c r="Z460" s="707">
        <v>55366.281047871475</v>
      </c>
      <c r="AA460" s="707">
        <v>5792.3033379971494</v>
      </c>
      <c r="AB460" s="710">
        <v>0</v>
      </c>
      <c r="AC460" s="769">
        <v>0.90018209509538993</v>
      </c>
      <c r="AD460" s="769">
        <v>0</v>
      </c>
      <c r="AE460" s="707"/>
      <c r="AF460" s="770"/>
      <c r="AG460" s="706"/>
      <c r="AH460" s="769">
        <v>0.71363509030583938</v>
      </c>
      <c r="AI460" s="748"/>
      <c r="AJ460" s="748"/>
      <c r="AK460" s="748"/>
      <c r="AL460" s="769">
        <v>0.77578670773417735</v>
      </c>
      <c r="AM460" s="706"/>
      <c r="AN460" s="706"/>
      <c r="AO460" s="706"/>
      <c r="AP460" s="768">
        <v>6451.62</v>
      </c>
      <c r="AQ460" s="768">
        <v>6451.62</v>
      </c>
      <c r="AR460" s="706"/>
      <c r="AS460" s="738"/>
      <c r="AT460" s="738"/>
      <c r="AU460" s="710">
        <v>0</v>
      </c>
      <c r="AV460" s="710">
        <v>0</v>
      </c>
      <c r="AW460" s="710">
        <v>0</v>
      </c>
      <c r="AX460" s="710">
        <v>0</v>
      </c>
      <c r="AY460" s="710">
        <v>0</v>
      </c>
      <c r="AZ460" s="710">
        <v>0</v>
      </c>
      <c r="BA460" s="710">
        <v>0</v>
      </c>
      <c r="BB460" s="710">
        <v>0</v>
      </c>
      <c r="BC460" s="710">
        <v>0</v>
      </c>
      <c r="BD460" s="710">
        <v>0</v>
      </c>
      <c r="BE460" s="710">
        <v>0</v>
      </c>
      <c r="BF460" s="710">
        <v>0</v>
      </c>
      <c r="BG460" s="710">
        <v>0</v>
      </c>
      <c r="BH460" s="710">
        <v>0</v>
      </c>
      <c r="BI460" s="710">
        <v>0</v>
      </c>
      <c r="BJ460" s="710">
        <v>0</v>
      </c>
      <c r="BK460" s="710">
        <v>0</v>
      </c>
      <c r="BL460" s="710">
        <v>0</v>
      </c>
      <c r="BM460" s="710">
        <v>0</v>
      </c>
      <c r="BN460" s="710">
        <v>0</v>
      </c>
      <c r="BO460" s="710">
        <v>0</v>
      </c>
      <c r="BP460" s="710">
        <v>0</v>
      </c>
      <c r="BQ460" s="710">
        <v>0</v>
      </c>
      <c r="BR460" s="710">
        <v>0</v>
      </c>
      <c r="BS460" s="767"/>
      <c r="BT460" s="767"/>
      <c r="BU460" s="707">
        <v>0</v>
      </c>
      <c r="BV460" s="707">
        <v>5792.3033379971494</v>
      </c>
      <c r="BW460" s="707">
        <v>5792.3033379971494</v>
      </c>
      <c r="BX460" s="707">
        <v>5792.3033379971494</v>
      </c>
      <c r="BY460" s="707">
        <v>5792.3033379971494</v>
      </c>
      <c r="BZ460" s="707">
        <v>5792.3033379971494</v>
      </c>
      <c r="CA460" s="707">
        <v>5792.3033379971494</v>
      </c>
      <c r="CB460" s="707">
        <v>5792.3033379971494</v>
      </c>
      <c r="CC460" s="707">
        <v>5792.3033379971494</v>
      </c>
      <c r="CD460" s="707">
        <v>3839.6070807827327</v>
      </c>
      <c r="CE460" s="707">
        <v>3302.2979219860981</v>
      </c>
      <c r="CF460" s="707">
        <v>1885.9493411254462</v>
      </c>
      <c r="CG460" s="707">
        <v>0</v>
      </c>
      <c r="CH460" s="707">
        <v>0</v>
      </c>
      <c r="CI460" s="707">
        <v>0</v>
      </c>
      <c r="CJ460" s="707">
        <v>0</v>
      </c>
      <c r="CK460" s="707">
        <v>0</v>
      </c>
      <c r="CL460" s="707">
        <v>0</v>
      </c>
      <c r="CM460" s="707">
        <v>0</v>
      </c>
      <c r="CN460" s="707">
        <v>0</v>
      </c>
      <c r="CO460" s="707">
        <v>0</v>
      </c>
      <c r="CP460" s="707">
        <v>0</v>
      </c>
      <c r="CQ460" s="707">
        <v>0</v>
      </c>
      <c r="CR460" s="707">
        <v>0</v>
      </c>
    </row>
    <row r="461" spans="1:96" s="53" customFormat="1">
      <c r="A461" s="774" t="s">
        <v>3</v>
      </c>
      <c r="B461" s="772">
        <v>41729</v>
      </c>
      <c r="C461" s="771">
        <v>2014</v>
      </c>
      <c r="D461" s="773" t="s">
        <v>1</v>
      </c>
      <c r="E461" s="773" t="s">
        <v>12</v>
      </c>
      <c r="F461" s="773" t="s">
        <v>457</v>
      </c>
      <c r="G461" s="772" t="s">
        <v>656</v>
      </c>
      <c r="H461" s="772" t="s">
        <v>371</v>
      </c>
      <c r="I461" s="773" t="s">
        <v>5</v>
      </c>
      <c r="J461" s="773" t="s">
        <v>376</v>
      </c>
      <c r="K461" s="706"/>
      <c r="L461" s="772" t="s">
        <v>845</v>
      </c>
      <c r="M461" s="772" t="s">
        <v>844</v>
      </c>
      <c r="N461" s="771">
        <v>10</v>
      </c>
      <c r="O461" s="708" t="s">
        <v>7</v>
      </c>
      <c r="P461" s="769" t="s">
        <v>7</v>
      </c>
      <c r="Q461" s="706"/>
      <c r="R461" s="706"/>
      <c r="S461" s="706"/>
      <c r="T461" s="706"/>
      <c r="U461" s="710">
        <v>3.38</v>
      </c>
      <c r="V461" s="707">
        <v>29608.799999999999</v>
      </c>
      <c r="W461" s="710">
        <v>3.0880866051817875</v>
      </c>
      <c r="X461" s="707">
        <v>35800.882955527319</v>
      </c>
      <c r="Y461" s="707">
        <v>358008.82955527317</v>
      </c>
      <c r="Z461" s="707">
        <v>262695.34506765113</v>
      </c>
      <c r="AA461" s="707">
        <v>26269.534506765114</v>
      </c>
      <c r="AB461" s="710">
        <v>2.2330778207704243</v>
      </c>
      <c r="AC461" s="769">
        <v>1.2091298180111087</v>
      </c>
      <c r="AD461" s="769">
        <v>0.91363509029046974</v>
      </c>
      <c r="AE461" s="707"/>
      <c r="AF461" s="770"/>
      <c r="AG461" s="706"/>
      <c r="AH461" s="769">
        <v>0.7337677827498762</v>
      </c>
      <c r="AI461" s="748"/>
      <c r="AJ461" s="748"/>
      <c r="AK461" s="748"/>
      <c r="AL461" s="769">
        <v>0.7231266820766411</v>
      </c>
      <c r="AM461" s="706"/>
      <c r="AN461" s="706"/>
      <c r="AO461" s="706"/>
      <c r="AP461" s="768">
        <v>100</v>
      </c>
      <c r="AQ461" s="768">
        <v>13000</v>
      </c>
      <c r="AR461" s="706"/>
      <c r="AS461" s="738"/>
      <c r="AT461" s="738"/>
      <c r="AU461" s="710">
        <v>0</v>
      </c>
      <c r="AV461" s="710">
        <v>2.2330778207704243</v>
      </c>
      <c r="AW461" s="710">
        <v>2.2330778207704243</v>
      </c>
      <c r="AX461" s="710">
        <v>2.2330778207704243</v>
      </c>
      <c r="AY461" s="710">
        <v>2.2330778207704243</v>
      </c>
      <c r="AZ461" s="710">
        <v>2.2330778207704243</v>
      </c>
      <c r="BA461" s="710">
        <v>2.2330778207704243</v>
      </c>
      <c r="BB461" s="710">
        <v>2.2330778207704243</v>
      </c>
      <c r="BC461" s="710">
        <v>2.2330778207704243</v>
      </c>
      <c r="BD461" s="710">
        <v>2.2330778207704243</v>
      </c>
      <c r="BE461" s="710">
        <v>2.2330778207704243</v>
      </c>
      <c r="BF461" s="710">
        <v>0</v>
      </c>
      <c r="BG461" s="710">
        <v>0</v>
      </c>
      <c r="BH461" s="710">
        <v>0</v>
      </c>
      <c r="BI461" s="710">
        <v>0</v>
      </c>
      <c r="BJ461" s="710">
        <v>0</v>
      </c>
      <c r="BK461" s="710">
        <v>0</v>
      </c>
      <c r="BL461" s="710">
        <v>0</v>
      </c>
      <c r="BM461" s="710">
        <v>0</v>
      </c>
      <c r="BN461" s="710">
        <v>0</v>
      </c>
      <c r="BO461" s="710">
        <v>0</v>
      </c>
      <c r="BP461" s="710">
        <v>0</v>
      </c>
      <c r="BQ461" s="710">
        <v>0</v>
      </c>
      <c r="BR461" s="710">
        <v>0</v>
      </c>
      <c r="BS461" s="767"/>
      <c r="BT461" s="767"/>
      <c r="BU461" s="707">
        <v>0</v>
      </c>
      <c r="BV461" s="707">
        <v>26269.534506765114</v>
      </c>
      <c r="BW461" s="707">
        <v>26269.534506765114</v>
      </c>
      <c r="BX461" s="707">
        <v>26269.534506765114</v>
      </c>
      <c r="BY461" s="707">
        <v>26269.534506765114</v>
      </c>
      <c r="BZ461" s="707">
        <v>26269.534506765114</v>
      </c>
      <c r="CA461" s="707">
        <v>26269.534506765114</v>
      </c>
      <c r="CB461" s="707">
        <v>26269.534506765114</v>
      </c>
      <c r="CC461" s="707">
        <v>26269.534506765114</v>
      </c>
      <c r="CD461" s="707">
        <v>26269.534506765114</v>
      </c>
      <c r="CE461" s="707">
        <v>26269.534506765114</v>
      </c>
      <c r="CF461" s="707">
        <v>0</v>
      </c>
      <c r="CG461" s="707">
        <v>0</v>
      </c>
      <c r="CH461" s="707">
        <v>0</v>
      </c>
      <c r="CI461" s="707">
        <v>0</v>
      </c>
      <c r="CJ461" s="707">
        <v>0</v>
      </c>
      <c r="CK461" s="707">
        <v>0</v>
      </c>
      <c r="CL461" s="707">
        <v>0</v>
      </c>
      <c r="CM461" s="707">
        <v>0</v>
      </c>
      <c r="CN461" s="707">
        <v>0</v>
      </c>
      <c r="CO461" s="707">
        <v>0</v>
      </c>
      <c r="CP461" s="707">
        <v>0</v>
      </c>
      <c r="CQ461" s="707">
        <v>0</v>
      </c>
      <c r="CR461" s="707">
        <v>0</v>
      </c>
    </row>
    <row r="462" spans="1:96" s="53" customFormat="1">
      <c r="A462" s="774" t="s">
        <v>3</v>
      </c>
      <c r="B462" s="772">
        <v>41880</v>
      </c>
      <c r="C462" s="771">
        <v>2014</v>
      </c>
      <c r="D462" s="773" t="s">
        <v>1</v>
      </c>
      <c r="E462" s="773" t="s">
        <v>12</v>
      </c>
      <c r="F462" s="773" t="s">
        <v>457</v>
      </c>
      <c r="G462" s="772" t="s">
        <v>656</v>
      </c>
      <c r="H462" s="772" t="s">
        <v>371</v>
      </c>
      <c r="I462" s="773" t="s">
        <v>5</v>
      </c>
      <c r="J462" s="773" t="s">
        <v>376</v>
      </c>
      <c r="K462" s="706"/>
      <c r="L462" s="772" t="s">
        <v>651</v>
      </c>
      <c r="M462" s="772" t="s">
        <v>813</v>
      </c>
      <c r="N462" s="771">
        <v>13</v>
      </c>
      <c r="O462" s="708">
        <v>1</v>
      </c>
      <c r="P462" s="769">
        <v>0.61496236566876838</v>
      </c>
      <c r="Q462" s="706"/>
      <c r="R462" s="706"/>
      <c r="S462" s="706"/>
      <c r="T462" s="706"/>
      <c r="U462" s="710">
        <v>70.265000000000001</v>
      </c>
      <c r="V462" s="707">
        <v>182267.41</v>
      </c>
      <c r="W462" s="710">
        <v>65.771812204955182</v>
      </c>
      <c r="X462" s="707">
        <v>234346.94179015412</v>
      </c>
      <c r="Y462" s="707">
        <v>1963721.5383163262</v>
      </c>
      <c r="Z462" s="707">
        <v>1555262.916850022</v>
      </c>
      <c r="AA462" s="707">
        <v>185602.23592390347</v>
      </c>
      <c r="AB462" s="710">
        <v>52.84714204377876</v>
      </c>
      <c r="AC462" s="769">
        <v>1.2857314524310963</v>
      </c>
      <c r="AD462" s="769">
        <v>0.93605368540461376</v>
      </c>
      <c r="AE462" s="707"/>
      <c r="AF462" s="770"/>
      <c r="AG462" s="706"/>
      <c r="AH462" s="769">
        <v>0.79199768730116782</v>
      </c>
      <c r="AI462" s="748"/>
      <c r="AJ462" s="748"/>
      <c r="AK462" s="748"/>
      <c r="AL462" s="769">
        <v>0.80349226016608544</v>
      </c>
      <c r="AM462" s="706"/>
      <c r="AN462" s="706"/>
      <c r="AO462" s="706"/>
      <c r="AP462" s="768">
        <v>6.2374581939799327</v>
      </c>
      <c r="AQ462" s="768">
        <v>9325</v>
      </c>
      <c r="AR462" s="706"/>
      <c r="AS462" s="738"/>
      <c r="AT462" s="738"/>
      <c r="AU462" s="710">
        <v>0</v>
      </c>
      <c r="AV462" s="710">
        <v>52.84714204377876</v>
      </c>
      <c r="AW462" s="710">
        <v>32.499003490075616</v>
      </c>
      <c r="AX462" s="710">
        <v>32.499003490075616</v>
      </c>
      <c r="AY462" s="710">
        <v>32.499003490075616</v>
      </c>
      <c r="AZ462" s="710">
        <v>32.499003490075616</v>
      </c>
      <c r="BA462" s="710">
        <v>32.499003490075616</v>
      </c>
      <c r="BB462" s="710">
        <v>32.499003490075616</v>
      </c>
      <c r="BC462" s="710">
        <v>32.499003490075616</v>
      </c>
      <c r="BD462" s="710">
        <v>32.499003490075616</v>
      </c>
      <c r="BE462" s="710">
        <v>32.499003490075616</v>
      </c>
      <c r="BF462" s="710">
        <v>32.499003490075616</v>
      </c>
      <c r="BG462" s="710">
        <v>32.499003490075616</v>
      </c>
      <c r="BH462" s="710">
        <v>32.499003490075616</v>
      </c>
      <c r="BI462" s="710">
        <v>0</v>
      </c>
      <c r="BJ462" s="710">
        <v>0</v>
      </c>
      <c r="BK462" s="710">
        <v>0</v>
      </c>
      <c r="BL462" s="710">
        <v>0</v>
      </c>
      <c r="BM462" s="710">
        <v>0</v>
      </c>
      <c r="BN462" s="710">
        <v>0</v>
      </c>
      <c r="BO462" s="710">
        <v>0</v>
      </c>
      <c r="BP462" s="710">
        <v>0</v>
      </c>
      <c r="BQ462" s="710">
        <v>0</v>
      </c>
      <c r="BR462" s="710">
        <v>0</v>
      </c>
      <c r="BS462" s="767"/>
      <c r="BT462" s="767"/>
      <c r="BU462" s="707">
        <v>0</v>
      </c>
      <c r="BV462" s="707">
        <v>185602.23592390347</v>
      </c>
      <c r="BW462" s="707">
        <v>114138.39007717655</v>
      </c>
      <c r="BX462" s="707">
        <v>114138.39007717655</v>
      </c>
      <c r="BY462" s="707">
        <v>114138.39007717655</v>
      </c>
      <c r="BZ462" s="707">
        <v>114138.39007717655</v>
      </c>
      <c r="CA462" s="707">
        <v>114138.39007717655</v>
      </c>
      <c r="CB462" s="707">
        <v>114138.39007717655</v>
      </c>
      <c r="CC462" s="707">
        <v>114138.39007717655</v>
      </c>
      <c r="CD462" s="707">
        <v>114138.39007717655</v>
      </c>
      <c r="CE462" s="707">
        <v>114138.39007717655</v>
      </c>
      <c r="CF462" s="707">
        <v>114138.39007717655</v>
      </c>
      <c r="CG462" s="707">
        <v>114138.39007717655</v>
      </c>
      <c r="CH462" s="707">
        <v>114138.39007717655</v>
      </c>
      <c r="CI462" s="707">
        <v>0</v>
      </c>
      <c r="CJ462" s="707">
        <v>0</v>
      </c>
      <c r="CK462" s="707">
        <v>0</v>
      </c>
      <c r="CL462" s="707">
        <v>0</v>
      </c>
      <c r="CM462" s="707">
        <v>0</v>
      </c>
      <c r="CN462" s="707">
        <v>0</v>
      </c>
      <c r="CO462" s="707">
        <v>0</v>
      </c>
      <c r="CP462" s="707">
        <v>0</v>
      </c>
      <c r="CQ462" s="707">
        <v>0</v>
      </c>
      <c r="CR462" s="707">
        <v>0</v>
      </c>
    </row>
    <row r="463" spans="1:96" s="53" customFormat="1">
      <c r="A463" s="774" t="s">
        <v>3</v>
      </c>
      <c r="B463" s="772">
        <v>41654</v>
      </c>
      <c r="C463" s="771">
        <v>2014</v>
      </c>
      <c r="D463" s="773" t="s">
        <v>1</v>
      </c>
      <c r="E463" s="773" t="s">
        <v>12</v>
      </c>
      <c r="F463" s="773" t="s">
        <v>457</v>
      </c>
      <c r="G463" s="772" t="s">
        <v>656</v>
      </c>
      <c r="H463" s="772" t="s">
        <v>371</v>
      </c>
      <c r="I463" s="773" t="s">
        <v>5</v>
      </c>
      <c r="J463" s="773" t="s">
        <v>376</v>
      </c>
      <c r="K463" s="706"/>
      <c r="L463" s="772" t="s">
        <v>651</v>
      </c>
      <c r="M463" s="772" t="s">
        <v>843</v>
      </c>
      <c r="N463" s="771">
        <v>12</v>
      </c>
      <c r="O463" s="708">
        <v>3</v>
      </c>
      <c r="P463" s="769">
        <v>0.20689655172413807</v>
      </c>
      <c r="Q463" s="706"/>
      <c r="R463" s="706"/>
      <c r="S463" s="706"/>
      <c r="T463" s="706"/>
      <c r="U463" s="710">
        <v>2.9000000000000001E-2</v>
      </c>
      <c r="V463" s="707">
        <v>75.225999999999999</v>
      </c>
      <c r="W463" s="710">
        <v>2.6495417618423622E-2</v>
      </c>
      <c r="X463" s="707">
        <v>90.957999689703684</v>
      </c>
      <c r="Y463" s="707">
        <v>442.2440674568353</v>
      </c>
      <c r="Z463" s="707">
        <v>324.5044488120887</v>
      </c>
      <c r="AA463" s="707">
        <v>66.742049755677797</v>
      </c>
      <c r="AB463" s="710">
        <v>1.9159543432645653E-2</v>
      </c>
      <c r="AC463" s="769">
        <v>1.209129818011109</v>
      </c>
      <c r="AD463" s="769">
        <v>0.91363509029046963</v>
      </c>
      <c r="AE463" s="707"/>
      <c r="AF463" s="770"/>
      <c r="AG463" s="706"/>
      <c r="AH463" s="769">
        <v>0.7337677827498762</v>
      </c>
      <c r="AI463" s="748"/>
      <c r="AJ463" s="748"/>
      <c r="AK463" s="748"/>
      <c r="AL463" s="769">
        <v>0.7231266820766411</v>
      </c>
      <c r="AM463" s="706"/>
      <c r="AN463" s="706"/>
      <c r="AO463" s="706"/>
      <c r="AP463" s="768">
        <v>50.130376344086017</v>
      </c>
      <c r="AQ463" s="768">
        <v>50.130376344086017</v>
      </c>
      <c r="AR463" s="706"/>
      <c r="AS463" s="738"/>
      <c r="AT463" s="738"/>
      <c r="AU463" s="710">
        <v>0</v>
      </c>
      <c r="AV463" s="710">
        <v>1.9159543432645653E-2</v>
      </c>
      <c r="AW463" s="710">
        <v>1.9159543432645653E-2</v>
      </c>
      <c r="AX463" s="710">
        <v>1.9159543432645653E-2</v>
      </c>
      <c r="AY463" s="710">
        <v>3.9640434688232411E-3</v>
      </c>
      <c r="AZ463" s="710">
        <v>3.9640434688232411E-3</v>
      </c>
      <c r="BA463" s="710">
        <v>3.9640434688232411E-3</v>
      </c>
      <c r="BB463" s="710">
        <v>3.9640434688232411E-3</v>
      </c>
      <c r="BC463" s="710">
        <v>3.9640434688232411E-3</v>
      </c>
      <c r="BD463" s="710">
        <v>3.9640434688232411E-3</v>
      </c>
      <c r="BE463" s="710">
        <v>3.9640434688232411E-3</v>
      </c>
      <c r="BF463" s="710">
        <v>3.9640434688232411E-3</v>
      </c>
      <c r="BG463" s="710">
        <v>3.9640434688232411E-3</v>
      </c>
      <c r="BH463" s="710">
        <v>0</v>
      </c>
      <c r="BI463" s="710">
        <v>0</v>
      </c>
      <c r="BJ463" s="710">
        <v>0</v>
      </c>
      <c r="BK463" s="710">
        <v>0</v>
      </c>
      <c r="BL463" s="710">
        <v>0</v>
      </c>
      <c r="BM463" s="710">
        <v>0</v>
      </c>
      <c r="BN463" s="710">
        <v>0</v>
      </c>
      <c r="BO463" s="710">
        <v>0</v>
      </c>
      <c r="BP463" s="710">
        <v>0</v>
      </c>
      <c r="BQ463" s="710">
        <v>0</v>
      </c>
      <c r="BR463" s="710">
        <v>0</v>
      </c>
      <c r="BS463" s="767"/>
      <c r="BT463" s="767"/>
      <c r="BU463" s="707">
        <v>0</v>
      </c>
      <c r="BV463" s="707">
        <v>66.742049755677797</v>
      </c>
      <c r="BW463" s="707">
        <v>66.742049755677797</v>
      </c>
      <c r="BX463" s="707">
        <v>66.742049755677797</v>
      </c>
      <c r="BY463" s="707">
        <v>13.808699949450588</v>
      </c>
      <c r="BZ463" s="707">
        <v>13.808699949450588</v>
      </c>
      <c r="CA463" s="707">
        <v>13.808699949450588</v>
      </c>
      <c r="CB463" s="707">
        <v>13.808699949450588</v>
      </c>
      <c r="CC463" s="707">
        <v>13.808699949450588</v>
      </c>
      <c r="CD463" s="707">
        <v>13.808699949450588</v>
      </c>
      <c r="CE463" s="707">
        <v>13.808699949450588</v>
      </c>
      <c r="CF463" s="707">
        <v>13.808699949450588</v>
      </c>
      <c r="CG463" s="707">
        <v>13.808699949450588</v>
      </c>
      <c r="CH463" s="707">
        <v>0</v>
      </c>
      <c r="CI463" s="707">
        <v>0</v>
      </c>
      <c r="CJ463" s="707">
        <v>0</v>
      </c>
      <c r="CK463" s="707">
        <v>0</v>
      </c>
      <c r="CL463" s="707">
        <v>0</v>
      </c>
      <c r="CM463" s="707">
        <v>0</v>
      </c>
      <c r="CN463" s="707">
        <v>0</v>
      </c>
      <c r="CO463" s="707">
        <v>0</v>
      </c>
      <c r="CP463" s="707">
        <v>0</v>
      </c>
      <c r="CQ463" s="707">
        <v>0</v>
      </c>
      <c r="CR463" s="707">
        <v>0</v>
      </c>
    </row>
    <row r="464" spans="1:96" s="53" customFormat="1">
      <c r="A464" s="774" t="s">
        <v>3</v>
      </c>
      <c r="B464" s="772">
        <v>41654</v>
      </c>
      <c r="C464" s="771">
        <v>2014</v>
      </c>
      <c r="D464" s="773" t="s">
        <v>1</v>
      </c>
      <c r="E464" s="773" t="s">
        <v>12</v>
      </c>
      <c r="F464" s="773" t="s">
        <v>457</v>
      </c>
      <c r="G464" s="772" t="s">
        <v>656</v>
      </c>
      <c r="H464" s="772" t="s">
        <v>371</v>
      </c>
      <c r="I464" s="773" t="s">
        <v>5</v>
      </c>
      <c r="J464" s="773" t="s">
        <v>376</v>
      </c>
      <c r="K464" s="706"/>
      <c r="L464" s="772" t="s">
        <v>651</v>
      </c>
      <c r="M464" s="772" t="s">
        <v>843</v>
      </c>
      <c r="N464" s="771">
        <v>12</v>
      </c>
      <c r="O464" s="708">
        <v>3</v>
      </c>
      <c r="P464" s="769">
        <v>0.14999999999999997</v>
      </c>
      <c r="Q464" s="706"/>
      <c r="R464" s="706"/>
      <c r="S464" s="706"/>
      <c r="T464" s="706"/>
      <c r="U464" s="710">
        <v>0.06</v>
      </c>
      <c r="V464" s="707">
        <v>155.63999999999999</v>
      </c>
      <c r="W464" s="710">
        <v>5.4818105417428174E-2</v>
      </c>
      <c r="X464" s="707">
        <v>188.18896487524898</v>
      </c>
      <c r="Y464" s="707">
        <v>818.62199720733304</v>
      </c>
      <c r="Z464" s="707">
        <v>600.67844780110011</v>
      </c>
      <c r="AA464" s="707">
        <v>138.08699949450579</v>
      </c>
      <c r="AB464" s="710">
        <v>3.9640434688232383E-2</v>
      </c>
      <c r="AC464" s="769">
        <v>1.209129818011109</v>
      </c>
      <c r="AD464" s="769">
        <v>0.91363509029046963</v>
      </c>
      <c r="AE464" s="707"/>
      <c r="AF464" s="770"/>
      <c r="AG464" s="706"/>
      <c r="AH464" s="769">
        <v>0.7337677827498762</v>
      </c>
      <c r="AI464" s="748"/>
      <c r="AJ464" s="748"/>
      <c r="AK464" s="748"/>
      <c r="AL464" s="769">
        <v>0.7231266820766411</v>
      </c>
      <c r="AM464" s="706"/>
      <c r="AN464" s="706"/>
      <c r="AO464" s="706"/>
      <c r="AP464" s="768">
        <v>34.572673340748977</v>
      </c>
      <c r="AQ464" s="768">
        <v>103.71802002224693</v>
      </c>
      <c r="AR464" s="706"/>
      <c r="AS464" s="738"/>
      <c r="AT464" s="738"/>
      <c r="AU464" s="710">
        <v>0</v>
      </c>
      <c r="AV464" s="710">
        <v>3.9640434688232383E-2</v>
      </c>
      <c r="AW464" s="710">
        <v>3.9640434688232383E-2</v>
      </c>
      <c r="AX464" s="710">
        <v>3.9640434688232383E-2</v>
      </c>
      <c r="AY464" s="710">
        <v>5.9460652032348564E-3</v>
      </c>
      <c r="AZ464" s="710">
        <v>5.9460652032348564E-3</v>
      </c>
      <c r="BA464" s="710">
        <v>5.9460652032348564E-3</v>
      </c>
      <c r="BB464" s="710">
        <v>5.9460652032348564E-3</v>
      </c>
      <c r="BC464" s="710">
        <v>5.9460652032348564E-3</v>
      </c>
      <c r="BD464" s="710">
        <v>5.9460652032348564E-3</v>
      </c>
      <c r="BE464" s="710">
        <v>5.9460652032348564E-3</v>
      </c>
      <c r="BF464" s="710">
        <v>5.9460652032348564E-3</v>
      </c>
      <c r="BG464" s="710">
        <v>5.9460652032348564E-3</v>
      </c>
      <c r="BH464" s="710">
        <v>0</v>
      </c>
      <c r="BI464" s="710">
        <v>0</v>
      </c>
      <c r="BJ464" s="710">
        <v>0</v>
      </c>
      <c r="BK464" s="710">
        <v>0</v>
      </c>
      <c r="BL464" s="710">
        <v>0</v>
      </c>
      <c r="BM464" s="710">
        <v>0</v>
      </c>
      <c r="BN464" s="710">
        <v>0</v>
      </c>
      <c r="BO464" s="710">
        <v>0</v>
      </c>
      <c r="BP464" s="710">
        <v>0</v>
      </c>
      <c r="BQ464" s="710">
        <v>0</v>
      </c>
      <c r="BR464" s="710">
        <v>0</v>
      </c>
      <c r="BS464" s="767"/>
      <c r="BT464" s="767"/>
      <c r="BU464" s="707">
        <v>0</v>
      </c>
      <c r="BV464" s="707">
        <v>138.08699949450579</v>
      </c>
      <c r="BW464" s="707">
        <v>138.08699949450579</v>
      </c>
      <c r="BX464" s="707">
        <v>138.08699949450579</v>
      </c>
      <c r="BY464" s="707">
        <v>20.713049924175863</v>
      </c>
      <c r="BZ464" s="707">
        <v>20.713049924175863</v>
      </c>
      <c r="CA464" s="707">
        <v>20.713049924175863</v>
      </c>
      <c r="CB464" s="707">
        <v>20.713049924175863</v>
      </c>
      <c r="CC464" s="707">
        <v>20.713049924175863</v>
      </c>
      <c r="CD464" s="707">
        <v>20.713049924175863</v>
      </c>
      <c r="CE464" s="707">
        <v>20.713049924175863</v>
      </c>
      <c r="CF464" s="707">
        <v>20.713049924175863</v>
      </c>
      <c r="CG464" s="707">
        <v>20.713049924175863</v>
      </c>
      <c r="CH464" s="707">
        <v>0</v>
      </c>
      <c r="CI464" s="707">
        <v>0</v>
      </c>
      <c r="CJ464" s="707">
        <v>0</v>
      </c>
      <c r="CK464" s="707">
        <v>0</v>
      </c>
      <c r="CL464" s="707">
        <v>0</v>
      </c>
      <c r="CM464" s="707">
        <v>0</v>
      </c>
      <c r="CN464" s="707">
        <v>0</v>
      </c>
      <c r="CO464" s="707">
        <v>0</v>
      </c>
      <c r="CP464" s="707">
        <v>0</v>
      </c>
      <c r="CQ464" s="707">
        <v>0</v>
      </c>
      <c r="CR464" s="707">
        <v>0</v>
      </c>
    </row>
    <row r="465" spans="1:96" s="53" customFormat="1">
      <c r="A465" s="774" t="s">
        <v>3</v>
      </c>
      <c r="B465" s="772">
        <v>41654</v>
      </c>
      <c r="C465" s="771">
        <v>2014</v>
      </c>
      <c r="D465" s="773" t="s">
        <v>1</v>
      </c>
      <c r="E465" s="773" t="s">
        <v>12</v>
      </c>
      <c r="F465" s="773" t="s">
        <v>457</v>
      </c>
      <c r="G465" s="772" t="s">
        <v>656</v>
      </c>
      <c r="H465" s="772" t="s">
        <v>371</v>
      </c>
      <c r="I465" s="773" t="s">
        <v>5</v>
      </c>
      <c r="J465" s="773" t="s">
        <v>376</v>
      </c>
      <c r="K465" s="706"/>
      <c r="L465" s="772" t="s">
        <v>651</v>
      </c>
      <c r="M465" s="772" t="s">
        <v>843</v>
      </c>
      <c r="N465" s="771">
        <v>12</v>
      </c>
      <c r="O465" s="708">
        <v>3</v>
      </c>
      <c r="P465" s="769">
        <v>0.20689655172413807</v>
      </c>
      <c r="Q465" s="706"/>
      <c r="R465" s="706"/>
      <c r="S465" s="706"/>
      <c r="T465" s="706"/>
      <c r="U465" s="710">
        <v>1.073</v>
      </c>
      <c r="V465" s="707">
        <v>2783.3620000000001</v>
      </c>
      <c r="W465" s="710">
        <v>0.98033045188167389</v>
      </c>
      <c r="X465" s="707">
        <v>3365.4459885190363</v>
      </c>
      <c r="Y465" s="707">
        <v>16363.030495902904</v>
      </c>
      <c r="Z465" s="707">
        <v>12006.664606047281</v>
      </c>
      <c r="AA465" s="707">
        <v>2469.4558409600786</v>
      </c>
      <c r="AB465" s="710">
        <v>0.70890310700788906</v>
      </c>
      <c r="AC465" s="769">
        <v>1.209129818011109</v>
      </c>
      <c r="AD465" s="769">
        <v>0.91363509029046963</v>
      </c>
      <c r="AE465" s="707"/>
      <c r="AF465" s="770"/>
      <c r="AG465" s="706"/>
      <c r="AH465" s="769">
        <v>0.7337677827498762</v>
      </c>
      <c r="AI465" s="748"/>
      <c r="AJ465" s="748"/>
      <c r="AK465" s="748"/>
      <c r="AL465" s="769">
        <v>0.7231266820766411</v>
      </c>
      <c r="AM465" s="706"/>
      <c r="AN465" s="706"/>
      <c r="AO465" s="706"/>
      <c r="AP465" s="768">
        <v>50.130376344086031</v>
      </c>
      <c r="AQ465" s="768">
        <v>1854.8239247311831</v>
      </c>
      <c r="AR465" s="706"/>
      <c r="AS465" s="738"/>
      <c r="AT465" s="738"/>
      <c r="AU465" s="710">
        <v>0</v>
      </c>
      <c r="AV465" s="710">
        <v>0.70890310700788906</v>
      </c>
      <c r="AW465" s="710">
        <v>0.70890310700788906</v>
      </c>
      <c r="AX465" s="710">
        <v>0.70890310700788906</v>
      </c>
      <c r="AY465" s="710">
        <v>0.1466696083464599</v>
      </c>
      <c r="AZ465" s="710">
        <v>0.1466696083464599</v>
      </c>
      <c r="BA465" s="710">
        <v>0.1466696083464599</v>
      </c>
      <c r="BB465" s="710">
        <v>0.1466696083464599</v>
      </c>
      <c r="BC465" s="710">
        <v>0.1466696083464599</v>
      </c>
      <c r="BD465" s="710">
        <v>0.1466696083464599</v>
      </c>
      <c r="BE465" s="710">
        <v>0.1466696083464599</v>
      </c>
      <c r="BF465" s="710">
        <v>0.1466696083464599</v>
      </c>
      <c r="BG465" s="710">
        <v>0.1466696083464599</v>
      </c>
      <c r="BH465" s="710">
        <v>0</v>
      </c>
      <c r="BI465" s="710">
        <v>0</v>
      </c>
      <c r="BJ465" s="710">
        <v>0</v>
      </c>
      <c r="BK465" s="710">
        <v>0</v>
      </c>
      <c r="BL465" s="710">
        <v>0</v>
      </c>
      <c r="BM465" s="710">
        <v>0</v>
      </c>
      <c r="BN465" s="710">
        <v>0</v>
      </c>
      <c r="BO465" s="710">
        <v>0</v>
      </c>
      <c r="BP465" s="710">
        <v>0</v>
      </c>
      <c r="BQ465" s="710">
        <v>0</v>
      </c>
      <c r="BR465" s="710">
        <v>0</v>
      </c>
      <c r="BS465" s="767"/>
      <c r="BT465" s="767"/>
      <c r="BU465" s="707">
        <v>0</v>
      </c>
      <c r="BV465" s="707">
        <v>2469.4558409600786</v>
      </c>
      <c r="BW465" s="707">
        <v>2469.4558409600786</v>
      </c>
      <c r="BX465" s="707">
        <v>2469.4558409600786</v>
      </c>
      <c r="BY465" s="707">
        <v>510.92189812967177</v>
      </c>
      <c r="BZ465" s="707">
        <v>510.92189812967177</v>
      </c>
      <c r="CA465" s="707">
        <v>510.92189812967177</v>
      </c>
      <c r="CB465" s="707">
        <v>510.92189812967177</v>
      </c>
      <c r="CC465" s="707">
        <v>510.92189812967177</v>
      </c>
      <c r="CD465" s="707">
        <v>510.92189812967177</v>
      </c>
      <c r="CE465" s="707">
        <v>510.92189812967177</v>
      </c>
      <c r="CF465" s="707">
        <v>510.92189812967177</v>
      </c>
      <c r="CG465" s="707">
        <v>510.92189812967177</v>
      </c>
      <c r="CH465" s="707">
        <v>0</v>
      </c>
      <c r="CI465" s="707">
        <v>0</v>
      </c>
      <c r="CJ465" s="707">
        <v>0</v>
      </c>
      <c r="CK465" s="707">
        <v>0</v>
      </c>
      <c r="CL465" s="707">
        <v>0</v>
      </c>
      <c r="CM465" s="707">
        <v>0</v>
      </c>
      <c r="CN465" s="707">
        <v>0</v>
      </c>
      <c r="CO465" s="707">
        <v>0</v>
      </c>
      <c r="CP465" s="707">
        <v>0</v>
      </c>
      <c r="CQ465" s="707">
        <v>0</v>
      </c>
      <c r="CR465" s="707">
        <v>0</v>
      </c>
    </row>
    <row r="466" spans="1:96" s="53" customFormat="1">
      <c r="A466" s="774" t="s">
        <v>3</v>
      </c>
      <c r="B466" s="772">
        <v>41654</v>
      </c>
      <c r="C466" s="771">
        <v>2014</v>
      </c>
      <c r="D466" s="773" t="s">
        <v>1</v>
      </c>
      <c r="E466" s="773" t="s">
        <v>12</v>
      </c>
      <c r="F466" s="773" t="s">
        <v>457</v>
      </c>
      <c r="G466" s="772" t="s">
        <v>656</v>
      </c>
      <c r="H466" s="772" t="s">
        <v>371</v>
      </c>
      <c r="I466" s="773" t="s">
        <v>5</v>
      </c>
      <c r="J466" s="773" t="s">
        <v>376</v>
      </c>
      <c r="K466" s="706"/>
      <c r="L466" s="772" t="s">
        <v>651</v>
      </c>
      <c r="M466" s="772" t="s">
        <v>843</v>
      </c>
      <c r="N466" s="771">
        <v>12</v>
      </c>
      <c r="O466" s="708">
        <v>3</v>
      </c>
      <c r="P466" s="769">
        <v>0.19565217391304365</v>
      </c>
      <c r="Q466" s="706"/>
      <c r="R466" s="706"/>
      <c r="S466" s="706"/>
      <c r="T466" s="706"/>
      <c r="U466" s="710">
        <v>4.2320000000000002</v>
      </c>
      <c r="V466" s="707">
        <v>10977.808000000001</v>
      </c>
      <c r="W466" s="710">
        <v>3.8665037021092674</v>
      </c>
      <c r="X466" s="707">
        <v>13273.594989200898</v>
      </c>
      <c r="Y466" s="707">
        <v>63193.85440510865</v>
      </c>
      <c r="Z466" s="707">
        <v>46369.614430255067</v>
      </c>
      <c r="AA466" s="707">
        <v>9739.7363643458102</v>
      </c>
      <c r="AB466" s="710">
        <v>2.7959719933433242</v>
      </c>
      <c r="AC466" s="769">
        <v>1.209129818011109</v>
      </c>
      <c r="AD466" s="769">
        <v>0.91363509029046952</v>
      </c>
      <c r="AE466" s="707"/>
      <c r="AF466" s="770"/>
      <c r="AG466" s="706"/>
      <c r="AH466" s="769">
        <v>0.7337677827498762</v>
      </c>
      <c r="AI466" s="748"/>
      <c r="AJ466" s="748"/>
      <c r="AK466" s="748"/>
      <c r="AL466" s="769">
        <v>0.7231266820766411</v>
      </c>
      <c r="AM466" s="706"/>
      <c r="AN466" s="706"/>
      <c r="AO466" s="706"/>
      <c r="AP466" s="768">
        <v>79.517148683722667</v>
      </c>
      <c r="AQ466" s="768">
        <v>7315.5776789024849</v>
      </c>
      <c r="AR466" s="706"/>
      <c r="AS466" s="738"/>
      <c r="AT466" s="738"/>
      <c r="AU466" s="710">
        <v>0</v>
      </c>
      <c r="AV466" s="710">
        <v>2.7959719933433242</v>
      </c>
      <c r="AW466" s="710">
        <v>2.7959719933433242</v>
      </c>
      <c r="AX466" s="710">
        <v>2.7959719933433242</v>
      </c>
      <c r="AY466" s="710">
        <v>0.54703799869760739</v>
      </c>
      <c r="AZ466" s="710">
        <v>0.54703799869760739</v>
      </c>
      <c r="BA466" s="710">
        <v>0.54703799869760739</v>
      </c>
      <c r="BB466" s="710">
        <v>0.54703799869760739</v>
      </c>
      <c r="BC466" s="710">
        <v>0.54703799869760739</v>
      </c>
      <c r="BD466" s="710">
        <v>0.54703799869760739</v>
      </c>
      <c r="BE466" s="710">
        <v>0.54703799869760739</v>
      </c>
      <c r="BF466" s="710">
        <v>0.54703799869760739</v>
      </c>
      <c r="BG466" s="710">
        <v>0.54703799869760739</v>
      </c>
      <c r="BH466" s="710">
        <v>0</v>
      </c>
      <c r="BI466" s="710">
        <v>0</v>
      </c>
      <c r="BJ466" s="710">
        <v>0</v>
      </c>
      <c r="BK466" s="710">
        <v>0</v>
      </c>
      <c r="BL466" s="710">
        <v>0</v>
      </c>
      <c r="BM466" s="710">
        <v>0</v>
      </c>
      <c r="BN466" s="710">
        <v>0</v>
      </c>
      <c r="BO466" s="710">
        <v>0</v>
      </c>
      <c r="BP466" s="710">
        <v>0</v>
      </c>
      <c r="BQ466" s="710">
        <v>0</v>
      </c>
      <c r="BR466" s="710">
        <v>0</v>
      </c>
      <c r="BS466" s="767"/>
      <c r="BT466" s="767"/>
      <c r="BU466" s="707">
        <v>0</v>
      </c>
      <c r="BV466" s="707">
        <v>9739.7363643458102</v>
      </c>
      <c r="BW466" s="707">
        <v>9739.7363643458102</v>
      </c>
      <c r="BX466" s="707">
        <v>9739.7363643458102</v>
      </c>
      <c r="BY466" s="707">
        <v>1905.600593024182</v>
      </c>
      <c r="BZ466" s="707">
        <v>1905.600593024182</v>
      </c>
      <c r="CA466" s="707">
        <v>1905.600593024182</v>
      </c>
      <c r="CB466" s="707">
        <v>1905.600593024182</v>
      </c>
      <c r="CC466" s="707">
        <v>1905.600593024182</v>
      </c>
      <c r="CD466" s="707">
        <v>1905.600593024182</v>
      </c>
      <c r="CE466" s="707">
        <v>1905.600593024182</v>
      </c>
      <c r="CF466" s="707">
        <v>1905.600593024182</v>
      </c>
      <c r="CG466" s="707">
        <v>1905.600593024182</v>
      </c>
      <c r="CH466" s="707">
        <v>0</v>
      </c>
      <c r="CI466" s="707">
        <v>0</v>
      </c>
      <c r="CJ466" s="707">
        <v>0</v>
      </c>
      <c r="CK466" s="707">
        <v>0</v>
      </c>
      <c r="CL466" s="707">
        <v>0</v>
      </c>
      <c r="CM466" s="707">
        <v>0</v>
      </c>
      <c r="CN466" s="707">
        <v>0</v>
      </c>
      <c r="CO466" s="707">
        <v>0</v>
      </c>
      <c r="CP466" s="707">
        <v>0</v>
      </c>
      <c r="CQ466" s="707">
        <v>0</v>
      </c>
      <c r="CR466" s="707">
        <v>0</v>
      </c>
    </row>
    <row r="467" spans="1:96" s="53" customFormat="1">
      <c r="A467" s="774" t="s">
        <v>3</v>
      </c>
      <c r="B467" s="772">
        <v>41705</v>
      </c>
      <c r="C467" s="771">
        <v>2014</v>
      </c>
      <c r="D467" s="773" t="s">
        <v>1</v>
      </c>
      <c r="E467" s="773" t="s">
        <v>12</v>
      </c>
      <c r="F467" s="773" t="s">
        <v>457</v>
      </c>
      <c r="G467" s="772" t="s">
        <v>665</v>
      </c>
      <c r="H467" s="772" t="s">
        <v>371</v>
      </c>
      <c r="I467" s="773" t="s">
        <v>5</v>
      </c>
      <c r="J467" s="773" t="s">
        <v>376</v>
      </c>
      <c r="K467" s="706"/>
      <c r="L467" s="772" t="s">
        <v>651</v>
      </c>
      <c r="M467" s="772" t="s">
        <v>826</v>
      </c>
      <c r="N467" s="771">
        <v>9.4946198835018958</v>
      </c>
      <c r="O467" s="708">
        <v>6.0000000000000009</v>
      </c>
      <c r="P467" s="769">
        <v>0.89342167347094836</v>
      </c>
      <c r="Q467" s="706"/>
      <c r="R467" s="706"/>
      <c r="S467" s="706"/>
      <c r="T467" s="706"/>
      <c r="U467" s="710">
        <v>1.3</v>
      </c>
      <c r="V467" s="707">
        <v>11542</v>
      </c>
      <c r="W467" s="710">
        <v>0.66701208938165302</v>
      </c>
      <c r="X467" s="707">
        <v>7771.2913166852204</v>
      </c>
      <c r="Y467" s="707">
        <v>70891.033861700053</v>
      </c>
      <c r="Z467" s="707">
        <v>46404.142821771369</v>
      </c>
      <c r="AA467" s="707">
        <v>5086.9636472304728</v>
      </c>
      <c r="AB467" s="710">
        <v>0.42900042897908508</v>
      </c>
      <c r="AC467" s="769">
        <v>0.67330543377969332</v>
      </c>
      <c r="AD467" s="769">
        <v>0.51308622260127157</v>
      </c>
      <c r="AE467" s="707"/>
      <c r="AF467" s="770"/>
      <c r="AG467" s="706"/>
      <c r="AH467" s="769">
        <v>0.65458408904432563</v>
      </c>
      <c r="AI467" s="748"/>
      <c r="AJ467" s="748"/>
      <c r="AK467" s="748"/>
      <c r="AL467" s="769">
        <v>0.64316739652617949</v>
      </c>
      <c r="AM467" s="706"/>
      <c r="AN467" s="706"/>
      <c r="AO467" s="706"/>
      <c r="AP467" s="768">
        <v>4652.2700000000004</v>
      </c>
      <c r="AQ467" s="768">
        <v>4652.2700000000004</v>
      </c>
      <c r="AR467" s="706"/>
      <c r="AS467" s="738"/>
      <c r="AT467" s="738"/>
      <c r="AU467" s="710">
        <v>0</v>
      </c>
      <c r="AV467" s="710">
        <v>0.42900042897908508</v>
      </c>
      <c r="AW467" s="710">
        <v>0.42900042897908508</v>
      </c>
      <c r="AX467" s="710">
        <v>0.42900042897908508</v>
      </c>
      <c r="AY467" s="710">
        <v>0.42900042897908508</v>
      </c>
      <c r="AZ467" s="710">
        <v>0.42900042897908508</v>
      </c>
      <c r="BA467" s="710">
        <v>0.42900042897908508</v>
      </c>
      <c r="BB467" s="710">
        <v>0.38327828117824891</v>
      </c>
      <c r="BC467" s="710">
        <v>0.38327828117824891</v>
      </c>
      <c r="BD467" s="710">
        <v>0.38327828117824891</v>
      </c>
      <c r="BE467" s="710">
        <v>0.18957705878519232</v>
      </c>
      <c r="BF467" s="710">
        <v>0</v>
      </c>
      <c r="BG467" s="710">
        <v>0</v>
      </c>
      <c r="BH467" s="710">
        <v>0</v>
      </c>
      <c r="BI467" s="710">
        <v>0</v>
      </c>
      <c r="BJ467" s="710">
        <v>0</v>
      </c>
      <c r="BK467" s="710">
        <v>0</v>
      </c>
      <c r="BL467" s="710">
        <v>0</v>
      </c>
      <c r="BM467" s="710">
        <v>0</v>
      </c>
      <c r="BN467" s="710">
        <v>0</v>
      </c>
      <c r="BO467" s="710">
        <v>0</v>
      </c>
      <c r="BP467" s="710">
        <v>0</v>
      </c>
      <c r="BQ467" s="710">
        <v>0</v>
      </c>
      <c r="BR467" s="710">
        <v>0</v>
      </c>
      <c r="BS467" s="767"/>
      <c r="BT467" s="767"/>
      <c r="BU467" s="707">
        <v>0</v>
      </c>
      <c r="BV467" s="707">
        <v>5086.9636472304728</v>
      </c>
      <c r="BW467" s="707">
        <v>5086.9636472304728</v>
      </c>
      <c r="BX467" s="707">
        <v>5086.9636472304728</v>
      </c>
      <c r="BY467" s="707">
        <v>5086.9636472304728</v>
      </c>
      <c r="BZ467" s="707">
        <v>5086.9636472304728</v>
      </c>
      <c r="CA467" s="707">
        <v>5086.9636472304728</v>
      </c>
      <c r="CB467" s="707">
        <v>4544.8035745945281</v>
      </c>
      <c r="CC467" s="707">
        <v>4544.8035745945281</v>
      </c>
      <c r="CD467" s="707">
        <v>4544.8035745945281</v>
      </c>
      <c r="CE467" s="707">
        <v>2247.9502146049449</v>
      </c>
      <c r="CF467" s="707">
        <v>0</v>
      </c>
      <c r="CG467" s="707">
        <v>0</v>
      </c>
      <c r="CH467" s="707">
        <v>0</v>
      </c>
      <c r="CI467" s="707">
        <v>0</v>
      </c>
      <c r="CJ467" s="707">
        <v>0</v>
      </c>
      <c r="CK467" s="707">
        <v>0</v>
      </c>
      <c r="CL467" s="707">
        <v>0</v>
      </c>
      <c r="CM467" s="707">
        <v>0</v>
      </c>
      <c r="CN467" s="707">
        <v>0</v>
      </c>
      <c r="CO467" s="707">
        <v>0</v>
      </c>
      <c r="CP467" s="707">
        <v>0</v>
      </c>
      <c r="CQ467" s="707">
        <v>0</v>
      </c>
      <c r="CR467" s="707">
        <v>0</v>
      </c>
    </row>
    <row r="468" spans="1:96" s="53" customFormat="1">
      <c r="A468" s="774" t="s">
        <v>3</v>
      </c>
      <c r="B468" s="772">
        <v>41709</v>
      </c>
      <c r="C468" s="771">
        <v>2014</v>
      </c>
      <c r="D468" s="773" t="s">
        <v>1</v>
      </c>
      <c r="E468" s="773" t="s">
        <v>12</v>
      </c>
      <c r="F468" s="773" t="s">
        <v>457</v>
      </c>
      <c r="G468" s="772" t="s">
        <v>665</v>
      </c>
      <c r="H468" s="772" t="s">
        <v>371</v>
      </c>
      <c r="I468" s="773" t="s">
        <v>5</v>
      </c>
      <c r="J468" s="773" t="s">
        <v>376</v>
      </c>
      <c r="K468" s="706"/>
      <c r="L468" s="772" t="s">
        <v>651</v>
      </c>
      <c r="M468" s="772" t="s">
        <v>801</v>
      </c>
      <c r="N468" s="771">
        <v>9.4946198835018958</v>
      </c>
      <c r="O468" s="708">
        <v>6.0000000000000009</v>
      </c>
      <c r="P468" s="769">
        <v>0.89342167347094836</v>
      </c>
      <c r="Q468" s="706"/>
      <c r="R468" s="706"/>
      <c r="S468" s="706"/>
      <c r="T468" s="706"/>
      <c r="U468" s="710">
        <v>2.9</v>
      </c>
      <c r="V468" s="707">
        <v>25220</v>
      </c>
      <c r="W468" s="710">
        <v>1.4879500455436871</v>
      </c>
      <c r="X468" s="707">
        <v>16980.763039923866</v>
      </c>
      <c r="Y468" s="707">
        <v>154901.39265223319</v>
      </c>
      <c r="Z468" s="707">
        <v>101395.98700095943</v>
      </c>
      <c r="AA468" s="707">
        <v>11115.337305766117</v>
      </c>
      <c r="AB468" s="710">
        <v>0.95700095695334342</v>
      </c>
      <c r="AC468" s="769">
        <v>0.67330543377969332</v>
      </c>
      <c r="AD468" s="769">
        <v>0.51308622260127146</v>
      </c>
      <c r="AE468" s="707"/>
      <c r="AF468" s="770"/>
      <c r="AG468" s="706"/>
      <c r="AH468" s="769">
        <v>0.65458408904432563</v>
      </c>
      <c r="AI468" s="748"/>
      <c r="AJ468" s="748"/>
      <c r="AK468" s="748"/>
      <c r="AL468" s="769">
        <v>0.64316739652617949</v>
      </c>
      <c r="AM468" s="706"/>
      <c r="AN468" s="706"/>
      <c r="AO468" s="706"/>
      <c r="AP468" s="768">
        <v>4465.96</v>
      </c>
      <c r="AQ468" s="768">
        <v>4465.96</v>
      </c>
      <c r="AR468" s="706"/>
      <c r="AS468" s="738"/>
      <c r="AT468" s="738"/>
      <c r="AU468" s="710">
        <v>0</v>
      </c>
      <c r="AV468" s="710">
        <v>0.95700095695334342</v>
      </c>
      <c r="AW468" s="710">
        <v>0.95700095695334342</v>
      </c>
      <c r="AX468" s="710">
        <v>0.95700095695334342</v>
      </c>
      <c r="AY468" s="710">
        <v>0.95700095695334342</v>
      </c>
      <c r="AZ468" s="710">
        <v>0.95700095695334342</v>
      </c>
      <c r="BA468" s="710">
        <v>0.95700095695334342</v>
      </c>
      <c r="BB468" s="710">
        <v>0.85500539647455509</v>
      </c>
      <c r="BC468" s="710">
        <v>0.85500539647455509</v>
      </c>
      <c r="BD468" s="710">
        <v>0.85500539647455509</v>
      </c>
      <c r="BE468" s="710">
        <v>0.42290266959773665</v>
      </c>
      <c r="BF468" s="710">
        <v>0</v>
      </c>
      <c r="BG468" s="710">
        <v>0</v>
      </c>
      <c r="BH468" s="710">
        <v>0</v>
      </c>
      <c r="BI468" s="710">
        <v>0</v>
      </c>
      <c r="BJ468" s="710">
        <v>0</v>
      </c>
      <c r="BK468" s="710">
        <v>0</v>
      </c>
      <c r="BL468" s="710">
        <v>0</v>
      </c>
      <c r="BM468" s="710">
        <v>0</v>
      </c>
      <c r="BN468" s="710">
        <v>0</v>
      </c>
      <c r="BO468" s="710">
        <v>0</v>
      </c>
      <c r="BP468" s="710">
        <v>0</v>
      </c>
      <c r="BQ468" s="710">
        <v>0</v>
      </c>
      <c r="BR468" s="710">
        <v>0</v>
      </c>
      <c r="BS468" s="767"/>
      <c r="BT468" s="767"/>
      <c r="BU468" s="707">
        <v>0</v>
      </c>
      <c r="BV468" s="707">
        <v>11115.337305766117</v>
      </c>
      <c r="BW468" s="707">
        <v>11115.337305766117</v>
      </c>
      <c r="BX468" s="707">
        <v>11115.337305766117</v>
      </c>
      <c r="BY468" s="707">
        <v>11115.337305766117</v>
      </c>
      <c r="BZ468" s="707">
        <v>11115.337305766117</v>
      </c>
      <c r="CA468" s="707">
        <v>11115.337305766117</v>
      </c>
      <c r="CB468" s="707">
        <v>9930.6832569116268</v>
      </c>
      <c r="CC468" s="707">
        <v>9930.6832569116268</v>
      </c>
      <c r="CD468" s="707">
        <v>9930.6832569116268</v>
      </c>
      <c r="CE468" s="707">
        <v>4911.9133956278556</v>
      </c>
      <c r="CF468" s="707">
        <v>0</v>
      </c>
      <c r="CG468" s="707">
        <v>0</v>
      </c>
      <c r="CH468" s="707">
        <v>0</v>
      </c>
      <c r="CI468" s="707">
        <v>0</v>
      </c>
      <c r="CJ468" s="707">
        <v>0</v>
      </c>
      <c r="CK468" s="707">
        <v>0</v>
      </c>
      <c r="CL468" s="707">
        <v>0</v>
      </c>
      <c r="CM468" s="707">
        <v>0</v>
      </c>
      <c r="CN468" s="707">
        <v>0</v>
      </c>
      <c r="CO468" s="707">
        <v>0</v>
      </c>
      <c r="CP468" s="707">
        <v>0</v>
      </c>
      <c r="CQ468" s="707">
        <v>0</v>
      </c>
      <c r="CR468" s="707">
        <v>0</v>
      </c>
    </row>
    <row r="469" spans="1:96" s="53" customFormat="1">
      <c r="A469" s="774" t="s">
        <v>3</v>
      </c>
      <c r="B469" s="772">
        <v>41709</v>
      </c>
      <c r="C469" s="771">
        <v>2014</v>
      </c>
      <c r="D469" s="773" t="s">
        <v>1</v>
      </c>
      <c r="E469" s="773" t="s">
        <v>12</v>
      </c>
      <c r="F469" s="773" t="s">
        <v>457</v>
      </c>
      <c r="G469" s="772" t="s">
        <v>656</v>
      </c>
      <c r="H469" s="772" t="s">
        <v>371</v>
      </c>
      <c r="I469" s="773" t="s">
        <v>5</v>
      </c>
      <c r="J469" s="773" t="s">
        <v>376</v>
      </c>
      <c r="K469" s="706"/>
      <c r="L469" s="772" t="s">
        <v>651</v>
      </c>
      <c r="M469" s="772" t="s">
        <v>801</v>
      </c>
      <c r="N469" s="771">
        <v>12</v>
      </c>
      <c r="O469" s="708" t="s">
        <v>7</v>
      </c>
      <c r="P469" s="769" t="s">
        <v>7</v>
      </c>
      <c r="Q469" s="706"/>
      <c r="R469" s="706"/>
      <c r="S469" s="706"/>
      <c r="T469" s="706"/>
      <c r="U469" s="710">
        <v>0.46</v>
      </c>
      <c r="V469" s="707">
        <v>2208</v>
      </c>
      <c r="W469" s="710">
        <v>0.42027214153361608</v>
      </c>
      <c r="X469" s="707">
        <v>2669.7586381685287</v>
      </c>
      <c r="Y469" s="707">
        <v>32037.103658022344</v>
      </c>
      <c r="Z469" s="707">
        <v>23507.794516875005</v>
      </c>
      <c r="AA469" s="707">
        <v>1958.9828764062504</v>
      </c>
      <c r="AB469" s="710">
        <v>0.30390999927644829</v>
      </c>
      <c r="AC469" s="769">
        <v>1.209129818011109</v>
      </c>
      <c r="AD469" s="769">
        <v>0.91363509029046974</v>
      </c>
      <c r="AE469" s="707"/>
      <c r="AF469" s="770"/>
      <c r="AG469" s="706"/>
      <c r="AH469" s="769">
        <v>0.7337677827498762</v>
      </c>
      <c r="AI469" s="748"/>
      <c r="AJ469" s="748"/>
      <c r="AK469" s="748"/>
      <c r="AL469" s="769">
        <v>0.7231266820766411</v>
      </c>
      <c r="AM469" s="706"/>
      <c r="AN469" s="706"/>
      <c r="AO469" s="706"/>
      <c r="AP469" s="768">
        <v>253.52800000000002</v>
      </c>
      <c r="AQ469" s="768">
        <v>2535.2800000000002</v>
      </c>
      <c r="AR469" s="706"/>
      <c r="AS469" s="738"/>
      <c r="AT469" s="738"/>
      <c r="AU469" s="710">
        <v>0</v>
      </c>
      <c r="AV469" s="710">
        <v>0.30390999927644829</v>
      </c>
      <c r="AW469" s="710">
        <v>0.30390999927644829</v>
      </c>
      <c r="AX469" s="710">
        <v>0.30390999927644829</v>
      </c>
      <c r="AY469" s="710">
        <v>0.30390999927644829</v>
      </c>
      <c r="AZ469" s="710">
        <v>0.30390999927644829</v>
      </c>
      <c r="BA469" s="710">
        <v>0.30390999927644829</v>
      </c>
      <c r="BB469" s="710">
        <v>0.30390999927644829</v>
      </c>
      <c r="BC469" s="710">
        <v>0.30390999927644829</v>
      </c>
      <c r="BD469" s="710">
        <v>0.30390999927644829</v>
      </c>
      <c r="BE469" s="710">
        <v>0.30390999927644829</v>
      </c>
      <c r="BF469" s="710">
        <v>0.30390999927644829</v>
      </c>
      <c r="BG469" s="710">
        <v>0.30390999927644829</v>
      </c>
      <c r="BH469" s="710">
        <v>0</v>
      </c>
      <c r="BI469" s="710">
        <v>0</v>
      </c>
      <c r="BJ469" s="710">
        <v>0</v>
      </c>
      <c r="BK469" s="710">
        <v>0</v>
      </c>
      <c r="BL469" s="710">
        <v>0</v>
      </c>
      <c r="BM469" s="710">
        <v>0</v>
      </c>
      <c r="BN469" s="710">
        <v>0</v>
      </c>
      <c r="BO469" s="710">
        <v>0</v>
      </c>
      <c r="BP469" s="710">
        <v>0</v>
      </c>
      <c r="BQ469" s="710">
        <v>0</v>
      </c>
      <c r="BR469" s="710">
        <v>0</v>
      </c>
      <c r="BS469" s="767"/>
      <c r="BT469" s="767"/>
      <c r="BU469" s="707">
        <v>0</v>
      </c>
      <c r="BV469" s="707">
        <v>1958.9828764062504</v>
      </c>
      <c r="BW469" s="707">
        <v>1958.9828764062504</v>
      </c>
      <c r="BX469" s="707">
        <v>1958.9828764062504</v>
      </c>
      <c r="BY469" s="707">
        <v>1958.9828764062504</v>
      </c>
      <c r="BZ469" s="707">
        <v>1958.9828764062504</v>
      </c>
      <c r="CA469" s="707">
        <v>1958.9828764062504</v>
      </c>
      <c r="CB469" s="707">
        <v>1958.9828764062504</v>
      </c>
      <c r="CC469" s="707">
        <v>1958.9828764062504</v>
      </c>
      <c r="CD469" s="707">
        <v>1958.9828764062504</v>
      </c>
      <c r="CE469" s="707">
        <v>1958.9828764062504</v>
      </c>
      <c r="CF469" s="707">
        <v>1958.9828764062504</v>
      </c>
      <c r="CG469" s="707">
        <v>1958.9828764062504</v>
      </c>
      <c r="CH469" s="707">
        <v>0</v>
      </c>
      <c r="CI469" s="707">
        <v>0</v>
      </c>
      <c r="CJ469" s="707">
        <v>0</v>
      </c>
      <c r="CK469" s="707">
        <v>0</v>
      </c>
      <c r="CL469" s="707">
        <v>0</v>
      </c>
      <c r="CM469" s="707">
        <v>0</v>
      </c>
      <c r="CN469" s="707">
        <v>0</v>
      </c>
      <c r="CO469" s="707">
        <v>0</v>
      </c>
      <c r="CP469" s="707">
        <v>0</v>
      </c>
      <c r="CQ469" s="707">
        <v>0</v>
      </c>
      <c r="CR469" s="707">
        <v>0</v>
      </c>
    </row>
    <row r="470" spans="1:96" s="53" customFormat="1">
      <c r="A470" s="774" t="s">
        <v>3</v>
      </c>
      <c r="B470" s="772">
        <v>41857</v>
      </c>
      <c r="C470" s="771">
        <v>2014</v>
      </c>
      <c r="D470" s="773" t="s">
        <v>1</v>
      </c>
      <c r="E470" s="773" t="s">
        <v>12</v>
      </c>
      <c r="F470" s="773" t="s">
        <v>457</v>
      </c>
      <c r="G470" s="772" t="s">
        <v>665</v>
      </c>
      <c r="H470" s="772" t="s">
        <v>371</v>
      </c>
      <c r="I470" s="773" t="s">
        <v>5</v>
      </c>
      <c r="J470" s="773" t="s">
        <v>376</v>
      </c>
      <c r="K470" s="706"/>
      <c r="L470" s="772" t="s">
        <v>651</v>
      </c>
      <c r="M470" s="772" t="s">
        <v>842</v>
      </c>
      <c r="N470" s="771">
        <v>9.4946198835018958</v>
      </c>
      <c r="O470" s="708">
        <v>6.0000000000000009</v>
      </c>
      <c r="P470" s="769">
        <v>0.89342167347094836</v>
      </c>
      <c r="Q470" s="706"/>
      <c r="R470" s="706"/>
      <c r="S470" s="706"/>
      <c r="T470" s="706"/>
      <c r="U470" s="710">
        <v>7.9</v>
      </c>
      <c r="V470" s="707">
        <v>44814</v>
      </c>
      <c r="W470" s="710">
        <v>7.0992246671102652</v>
      </c>
      <c r="X470" s="707">
        <v>44204.860260423629</v>
      </c>
      <c r="Y470" s="707">
        <v>403244.21230294008</v>
      </c>
      <c r="Z470" s="707">
        <v>309088.92754011706</v>
      </c>
      <c r="AA470" s="707">
        <v>33883.270814784759</v>
      </c>
      <c r="AB470" s="710">
        <v>5.1330087863803149</v>
      </c>
      <c r="AC470" s="769">
        <v>0.98640737850724391</v>
      </c>
      <c r="AD470" s="769">
        <v>0.89863603381142598</v>
      </c>
      <c r="AE470" s="707"/>
      <c r="AF470" s="770"/>
      <c r="AG470" s="706"/>
      <c r="AH470" s="769">
        <v>0.76650555199515624</v>
      </c>
      <c r="AI470" s="748"/>
      <c r="AJ470" s="748"/>
      <c r="AK470" s="748"/>
      <c r="AL470" s="769">
        <v>0.72303794105303376</v>
      </c>
      <c r="AM470" s="706"/>
      <c r="AN470" s="706"/>
      <c r="AO470" s="706"/>
      <c r="AP470" s="768">
        <v>1214.1764770844836</v>
      </c>
      <c r="AQ470" s="768">
        <v>1214.1764770844836</v>
      </c>
      <c r="AR470" s="706"/>
      <c r="AS470" s="738"/>
      <c r="AT470" s="738"/>
      <c r="AU470" s="710">
        <v>0</v>
      </c>
      <c r="AV470" s="710">
        <v>5.1330087863803149</v>
      </c>
      <c r="AW470" s="710">
        <v>5.1330087863803149</v>
      </c>
      <c r="AX470" s="710">
        <v>5.1330087863803149</v>
      </c>
      <c r="AY470" s="710">
        <v>5.1330087863803149</v>
      </c>
      <c r="AZ470" s="710">
        <v>5.1330087863803149</v>
      </c>
      <c r="BA470" s="710">
        <v>5.1330087863803149</v>
      </c>
      <c r="BB470" s="710">
        <v>4.585941299868983</v>
      </c>
      <c r="BC470" s="710">
        <v>4.585941299868983</v>
      </c>
      <c r="BD470" s="710">
        <v>4.585941299868983</v>
      </c>
      <c r="BE470" s="710">
        <v>2.2682977514877285</v>
      </c>
      <c r="BF470" s="710">
        <v>0</v>
      </c>
      <c r="BG470" s="710">
        <v>0</v>
      </c>
      <c r="BH470" s="710">
        <v>0</v>
      </c>
      <c r="BI470" s="710">
        <v>0</v>
      </c>
      <c r="BJ470" s="710">
        <v>0</v>
      </c>
      <c r="BK470" s="710">
        <v>0</v>
      </c>
      <c r="BL470" s="710">
        <v>0</v>
      </c>
      <c r="BM470" s="710">
        <v>0</v>
      </c>
      <c r="BN470" s="710">
        <v>0</v>
      </c>
      <c r="BO470" s="710">
        <v>0</v>
      </c>
      <c r="BP470" s="710">
        <v>0</v>
      </c>
      <c r="BQ470" s="710">
        <v>0</v>
      </c>
      <c r="BR470" s="710">
        <v>0</v>
      </c>
      <c r="BS470" s="767"/>
      <c r="BT470" s="767"/>
      <c r="BU470" s="707">
        <v>0</v>
      </c>
      <c r="BV470" s="707">
        <v>33883.270814784759</v>
      </c>
      <c r="BW470" s="707">
        <v>33883.270814784759</v>
      </c>
      <c r="BX470" s="707">
        <v>33883.270814784759</v>
      </c>
      <c r="BY470" s="707">
        <v>33883.270814784759</v>
      </c>
      <c r="BZ470" s="707">
        <v>33883.270814784759</v>
      </c>
      <c r="CA470" s="707">
        <v>33883.270814784759</v>
      </c>
      <c r="CB470" s="707">
        <v>30272.048514014343</v>
      </c>
      <c r="CC470" s="707">
        <v>30272.048514014343</v>
      </c>
      <c r="CD470" s="707">
        <v>30272.048514014343</v>
      </c>
      <c r="CE470" s="707">
        <v>14973.157109365511</v>
      </c>
      <c r="CF470" s="707">
        <v>0</v>
      </c>
      <c r="CG470" s="707">
        <v>0</v>
      </c>
      <c r="CH470" s="707">
        <v>0</v>
      </c>
      <c r="CI470" s="707">
        <v>0</v>
      </c>
      <c r="CJ470" s="707">
        <v>0</v>
      </c>
      <c r="CK470" s="707">
        <v>0</v>
      </c>
      <c r="CL470" s="707">
        <v>0</v>
      </c>
      <c r="CM470" s="707">
        <v>0</v>
      </c>
      <c r="CN470" s="707">
        <v>0</v>
      </c>
      <c r="CO470" s="707">
        <v>0</v>
      </c>
      <c r="CP470" s="707">
        <v>0</v>
      </c>
      <c r="CQ470" s="707">
        <v>0</v>
      </c>
      <c r="CR470" s="707">
        <v>0</v>
      </c>
    </row>
    <row r="471" spans="1:96" s="53" customFormat="1">
      <c r="A471" s="774" t="s">
        <v>3</v>
      </c>
      <c r="B471" s="772">
        <v>41694</v>
      </c>
      <c r="C471" s="771">
        <v>2014</v>
      </c>
      <c r="D471" s="773" t="s">
        <v>1</v>
      </c>
      <c r="E471" s="773" t="s">
        <v>12</v>
      </c>
      <c r="F471" s="773" t="s">
        <v>457</v>
      </c>
      <c r="G471" s="772" t="s">
        <v>656</v>
      </c>
      <c r="H471" s="772" t="s">
        <v>792</v>
      </c>
      <c r="I471" s="773" t="s">
        <v>5</v>
      </c>
      <c r="J471" s="773" t="s">
        <v>376</v>
      </c>
      <c r="K471" s="706"/>
      <c r="L471" s="772" t="s">
        <v>841</v>
      </c>
      <c r="M471" s="772" t="s">
        <v>840</v>
      </c>
      <c r="N471" s="771">
        <v>15.464728900771432</v>
      </c>
      <c r="O471" s="708" t="s">
        <v>7</v>
      </c>
      <c r="P471" s="769" t="s">
        <v>7</v>
      </c>
      <c r="Q471" s="706"/>
      <c r="R471" s="706"/>
      <c r="S471" s="706"/>
      <c r="T471" s="706"/>
      <c r="U471" s="710">
        <v>0.91</v>
      </c>
      <c r="V471" s="707">
        <v>909</v>
      </c>
      <c r="W471" s="710">
        <v>0.98984087082664407</v>
      </c>
      <c r="X471" s="707">
        <v>669.12817066227319</v>
      </c>
      <c r="Y471" s="707">
        <v>10347.885759161176</v>
      </c>
      <c r="Z471" s="707">
        <v>7052.3003454793661</v>
      </c>
      <c r="AA471" s="707">
        <v>456.0248285456575</v>
      </c>
      <c r="AB471" s="710">
        <v>0.68518791371162391</v>
      </c>
      <c r="AC471" s="769">
        <v>0.73611459918841937</v>
      </c>
      <c r="AD471" s="769">
        <v>1.0877372206886198</v>
      </c>
      <c r="AE471" s="707"/>
      <c r="AF471" s="770"/>
      <c r="AG471" s="706"/>
      <c r="AH471" s="769">
        <v>0.68152089321587594</v>
      </c>
      <c r="AI471" s="748"/>
      <c r="AJ471" s="748"/>
      <c r="AK471" s="748"/>
      <c r="AL471" s="769">
        <v>0.69222026883917631</v>
      </c>
      <c r="AM471" s="706"/>
      <c r="AN471" s="706"/>
      <c r="AO471" s="706"/>
      <c r="AP471" s="768">
        <v>16406</v>
      </c>
      <c r="AQ471" s="768">
        <v>16406</v>
      </c>
      <c r="AR471" s="706"/>
      <c r="AS471" s="738"/>
      <c r="AT471" s="738"/>
      <c r="AU471" s="710">
        <v>0</v>
      </c>
      <c r="AV471" s="710">
        <v>0.68518791371162391</v>
      </c>
      <c r="AW471" s="710">
        <v>0.68518791371162391</v>
      </c>
      <c r="AX471" s="710">
        <v>0.68518791371162391</v>
      </c>
      <c r="AY471" s="710">
        <v>0.68518791371162391</v>
      </c>
      <c r="AZ471" s="710">
        <v>0.68518791371162391</v>
      </c>
      <c r="BA471" s="710">
        <v>0.68518791371162391</v>
      </c>
      <c r="BB471" s="710">
        <v>0.68518791371162391</v>
      </c>
      <c r="BC471" s="710">
        <v>0.68518791371162391</v>
      </c>
      <c r="BD471" s="710">
        <v>0.68518791371162391</v>
      </c>
      <c r="BE471" s="710">
        <v>0.68518791371162391</v>
      </c>
      <c r="BF471" s="710">
        <v>0.68518791371162391</v>
      </c>
      <c r="BG471" s="710">
        <v>0.68518791371162391</v>
      </c>
      <c r="BH471" s="710">
        <v>0.68518791371162391</v>
      </c>
      <c r="BI471" s="710">
        <v>0.68518791371162391</v>
      </c>
      <c r="BJ471" s="710">
        <v>0.68518791371162391</v>
      </c>
      <c r="BK471" s="710">
        <v>0.31842662596107357</v>
      </c>
      <c r="BL471" s="710">
        <v>0</v>
      </c>
      <c r="BM471" s="710">
        <v>0</v>
      </c>
      <c r="BN471" s="710">
        <v>0</v>
      </c>
      <c r="BO471" s="710">
        <v>0</v>
      </c>
      <c r="BP471" s="710">
        <v>0</v>
      </c>
      <c r="BQ471" s="710">
        <v>0</v>
      </c>
      <c r="BR471" s="710">
        <v>0</v>
      </c>
      <c r="BS471" s="767"/>
      <c r="BT471" s="767"/>
      <c r="BU471" s="707">
        <v>0</v>
      </c>
      <c r="BV471" s="707">
        <v>456.0248285456575</v>
      </c>
      <c r="BW471" s="707">
        <v>456.0248285456575</v>
      </c>
      <c r="BX471" s="707">
        <v>456.0248285456575</v>
      </c>
      <c r="BY471" s="707">
        <v>456.0248285456575</v>
      </c>
      <c r="BZ471" s="707">
        <v>456.0248285456575</v>
      </c>
      <c r="CA471" s="707">
        <v>456.0248285456575</v>
      </c>
      <c r="CB471" s="707">
        <v>456.0248285456575</v>
      </c>
      <c r="CC471" s="707">
        <v>456.0248285456575</v>
      </c>
      <c r="CD471" s="707">
        <v>456.0248285456575</v>
      </c>
      <c r="CE471" s="707">
        <v>456.0248285456575</v>
      </c>
      <c r="CF471" s="707">
        <v>456.0248285456575</v>
      </c>
      <c r="CG471" s="707">
        <v>456.0248285456575</v>
      </c>
      <c r="CH471" s="707">
        <v>456.0248285456575</v>
      </c>
      <c r="CI471" s="707">
        <v>456.0248285456575</v>
      </c>
      <c r="CJ471" s="707">
        <v>456.0248285456575</v>
      </c>
      <c r="CK471" s="707">
        <v>211.92791729450403</v>
      </c>
      <c r="CL471" s="707">
        <v>0</v>
      </c>
      <c r="CM471" s="707">
        <v>0</v>
      </c>
      <c r="CN471" s="707">
        <v>0</v>
      </c>
      <c r="CO471" s="707">
        <v>0</v>
      </c>
      <c r="CP471" s="707">
        <v>0</v>
      </c>
      <c r="CQ471" s="707">
        <v>0</v>
      </c>
      <c r="CR471" s="707">
        <v>0</v>
      </c>
    </row>
    <row r="472" spans="1:96" s="53" customFormat="1">
      <c r="A472" s="774" t="s">
        <v>3</v>
      </c>
      <c r="B472" s="772">
        <v>41719</v>
      </c>
      <c r="C472" s="771">
        <v>2014</v>
      </c>
      <c r="D472" s="773" t="s">
        <v>1</v>
      </c>
      <c r="E472" s="773" t="s">
        <v>12</v>
      </c>
      <c r="F472" s="773" t="s">
        <v>457</v>
      </c>
      <c r="G472" s="772" t="s">
        <v>661</v>
      </c>
      <c r="H472" s="772" t="s">
        <v>792</v>
      </c>
      <c r="I472" s="773" t="s">
        <v>5</v>
      </c>
      <c r="J472" s="773" t="s">
        <v>376</v>
      </c>
      <c r="K472" s="706"/>
      <c r="L472" s="772" t="s">
        <v>651</v>
      </c>
      <c r="M472" s="772" t="s">
        <v>839</v>
      </c>
      <c r="N472" s="771">
        <v>15.785275384057615</v>
      </c>
      <c r="O472" s="708" t="s">
        <v>7</v>
      </c>
      <c r="P472" s="769" t="s">
        <v>7</v>
      </c>
      <c r="Q472" s="706"/>
      <c r="R472" s="706"/>
      <c r="S472" s="706"/>
      <c r="T472" s="706"/>
      <c r="U472" s="710">
        <v>0</v>
      </c>
      <c r="V472" s="707">
        <v>9293.76</v>
      </c>
      <c r="W472" s="710">
        <v>0</v>
      </c>
      <c r="X472" s="707">
        <v>9125.8757981792096</v>
      </c>
      <c r="Y472" s="707">
        <v>144054.46259496541</v>
      </c>
      <c r="Z472" s="707">
        <v>100403.33087527446</v>
      </c>
      <c r="AA472" s="707">
        <v>6360.5688486548106</v>
      </c>
      <c r="AB472" s="710">
        <v>0</v>
      </c>
      <c r="AC472" s="769">
        <v>0.98193581480253522</v>
      </c>
      <c r="AD472" s="769">
        <v>0</v>
      </c>
      <c r="AE472" s="707"/>
      <c r="AF472" s="770"/>
      <c r="AG472" s="706"/>
      <c r="AH472" s="769">
        <v>0.69698174611623231</v>
      </c>
      <c r="AI472" s="748"/>
      <c r="AJ472" s="748"/>
      <c r="AK472" s="748"/>
      <c r="AL472" s="769">
        <v>0.7062173607922958</v>
      </c>
      <c r="AM472" s="706"/>
      <c r="AN472" s="706"/>
      <c r="AO472" s="706"/>
      <c r="AP472" s="768">
        <v>8904</v>
      </c>
      <c r="AQ472" s="768">
        <v>8904</v>
      </c>
      <c r="AR472" s="706"/>
      <c r="AS472" s="738"/>
      <c r="AT472" s="738"/>
      <c r="AU472" s="710">
        <v>0</v>
      </c>
      <c r="AV472" s="710">
        <v>0</v>
      </c>
      <c r="AW472" s="710">
        <v>0</v>
      </c>
      <c r="AX472" s="710">
        <v>0</v>
      </c>
      <c r="AY472" s="710">
        <v>0</v>
      </c>
      <c r="AZ472" s="710">
        <v>0</v>
      </c>
      <c r="BA472" s="710">
        <v>0</v>
      </c>
      <c r="BB472" s="710">
        <v>0</v>
      </c>
      <c r="BC472" s="710">
        <v>0</v>
      </c>
      <c r="BD472" s="710">
        <v>0</v>
      </c>
      <c r="BE472" s="710">
        <v>0</v>
      </c>
      <c r="BF472" s="710">
        <v>0</v>
      </c>
      <c r="BG472" s="710">
        <v>0</v>
      </c>
      <c r="BH472" s="710">
        <v>0</v>
      </c>
      <c r="BI472" s="710">
        <v>0</v>
      </c>
      <c r="BJ472" s="710">
        <v>0</v>
      </c>
      <c r="BK472" s="710">
        <v>0</v>
      </c>
      <c r="BL472" s="710">
        <v>0</v>
      </c>
      <c r="BM472" s="710">
        <v>0</v>
      </c>
      <c r="BN472" s="710">
        <v>0</v>
      </c>
      <c r="BO472" s="710">
        <v>0</v>
      </c>
      <c r="BP472" s="710">
        <v>0</v>
      </c>
      <c r="BQ472" s="710">
        <v>0</v>
      </c>
      <c r="BR472" s="710">
        <v>0</v>
      </c>
      <c r="BS472" s="767"/>
      <c r="BT472" s="767"/>
      <c r="BU472" s="707">
        <v>0</v>
      </c>
      <c r="BV472" s="707">
        <v>6360.5688486548106</v>
      </c>
      <c r="BW472" s="707">
        <v>6360.5688486548106</v>
      </c>
      <c r="BX472" s="707">
        <v>6360.5688486548106</v>
      </c>
      <c r="BY472" s="707">
        <v>6360.5688486548106</v>
      </c>
      <c r="BZ472" s="707">
        <v>6360.5688486548106</v>
      </c>
      <c r="CA472" s="707">
        <v>6360.5688486548106</v>
      </c>
      <c r="CB472" s="707">
        <v>6360.5688486548106</v>
      </c>
      <c r="CC472" s="707">
        <v>6360.5688486548106</v>
      </c>
      <c r="CD472" s="707">
        <v>6360.5688486548106</v>
      </c>
      <c r="CE472" s="707">
        <v>6360.5688486548106</v>
      </c>
      <c r="CF472" s="707">
        <v>6360.5688486548106</v>
      </c>
      <c r="CG472" s="707">
        <v>6360.5688486548106</v>
      </c>
      <c r="CH472" s="707">
        <v>6360.5688486548106</v>
      </c>
      <c r="CI472" s="707">
        <v>6360.5688486548106</v>
      </c>
      <c r="CJ472" s="707">
        <v>6360.5688486548106</v>
      </c>
      <c r="CK472" s="707">
        <v>4994.798145452306</v>
      </c>
      <c r="CL472" s="707">
        <v>0</v>
      </c>
      <c r="CM472" s="707">
        <v>0</v>
      </c>
      <c r="CN472" s="707">
        <v>0</v>
      </c>
      <c r="CO472" s="707">
        <v>0</v>
      </c>
      <c r="CP472" s="707">
        <v>0</v>
      </c>
      <c r="CQ472" s="707">
        <v>0</v>
      </c>
      <c r="CR472" s="707">
        <v>0</v>
      </c>
    </row>
    <row r="473" spans="1:96" s="53" customFormat="1">
      <c r="A473" s="774" t="s">
        <v>3</v>
      </c>
      <c r="B473" s="772">
        <v>41732</v>
      </c>
      <c r="C473" s="771">
        <v>2014</v>
      </c>
      <c r="D473" s="773" t="s">
        <v>1</v>
      </c>
      <c r="E473" s="773" t="s">
        <v>12</v>
      </c>
      <c r="F473" s="773" t="s">
        <v>457</v>
      </c>
      <c r="G473" s="772" t="s">
        <v>656</v>
      </c>
      <c r="H473" s="772" t="s">
        <v>371</v>
      </c>
      <c r="I473" s="773" t="s">
        <v>5</v>
      </c>
      <c r="J473" s="773" t="s">
        <v>376</v>
      </c>
      <c r="K473" s="706"/>
      <c r="L473" s="772" t="s">
        <v>651</v>
      </c>
      <c r="M473" s="772" t="s">
        <v>838</v>
      </c>
      <c r="N473" s="771">
        <v>20</v>
      </c>
      <c r="O473" s="708" t="s">
        <v>7</v>
      </c>
      <c r="P473" s="769" t="s">
        <v>7</v>
      </c>
      <c r="Q473" s="706"/>
      <c r="R473" s="706"/>
      <c r="S473" s="706"/>
      <c r="T473" s="706"/>
      <c r="U473" s="710">
        <v>1.02</v>
      </c>
      <c r="V473" s="707">
        <v>2645.88</v>
      </c>
      <c r="W473" s="710">
        <v>0.93190779209627905</v>
      </c>
      <c r="X473" s="707">
        <v>3199.2124028792332</v>
      </c>
      <c r="Y473" s="707">
        <v>63984.248057584664</v>
      </c>
      <c r="Z473" s="707">
        <v>46949.579828131973</v>
      </c>
      <c r="AA473" s="707">
        <v>2347.4789914065987</v>
      </c>
      <c r="AB473" s="710">
        <v>0.67388738969995055</v>
      </c>
      <c r="AC473" s="769">
        <v>1.209129818011109</v>
      </c>
      <c r="AD473" s="769">
        <v>0.91363509029046963</v>
      </c>
      <c r="AE473" s="707"/>
      <c r="AF473" s="770"/>
      <c r="AG473" s="706"/>
      <c r="AH473" s="769">
        <v>0.7337677827498762</v>
      </c>
      <c r="AI473" s="748"/>
      <c r="AJ473" s="748"/>
      <c r="AK473" s="748"/>
      <c r="AL473" s="769">
        <v>0.7231266820766411</v>
      </c>
      <c r="AM473" s="706"/>
      <c r="AN473" s="706"/>
      <c r="AO473" s="706"/>
      <c r="AP473" s="768">
        <v>13.156666666666666</v>
      </c>
      <c r="AQ473" s="768">
        <v>394.7</v>
      </c>
      <c r="AR473" s="706"/>
      <c r="AS473" s="738"/>
      <c r="AT473" s="738"/>
      <c r="AU473" s="710">
        <v>0</v>
      </c>
      <c r="AV473" s="710">
        <v>0.67388738969995055</v>
      </c>
      <c r="AW473" s="710">
        <v>0.67388738969995055</v>
      </c>
      <c r="AX473" s="710">
        <v>0.67388738969995055</v>
      </c>
      <c r="AY473" s="710">
        <v>0.67388738969995055</v>
      </c>
      <c r="AZ473" s="710">
        <v>0.67388738969995055</v>
      </c>
      <c r="BA473" s="710">
        <v>0.67388738969995055</v>
      </c>
      <c r="BB473" s="710">
        <v>0.67388738969995055</v>
      </c>
      <c r="BC473" s="710">
        <v>0.67388738969995055</v>
      </c>
      <c r="BD473" s="710">
        <v>0.67388738969995055</v>
      </c>
      <c r="BE473" s="710">
        <v>0.67388738969995055</v>
      </c>
      <c r="BF473" s="710">
        <v>0.67388738969995055</v>
      </c>
      <c r="BG473" s="710">
        <v>0.67388738969995055</v>
      </c>
      <c r="BH473" s="710">
        <v>0.67388738969995055</v>
      </c>
      <c r="BI473" s="710">
        <v>0.67388738969995055</v>
      </c>
      <c r="BJ473" s="710">
        <v>0.67388738969995055</v>
      </c>
      <c r="BK473" s="710">
        <v>0.67388738969995055</v>
      </c>
      <c r="BL473" s="710">
        <v>0.67388738969995055</v>
      </c>
      <c r="BM473" s="710">
        <v>0.67388738969995055</v>
      </c>
      <c r="BN473" s="710">
        <v>0.67388738969995055</v>
      </c>
      <c r="BO473" s="710">
        <v>0.67388738969995055</v>
      </c>
      <c r="BP473" s="710">
        <v>0</v>
      </c>
      <c r="BQ473" s="710">
        <v>0</v>
      </c>
      <c r="BR473" s="710">
        <v>0</v>
      </c>
      <c r="BS473" s="767"/>
      <c r="BT473" s="767"/>
      <c r="BU473" s="707">
        <v>0</v>
      </c>
      <c r="BV473" s="707">
        <v>2347.4789914065987</v>
      </c>
      <c r="BW473" s="707">
        <v>2347.4789914065987</v>
      </c>
      <c r="BX473" s="707">
        <v>2347.4789914065987</v>
      </c>
      <c r="BY473" s="707">
        <v>2347.4789914065987</v>
      </c>
      <c r="BZ473" s="707">
        <v>2347.4789914065987</v>
      </c>
      <c r="CA473" s="707">
        <v>2347.4789914065987</v>
      </c>
      <c r="CB473" s="707">
        <v>2347.4789914065987</v>
      </c>
      <c r="CC473" s="707">
        <v>2347.4789914065987</v>
      </c>
      <c r="CD473" s="707">
        <v>2347.4789914065987</v>
      </c>
      <c r="CE473" s="707">
        <v>2347.4789914065987</v>
      </c>
      <c r="CF473" s="707">
        <v>2347.4789914065987</v>
      </c>
      <c r="CG473" s="707">
        <v>2347.4789914065987</v>
      </c>
      <c r="CH473" s="707">
        <v>2347.4789914065987</v>
      </c>
      <c r="CI473" s="707">
        <v>2347.4789914065987</v>
      </c>
      <c r="CJ473" s="707">
        <v>2347.4789914065987</v>
      </c>
      <c r="CK473" s="707">
        <v>2347.4789914065987</v>
      </c>
      <c r="CL473" s="707">
        <v>2347.4789914065987</v>
      </c>
      <c r="CM473" s="707">
        <v>2347.4789914065987</v>
      </c>
      <c r="CN473" s="707">
        <v>2347.4789914065987</v>
      </c>
      <c r="CO473" s="707">
        <v>2347.4789914065987</v>
      </c>
      <c r="CP473" s="707">
        <v>0</v>
      </c>
      <c r="CQ473" s="707">
        <v>0</v>
      </c>
      <c r="CR473" s="707">
        <v>0</v>
      </c>
    </row>
    <row r="474" spans="1:96" s="53" customFormat="1">
      <c r="A474" s="774" t="s">
        <v>3</v>
      </c>
      <c r="B474" s="772">
        <v>41789</v>
      </c>
      <c r="C474" s="771">
        <v>2014</v>
      </c>
      <c r="D474" s="773" t="s">
        <v>1</v>
      </c>
      <c r="E474" s="773" t="s">
        <v>12</v>
      </c>
      <c r="F474" s="773" t="s">
        <v>457</v>
      </c>
      <c r="G474" s="772" t="s">
        <v>665</v>
      </c>
      <c r="H474" s="772" t="s">
        <v>371</v>
      </c>
      <c r="I474" s="773" t="s">
        <v>5</v>
      </c>
      <c r="J474" s="773" t="s">
        <v>376</v>
      </c>
      <c r="K474" s="706"/>
      <c r="L474" s="772" t="s">
        <v>651</v>
      </c>
      <c r="M474" s="772" t="s">
        <v>837</v>
      </c>
      <c r="N474" s="771">
        <v>9.4946198835018958</v>
      </c>
      <c r="O474" s="708">
        <v>6.0000000000000009</v>
      </c>
      <c r="P474" s="769">
        <v>0.89342167347094836</v>
      </c>
      <c r="Q474" s="706"/>
      <c r="R474" s="706"/>
      <c r="S474" s="706"/>
      <c r="T474" s="706"/>
      <c r="U474" s="710">
        <v>0.6</v>
      </c>
      <c r="V474" s="707">
        <v>2431</v>
      </c>
      <c r="W474" s="710">
        <v>0.30785173356076284</v>
      </c>
      <c r="X474" s="707">
        <v>1636.8055095184345</v>
      </c>
      <c r="Y474" s="707">
        <v>14931.21671441629</v>
      </c>
      <c r="Z474" s="707">
        <v>9773.7368913295977</v>
      </c>
      <c r="AA474" s="707">
        <v>1071.4268433908578</v>
      </c>
      <c r="AB474" s="710">
        <v>0.1980001979903469</v>
      </c>
      <c r="AC474" s="769">
        <v>0.67330543377969332</v>
      </c>
      <c r="AD474" s="769">
        <v>0.51308622260127146</v>
      </c>
      <c r="AE474" s="707"/>
      <c r="AF474" s="770"/>
      <c r="AG474" s="706"/>
      <c r="AH474" s="769">
        <v>0.65458408904432563</v>
      </c>
      <c r="AI474" s="748"/>
      <c r="AJ474" s="748"/>
      <c r="AK474" s="748"/>
      <c r="AL474" s="769">
        <v>0.64316739652617949</v>
      </c>
      <c r="AM474" s="706"/>
      <c r="AN474" s="706"/>
      <c r="AO474" s="706"/>
      <c r="AP474" s="768">
        <v>11.522461322081575</v>
      </c>
      <c r="AQ474" s="768">
        <v>11.522461322081575</v>
      </c>
      <c r="AR474" s="706"/>
      <c r="AS474" s="738"/>
      <c r="AT474" s="738"/>
      <c r="AU474" s="710">
        <v>0</v>
      </c>
      <c r="AV474" s="710">
        <v>0.1980001979903469</v>
      </c>
      <c r="AW474" s="710">
        <v>0.1980001979903469</v>
      </c>
      <c r="AX474" s="710">
        <v>0.1980001979903469</v>
      </c>
      <c r="AY474" s="710">
        <v>0.1980001979903469</v>
      </c>
      <c r="AZ474" s="710">
        <v>0.1980001979903469</v>
      </c>
      <c r="BA474" s="710">
        <v>0.1980001979903469</v>
      </c>
      <c r="BB474" s="710">
        <v>0.17689766823611483</v>
      </c>
      <c r="BC474" s="710">
        <v>0.17689766823611483</v>
      </c>
      <c r="BD474" s="710">
        <v>0.17689766823611483</v>
      </c>
      <c r="BE474" s="710">
        <v>8.7497104054704122E-2</v>
      </c>
      <c r="BF474" s="710">
        <v>0</v>
      </c>
      <c r="BG474" s="710">
        <v>0</v>
      </c>
      <c r="BH474" s="710">
        <v>0</v>
      </c>
      <c r="BI474" s="710">
        <v>0</v>
      </c>
      <c r="BJ474" s="710">
        <v>0</v>
      </c>
      <c r="BK474" s="710">
        <v>0</v>
      </c>
      <c r="BL474" s="710">
        <v>0</v>
      </c>
      <c r="BM474" s="710">
        <v>0</v>
      </c>
      <c r="BN474" s="710">
        <v>0</v>
      </c>
      <c r="BO474" s="710">
        <v>0</v>
      </c>
      <c r="BP474" s="710">
        <v>0</v>
      </c>
      <c r="BQ474" s="710">
        <v>0</v>
      </c>
      <c r="BR474" s="710">
        <v>0</v>
      </c>
      <c r="BS474" s="767"/>
      <c r="BT474" s="767"/>
      <c r="BU474" s="707">
        <v>0</v>
      </c>
      <c r="BV474" s="707">
        <v>1071.4268433908578</v>
      </c>
      <c r="BW474" s="707">
        <v>1071.4268433908578</v>
      </c>
      <c r="BX474" s="707">
        <v>1071.4268433908578</v>
      </c>
      <c r="BY474" s="707">
        <v>1071.4268433908578</v>
      </c>
      <c r="BZ474" s="707">
        <v>1071.4268433908578</v>
      </c>
      <c r="CA474" s="707">
        <v>1071.4268433908578</v>
      </c>
      <c r="CB474" s="707">
        <v>957.23596342395592</v>
      </c>
      <c r="CC474" s="707">
        <v>957.23596342395592</v>
      </c>
      <c r="CD474" s="707">
        <v>957.23596342395592</v>
      </c>
      <c r="CE474" s="707">
        <v>473.46794071258205</v>
      </c>
      <c r="CF474" s="707">
        <v>0</v>
      </c>
      <c r="CG474" s="707">
        <v>0</v>
      </c>
      <c r="CH474" s="707">
        <v>0</v>
      </c>
      <c r="CI474" s="707">
        <v>0</v>
      </c>
      <c r="CJ474" s="707">
        <v>0</v>
      </c>
      <c r="CK474" s="707">
        <v>0</v>
      </c>
      <c r="CL474" s="707">
        <v>0</v>
      </c>
      <c r="CM474" s="707">
        <v>0</v>
      </c>
      <c r="CN474" s="707">
        <v>0</v>
      </c>
      <c r="CO474" s="707">
        <v>0</v>
      </c>
      <c r="CP474" s="707">
        <v>0</v>
      </c>
      <c r="CQ474" s="707">
        <v>0</v>
      </c>
      <c r="CR474" s="707">
        <v>0</v>
      </c>
    </row>
    <row r="475" spans="1:96" s="53" customFormat="1">
      <c r="A475" s="774" t="s">
        <v>3</v>
      </c>
      <c r="B475" s="772">
        <v>41789</v>
      </c>
      <c r="C475" s="771">
        <v>2014</v>
      </c>
      <c r="D475" s="773" t="s">
        <v>1</v>
      </c>
      <c r="E475" s="773" t="s">
        <v>12</v>
      </c>
      <c r="F475" s="773" t="s">
        <v>457</v>
      </c>
      <c r="G475" s="772" t="s">
        <v>656</v>
      </c>
      <c r="H475" s="772" t="s">
        <v>371</v>
      </c>
      <c r="I475" s="773" t="s">
        <v>5</v>
      </c>
      <c r="J475" s="773" t="s">
        <v>376</v>
      </c>
      <c r="K475" s="706"/>
      <c r="L475" s="772" t="s">
        <v>651</v>
      </c>
      <c r="M475" s="772" t="s">
        <v>837</v>
      </c>
      <c r="N475" s="771">
        <v>20</v>
      </c>
      <c r="O475" s="708" t="s">
        <v>7</v>
      </c>
      <c r="P475" s="769" t="s">
        <v>7</v>
      </c>
      <c r="Q475" s="706"/>
      <c r="R475" s="706"/>
      <c r="S475" s="706"/>
      <c r="T475" s="706"/>
      <c r="U475" s="710">
        <v>2.15</v>
      </c>
      <c r="V475" s="707">
        <v>5577.1</v>
      </c>
      <c r="W475" s="710">
        <v>2.0125154236199196</v>
      </c>
      <c r="X475" s="707">
        <v>7170.6528833534676</v>
      </c>
      <c r="Y475" s="707">
        <v>143413.05766706934</v>
      </c>
      <c r="Z475" s="707">
        <v>113582.81000110794</v>
      </c>
      <c r="AA475" s="707">
        <v>5679.1405000553968</v>
      </c>
      <c r="AB475" s="710">
        <v>1.6170405663434761</v>
      </c>
      <c r="AC475" s="769">
        <v>1.2857314524310963</v>
      </c>
      <c r="AD475" s="769">
        <v>0.93605368540461387</v>
      </c>
      <c r="AE475" s="707"/>
      <c r="AF475" s="770"/>
      <c r="AG475" s="706"/>
      <c r="AH475" s="769">
        <v>0.79199768730116782</v>
      </c>
      <c r="AI475" s="748"/>
      <c r="AJ475" s="748"/>
      <c r="AK475" s="748"/>
      <c r="AL475" s="769">
        <v>0.80349226016608544</v>
      </c>
      <c r="AM475" s="706"/>
      <c r="AN475" s="706"/>
      <c r="AO475" s="706"/>
      <c r="AP475" s="768">
        <v>1.6119187400987796</v>
      </c>
      <c r="AQ475" s="768">
        <v>69.312505824247523</v>
      </c>
      <c r="AR475" s="706"/>
      <c r="AS475" s="738"/>
      <c r="AT475" s="738"/>
      <c r="AU475" s="710">
        <v>0</v>
      </c>
      <c r="AV475" s="710">
        <v>1.6170405663434761</v>
      </c>
      <c r="AW475" s="710">
        <v>1.6170405663434761</v>
      </c>
      <c r="AX475" s="710">
        <v>1.6170405663434761</v>
      </c>
      <c r="AY475" s="710">
        <v>1.6170405663434761</v>
      </c>
      <c r="AZ475" s="710">
        <v>1.6170405663434761</v>
      </c>
      <c r="BA475" s="710">
        <v>1.6170405663434761</v>
      </c>
      <c r="BB475" s="710">
        <v>1.6170405663434761</v>
      </c>
      <c r="BC475" s="710">
        <v>1.6170405663434761</v>
      </c>
      <c r="BD475" s="710">
        <v>1.6170405663434761</v>
      </c>
      <c r="BE475" s="710">
        <v>1.6170405663434761</v>
      </c>
      <c r="BF475" s="710">
        <v>1.6170405663434761</v>
      </c>
      <c r="BG475" s="710">
        <v>1.6170405663434761</v>
      </c>
      <c r="BH475" s="710">
        <v>1.6170405663434761</v>
      </c>
      <c r="BI475" s="710">
        <v>1.6170405663434761</v>
      </c>
      <c r="BJ475" s="710">
        <v>1.6170405663434761</v>
      </c>
      <c r="BK475" s="710">
        <v>1.6170405663434761</v>
      </c>
      <c r="BL475" s="710">
        <v>1.6170405663434761</v>
      </c>
      <c r="BM475" s="710">
        <v>1.6170405663434761</v>
      </c>
      <c r="BN475" s="710">
        <v>1.6170405663434761</v>
      </c>
      <c r="BO475" s="710">
        <v>1.6170405663434761</v>
      </c>
      <c r="BP475" s="710">
        <v>0</v>
      </c>
      <c r="BQ475" s="710">
        <v>0</v>
      </c>
      <c r="BR475" s="710">
        <v>0</v>
      </c>
      <c r="BS475" s="767"/>
      <c r="BT475" s="767"/>
      <c r="BU475" s="707">
        <v>0</v>
      </c>
      <c r="BV475" s="707">
        <v>5679.1405000553968</v>
      </c>
      <c r="BW475" s="707">
        <v>5679.1405000553968</v>
      </c>
      <c r="BX475" s="707">
        <v>5679.1405000553968</v>
      </c>
      <c r="BY475" s="707">
        <v>5679.1405000553968</v>
      </c>
      <c r="BZ475" s="707">
        <v>5679.1405000553968</v>
      </c>
      <c r="CA475" s="707">
        <v>5679.1405000553968</v>
      </c>
      <c r="CB475" s="707">
        <v>5679.1405000553968</v>
      </c>
      <c r="CC475" s="707">
        <v>5679.1405000553968</v>
      </c>
      <c r="CD475" s="707">
        <v>5679.1405000553968</v>
      </c>
      <c r="CE475" s="707">
        <v>5679.1405000553968</v>
      </c>
      <c r="CF475" s="707">
        <v>5679.1405000553968</v>
      </c>
      <c r="CG475" s="707">
        <v>5679.1405000553968</v>
      </c>
      <c r="CH475" s="707">
        <v>5679.1405000553968</v>
      </c>
      <c r="CI475" s="707">
        <v>5679.1405000553968</v>
      </c>
      <c r="CJ475" s="707">
        <v>5679.1405000553968</v>
      </c>
      <c r="CK475" s="707">
        <v>5679.1405000553968</v>
      </c>
      <c r="CL475" s="707">
        <v>5679.1405000553968</v>
      </c>
      <c r="CM475" s="707">
        <v>5679.1405000553968</v>
      </c>
      <c r="CN475" s="707">
        <v>5679.1405000553968</v>
      </c>
      <c r="CO475" s="707">
        <v>5679.1405000553968</v>
      </c>
      <c r="CP475" s="707">
        <v>0</v>
      </c>
      <c r="CQ475" s="707">
        <v>0</v>
      </c>
      <c r="CR475" s="707">
        <v>0</v>
      </c>
    </row>
    <row r="476" spans="1:96" s="53" customFormat="1">
      <c r="A476" s="774" t="s">
        <v>3</v>
      </c>
      <c r="B476" s="772">
        <v>41789</v>
      </c>
      <c r="C476" s="771">
        <v>2014</v>
      </c>
      <c r="D476" s="773" t="s">
        <v>1</v>
      </c>
      <c r="E476" s="773" t="s">
        <v>12</v>
      </c>
      <c r="F476" s="773" t="s">
        <v>457</v>
      </c>
      <c r="G476" s="772" t="s">
        <v>656</v>
      </c>
      <c r="H476" s="772" t="s">
        <v>371</v>
      </c>
      <c r="I476" s="773" t="s">
        <v>5</v>
      </c>
      <c r="J476" s="773" t="s">
        <v>376</v>
      </c>
      <c r="K476" s="706"/>
      <c r="L476" s="772" t="s">
        <v>651</v>
      </c>
      <c r="M476" s="772" t="s">
        <v>837</v>
      </c>
      <c r="N476" s="771">
        <v>3</v>
      </c>
      <c r="O476" s="708" t="s">
        <v>7</v>
      </c>
      <c r="P476" s="769" t="s">
        <v>7</v>
      </c>
      <c r="Q476" s="706"/>
      <c r="R476" s="706"/>
      <c r="S476" s="706"/>
      <c r="T476" s="706"/>
      <c r="U476" s="710">
        <v>0</v>
      </c>
      <c r="V476" s="707">
        <v>0</v>
      </c>
      <c r="W476" s="710">
        <v>0</v>
      </c>
      <c r="X476" s="707">
        <v>0</v>
      </c>
      <c r="Y476" s="707">
        <v>0</v>
      </c>
      <c r="Z476" s="707">
        <v>0</v>
      </c>
      <c r="AA476" s="707">
        <v>0</v>
      </c>
      <c r="AB476" s="710">
        <v>0</v>
      </c>
      <c r="AC476" s="769">
        <v>0</v>
      </c>
      <c r="AD476" s="769">
        <v>0</v>
      </c>
      <c r="AE476" s="707"/>
      <c r="AF476" s="770"/>
      <c r="AG476" s="706"/>
      <c r="AH476" s="769">
        <v>0.79199768730116782</v>
      </c>
      <c r="AI476" s="748"/>
      <c r="AJ476" s="748"/>
      <c r="AK476" s="748"/>
      <c r="AL476" s="769">
        <v>0.80349226016608544</v>
      </c>
      <c r="AM476" s="706"/>
      <c r="AN476" s="706"/>
      <c r="AO476" s="706"/>
      <c r="AP476" s="768">
        <v>0</v>
      </c>
      <c r="AQ476" s="768">
        <v>0</v>
      </c>
      <c r="AR476" s="706"/>
      <c r="AS476" s="738"/>
      <c r="AT476" s="738"/>
      <c r="AU476" s="710">
        <v>0</v>
      </c>
      <c r="AV476" s="710">
        <v>0</v>
      </c>
      <c r="AW476" s="710">
        <v>0</v>
      </c>
      <c r="AX476" s="710">
        <v>0</v>
      </c>
      <c r="AY476" s="710">
        <v>0</v>
      </c>
      <c r="AZ476" s="710">
        <v>0</v>
      </c>
      <c r="BA476" s="710">
        <v>0</v>
      </c>
      <c r="BB476" s="710">
        <v>0</v>
      </c>
      <c r="BC476" s="710">
        <v>0</v>
      </c>
      <c r="BD476" s="710">
        <v>0</v>
      </c>
      <c r="BE476" s="710">
        <v>0</v>
      </c>
      <c r="BF476" s="710">
        <v>0</v>
      </c>
      <c r="BG476" s="710">
        <v>0</v>
      </c>
      <c r="BH476" s="710">
        <v>0</v>
      </c>
      <c r="BI476" s="710">
        <v>0</v>
      </c>
      <c r="BJ476" s="710">
        <v>0</v>
      </c>
      <c r="BK476" s="710">
        <v>0</v>
      </c>
      <c r="BL476" s="710">
        <v>0</v>
      </c>
      <c r="BM476" s="710">
        <v>0</v>
      </c>
      <c r="BN476" s="710">
        <v>0</v>
      </c>
      <c r="BO476" s="710">
        <v>0</v>
      </c>
      <c r="BP476" s="710">
        <v>0</v>
      </c>
      <c r="BQ476" s="710">
        <v>0</v>
      </c>
      <c r="BR476" s="710">
        <v>0</v>
      </c>
      <c r="BS476" s="767"/>
      <c r="BT476" s="767"/>
      <c r="BU476" s="707">
        <v>0</v>
      </c>
      <c r="BV476" s="707">
        <v>0</v>
      </c>
      <c r="BW476" s="707">
        <v>0</v>
      </c>
      <c r="BX476" s="707">
        <v>0</v>
      </c>
      <c r="BY476" s="707">
        <v>0</v>
      </c>
      <c r="BZ476" s="707">
        <v>0</v>
      </c>
      <c r="CA476" s="707">
        <v>0</v>
      </c>
      <c r="CB476" s="707">
        <v>0</v>
      </c>
      <c r="CC476" s="707">
        <v>0</v>
      </c>
      <c r="CD476" s="707">
        <v>0</v>
      </c>
      <c r="CE476" s="707">
        <v>0</v>
      </c>
      <c r="CF476" s="707">
        <v>0</v>
      </c>
      <c r="CG476" s="707">
        <v>0</v>
      </c>
      <c r="CH476" s="707">
        <v>0</v>
      </c>
      <c r="CI476" s="707">
        <v>0</v>
      </c>
      <c r="CJ476" s="707">
        <v>0</v>
      </c>
      <c r="CK476" s="707">
        <v>0</v>
      </c>
      <c r="CL476" s="707">
        <v>0</v>
      </c>
      <c r="CM476" s="707">
        <v>0</v>
      </c>
      <c r="CN476" s="707">
        <v>0</v>
      </c>
      <c r="CO476" s="707">
        <v>0</v>
      </c>
      <c r="CP476" s="707">
        <v>0</v>
      </c>
      <c r="CQ476" s="707">
        <v>0</v>
      </c>
      <c r="CR476" s="707">
        <v>0</v>
      </c>
    </row>
    <row r="477" spans="1:96" s="53" customFormat="1">
      <c r="A477" s="774" t="s">
        <v>3</v>
      </c>
      <c r="B477" s="772">
        <v>41789</v>
      </c>
      <c r="C477" s="771">
        <v>2014</v>
      </c>
      <c r="D477" s="773" t="s">
        <v>1</v>
      </c>
      <c r="E477" s="773" t="s">
        <v>12</v>
      </c>
      <c r="F477" s="773" t="s">
        <v>457</v>
      </c>
      <c r="G477" s="772" t="s">
        <v>656</v>
      </c>
      <c r="H477" s="772" t="s">
        <v>371</v>
      </c>
      <c r="I477" s="773" t="s">
        <v>5</v>
      </c>
      <c r="J477" s="773" t="s">
        <v>376</v>
      </c>
      <c r="K477" s="706"/>
      <c r="L477" s="772" t="s">
        <v>651</v>
      </c>
      <c r="M477" s="772" t="s">
        <v>837</v>
      </c>
      <c r="N477" s="771">
        <v>20</v>
      </c>
      <c r="O477" s="708" t="s">
        <v>7</v>
      </c>
      <c r="P477" s="769" t="s">
        <v>7</v>
      </c>
      <c r="Q477" s="706"/>
      <c r="R477" s="706"/>
      <c r="S477" s="706"/>
      <c r="T477" s="706"/>
      <c r="U477" s="710">
        <v>0.10199999999999999</v>
      </c>
      <c r="V477" s="707">
        <v>264.58800000000002</v>
      </c>
      <c r="W477" s="710">
        <v>9.5477475911270607E-2</v>
      </c>
      <c r="X477" s="707">
        <v>340.18911353583889</v>
      </c>
      <c r="Y477" s="707">
        <v>6803.7822707167779</v>
      </c>
      <c r="Z477" s="707">
        <v>5388.5798233083751</v>
      </c>
      <c r="AA477" s="707">
        <v>269.42899116541878</v>
      </c>
      <c r="AB477" s="710">
        <v>7.6715412914899792E-2</v>
      </c>
      <c r="AC477" s="769">
        <v>1.2857314524310961</v>
      </c>
      <c r="AD477" s="769">
        <v>0.93605368540461387</v>
      </c>
      <c r="AE477" s="707"/>
      <c r="AF477" s="770"/>
      <c r="AG477" s="706"/>
      <c r="AH477" s="769">
        <v>0.79199768730116782</v>
      </c>
      <c r="AI477" s="748"/>
      <c r="AJ477" s="748"/>
      <c r="AK477" s="748"/>
      <c r="AL477" s="769">
        <v>0.80349226016608544</v>
      </c>
      <c r="AM477" s="706"/>
      <c r="AN477" s="706"/>
      <c r="AO477" s="706"/>
      <c r="AP477" s="768">
        <v>1.0961047432671702</v>
      </c>
      <c r="AQ477" s="768">
        <v>3.2883142298015104</v>
      </c>
      <c r="AR477" s="706"/>
      <c r="AS477" s="738"/>
      <c r="AT477" s="738"/>
      <c r="AU477" s="710">
        <v>0</v>
      </c>
      <c r="AV477" s="710">
        <v>7.6715412914899792E-2</v>
      </c>
      <c r="AW477" s="710">
        <v>7.6715412914899792E-2</v>
      </c>
      <c r="AX477" s="710">
        <v>7.6715412914899792E-2</v>
      </c>
      <c r="AY477" s="710">
        <v>7.6715412914899792E-2</v>
      </c>
      <c r="AZ477" s="710">
        <v>7.6715412914899792E-2</v>
      </c>
      <c r="BA477" s="710">
        <v>7.6715412914899792E-2</v>
      </c>
      <c r="BB477" s="710">
        <v>7.6715412914899792E-2</v>
      </c>
      <c r="BC477" s="710">
        <v>7.6715412914899792E-2</v>
      </c>
      <c r="BD477" s="710">
        <v>7.6715412914899792E-2</v>
      </c>
      <c r="BE477" s="710">
        <v>7.6715412914899792E-2</v>
      </c>
      <c r="BF477" s="710">
        <v>7.6715412914899792E-2</v>
      </c>
      <c r="BG477" s="710">
        <v>7.6715412914899792E-2</v>
      </c>
      <c r="BH477" s="710">
        <v>7.6715412914899792E-2</v>
      </c>
      <c r="BI477" s="710">
        <v>7.6715412914899792E-2</v>
      </c>
      <c r="BJ477" s="710">
        <v>7.6715412914899792E-2</v>
      </c>
      <c r="BK477" s="710">
        <v>7.6715412914899792E-2</v>
      </c>
      <c r="BL477" s="710">
        <v>7.6715412914899792E-2</v>
      </c>
      <c r="BM477" s="710">
        <v>7.6715412914899792E-2</v>
      </c>
      <c r="BN477" s="710">
        <v>7.6715412914899792E-2</v>
      </c>
      <c r="BO477" s="710">
        <v>7.6715412914899792E-2</v>
      </c>
      <c r="BP477" s="710">
        <v>0</v>
      </c>
      <c r="BQ477" s="710">
        <v>0</v>
      </c>
      <c r="BR477" s="710">
        <v>0</v>
      </c>
      <c r="BS477" s="767"/>
      <c r="BT477" s="767"/>
      <c r="BU477" s="707">
        <v>0</v>
      </c>
      <c r="BV477" s="707">
        <v>269.42899116541878</v>
      </c>
      <c r="BW477" s="707">
        <v>269.42899116541878</v>
      </c>
      <c r="BX477" s="707">
        <v>269.42899116541878</v>
      </c>
      <c r="BY477" s="707">
        <v>269.42899116541878</v>
      </c>
      <c r="BZ477" s="707">
        <v>269.42899116541878</v>
      </c>
      <c r="CA477" s="707">
        <v>269.42899116541878</v>
      </c>
      <c r="CB477" s="707">
        <v>269.42899116541878</v>
      </c>
      <c r="CC477" s="707">
        <v>269.42899116541878</v>
      </c>
      <c r="CD477" s="707">
        <v>269.42899116541878</v>
      </c>
      <c r="CE477" s="707">
        <v>269.42899116541878</v>
      </c>
      <c r="CF477" s="707">
        <v>269.42899116541878</v>
      </c>
      <c r="CG477" s="707">
        <v>269.42899116541878</v>
      </c>
      <c r="CH477" s="707">
        <v>269.42899116541878</v>
      </c>
      <c r="CI477" s="707">
        <v>269.42899116541878</v>
      </c>
      <c r="CJ477" s="707">
        <v>269.42899116541878</v>
      </c>
      <c r="CK477" s="707">
        <v>269.42899116541878</v>
      </c>
      <c r="CL477" s="707">
        <v>269.42899116541878</v>
      </c>
      <c r="CM477" s="707">
        <v>269.42899116541878</v>
      </c>
      <c r="CN477" s="707">
        <v>269.42899116541878</v>
      </c>
      <c r="CO477" s="707">
        <v>269.42899116541878</v>
      </c>
      <c r="CP477" s="707">
        <v>0</v>
      </c>
      <c r="CQ477" s="707">
        <v>0</v>
      </c>
      <c r="CR477" s="707">
        <v>0</v>
      </c>
    </row>
    <row r="478" spans="1:96" s="53" customFormat="1">
      <c r="A478" s="774" t="s">
        <v>3</v>
      </c>
      <c r="B478" s="772">
        <v>41946</v>
      </c>
      <c r="C478" s="771">
        <v>2014</v>
      </c>
      <c r="D478" s="773" t="s">
        <v>1</v>
      </c>
      <c r="E478" s="773" t="s">
        <v>12</v>
      </c>
      <c r="F478" s="773" t="s">
        <v>457</v>
      </c>
      <c r="G478" s="772" t="s">
        <v>656</v>
      </c>
      <c r="H478" s="772" t="s">
        <v>371</v>
      </c>
      <c r="I478" s="773" t="s">
        <v>5</v>
      </c>
      <c r="J478" s="773" t="s">
        <v>376</v>
      </c>
      <c r="K478" s="706"/>
      <c r="L478" s="772" t="s">
        <v>646</v>
      </c>
      <c r="M478" s="772" t="s">
        <v>836</v>
      </c>
      <c r="N478" s="771">
        <v>12</v>
      </c>
      <c r="O478" s="708" t="s">
        <v>7</v>
      </c>
      <c r="P478" s="769" t="s">
        <v>7</v>
      </c>
      <c r="Q478" s="706"/>
      <c r="R478" s="706"/>
      <c r="S478" s="706"/>
      <c r="T478" s="706"/>
      <c r="U478" s="710">
        <v>2.76</v>
      </c>
      <c r="V478" s="707">
        <v>13248</v>
      </c>
      <c r="W478" s="710">
        <v>2.5216328492016959</v>
      </c>
      <c r="X478" s="707">
        <v>16018.551829011172</v>
      </c>
      <c r="Y478" s="707">
        <v>192222.62194813407</v>
      </c>
      <c r="Z478" s="707">
        <v>141046.76710125004</v>
      </c>
      <c r="AA478" s="707">
        <v>11753.897258437502</v>
      </c>
      <c r="AB478" s="710">
        <v>1.8234599956586894</v>
      </c>
      <c r="AC478" s="769">
        <v>1.209129818011109</v>
      </c>
      <c r="AD478" s="769">
        <v>0.91363509029046963</v>
      </c>
      <c r="AE478" s="707"/>
      <c r="AF478" s="770"/>
      <c r="AG478" s="706"/>
      <c r="AH478" s="769">
        <v>0.7337677827498762</v>
      </c>
      <c r="AI478" s="748"/>
      <c r="AJ478" s="748"/>
      <c r="AK478" s="748"/>
      <c r="AL478" s="769">
        <v>0.7231266820766411</v>
      </c>
      <c r="AM478" s="706"/>
      <c r="AN478" s="706"/>
      <c r="AO478" s="706"/>
      <c r="AP478" s="768">
        <v>86.564499999999995</v>
      </c>
      <c r="AQ478" s="768">
        <v>5193.87</v>
      </c>
      <c r="AR478" s="706"/>
      <c r="AS478" s="738"/>
      <c r="AT478" s="738"/>
      <c r="AU478" s="710">
        <v>0</v>
      </c>
      <c r="AV478" s="710">
        <v>1.8234599956586894</v>
      </c>
      <c r="AW478" s="710">
        <v>1.8234599956586894</v>
      </c>
      <c r="AX478" s="710">
        <v>1.8234599956586894</v>
      </c>
      <c r="AY478" s="710">
        <v>1.8234599956586894</v>
      </c>
      <c r="AZ478" s="710">
        <v>1.8234599956586894</v>
      </c>
      <c r="BA478" s="710">
        <v>1.8234599956586894</v>
      </c>
      <c r="BB478" s="710">
        <v>1.8234599956586894</v>
      </c>
      <c r="BC478" s="710">
        <v>1.8234599956586894</v>
      </c>
      <c r="BD478" s="710">
        <v>1.8234599956586894</v>
      </c>
      <c r="BE478" s="710">
        <v>1.8234599956586894</v>
      </c>
      <c r="BF478" s="710">
        <v>1.8234599956586894</v>
      </c>
      <c r="BG478" s="710">
        <v>1.8234599956586894</v>
      </c>
      <c r="BH478" s="710">
        <v>0</v>
      </c>
      <c r="BI478" s="710">
        <v>0</v>
      </c>
      <c r="BJ478" s="710">
        <v>0</v>
      </c>
      <c r="BK478" s="710">
        <v>0</v>
      </c>
      <c r="BL478" s="710">
        <v>0</v>
      </c>
      <c r="BM478" s="710">
        <v>0</v>
      </c>
      <c r="BN478" s="710">
        <v>0</v>
      </c>
      <c r="BO478" s="710">
        <v>0</v>
      </c>
      <c r="BP478" s="710">
        <v>0</v>
      </c>
      <c r="BQ478" s="710">
        <v>0</v>
      </c>
      <c r="BR478" s="710">
        <v>0</v>
      </c>
      <c r="BS478" s="767"/>
      <c r="BT478" s="767"/>
      <c r="BU478" s="707">
        <v>0</v>
      </c>
      <c r="BV478" s="707">
        <v>11753.897258437502</v>
      </c>
      <c r="BW478" s="707">
        <v>11753.897258437502</v>
      </c>
      <c r="BX478" s="707">
        <v>11753.897258437502</v>
      </c>
      <c r="BY478" s="707">
        <v>11753.897258437502</v>
      </c>
      <c r="BZ478" s="707">
        <v>11753.897258437502</v>
      </c>
      <c r="CA478" s="707">
        <v>11753.897258437502</v>
      </c>
      <c r="CB478" s="707">
        <v>11753.897258437502</v>
      </c>
      <c r="CC478" s="707">
        <v>11753.897258437502</v>
      </c>
      <c r="CD478" s="707">
        <v>11753.897258437502</v>
      </c>
      <c r="CE478" s="707">
        <v>11753.897258437502</v>
      </c>
      <c r="CF478" s="707">
        <v>11753.897258437502</v>
      </c>
      <c r="CG478" s="707">
        <v>11753.897258437502</v>
      </c>
      <c r="CH478" s="707">
        <v>0</v>
      </c>
      <c r="CI478" s="707">
        <v>0</v>
      </c>
      <c r="CJ478" s="707">
        <v>0</v>
      </c>
      <c r="CK478" s="707">
        <v>0</v>
      </c>
      <c r="CL478" s="707">
        <v>0</v>
      </c>
      <c r="CM478" s="707">
        <v>0</v>
      </c>
      <c r="CN478" s="707">
        <v>0</v>
      </c>
      <c r="CO478" s="707">
        <v>0</v>
      </c>
      <c r="CP478" s="707">
        <v>0</v>
      </c>
      <c r="CQ478" s="707">
        <v>0</v>
      </c>
      <c r="CR478" s="707">
        <v>0</v>
      </c>
    </row>
    <row r="479" spans="1:96" s="53" customFormat="1">
      <c r="A479" s="774" t="s">
        <v>3</v>
      </c>
      <c r="B479" s="772">
        <v>41764</v>
      </c>
      <c r="C479" s="771">
        <v>2014</v>
      </c>
      <c r="D479" s="773" t="s">
        <v>1</v>
      </c>
      <c r="E479" s="773" t="s">
        <v>12</v>
      </c>
      <c r="F479" s="773" t="s">
        <v>457</v>
      </c>
      <c r="G479" s="772" t="s">
        <v>661</v>
      </c>
      <c r="H479" s="772" t="s">
        <v>371</v>
      </c>
      <c r="I479" s="773" t="s">
        <v>5</v>
      </c>
      <c r="J479" s="773" t="s">
        <v>376</v>
      </c>
      <c r="K479" s="706"/>
      <c r="L479" s="772" t="s">
        <v>651</v>
      </c>
      <c r="M479" s="772" t="s">
        <v>835</v>
      </c>
      <c r="N479" s="771">
        <v>10.57110211909384</v>
      </c>
      <c r="O479" s="708">
        <v>8.2157863414037848</v>
      </c>
      <c r="P479" s="769">
        <v>0.57011826371785979</v>
      </c>
      <c r="Q479" s="706"/>
      <c r="R479" s="706"/>
      <c r="S479" s="706"/>
      <c r="T479" s="706"/>
      <c r="U479" s="710">
        <v>1.47</v>
      </c>
      <c r="V479" s="707">
        <v>6860.49</v>
      </c>
      <c r="W479" s="710">
        <v>0.60016947159260547</v>
      </c>
      <c r="X479" s="707">
        <v>6175.6902615809713</v>
      </c>
      <c r="Y479" s="707">
        <v>59030.921333882536</v>
      </c>
      <c r="Z479" s="707">
        <v>42126.536876942169</v>
      </c>
      <c r="AA479" s="707">
        <v>4407.1892775242295</v>
      </c>
      <c r="AB479" s="710">
        <v>0.46560349844938825</v>
      </c>
      <c r="AC479" s="769">
        <v>0.90018209509538993</v>
      </c>
      <c r="AD479" s="769">
        <v>0.40827855210381325</v>
      </c>
      <c r="AE479" s="707"/>
      <c r="AF479" s="770"/>
      <c r="AG479" s="706"/>
      <c r="AH479" s="769">
        <v>0.71363509030583938</v>
      </c>
      <c r="AI479" s="748"/>
      <c r="AJ479" s="748"/>
      <c r="AK479" s="748"/>
      <c r="AL479" s="769">
        <v>0.77578670773417735</v>
      </c>
      <c r="AM479" s="706"/>
      <c r="AN479" s="706"/>
      <c r="AO479" s="706"/>
      <c r="AP479" s="768">
        <v>1944</v>
      </c>
      <c r="AQ479" s="768">
        <v>1944</v>
      </c>
      <c r="AR479" s="706"/>
      <c r="AS479" s="738"/>
      <c r="AT479" s="738"/>
      <c r="AU479" s="710">
        <v>0</v>
      </c>
      <c r="AV479" s="710">
        <v>0.46560349844938825</v>
      </c>
      <c r="AW479" s="710">
        <v>0.46560349844938825</v>
      </c>
      <c r="AX479" s="710">
        <v>0.46560349844938825</v>
      </c>
      <c r="AY479" s="710">
        <v>0.46560349844938825</v>
      </c>
      <c r="AZ479" s="710">
        <v>0.46560349844938825</v>
      </c>
      <c r="BA479" s="710">
        <v>0.46560349844938825</v>
      </c>
      <c r="BB479" s="710">
        <v>0.46560349844938825</v>
      </c>
      <c r="BC479" s="710">
        <v>0.46560349844938825</v>
      </c>
      <c r="BD479" s="710">
        <v>0.26544905811692643</v>
      </c>
      <c r="BE479" s="710">
        <v>0.26544905811692643</v>
      </c>
      <c r="BF479" s="710">
        <v>0.15159851960204068</v>
      </c>
      <c r="BG479" s="710">
        <v>0</v>
      </c>
      <c r="BH479" s="710">
        <v>0</v>
      </c>
      <c r="BI479" s="710">
        <v>0</v>
      </c>
      <c r="BJ479" s="710">
        <v>0</v>
      </c>
      <c r="BK479" s="710">
        <v>0</v>
      </c>
      <c r="BL479" s="710">
        <v>0</v>
      </c>
      <c r="BM479" s="710">
        <v>0</v>
      </c>
      <c r="BN479" s="710">
        <v>0</v>
      </c>
      <c r="BO479" s="710">
        <v>0</v>
      </c>
      <c r="BP479" s="710">
        <v>0</v>
      </c>
      <c r="BQ479" s="710">
        <v>0</v>
      </c>
      <c r="BR479" s="710">
        <v>0</v>
      </c>
      <c r="BS479" s="767"/>
      <c r="BT479" s="767"/>
      <c r="BU479" s="707">
        <v>0</v>
      </c>
      <c r="BV479" s="707">
        <v>4407.1892775242295</v>
      </c>
      <c r="BW479" s="707">
        <v>4407.1892775242295</v>
      </c>
      <c r="BX479" s="707">
        <v>4407.1892775242295</v>
      </c>
      <c r="BY479" s="707">
        <v>4407.1892775242295</v>
      </c>
      <c r="BZ479" s="707">
        <v>4407.1892775242295</v>
      </c>
      <c r="CA479" s="707">
        <v>4407.1892775242295</v>
      </c>
      <c r="CB479" s="707">
        <v>4407.1892775242295</v>
      </c>
      <c r="CC479" s="707">
        <v>4407.1892775242295</v>
      </c>
      <c r="CD479" s="707">
        <v>2921.4414661824285</v>
      </c>
      <c r="CE479" s="707">
        <v>2512.6190987780828</v>
      </c>
      <c r="CF479" s="707">
        <v>1434.9620917878183</v>
      </c>
      <c r="CG479" s="707">
        <v>0</v>
      </c>
      <c r="CH479" s="707">
        <v>0</v>
      </c>
      <c r="CI479" s="707">
        <v>0</v>
      </c>
      <c r="CJ479" s="707">
        <v>0</v>
      </c>
      <c r="CK479" s="707">
        <v>0</v>
      </c>
      <c r="CL479" s="707">
        <v>0</v>
      </c>
      <c r="CM479" s="707">
        <v>0</v>
      </c>
      <c r="CN479" s="707">
        <v>0</v>
      </c>
      <c r="CO479" s="707">
        <v>0</v>
      </c>
      <c r="CP479" s="707">
        <v>0</v>
      </c>
      <c r="CQ479" s="707">
        <v>0</v>
      </c>
      <c r="CR479" s="707">
        <v>0</v>
      </c>
    </row>
    <row r="480" spans="1:96" s="53" customFormat="1">
      <c r="A480" s="774" t="s">
        <v>3</v>
      </c>
      <c r="B480" s="772">
        <v>41764</v>
      </c>
      <c r="C480" s="771">
        <v>2014</v>
      </c>
      <c r="D480" s="773" t="s">
        <v>1</v>
      </c>
      <c r="E480" s="773" t="s">
        <v>12</v>
      </c>
      <c r="F480" s="773" t="s">
        <v>457</v>
      </c>
      <c r="G480" s="772" t="s">
        <v>665</v>
      </c>
      <c r="H480" s="772" t="s">
        <v>371</v>
      </c>
      <c r="I480" s="773" t="s">
        <v>5</v>
      </c>
      <c r="J480" s="773" t="s">
        <v>376</v>
      </c>
      <c r="K480" s="706"/>
      <c r="L480" s="772" t="s">
        <v>651</v>
      </c>
      <c r="M480" s="772" t="s">
        <v>835</v>
      </c>
      <c r="N480" s="771">
        <v>9.4946198835018958</v>
      </c>
      <c r="O480" s="708">
        <v>6.0000000000000009</v>
      </c>
      <c r="P480" s="769">
        <v>0.89342167347094836</v>
      </c>
      <c r="Q480" s="706"/>
      <c r="R480" s="706"/>
      <c r="S480" s="706"/>
      <c r="T480" s="706"/>
      <c r="U480" s="710">
        <v>3.4</v>
      </c>
      <c r="V480" s="707">
        <v>16195</v>
      </c>
      <c r="W480" s="710">
        <v>1.7444931568443227</v>
      </c>
      <c r="X480" s="707">
        <v>10904.181500062134</v>
      </c>
      <c r="Y480" s="707">
        <v>99469.788025492307</v>
      </c>
      <c r="Z480" s="707">
        <v>65111.340582099059</v>
      </c>
      <c r="AA480" s="707">
        <v>7137.7037139921604</v>
      </c>
      <c r="AB480" s="710">
        <v>1.1220011219452992</v>
      </c>
      <c r="AC480" s="769">
        <v>0.67330543377969332</v>
      </c>
      <c r="AD480" s="769">
        <v>0.51308622260127135</v>
      </c>
      <c r="AE480" s="707"/>
      <c r="AF480" s="770"/>
      <c r="AG480" s="706"/>
      <c r="AH480" s="769">
        <v>0.65458408904432563</v>
      </c>
      <c r="AI480" s="748"/>
      <c r="AJ480" s="748"/>
      <c r="AK480" s="748"/>
      <c r="AL480" s="769">
        <v>0.64316739652617949</v>
      </c>
      <c r="AM480" s="706"/>
      <c r="AN480" s="706"/>
      <c r="AO480" s="706"/>
      <c r="AP480" s="768">
        <v>1863.41</v>
      </c>
      <c r="AQ480" s="768">
        <v>1863.41</v>
      </c>
      <c r="AR480" s="706"/>
      <c r="AS480" s="738"/>
      <c r="AT480" s="738"/>
      <c r="AU480" s="710">
        <v>0</v>
      </c>
      <c r="AV480" s="710">
        <v>1.1220011219452992</v>
      </c>
      <c r="AW480" s="710">
        <v>1.1220011219452992</v>
      </c>
      <c r="AX480" s="710">
        <v>1.1220011219452992</v>
      </c>
      <c r="AY480" s="710">
        <v>1.1220011219452992</v>
      </c>
      <c r="AZ480" s="710">
        <v>1.1220011219452992</v>
      </c>
      <c r="BA480" s="710">
        <v>1.1220011219452992</v>
      </c>
      <c r="BB480" s="710">
        <v>1.0024201200046507</v>
      </c>
      <c r="BC480" s="710">
        <v>1.0024201200046507</v>
      </c>
      <c r="BD480" s="710">
        <v>1.0024201200046507</v>
      </c>
      <c r="BE480" s="710">
        <v>0.49581692297665675</v>
      </c>
      <c r="BF480" s="710">
        <v>0</v>
      </c>
      <c r="BG480" s="710">
        <v>0</v>
      </c>
      <c r="BH480" s="710">
        <v>0</v>
      </c>
      <c r="BI480" s="710">
        <v>0</v>
      </c>
      <c r="BJ480" s="710">
        <v>0</v>
      </c>
      <c r="BK480" s="710">
        <v>0</v>
      </c>
      <c r="BL480" s="710">
        <v>0</v>
      </c>
      <c r="BM480" s="710">
        <v>0</v>
      </c>
      <c r="BN480" s="710">
        <v>0</v>
      </c>
      <c r="BO480" s="710">
        <v>0</v>
      </c>
      <c r="BP480" s="710">
        <v>0</v>
      </c>
      <c r="BQ480" s="710">
        <v>0</v>
      </c>
      <c r="BR480" s="710">
        <v>0</v>
      </c>
      <c r="BS480" s="767"/>
      <c r="BT480" s="767"/>
      <c r="BU480" s="707">
        <v>0</v>
      </c>
      <c r="BV480" s="707">
        <v>7137.7037139921604</v>
      </c>
      <c r="BW480" s="707">
        <v>7137.7037139921604</v>
      </c>
      <c r="BX480" s="707">
        <v>7137.7037139921604</v>
      </c>
      <c r="BY480" s="707">
        <v>7137.7037139921604</v>
      </c>
      <c r="BZ480" s="707">
        <v>7137.7037139921604</v>
      </c>
      <c r="CA480" s="707">
        <v>7137.7037139921604</v>
      </c>
      <c r="CB480" s="707">
        <v>6376.9791968946793</v>
      </c>
      <c r="CC480" s="707">
        <v>6376.9791968946793</v>
      </c>
      <c r="CD480" s="707">
        <v>6376.9791968946793</v>
      </c>
      <c r="CE480" s="707">
        <v>3154.1807074620592</v>
      </c>
      <c r="CF480" s="707">
        <v>0</v>
      </c>
      <c r="CG480" s="707">
        <v>0</v>
      </c>
      <c r="CH480" s="707">
        <v>0</v>
      </c>
      <c r="CI480" s="707">
        <v>0</v>
      </c>
      <c r="CJ480" s="707">
        <v>0</v>
      </c>
      <c r="CK480" s="707">
        <v>0</v>
      </c>
      <c r="CL480" s="707">
        <v>0</v>
      </c>
      <c r="CM480" s="707">
        <v>0</v>
      </c>
      <c r="CN480" s="707">
        <v>0</v>
      </c>
      <c r="CO480" s="707">
        <v>0</v>
      </c>
      <c r="CP480" s="707">
        <v>0</v>
      </c>
      <c r="CQ480" s="707">
        <v>0</v>
      </c>
      <c r="CR480" s="707">
        <v>0</v>
      </c>
    </row>
    <row r="481" spans="1:96" s="53" customFormat="1">
      <c r="A481" s="774" t="s">
        <v>3</v>
      </c>
      <c r="B481" s="772">
        <v>41764</v>
      </c>
      <c r="C481" s="771">
        <v>2014</v>
      </c>
      <c r="D481" s="773" t="s">
        <v>1</v>
      </c>
      <c r="E481" s="773" t="s">
        <v>12</v>
      </c>
      <c r="F481" s="773" t="s">
        <v>457</v>
      </c>
      <c r="G481" s="772" t="s">
        <v>656</v>
      </c>
      <c r="H481" s="772" t="s">
        <v>371</v>
      </c>
      <c r="I481" s="773" t="s">
        <v>5</v>
      </c>
      <c r="J481" s="773" t="s">
        <v>376</v>
      </c>
      <c r="K481" s="706"/>
      <c r="L481" s="772" t="s">
        <v>651</v>
      </c>
      <c r="M481" s="772" t="s">
        <v>835</v>
      </c>
      <c r="N481" s="771">
        <v>20</v>
      </c>
      <c r="O481" s="708" t="s">
        <v>7</v>
      </c>
      <c r="P481" s="769" t="s">
        <v>7</v>
      </c>
      <c r="Q481" s="706"/>
      <c r="R481" s="706"/>
      <c r="S481" s="706"/>
      <c r="T481" s="706"/>
      <c r="U481" s="710">
        <v>0.3</v>
      </c>
      <c r="V481" s="707">
        <v>778.2</v>
      </c>
      <c r="W481" s="710">
        <v>0.27409052708714088</v>
      </c>
      <c r="X481" s="707">
        <v>940.94482437624515</v>
      </c>
      <c r="Y481" s="707">
        <v>18818.896487524904</v>
      </c>
      <c r="Z481" s="707">
        <v>13808.699949450582</v>
      </c>
      <c r="AA481" s="707">
        <v>690.43499747252906</v>
      </c>
      <c r="AB481" s="710">
        <v>0.19820217344116192</v>
      </c>
      <c r="AC481" s="769">
        <v>1.2091298180111092</v>
      </c>
      <c r="AD481" s="769">
        <v>0.91363509029046963</v>
      </c>
      <c r="AE481" s="707"/>
      <c r="AF481" s="770"/>
      <c r="AG481" s="706"/>
      <c r="AH481" s="769">
        <v>0.7337677827498762</v>
      </c>
      <c r="AI481" s="748"/>
      <c r="AJ481" s="748"/>
      <c r="AK481" s="748"/>
      <c r="AL481" s="769">
        <v>0.7231266820766411</v>
      </c>
      <c r="AM481" s="706"/>
      <c r="AN481" s="706"/>
      <c r="AO481" s="706"/>
      <c r="AP481" s="768">
        <v>52.75</v>
      </c>
      <c r="AQ481" s="768">
        <v>316.5</v>
      </c>
      <c r="AR481" s="706"/>
      <c r="AS481" s="738"/>
      <c r="AT481" s="738"/>
      <c r="AU481" s="710">
        <v>0</v>
      </c>
      <c r="AV481" s="710">
        <v>0.19820217344116192</v>
      </c>
      <c r="AW481" s="710">
        <v>0.19820217344116192</v>
      </c>
      <c r="AX481" s="710">
        <v>0.19820217344116192</v>
      </c>
      <c r="AY481" s="710">
        <v>0.19820217344116192</v>
      </c>
      <c r="AZ481" s="710">
        <v>0.19820217344116192</v>
      </c>
      <c r="BA481" s="710">
        <v>0.19820217344116192</v>
      </c>
      <c r="BB481" s="710">
        <v>0.19820217344116192</v>
      </c>
      <c r="BC481" s="710">
        <v>0.19820217344116192</v>
      </c>
      <c r="BD481" s="710">
        <v>0.19820217344116192</v>
      </c>
      <c r="BE481" s="710">
        <v>0.19820217344116192</v>
      </c>
      <c r="BF481" s="710">
        <v>0.19820217344116192</v>
      </c>
      <c r="BG481" s="710">
        <v>0.19820217344116192</v>
      </c>
      <c r="BH481" s="710">
        <v>0.19820217344116192</v>
      </c>
      <c r="BI481" s="710">
        <v>0.19820217344116192</v>
      </c>
      <c r="BJ481" s="710">
        <v>0.19820217344116192</v>
      </c>
      <c r="BK481" s="710">
        <v>0.19820217344116192</v>
      </c>
      <c r="BL481" s="710">
        <v>0.19820217344116192</v>
      </c>
      <c r="BM481" s="710">
        <v>0.19820217344116192</v>
      </c>
      <c r="BN481" s="710">
        <v>0.19820217344116192</v>
      </c>
      <c r="BO481" s="710">
        <v>0.19820217344116192</v>
      </c>
      <c r="BP481" s="710">
        <v>0</v>
      </c>
      <c r="BQ481" s="710">
        <v>0</v>
      </c>
      <c r="BR481" s="710">
        <v>0</v>
      </c>
      <c r="BS481" s="767"/>
      <c r="BT481" s="767"/>
      <c r="BU481" s="707">
        <v>0</v>
      </c>
      <c r="BV481" s="707">
        <v>690.43499747252906</v>
      </c>
      <c r="BW481" s="707">
        <v>690.43499747252906</v>
      </c>
      <c r="BX481" s="707">
        <v>690.43499747252906</v>
      </c>
      <c r="BY481" s="707">
        <v>690.43499747252906</v>
      </c>
      <c r="BZ481" s="707">
        <v>690.43499747252906</v>
      </c>
      <c r="CA481" s="707">
        <v>690.43499747252906</v>
      </c>
      <c r="CB481" s="707">
        <v>690.43499747252906</v>
      </c>
      <c r="CC481" s="707">
        <v>690.43499747252906</v>
      </c>
      <c r="CD481" s="707">
        <v>690.43499747252906</v>
      </c>
      <c r="CE481" s="707">
        <v>690.43499747252906</v>
      </c>
      <c r="CF481" s="707">
        <v>690.43499747252906</v>
      </c>
      <c r="CG481" s="707">
        <v>690.43499747252906</v>
      </c>
      <c r="CH481" s="707">
        <v>690.43499747252906</v>
      </c>
      <c r="CI481" s="707">
        <v>690.43499747252906</v>
      </c>
      <c r="CJ481" s="707">
        <v>690.43499747252906</v>
      </c>
      <c r="CK481" s="707">
        <v>690.43499747252906</v>
      </c>
      <c r="CL481" s="707">
        <v>690.43499747252906</v>
      </c>
      <c r="CM481" s="707">
        <v>690.43499747252906</v>
      </c>
      <c r="CN481" s="707">
        <v>690.43499747252906</v>
      </c>
      <c r="CO481" s="707">
        <v>690.43499747252906</v>
      </c>
      <c r="CP481" s="707">
        <v>0</v>
      </c>
      <c r="CQ481" s="707">
        <v>0</v>
      </c>
      <c r="CR481" s="707">
        <v>0</v>
      </c>
    </row>
    <row r="482" spans="1:96" s="53" customFormat="1">
      <c r="A482" s="774" t="s">
        <v>3</v>
      </c>
      <c r="B482" s="772">
        <v>41760</v>
      </c>
      <c r="C482" s="771">
        <v>2014</v>
      </c>
      <c r="D482" s="773" t="s">
        <v>1</v>
      </c>
      <c r="E482" s="773" t="s">
        <v>12</v>
      </c>
      <c r="F482" s="773" t="s">
        <v>457</v>
      </c>
      <c r="G482" s="772" t="s">
        <v>661</v>
      </c>
      <c r="H482" s="772" t="s">
        <v>792</v>
      </c>
      <c r="I482" s="773" t="s">
        <v>5</v>
      </c>
      <c r="J482" s="773" t="s">
        <v>376</v>
      </c>
      <c r="K482" s="706"/>
      <c r="L482" s="772" t="s">
        <v>651</v>
      </c>
      <c r="M482" s="772" t="s">
        <v>834</v>
      </c>
      <c r="N482" s="771">
        <v>15.785275384057615</v>
      </c>
      <c r="O482" s="708" t="s">
        <v>7</v>
      </c>
      <c r="P482" s="769" t="s">
        <v>7</v>
      </c>
      <c r="Q482" s="706"/>
      <c r="R482" s="706"/>
      <c r="S482" s="706"/>
      <c r="T482" s="706"/>
      <c r="U482" s="710">
        <v>0</v>
      </c>
      <c r="V482" s="707">
        <v>18357</v>
      </c>
      <c r="W482" s="710">
        <v>0</v>
      </c>
      <c r="X482" s="707">
        <v>18025.395752330136</v>
      </c>
      <c r="Y482" s="707">
        <v>284535.83585715358</v>
      </c>
      <c r="Z482" s="707">
        <v>198316.28370836057</v>
      </c>
      <c r="AA482" s="707">
        <v>12563.371805895174</v>
      </c>
      <c r="AB482" s="710">
        <v>0</v>
      </c>
      <c r="AC482" s="769">
        <v>0.981935814802535</v>
      </c>
      <c r="AD482" s="769">
        <v>0</v>
      </c>
      <c r="AE482" s="707"/>
      <c r="AF482" s="770"/>
      <c r="AG482" s="706"/>
      <c r="AH482" s="769">
        <v>0.69698174611623231</v>
      </c>
      <c r="AI482" s="748"/>
      <c r="AJ482" s="748"/>
      <c r="AK482" s="748"/>
      <c r="AL482" s="769">
        <v>0.7062173607922958</v>
      </c>
      <c r="AM482" s="706"/>
      <c r="AN482" s="706"/>
      <c r="AO482" s="706"/>
      <c r="AP482" s="768">
        <v>12304.57</v>
      </c>
      <c r="AQ482" s="768">
        <v>12304.57</v>
      </c>
      <c r="AR482" s="706"/>
      <c r="AS482" s="738"/>
      <c r="AT482" s="738"/>
      <c r="AU482" s="710">
        <v>0</v>
      </c>
      <c r="AV482" s="710">
        <v>0</v>
      </c>
      <c r="AW482" s="710">
        <v>0</v>
      </c>
      <c r="AX482" s="710">
        <v>0</v>
      </c>
      <c r="AY482" s="710">
        <v>0</v>
      </c>
      <c r="AZ482" s="710">
        <v>0</v>
      </c>
      <c r="BA482" s="710">
        <v>0</v>
      </c>
      <c r="BB482" s="710">
        <v>0</v>
      </c>
      <c r="BC482" s="710">
        <v>0</v>
      </c>
      <c r="BD482" s="710">
        <v>0</v>
      </c>
      <c r="BE482" s="710">
        <v>0</v>
      </c>
      <c r="BF482" s="710">
        <v>0</v>
      </c>
      <c r="BG482" s="710">
        <v>0</v>
      </c>
      <c r="BH482" s="710">
        <v>0</v>
      </c>
      <c r="BI482" s="710">
        <v>0</v>
      </c>
      <c r="BJ482" s="710">
        <v>0</v>
      </c>
      <c r="BK482" s="710">
        <v>0</v>
      </c>
      <c r="BL482" s="710">
        <v>0</v>
      </c>
      <c r="BM482" s="710">
        <v>0</v>
      </c>
      <c r="BN482" s="710">
        <v>0</v>
      </c>
      <c r="BO482" s="710">
        <v>0</v>
      </c>
      <c r="BP482" s="710">
        <v>0</v>
      </c>
      <c r="BQ482" s="710">
        <v>0</v>
      </c>
      <c r="BR482" s="710">
        <v>0</v>
      </c>
      <c r="BS482" s="767"/>
      <c r="BT482" s="767"/>
      <c r="BU482" s="707">
        <v>0</v>
      </c>
      <c r="BV482" s="707">
        <v>12563.371805895174</v>
      </c>
      <c r="BW482" s="707">
        <v>12563.371805895174</v>
      </c>
      <c r="BX482" s="707">
        <v>12563.371805895174</v>
      </c>
      <c r="BY482" s="707">
        <v>12563.371805895174</v>
      </c>
      <c r="BZ482" s="707">
        <v>12563.371805895174</v>
      </c>
      <c r="CA482" s="707">
        <v>12563.371805895174</v>
      </c>
      <c r="CB482" s="707">
        <v>12563.371805895174</v>
      </c>
      <c r="CC482" s="707">
        <v>12563.371805895174</v>
      </c>
      <c r="CD482" s="707">
        <v>12563.371805895174</v>
      </c>
      <c r="CE482" s="707">
        <v>12563.371805895174</v>
      </c>
      <c r="CF482" s="707">
        <v>12563.371805895174</v>
      </c>
      <c r="CG482" s="707">
        <v>12563.371805895174</v>
      </c>
      <c r="CH482" s="707">
        <v>12563.371805895174</v>
      </c>
      <c r="CI482" s="707">
        <v>12563.371805895174</v>
      </c>
      <c r="CJ482" s="707">
        <v>12563.371805895174</v>
      </c>
      <c r="CK482" s="707">
        <v>9865.7066199329402</v>
      </c>
      <c r="CL482" s="707">
        <v>0</v>
      </c>
      <c r="CM482" s="707">
        <v>0</v>
      </c>
      <c r="CN482" s="707">
        <v>0</v>
      </c>
      <c r="CO482" s="707">
        <v>0</v>
      </c>
      <c r="CP482" s="707">
        <v>0</v>
      </c>
      <c r="CQ482" s="707">
        <v>0</v>
      </c>
      <c r="CR482" s="707">
        <v>0</v>
      </c>
    </row>
    <row r="483" spans="1:96" s="53" customFormat="1">
      <c r="A483" s="774" t="s">
        <v>3</v>
      </c>
      <c r="B483" s="772">
        <v>41754</v>
      </c>
      <c r="C483" s="771">
        <v>2014</v>
      </c>
      <c r="D483" s="773" t="s">
        <v>1</v>
      </c>
      <c r="E483" s="773" t="s">
        <v>12</v>
      </c>
      <c r="F483" s="773" t="s">
        <v>457</v>
      </c>
      <c r="G483" s="772" t="s">
        <v>661</v>
      </c>
      <c r="H483" s="772" t="s">
        <v>792</v>
      </c>
      <c r="I483" s="773" t="s">
        <v>5</v>
      </c>
      <c r="J483" s="773" t="s">
        <v>376</v>
      </c>
      <c r="K483" s="706"/>
      <c r="L483" s="772" t="s">
        <v>651</v>
      </c>
      <c r="M483" s="772" t="s">
        <v>833</v>
      </c>
      <c r="N483" s="771">
        <v>15.785275384057615</v>
      </c>
      <c r="O483" s="708" t="s">
        <v>7</v>
      </c>
      <c r="P483" s="769" t="s">
        <v>7</v>
      </c>
      <c r="Q483" s="706"/>
      <c r="R483" s="706"/>
      <c r="S483" s="706"/>
      <c r="T483" s="706"/>
      <c r="U483" s="710">
        <v>0</v>
      </c>
      <c r="V483" s="707">
        <v>15966</v>
      </c>
      <c r="W483" s="710">
        <v>0</v>
      </c>
      <c r="X483" s="707">
        <v>15677.587219137276</v>
      </c>
      <c r="Y483" s="707">
        <v>247475.03161166393</v>
      </c>
      <c r="Z483" s="707">
        <v>172485.57965286731</v>
      </c>
      <c r="AA483" s="707">
        <v>10926.992114883826</v>
      </c>
      <c r="AB483" s="710">
        <v>0</v>
      </c>
      <c r="AC483" s="769">
        <v>0.98193581480253511</v>
      </c>
      <c r="AD483" s="769">
        <v>0</v>
      </c>
      <c r="AE483" s="707"/>
      <c r="AF483" s="770"/>
      <c r="AG483" s="706"/>
      <c r="AH483" s="769">
        <v>0.69698174611623231</v>
      </c>
      <c r="AI483" s="748"/>
      <c r="AJ483" s="748"/>
      <c r="AK483" s="748"/>
      <c r="AL483" s="769">
        <v>0.7062173607922958</v>
      </c>
      <c r="AM483" s="706"/>
      <c r="AN483" s="706"/>
      <c r="AO483" s="706"/>
      <c r="AP483" s="768">
        <v>7099</v>
      </c>
      <c r="AQ483" s="768">
        <v>7099</v>
      </c>
      <c r="AR483" s="706"/>
      <c r="AS483" s="738"/>
      <c r="AT483" s="738"/>
      <c r="AU483" s="710">
        <v>0</v>
      </c>
      <c r="AV483" s="710">
        <v>0</v>
      </c>
      <c r="AW483" s="710">
        <v>0</v>
      </c>
      <c r="AX483" s="710">
        <v>0</v>
      </c>
      <c r="AY483" s="710">
        <v>0</v>
      </c>
      <c r="AZ483" s="710">
        <v>0</v>
      </c>
      <c r="BA483" s="710">
        <v>0</v>
      </c>
      <c r="BB483" s="710">
        <v>0</v>
      </c>
      <c r="BC483" s="710">
        <v>0</v>
      </c>
      <c r="BD483" s="710">
        <v>0</v>
      </c>
      <c r="BE483" s="710">
        <v>0</v>
      </c>
      <c r="BF483" s="710">
        <v>0</v>
      </c>
      <c r="BG483" s="710">
        <v>0</v>
      </c>
      <c r="BH483" s="710">
        <v>0</v>
      </c>
      <c r="BI483" s="710">
        <v>0</v>
      </c>
      <c r="BJ483" s="710">
        <v>0</v>
      </c>
      <c r="BK483" s="710">
        <v>0</v>
      </c>
      <c r="BL483" s="710">
        <v>0</v>
      </c>
      <c r="BM483" s="710">
        <v>0</v>
      </c>
      <c r="BN483" s="710">
        <v>0</v>
      </c>
      <c r="BO483" s="710">
        <v>0</v>
      </c>
      <c r="BP483" s="710">
        <v>0</v>
      </c>
      <c r="BQ483" s="710">
        <v>0</v>
      </c>
      <c r="BR483" s="710">
        <v>0</v>
      </c>
      <c r="BS483" s="767"/>
      <c r="BT483" s="767"/>
      <c r="BU483" s="707">
        <v>0</v>
      </c>
      <c r="BV483" s="707">
        <v>10926.992114883826</v>
      </c>
      <c r="BW483" s="707">
        <v>10926.992114883826</v>
      </c>
      <c r="BX483" s="707">
        <v>10926.992114883826</v>
      </c>
      <c r="BY483" s="707">
        <v>10926.992114883826</v>
      </c>
      <c r="BZ483" s="707">
        <v>10926.992114883826</v>
      </c>
      <c r="CA483" s="707">
        <v>10926.992114883826</v>
      </c>
      <c r="CB483" s="707">
        <v>10926.992114883826</v>
      </c>
      <c r="CC483" s="707">
        <v>10926.992114883826</v>
      </c>
      <c r="CD483" s="707">
        <v>10926.992114883826</v>
      </c>
      <c r="CE483" s="707">
        <v>10926.992114883826</v>
      </c>
      <c r="CF483" s="707">
        <v>10926.992114883826</v>
      </c>
      <c r="CG483" s="707">
        <v>10926.992114883826</v>
      </c>
      <c r="CH483" s="707">
        <v>10926.992114883826</v>
      </c>
      <c r="CI483" s="707">
        <v>10926.992114883826</v>
      </c>
      <c r="CJ483" s="707">
        <v>10926.992114883826</v>
      </c>
      <c r="CK483" s="707">
        <v>8580.6979296099216</v>
      </c>
      <c r="CL483" s="707">
        <v>0</v>
      </c>
      <c r="CM483" s="707">
        <v>0</v>
      </c>
      <c r="CN483" s="707">
        <v>0</v>
      </c>
      <c r="CO483" s="707">
        <v>0</v>
      </c>
      <c r="CP483" s="707">
        <v>0</v>
      </c>
      <c r="CQ483" s="707">
        <v>0</v>
      </c>
      <c r="CR483" s="707">
        <v>0</v>
      </c>
    </row>
    <row r="484" spans="1:96" s="53" customFormat="1">
      <c r="A484" s="774" t="s">
        <v>3</v>
      </c>
      <c r="B484" s="772">
        <v>41806</v>
      </c>
      <c r="C484" s="771">
        <v>2014</v>
      </c>
      <c r="D484" s="773" t="s">
        <v>1</v>
      </c>
      <c r="E484" s="773" t="s">
        <v>12</v>
      </c>
      <c r="F484" s="773" t="s">
        <v>457</v>
      </c>
      <c r="G484" s="772" t="s">
        <v>656</v>
      </c>
      <c r="H484" s="772" t="s">
        <v>371</v>
      </c>
      <c r="I484" s="773" t="s">
        <v>5</v>
      </c>
      <c r="J484" s="773" t="s">
        <v>376</v>
      </c>
      <c r="K484" s="706"/>
      <c r="L484" s="772" t="s">
        <v>651</v>
      </c>
      <c r="M484" s="772" t="s">
        <v>811</v>
      </c>
      <c r="N484" s="771">
        <v>20</v>
      </c>
      <c r="O484" s="708">
        <v>0</v>
      </c>
      <c r="P484" s="769">
        <v>0.57235444796629253</v>
      </c>
      <c r="Q484" s="706"/>
      <c r="R484" s="706"/>
      <c r="S484" s="706"/>
      <c r="T484" s="706"/>
      <c r="U484" s="710">
        <v>4.32</v>
      </c>
      <c r="V484" s="707">
        <v>11206.08</v>
      </c>
      <c r="W484" s="710">
        <v>2.25902782546201</v>
      </c>
      <c r="X484" s="707">
        <v>7755.1769595255237</v>
      </c>
      <c r="Y484" s="707">
        <v>155103.53919051046</v>
      </c>
      <c r="Z484" s="707">
        <v>113809.9800484794</v>
      </c>
      <c r="AA484" s="707">
        <v>5690.4990024239696</v>
      </c>
      <c r="AB484" s="710">
        <v>1.6335632961451527</v>
      </c>
      <c r="AC484" s="769">
        <v>0.6920508295073321</v>
      </c>
      <c r="AD484" s="769">
        <v>0.52292310774583561</v>
      </c>
      <c r="AE484" s="707"/>
      <c r="AF484" s="770"/>
      <c r="AG484" s="706"/>
      <c r="AH484" s="769">
        <v>0.7337677827498762</v>
      </c>
      <c r="AI484" s="748"/>
      <c r="AJ484" s="748"/>
      <c r="AK484" s="748"/>
      <c r="AL484" s="769">
        <v>0.7231266820766411</v>
      </c>
      <c r="AM484" s="706"/>
      <c r="AN484" s="706"/>
      <c r="AO484" s="706"/>
      <c r="AP484" s="768">
        <v>34.65</v>
      </c>
      <c r="AQ484" s="768">
        <v>2079</v>
      </c>
      <c r="AR484" s="706"/>
      <c r="AS484" s="738"/>
      <c r="AT484" s="738"/>
      <c r="AU484" s="710">
        <v>0</v>
      </c>
      <c r="AV484" s="710">
        <v>1.6335632961451527</v>
      </c>
      <c r="AW484" s="710">
        <v>1.6335632961451527</v>
      </c>
      <c r="AX484" s="710">
        <v>1.6335632961451527</v>
      </c>
      <c r="AY484" s="710">
        <v>1.6335632961451527</v>
      </c>
      <c r="AZ484" s="710">
        <v>1.6335632961451527</v>
      </c>
      <c r="BA484" s="710">
        <v>1.6335632961451527</v>
      </c>
      <c r="BB484" s="710">
        <v>1.6335632961451527</v>
      </c>
      <c r="BC484" s="710">
        <v>1.6335632961451527</v>
      </c>
      <c r="BD484" s="710">
        <v>1.6335632961451527</v>
      </c>
      <c r="BE484" s="710">
        <v>1.6335632961451527</v>
      </c>
      <c r="BF484" s="710">
        <v>1.6335632961451527</v>
      </c>
      <c r="BG484" s="710">
        <v>1.6335632961451527</v>
      </c>
      <c r="BH484" s="710">
        <v>1.6335632961451527</v>
      </c>
      <c r="BI484" s="710">
        <v>1.6335632961451527</v>
      </c>
      <c r="BJ484" s="710">
        <v>1.6335632961451527</v>
      </c>
      <c r="BK484" s="710">
        <v>1.6335632961451527</v>
      </c>
      <c r="BL484" s="710">
        <v>1.6335632961451527</v>
      </c>
      <c r="BM484" s="710">
        <v>1.6335632961451527</v>
      </c>
      <c r="BN484" s="710">
        <v>1.6335632961451527</v>
      </c>
      <c r="BO484" s="710">
        <v>1.6335632961451527</v>
      </c>
      <c r="BP484" s="710">
        <v>0</v>
      </c>
      <c r="BQ484" s="710">
        <v>0</v>
      </c>
      <c r="BR484" s="710">
        <v>0</v>
      </c>
      <c r="BS484" s="767"/>
      <c r="BT484" s="767"/>
      <c r="BU484" s="707">
        <v>0</v>
      </c>
      <c r="BV484" s="707">
        <v>5690.4990024239696</v>
      </c>
      <c r="BW484" s="707">
        <v>5690.4990024239696</v>
      </c>
      <c r="BX484" s="707">
        <v>5690.4990024239696</v>
      </c>
      <c r="BY484" s="707">
        <v>5690.4990024239696</v>
      </c>
      <c r="BZ484" s="707">
        <v>5690.4990024239696</v>
      </c>
      <c r="CA484" s="707">
        <v>5690.4990024239696</v>
      </c>
      <c r="CB484" s="707">
        <v>5690.4990024239696</v>
      </c>
      <c r="CC484" s="707">
        <v>5690.4990024239696</v>
      </c>
      <c r="CD484" s="707">
        <v>5690.4990024239696</v>
      </c>
      <c r="CE484" s="707">
        <v>5690.4990024239696</v>
      </c>
      <c r="CF484" s="707">
        <v>5690.4990024239696</v>
      </c>
      <c r="CG484" s="707">
        <v>5690.4990024239696</v>
      </c>
      <c r="CH484" s="707">
        <v>5690.4990024239696</v>
      </c>
      <c r="CI484" s="707">
        <v>5690.4990024239696</v>
      </c>
      <c r="CJ484" s="707">
        <v>5690.4990024239696</v>
      </c>
      <c r="CK484" s="707">
        <v>5690.4990024239696</v>
      </c>
      <c r="CL484" s="707">
        <v>5690.4990024239696</v>
      </c>
      <c r="CM484" s="707">
        <v>5690.4990024239696</v>
      </c>
      <c r="CN484" s="707">
        <v>5690.4990024239696</v>
      </c>
      <c r="CO484" s="707">
        <v>5690.4990024239696</v>
      </c>
      <c r="CP484" s="707">
        <v>0</v>
      </c>
      <c r="CQ484" s="707">
        <v>0</v>
      </c>
      <c r="CR484" s="707">
        <v>0</v>
      </c>
    </row>
    <row r="485" spans="1:96" s="53" customFormat="1">
      <c r="A485" s="774" t="s">
        <v>3</v>
      </c>
      <c r="B485" s="772">
        <v>41796</v>
      </c>
      <c r="C485" s="771">
        <v>2014</v>
      </c>
      <c r="D485" s="773" t="s">
        <v>1</v>
      </c>
      <c r="E485" s="773" t="s">
        <v>12</v>
      </c>
      <c r="F485" s="773" t="s">
        <v>457</v>
      </c>
      <c r="G485" s="772" t="s">
        <v>665</v>
      </c>
      <c r="H485" s="772" t="s">
        <v>371</v>
      </c>
      <c r="I485" s="773" t="s">
        <v>5</v>
      </c>
      <c r="J485" s="773" t="s">
        <v>376</v>
      </c>
      <c r="K485" s="706"/>
      <c r="L485" s="772" t="s">
        <v>651</v>
      </c>
      <c r="M485" s="772" t="s">
        <v>832</v>
      </c>
      <c r="N485" s="771">
        <v>9.4946198835018958</v>
      </c>
      <c r="O485" s="708">
        <v>6.0000000000000009</v>
      </c>
      <c r="P485" s="769">
        <v>0.89342167347094836</v>
      </c>
      <c r="Q485" s="706"/>
      <c r="R485" s="706"/>
      <c r="S485" s="706"/>
      <c r="T485" s="706"/>
      <c r="U485" s="710">
        <v>0</v>
      </c>
      <c r="V485" s="707">
        <v>0</v>
      </c>
      <c r="W485" s="710">
        <v>0</v>
      </c>
      <c r="X485" s="707">
        <v>0</v>
      </c>
      <c r="Y485" s="707">
        <v>0</v>
      </c>
      <c r="Z485" s="707">
        <v>0</v>
      </c>
      <c r="AA485" s="707">
        <v>0</v>
      </c>
      <c r="AB485" s="710">
        <v>0</v>
      </c>
      <c r="AC485" s="769">
        <v>0</v>
      </c>
      <c r="AD485" s="769">
        <v>0</v>
      </c>
      <c r="AE485" s="707"/>
      <c r="AF485" s="770"/>
      <c r="AG485" s="706"/>
      <c r="AH485" s="769">
        <v>0.65458408904432563</v>
      </c>
      <c r="AI485" s="748"/>
      <c r="AJ485" s="748"/>
      <c r="AK485" s="748"/>
      <c r="AL485" s="769">
        <v>0.64316739652617949</v>
      </c>
      <c r="AM485" s="706"/>
      <c r="AN485" s="706"/>
      <c r="AO485" s="706"/>
      <c r="AP485" s="768">
        <v>0</v>
      </c>
      <c r="AQ485" s="768">
        <v>0</v>
      </c>
      <c r="AR485" s="706"/>
      <c r="AS485" s="738"/>
      <c r="AT485" s="738"/>
      <c r="AU485" s="710">
        <v>0</v>
      </c>
      <c r="AV485" s="710">
        <v>0</v>
      </c>
      <c r="AW485" s="710">
        <v>0</v>
      </c>
      <c r="AX485" s="710">
        <v>0</v>
      </c>
      <c r="AY485" s="710">
        <v>0</v>
      </c>
      <c r="AZ485" s="710">
        <v>0</v>
      </c>
      <c r="BA485" s="710">
        <v>0</v>
      </c>
      <c r="BB485" s="710">
        <v>0</v>
      </c>
      <c r="BC485" s="710">
        <v>0</v>
      </c>
      <c r="BD485" s="710">
        <v>0</v>
      </c>
      <c r="BE485" s="710">
        <v>0</v>
      </c>
      <c r="BF485" s="710">
        <v>0</v>
      </c>
      <c r="BG485" s="710">
        <v>0</v>
      </c>
      <c r="BH485" s="710">
        <v>0</v>
      </c>
      <c r="BI485" s="710">
        <v>0</v>
      </c>
      <c r="BJ485" s="710">
        <v>0</v>
      </c>
      <c r="BK485" s="710">
        <v>0</v>
      </c>
      <c r="BL485" s="710">
        <v>0</v>
      </c>
      <c r="BM485" s="710">
        <v>0</v>
      </c>
      <c r="BN485" s="710">
        <v>0</v>
      </c>
      <c r="BO485" s="710">
        <v>0</v>
      </c>
      <c r="BP485" s="710">
        <v>0</v>
      </c>
      <c r="BQ485" s="710">
        <v>0</v>
      </c>
      <c r="BR485" s="710">
        <v>0</v>
      </c>
      <c r="BS485" s="767"/>
      <c r="BT485" s="767"/>
      <c r="BU485" s="707">
        <v>0</v>
      </c>
      <c r="BV485" s="707">
        <v>0</v>
      </c>
      <c r="BW485" s="707">
        <v>0</v>
      </c>
      <c r="BX485" s="707">
        <v>0</v>
      </c>
      <c r="BY485" s="707">
        <v>0</v>
      </c>
      <c r="BZ485" s="707">
        <v>0</v>
      </c>
      <c r="CA485" s="707">
        <v>0</v>
      </c>
      <c r="CB485" s="707">
        <v>0</v>
      </c>
      <c r="CC485" s="707">
        <v>0</v>
      </c>
      <c r="CD485" s="707">
        <v>0</v>
      </c>
      <c r="CE485" s="707">
        <v>0</v>
      </c>
      <c r="CF485" s="707">
        <v>0</v>
      </c>
      <c r="CG485" s="707">
        <v>0</v>
      </c>
      <c r="CH485" s="707">
        <v>0</v>
      </c>
      <c r="CI485" s="707">
        <v>0</v>
      </c>
      <c r="CJ485" s="707">
        <v>0</v>
      </c>
      <c r="CK485" s="707">
        <v>0</v>
      </c>
      <c r="CL485" s="707">
        <v>0</v>
      </c>
      <c r="CM485" s="707">
        <v>0</v>
      </c>
      <c r="CN485" s="707">
        <v>0</v>
      </c>
      <c r="CO485" s="707">
        <v>0</v>
      </c>
      <c r="CP485" s="707">
        <v>0</v>
      </c>
      <c r="CQ485" s="707">
        <v>0</v>
      </c>
      <c r="CR485" s="707">
        <v>0</v>
      </c>
    </row>
    <row r="486" spans="1:96" s="53" customFormat="1">
      <c r="A486" s="774" t="s">
        <v>3</v>
      </c>
      <c r="B486" s="772">
        <v>41796</v>
      </c>
      <c r="C486" s="771">
        <v>2014</v>
      </c>
      <c r="D486" s="773" t="s">
        <v>1</v>
      </c>
      <c r="E486" s="773" t="s">
        <v>12</v>
      </c>
      <c r="F486" s="773" t="s">
        <v>457</v>
      </c>
      <c r="G486" s="772" t="s">
        <v>665</v>
      </c>
      <c r="H486" s="772" t="s">
        <v>371</v>
      </c>
      <c r="I486" s="773" t="s">
        <v>5</v>
      </c>
      <c r="J486" s="773" t="s">
        <v>376</v>
      </c>
      <c r="K486" s="706"/>
      <c r="L486" s="772" t="s">
        <v>651</v>
      </c>
      <c r="M486" s="772" t="s">
        <v>832</v>
      </c>
      <c r="N486" s="771">
        <v>9.4946198835018958</v>
      </c>
      <c r="O486" s="708">
        <v>6.0000000000000009</v>
      </c>
      <c r="P486" s="769">
        <v>0.89342167347094836</v>
      </c>
      <c r="Q486" s="706"/>
      <c r="R486" s="706"/>
      <c r="S486" s="706"/>
      <c r="T486" s="706"/>
      <c r="U486" s="710">
        <v>2.9</v>
      </c>
      <c r="V486" s="707">
        <v>9505</v>
      </c>
      <c r="W486" s="710">
        <v>1.4879500455436871</v>
      </c>
      <c r="X486" s="707">
        <v>6399.7681480759857</v>
      </c>
      <c r="Y486" s="707">
        <v>58379.767532096608</v>
      </c>
      <c r="Z486" s="707">
        <v>38214.466948616959</v>
      </c>
      <c r="AA486" s="707">
        <v>4189.1864033032098</v>
      </c>
      <c r="AB486" s="710">
        <v>0.95700095695334342</v>
      </c>
      <c r="AC486" s="769">
        <v>0.67330543377969343</v>
      </c>
      <c r="AD486" s="769">
        <v>0.51308622260127146</v>
      </c>
      <c r="AE486" s="707"/>
      <c r="AF486" s="770"/>
      <c r="AG486" s="706"/>
      <c r="AH486" s="769">
        <v>0.65458408904432563</v>
      </c>
      <c r="AI486" s="748"/>
      <c r="AJ486" s="748"/>
      <c r="AK486" s="748"/>
      <c r="AL486" s="769">
        <v>0.64316739652617949</v>
      </c>
      <c r="AM486" s="706"/>
      <c r="AN486" s="706"/>
      <c r="AO486" s="706"/>
      <c r="AP486" s="768">
        <v>1168.2</v>
      </c>
      <c r="AQ486" s="768">
        <v>1168.2</v>
      </c>
      <c r="AR486" s="706"/>
      <c r="AS486" s="738"/>
      <c r="AT486" s="738"/>
      <c r="AU486" s="710">
        <v>0</v>
      </c>
      <c r="AV486" s="710">
        <v>0.95700095695334342</v>
      </c>
      <c r="AW486" s="710">
        <v>0.95700095695334342</v>
      </c>
      <c r="AX486" s="710">
        <v>0.95700095695334342</v>
      </c>
      <c r="AY486" s="710">
        <v>0.95700095695334342</v>
      </c>
      <c r="AZ486" s="710">
        <v>0.95700095695334342</v>
      </c>
      <c r="BA486" s="710">
        <v>0.95700095695334342</v>
      </c>
      <c r="BB486" s="710">
        <v>0.85500539647455509</v>
      </c>
      <c r="BC486" s="710">
        <v>0.85500539647455509</v>
      </c>
      <c r="BD486" s="710">
        <v>0.85500539647455509</v>
      </c>
      <c r="BE486" s="710">
        <v>0.42290266959773665</v>
      </c>
      <c r="BF486" s="710">
        <v>0</v>
      </c>
      <c r="BG486" s="710">
        <v>0</v>
      </c>
      <c r="BH486" s="710">
        <v>0</v>
      </c>
      <c r="BI486" s="710">
        <v>0</v>
      </c>
      <c r="BJ486" s="710">
        <v>0</v>
      </c>
      <c r="BK486" s="710">
        <v>0</v>
      </c>
      <c r="BL486" s="710">
        <v>0</v>
      </c>
      <c r="BM486" s="710">
        <v>0</v>
      </c>
      <c r="BN486" s="710">
        <v>0</v>
      </c>
      <c r="BO486" s="710">
        <v>0</v>
      </c>
      <c r="BP486" s="710">
        <v>0</v>
      </c>
      <c r="BQ486" s="710">
        <v>0</v>
      </c>
      <c r="BR486" s="710">
        <v>0</v>
      </c>
      <c r="BS486" s="767"/>
      <c r="BT486" s="767"/>
      <c r="BU486" s="707">
        <v>0</v>
      </c>
      <c r="BV486" s="707">
        <v>4189.1864033032098</v>
      </c>
      <c r="BW486" s="707">
        <v>4189.1864033032098</v>
      </c>
      <c r="BX486" s="707">
        <v>4189.1864033032098</v>
      </c>
      <c r="BY486" s="707">
        <v>4189.1864033032098</v>
      </c>
      <c r="BZ486" s="707">
        <v>4189.1864033032098</v>
      </c>
      <c r="CA486" s="707">
        <v>4189.1864033032098</v>
      </c>
      <c r="CB486" s="707">
        <v>3742.709926920897</v>
      </c>
      <c r="CC486" s="707">
        <v>3742.709926920897</v>
      </c>
      <c r="CD486" s="707">
        <v>3742.709926920897</v>
      </c>
      <c r="CE486" s="707">
        <v>1851.2187480350028</v>
      </c>
      <c r="CF486" s="707">
        <v>0</v>
      </c>
      <c r="CG486" s="707">
        <v>0</v>
      </c>
      <c r="CH486" s="707">
        <v>0</v>
      </c>
      <c r="CI486" s="707">
        <v>0</v>
      </c>
      <c r="CJ486" s="707">
        <v>0</v>
      </c>
      <c r="CK486" s="707">
        <v>0</v>
      </c>
      <c r="CL486" s="707">
        <v>0</v>
      </c>
      <c r="CM486" s="707">
        <v>0</v>
      </c>
      <c r="CN486" s="707">
        <v>0</v>
      </c>
      <c r="CO486" s="707">
        <v>0</v>
      </c>
      <c r="CP486" s="707">
        <v>0</v>
      </c>
      <c r="CQ486" s="707">
        <v>0</v>
      </c>
      <c r="CR486" s="707">
        <v>0</v>
      </c>
    </row>
    <row r="487" spans="1:96" s="53" customFormat="1">
      <c r="A487" s="774" t="s">
        <v>3</v>
      </c>
      <c r="B487" s="772">
        <v>41796</v>
      </c>
      <c r="C487" s="771">
        <v>2014</v>
      </c>
      <c r="D487" s="773" t="s">
        <v>1</v>
      </c>
      <c r="E487" s="773" t="s">
        <v>12</v>
      </c>
      <c r="F487" s="773" t="s">
        <v>457</v>
      </c>
      <c r="G487" s="772" t="s">
        <v>656</v>
      </c>
      <c r="H487" s="772" t="s">
        <v>371</v>
      </c>
      <c r="I487" s="773" t="s">
        <v>5</v>
      </c>
      <c r="J487" s="773" t="s">
        <v>376</v>
      </c>
      <c r="K487" s="706"/>
      <c r="L487" s="772" t="s">
        <v>651</v>
      </c>
      <c r="M487" s="772" t="s">
        <v>832</v>
      </c>
      <c r="N487" s="771">
        <v>20</v>
      </c>
      <c r="O487" s="708" t="s">
        <v>7</v>
      </c>
      <c r="P487" s="769" t="s">
        <v>7</v>
      </c>
      <c r="Q487" s="706"/>
      <c r="R487" s="706"/>
      <c r="S487" s="706"/>
      <c r="T487" s="706"/>
      <c r="U487" s="710">
        <v>0</v>
      </c>
      <c r="V487" s="707">
        <v>0</v>
      </c>
      <c r="W487" s="710">
        <v>0</v>
      </c>
      <c r="X487" s="707">
        <v>0</v>
      </c>
      <c r="Y487" s="707">
        <v>0</v>
      </c>
      <c r="Z487" s="707">
        <v>0</v>
      </c>
      <c r="AA487" s="707">
        <v>0</v>
      </c>
      <c r="AB487" s="710">
        <v>0</v>
      </c>
      <c r="AC487" s="769">
        <v>0</v>
      </c>
      <c r="AD487" s="769">
        <v>0</v>
      </c>
      <c r="AE487" s="707"/>
      <c r="AF487" s="770"/>
      <c r="AG487" s="706"/>
      <c r="AH487" s="769">
        <v>0.7337677827498762</v>
      </c>
      <c r="AI487" s="748"/>
      <c r="AJ487" s="748"/>
      <c r="AK487" s="748"/>
      <c r="AL487" s="769">
        <v>0.7231266820766411</v>
      </c>
      <c r="AM487" s="706"/>
      <c r="AN487" s="706"/>
      <c r="AO487" s="706"/>
      <c r="AP487" s="768">
        <v>0</v>
      </c>
      <c r="AQ487" s="768">
        <v>0</v>
      </c>
      <c r="AR487" s="706"/>
      <c r="AS487" s="738"/>
      <c r="AT487" s="738"/>
      <c r="AU487" s="710">
        <v>0</v>
      </c>
      <c r="AV487" s="710">
        <v>0</v>
      </c>
      <c r="AW487" s="710">
        <v>0</v>
      </c>
      <c r="AX487" s="710">
        <v>0</v>
      </c>
      <c r="AY487" s="710">
        <v>0</v>
      </c>
      <c r="AZ487" s="710">
        <v>0</v>
      </c>
      <c r="BA487" s="710">
        <v>0</v>
      </c>
      <c r="BB487" s="710">
        <v>0</v>
      </c>
      <c r="BC487" s="710">
        <v>0</v>
      </c>
      <c r="BD487" s="710">
        <v>0</v>
      </c>
      <c r="BE487" s="710">
        <v>0</v>
      </c>
      <c r="BF487" s="710">
        <v>0</v>
      </c>
      <c r="BG487" s="710">
        <v>0</v>
      </c>
      <c r="BH487" s="710">
        <v>0</v>
      </c>
      <c r="BI487" s="710">
        <v>0</v>
      </c>
      <c r="BJ487" s="710">
        <v>0</v>
      </c>
      <c r="BK487" s="710">
        <v>0</v>
      </c>
      <c r="BL487" s="710">
        <v>0</v>
      </c>
      <c r="BM487" s="710">
        <v>0</v>
      </c>
      <c r="BN487" s="710">
        <v>0</v>
      </c>
      <c r="BO487" s="710">
        <v>0</v>
      </c>
      <c r="BP487" s="710">
        <v>0</v>
      </c>
      <c r="BQ487" s="710">
        <v>0</v>
      </c>
      <c r="BR487" s="710">
        <v>0</v>
      </c>
      <c r="BS487" s="767"/>
      <c r="BT487" s="767"/>
      <c r="BU487" s="707">
        <v>0</v>
      </c>
      <c r="BV487" s="707">
        <v>0</v>
      </c>
      <c r="BW487" s="707">
        <v>0</v>
      </c>
      <c r="BX487" s="707">
        <v>0</v>
      </c>
      <c r="BY487" s="707">
        <v>0</v>
      </c>
      <c r="BZ487" s="707">
        <v>0</v>
      </c>
      <c r="CA487" s="707">
        <v>0</v>
      </c>
      <c r="CB487" s="707">
        <v>0</v>
      </c>
      <c r="CC487" s="707">
        <v>0</v>
      </c>
      <c r="CD487" s="707">
        <v>0</v>
      </c>
      <c r="CE487" s="707">
        <v>0</v>
      </c>
      <c r="CF487" s="707">
        <v>0</v>
      </c>
      <c r="CG487" s="707">
        <v>0</v>
      </c>
      <c r="CH487" s="707">
        <v>0</v>
      </c>
      <c r="CI487" s="707">
        <v>0</v>
      </c>
      <c r="CJ487" s="707">
        <v>0</v>
      </c>
      <c r="CK487" s="707">
        <v>0</v>
      </c>
      <c r="CL487" s="707">
        <v>0</v>
      </c>
      <c r="CM487" s="707">
        <v>0</v>
      </c>
      <c r="CN487" s="707">
        <v>0</v>
      </c>
      <c r="CO487" s="707">
        <v>0</v>
      </c>
      <c r="CP487" s="707">
        <v>0</v>
      </c>
      <c r="CQ487" s="707">
        <v>0</v>
      </c>
      <c r="CR487" s="707">
        <v>0</v>
      </c>
    </row>
    <row r="488" spans="1:96" s="53" customFormat="1">
      <c r="A488" s="774" t="s">
        <v>3</v>
      </c>
      <c r="B488" s="772">
        <v>41796</v>
      </c>
      <c r="C488" s="771">
        <v>2014</v>
      </c>
      <c r="D488" s="773" t="s">
        <v>1</v>
      </c>
      <c r="E488" s="773" t="s">
        <v>12</v>
      </c>
      <c r="F488" s="773" t="s">
        <v>457</v>
      </c>
      <c r="G488" s="772" t="s">
        <v>656</v>
      </c>
      <c r="H488" s="772" t="s">
        <v>371</v>
      </c>
      <c r="I488" s="773" t="s">
        <v>5</v>
      </c>
      <c r="J488" s="773" t="s">
        <v>376</v>
      </c>
      <c r="K488" s="706"/>
      <c r="L488" s="772" t="s">
        <v>651</v>
      </c>
      <c r="M488" s="772" t="s">
        <v>832</v>
      </c>
      <c r="N488" s="771">
        <v>12</v>
      </c>
      <c r="O488" s="708">
        <v>3</v>
      </c>
      <c r="P488" s="769">
        <v>0.2333333333333335</v>
      </c>
      <c r="Q488" s="706"/>
      <c r="R488" s="706"/>
      <c r="S488" s="706"/>
      <c r="T488" s="706"/>
      <c r="U488" s="710">
        <v>0.6</v>
      </c>
      <c r="V488" s="707">
        <v>1556.4</v>
      </c>
      <c r="W488" s="710">
        <v>0.54818105417428176</v>
      </c>
      <c r="X488" s="707">
        <v>1881.8896487524903</v>
      </c>
      <c r="Y488" s="707">
        <v>9597.6372086377032</v>
      </c>
      <c r="Z488" s="707">
        <v>7042.4369742197987</v>
      </c>
      <c r="AA488" s="707">
        <v>1380.8699949450581</v>
      </c>
      <c r="AB488" s="710">
        <v>0.39640434688232384</v>
      </c>
      <c r="AC488" s="769">
        <v>1.2091298180111092</v>
      </c>
      <c r="AD488" s="769">
        <v>0.91363509029046963</v>
      </c>
      <c r="AE488" s="707"/>
      <c r="AF488" s="770"/>
      <c r="AG488" s="706"/>
      <c r="AH488" s="769">
        <v>0.7337677827498762</v>
      </c>
      <c r="AI488" s="748"/>
      <c r="AJ488" s="748"/>
      <c r="AK488" s="748"/>
      <c r="AL488" s="769">
        <v>0.7231266820766411</v>
      </c>
      <c r="AM488" s="706"/>
      <c r="AN488" s="706"/>
      <c r="AO488" s="706"/>
      <c r="AP488" s="768">
        <v>32.856022944550674</v>
      </c>
      <c r="AQ488" s="768">
        <v>657.12045889101341</v>
      </c>
      <c r="AR488" s="706"/>
      <c r="AS488" s="738"/>
      <c r="AT488" s="738"/>
      <c r="AU488" s="710">
        <v>0</v>
      </c>
      <c r="AV488" s="710">
        <v>0.39640434688232384</v>
      </c>
      <c r="AW488" s="710">
        <v>0.39640434688232384</v>
      </c>
      <c r="AX488" s="710">
        <v>0.39640434688232384</v>
      </c>
      <c r="AY488" s="710">
        <v>9.2494347605875632E-2</v>
      </c>
      <c r="AZ488" s="710">
        <v>9.2494347605875632E-2</v>
      </c>
      <c r="BA488" s="710">
        <v>9.2494347605875632E-2</v>
      </c>
      <c r="BB488" s="710">
        <v>9.2494347605875632E-2</v>
      </c>
      <c r="BC488" s="710">
        <v>9.2494347605875632E-2</v>
      </c>
      <c r="BD488" s="710">
        <v>9.2494347605875632E-2</v>
      </c>
      <c r="BE488" s="710">
        <v>9.2494347605875632E-2</v>
      </c>
      <c r="BF488" s="710">
        <v>9.2494347605875632E-2</v>
      </c>
      <c r="BG488" s="710">
        <v>9.2494347605875632E-2</v>
      </c>
      <c r="BH488" s="710">
        <v>0</v>
      </c>
      <c r="BI488" s="710">
        <v>0</v>
      </c>
      <c r="BJ488" s="710">
        <v>0</v>
      </c>
      <c r="BK488" s="710">
        <v>0</v>
      </c>
      <c r="BL488" s="710">
        <v>0</v>
      </c>
      <c r="BM488" s="710">
        <v>0</v>
      </c>
      <c r="BN488" s="710">
        <v>0</v>
      </c>
      <c r="BO488" s="710">
        <v>0</v>
      </c>
      <c r="BP488" s="710">
        <v>0</v>
      </c>
      <c r="BQ488" s="710">
        <v>0</v>
      </c>
      <c r="BR488" s="710">
        <v>0</v>
      </c>
      <c r="BS488" s="767"/>
      <c r="BT488" s="767"/>
      <c r="BU488" s="707">
        <v>0</v>
      </c>
      <c r="BV488" s="707">
        <v>1380.8699949450581</v>
      </c>
      <c r="BW488" s="707">
        <v>1380.8699949450581</v>
      </c>
      <c r="BX488" s="707">
        <v>1380.8699949450581</v>
      </c>
      <c r="BY488" s="707">
        <v>322.20299882051381</v>
      </c>
      <c r="BZ488" s="707">
        <v>322.20299882051381</v>
      </c>
      <c r="CA488" s="707">
        <v>322.20299882051381</v>
      </c>
      <c r="CB488" s="707">
        <v>322.20299882051381</v>
      </c>
      <c r="CC488" s="707">
        <v>322.20299882051381</v>
      </c>
      <c r="CD488" s="707">
        <v>322.20299882051381</v>
      </c>
      <c r="CE488" s="707">
        <v>322.20299882051381</v>
      </c>
      <c r="CF488" s="707">
        <v>322.20299882051381</v>
      </c>
      <c r="CG488" s="707">
        <v>322.20299882051381</v>
      </c>
      <c r="CH488" s="707">
        <v>0</v>
      </c>
      <c r="CI488" s="707">
        <v>0</v>
      </c>
      <c r="CJ488" s="707">
        <v>0</v>
      </c>
      <c r="CK488" s="707">
        <v>0</v>
      </c>
      <c r="CL488" s="707">
        <v>0</v>
      </c>
      <c r="CM488" s="707">
        <v>0</v>
      </c>
      <c r="CN488" s="707">
        <v>0</v>
      </c>
      <c r="CO488" s="707">
        <v>0</v>
      </c>
      <c r="CP488" s="707">
        <v>0</v>
      </c>
      <c r="CQ488" s="707">
        <v>0</v>
      </c>
      <c r="CR488" s="707">
        <v>0</v>
      </c>
    </row>
    <row r="489" spans="1:96" s="53" customFormat="1">
      <c r="A489" s="774" t="s">
        <v>3</v>
      </c>
      <c r="B489" s="772">
        <v>41796</v>
      </c>
      <c r="C489" s="771">
        <v>2014</v>
      </c>
      <c r="D489" s="773" t="s">
        <v>1</v>
      </c>
      <c r="E489" s="773" t="s">
        <v>12</v>
      </c>
      <c r="F489" s="773" t="s">
        <v>457</v>
      </c>
      <c r="G489" s="772" t="s">
        <v>656</v>
      </c>
      <c r="H489" s="772" t="s">
        <v>371</v>
      </c>
      <c r="I489" s="773" t="s">
        <v>5</v>
      </c>
      <c r="J489" s="773" t="s">
        <v>376</v>
      </c>
      <c r="K489" s="706"/>
      <c r="L489" s="772" t="s">
        <v>651</v>
      </c>
      <c r="M489" s="772" t="s">
        <v>832</v>
      </c>
      <c r="N489" s="771">
        <v>12</v>
      </c>
      <c r="O489" s="708">
        <v>3</v>
      </c>
      <c r="P489" s="769">
        <v>0.21276595744680871</v>
      </c>
      <c r="Q489" s="706"/>
      <c r="R489" s="706"/>
      <c r="S489" s="706"/>
      <c r="T489" s="706"/>
      <c r="U489" s="710">
        <v>2.5379999999999998</v>
      </c>
      <c r="V489" s="707">
        <v>6583.5720000000001</v>
      </c>
      <c r="W489" s="710">
        <v>2.3188058591572114</v>
      </c>
      <c r="X489" s="707">
        <v>7960.3932142230324</v>
      </c>
      <c r="Y489" s="707">
        <v>39124.485797564281</v>
      </c>
      <c r="Z489" s="707">
        <v>28708.287194907763</v>
      </c>
      <c r="AA489" s="707">
        <v>5841.0800786175951</v>
      </c>
      <c r="AB489" s="710">
        <v>1.6767903873122294</v>
      </c>
      <c r="AC489" s="769">
        <v>1.209129818011109</v>
      </c>
      <c r="AD489" s="769">
        <v>0.91363509029046952</v>
      </c>
      <c r="AE489" s="707"/>
      <c r="AF489" s="770"/>
      <c r="AG489" s="706"/>
      <c r="AH489" s="769">
        <v>0.7337677827498762</v>
      </c>
      <c r="AI489" s="748"/>
      <c r="AJ489" s="748"/>
      <c r="AK489" s="748"/>
      <c r="AL489" s="769">
        <v>0.7231266820766411</v>
      </c>
      <c r="AM489" s="706"/>
      <c r="AN489" s="706"/>
      <c r="AO489" s="706"/>
      <c r="AP489" s="768">
        <v>51.474435946462712</v>
      </c>
      <c r="AQ489" s="768">
        <v>2779.6195411089866</v>
      </c>
      <c r="AR489" s="706"/>
      <c r="AS489" s="738"/>
      <c r="AT489" s="738"/>
      <c r="AU489" s="710">
        <v>0</v>
      </c>
      <c r="AV489" s="710">
        <v>1.6767903873122294</v>
      </c>
      <c r="AW489" s="710">
        <v>1.6767903873122294</v>
      </c>
      <c r="AX489" s="710">
        <v>1.6767903873122294</v>
      </c>
      <c r="AY489" s="710">
        <v>0.3567639121940917</v>
      </c>
      <c r="AZ489" s="710">
        <v>0.3567639121940917</v>
      </c>
      <c r="BA489" s="710">
        <v>0.3567639121940917</v>
      </c>
      <c r="BB489" s="710">
        <v>0.3567639121940917</v>
      </c>
      <c r="BC489" s="710">
        <v>0.3567639121940917</v>
      </c>
      <c r="BD489" s="710">
        <v>0.3567639121940917</v>
      </c>
      <c r="BE489" s="710">
        <v>0.3567639121940917</v>
      </c>
      <c r="BF489" s="710">
        <v>0.3567639121940917</v>
      </c>
      <c r="BG489" s="710">
        <v>0.3567639121940917</v>
      </c>
      <c r="BH489" s="710">
        <v>0</v>
      </c>
      <c r="BI489" s="710">
        <v>0</v>
      </c>
      <c r="BJ489" s="710">
        <v>0</v>
      </c>
      <c r="BK489" s="710">
        <v>0</v>
      </c>
      <c r="BL489" s="710">
        <v>0</v>
      </c>
      <c r="BM489" s="710">
        <v>0</v>
      </c>
      <c r="BN489" s="710">
        <v>0</v>
      </c>
      <c r="BO489" s="710">
        <v>0</v>
      </c>
      <c r="BP489" s="710">
        <v>0</v>
      </c>
      <c r="BQ489" s="710">
        <v>0</v>
      </c>
      <c r="BR489" s="710">
        <v>0</v>
      </c>
      <c r="BS489" s="767"/>
      <c r="BT489" s="767"/>
      <c r="BU489" s="707">
        <v>0</v>
      </c>
      <c r="BV489" s="707">
        <v>5841.0800786175951</v>
      </c>
      <c r="BW489" s="707">
        <v>5841.0800786175951</v>
      </c>
      <c r="BX489" s="707">
        <v>5841.0800786175951</v>
      </c>
      <c r="BY489" s="707">
        <v>1242.7829954505532</v>
      </c>
      <c r="BZ489" s="707">
        <v>1242.7829954505532</v>
      </c>
      <c r="CA489" s="707">
        <v>1242.7829954505532</v>
      </c>
      <c r="CB489" s="707">
        <v>1242.7829954505532</v>
      </c>
      <c r="CC489" s="707">
        <v>1242.7829954505532</v>
      </c>
      <c r="CD489" s="707">
        <v>1242.7829954505532</v>
      </c>
      <c r="CE489" s="707">
        <v>1242.7829954505532</v>
      </c>
      <c r="CF489" s="707">
        <v>1242.7829954505532</v>
      </c>
      <c r="CG489" s="707">
        <v>1242.7829954505532</v>
      </c>
      <c r="CH489" s="707">
        <v>0</v>
      </c>
      <c r="CI489" s="707">
        <v>0</v>
      </c>
      <c r="CJ489" s="707">
        <v>0</v>
      </c>
      <c r="CK489" s="707">
        <v>0</v>
      </c>
      <c r="CL489" s="707">
        <v>0</v>
      </c>
      <c r="CM489" s="707">
        <v>0</v>
      </c>
      <c r="CN489" s="707">
        <v>0</v>
      </c>
      <c r="CO489" s="707">
        <v>0</v>
      </c>
      <c r="CP489" s="707">
        <v>0</v>
      </c>
      <c r="CQ489" s="707">
        <v>0</v>
      </c>
      <c r="CR489" s="707">
        <v>0</v>
      </c>
    </row>
    <row r="490" spans="1:96" s="53" customFormat="1">
      <c r="A490" s="774" t="s">
        <v>3</v>
      </c>
      <c r="B490" s="772">
        <v>41906</v>
      </c>
      <c r="C490" s="771">
        <v>2014</v>
      </c>
      <c r="D490" s="773" t="s">
        <v>1</v>
      </c>
      <c r="E490" s="773" t="s">
        <v>12</v>
      </c>
      <c r="F490" s="773" t="s">
        <v>457</v>
      </c>
      <c r="G490" s="772" t="s">
        <v>661</v>
      </c>
      <c r="H490" s="772" t="s">
        <v>371</v>
      </c>
      <c r="I490" s="773" t="s">
        <v>5</v>
      </c>
      <c r="J490" s="773" t="s">
        <v>376</v>
      </c>
      <c r="K490" s="706"/>
      <c r="L490" s="772" t="s">
        <v>651</v>
      </c>
      <c r="M490" s="772" t="s">
        <v>831</v>
      </c>
      <c r="N490" s="771">
        <v>10.57110211909384</v>
      </c>
      <c r="O490" s="708">
        <v>8.2157863414037848</v>
      </c>
      <c r="P490" s="769">
        <v>0.57011826371785979</v>
      </c>
      <c r="Q490" s="706"/>
      <c r="R490" s="706"/>
      <c r="S490" s="706"/>
      <c r="T490" s="706"/>
      <c r="U490" s="710">
        <v>0</v>
      </c>
      <c r="V490" s="707">
        <v>9373.73</v>
      </c>
      <c r="W490" s="710">
        <v>0</v>
      </c>
      <c r="X490" s="707">
        <v>8438.0639102585101</v>
      </c>
      <c r="Y490" s="707">
        <v>80656.034515764157</v>
      </c>
      <c r="Z490" s="707">
        <v>57558.976475368239</v>
      </c>
      <c r="AA490" s="707">
        <v>6021.6985006037758</v>
      </c>
      <c r="AB490" s="710">
        <v>0</v>
      </c>
      <c r="AC490" s="769">
        <v>0.90018209509539004</v>
      </c>
      <c r="AD490" s="769">
        <v>0</v>
      </c>
      <c r="AE490" s="707"/>
      <c r="AF490" s="770"/>
      <c r="AG490" s="706"/>
      <c r="AH490" s="769">
        <v>0.71363509030583938</v>
      </c>
      <c r="AI490" s="748"/>
      <c r="AJ490" s="748"/>
      <c r="AK490" s="748"/>
      <c r="AL490" s="769">
        <v>0.77578670773417735</v>
      </c>
      <c r="AM490" s="706"/>
      <c r="AN490" s="706"/>
      <c r="AO490" s="706"/>
      <c r="AP490" s="768">
        <v>7264.7</v>
      </c>
      <c r="AQ490" s="768">
        <v>7264.7</v>
      </c>
      <c r="AR490" s="706"/>
      <c r="AS490" s="738"/>
      <c r="AT490" s="738"/>
      <c r="AU490" s="710">
        <v>0</v>
      </c>
      <c r="AV490" s="710">
        <v>0</v>
      </c>
      <c r="AW490" s="710">
        <v>0</v>
      </c>
      <c r="AX490" s="710">
        <v>0</v>
      </c>
      <c r="AY490" s="710">
        <v>0</v>
      </c>
      <c r="AZ490" s="710">
        <v>0</v>
      </c>
      <c r="BA490" s="710">
        <v>0</v>
      </c>
      <c r="BB490" s="710">
        <v>0</v>
      </c>
      <c r="BC490" s="710">
        <v>0</v>
      </c>
      <c r="BD490" s="710">
        <v>0</v>
      </c>
      <c r="BE490" s="710">
        <v>0</v>
      </c>
      <c r="BF490" s="710">
        <v>0</v>
      </c>
      <c r="BG490" s="710">
        <v>0</v>
      </c>
      <c r="BH490" s="710">
        <v>0</v>
      </c>
      <c r="BI490" s="710">
        <v>0</v>
      </c>
      <c r="BJ490" s="710">
        <v>0</v>
      </c>
      <c r="BK490" s="710">
        <v>0</v>
      </c>
      <c r="BL490" s="710">
        <v>0</v>
      </c>
      <c r="BM490" s="710">
        <v>0</v>
      </c>
      <c r="BN490" s="710">
        <v>0</v>
      </c>
      <c r="BO490" s="710">
        <v>0</v>
      </c>
      <c r="BP490" s="710">
        <v>0</v>
      </c>
      <c r="BQ490" s="710">
        <v>0</v>
      </c>
      <c r="BR490" s="710">
        <v>0</v>
      </c>
      <c r="BS490" s="767"/>
      <c r="BT490" s="767"/>
      <c r="BU490" s="707">
        <v>0</v>
      </c>
      <c r="BV490" s="707">
        <v>6021.6985006037758</v>
      </c>
      <c r="BW490" s="707">
        <v>6021.6985006037758</v>
      </c>
      <c r="BX490" s="707">
        <v>6021.6985006037758</v>
      </c>
      <c r="BY490" s="707">
        <v>6021.6985006037758</v>
      </c>
      <c r="BZ490" s="707">
        <v>6021.6985006037758</v>
      </c>
      <c r="CA490" s="707">
        <v>6021.6985006037758</v>
      </c>
      <c r="CB490" s="707">
        <v>6021.6985006037758</v>
      </c>
      <c r="CC490" s="707">
        <v>6021.6985006037758</v>
      </c>
      <c r="CD490" s="707">
        <v>3991.6687459347968</v>
      </c>
      <c r="CE490" s="707">
        <v>3433.0802937966641</v>
      </c>
      <c r="CF490" s="707">
        <v>1960.639430806579</v>
      </c>
      <c r="CG490" s="707">
        <v>0</v>
      </c>
      <c r="CH490" s="707">
        <v>0</v>
      </c>
      <c r="CI490" s="707">
        <v>0</v>
      </c>
      <c r="CJ490" s="707">
        <v>0</v>
      </c>
      <c r="CK490" s="707">
        <v>0</v>
      </c>
      <c r="CL490" s="707">
        <v>0</v>
      </c>
      <c r="CM490" s="707">
        <v>0</v>
      </c>
      <c r="CN490" s="707">
        <v>0</v>
      </c>
      <c r="CO490" s="707">
        <v>0</v>
      </c>
      <c r="CP490" s="707">
        <v>0</v>
      </c>
      <c r="CQ490" s="707">
        <v>0</v>
      </c>
      <c r="CR490" s="707">
        <v>0</v>
      </c>
    </row>
    <row r="491" spans="1:96" s="53" customFormat="1">
      <c r="A491" s="774" t="s">
        <v>3</v>
      </c>
      <c r="B491" s="772">
        <v>41906</v>
      </c>
      <c r="C491" s="771">
        <v>2014</v>
      </c>
      <c r="D491" s="773" t="s">
        <v>1</v>
      </c>
      <c r="E491" s="773" t="s">
        <v>12</v>
      </c>
      <c r="F491" s="773" t="s">
        <v>457</v>
      </c>
      <c r="G491" s="772" t="s">
        <v>665</v>
      </c>
      <c r="H491" s="772" t="s">
        <v>371</v>
      </c>
      <c r="I491" s="773" t="s">
        <v>5</v>
      </c>
      <c r="J491" s="773" t="s">
        <v>376</v>
      </c>
      <c r="K491" s="706"/>
      <c r="L491" s="772" t="s">
        <v>651</v>
      </c>
      <c r="M491" s="772" t="s">
        <v>831</v>
      </c>
      <c r="N491" s="771">
        <v>9.4946198835018958</v>
      </c>
      <c r="O491" s="708">
        <v>6.0000000000000009</v>
      </c>
      <c r="P491" s="769">
        <v>0.89342167347094836</v>
      </c>
      <c r="Q491" s="706"/>
      <c r="R491" s="706"/>
      <c r="S491" s="706"/>
      <c r="T491" s="706"/>
      <c r="U491" s="710">
        <v>1.3</v>
      </c>
      <c r="V491" s="707">
        <v>7956</v>
      </c>
      <c r="W491" s="710">
        <v>0.66701208938165302</v>
      </c>
      <c r="X491" s="707">
        <v>5356.8180311512397</v>
      </c>
      <c r="Y491" s="707">
        <v>48865.800156271493</v>
      </c>
      <c r="Z491" s="707">
        <v>31986.775280715039</v>
      </c>
      <c r="AA491" s="707">
        <v>3506.4878510973522</v>
      </c>
      <c r="AB491" s="710">
        <v>0.42900042897908508</v>
      </c>
      <c r="AC491" s="769">
        <v>0.67330543377969332</v>
      </c>
      <c r="AD491" s="769">
        <v>0.51308622260127157</v>
      </c>
      <c r="AE491" s="707"/>
      <c r="AF491" s="770"/>
      <c r="AG491" s="706"/>
      <c r="AH491" s="769">
        <v>0.65458408904432563</v>
      </c>
      <c r="AI491" s="748"/>
      <c r="AJ491" s="748"/>
      <c r="AK491" s="748"/>
      <c r="AL491" s="769">
        <v>0.64316739652617949</v>
      </c>
      <c r="AM491" s="706"/>
      <c r="AN491" s="706"/>
      <c r="AO491" s="706"/>
      <c r="AP491" s="768">
        <v>3163.8322468436927</v>
      </c>
      <c r="AQ491" s="768">
        <v>3163.8322468436927</v>
      </c>
      <c r="AR491" s="706"/>
      <c r="AS491" s="738"/>
      <c r="AT491" s="738"/>
      <c r="AU491" s="710">
        <v>0</v>
      </c>
      <c r="AV491" s="710">
        <v>0.42900042897908508</v>
      </c>
      <c r="AW491" s="710">
        <v>0.42900042897908508</v>
      </c>
      <c r="AX491" s="710">
        <v>0.42900042897908508</v>
      </c>
      <c r="AY491" s="710">
        <v>0.42900042897908508</v>
      </c>
      <c r="AZ491" s="710">
        <v>0.42900042897908508</v>
      </c>
      <c r="BA491" s="710">
        <v>0.42900042897908508</v>
      </c>
      <c r="BB491" s="710">
        <v>0.38327828117824891</v>
      </c>
      <c r="BC491" s="710">
        <v>0.38327828117824891</v>
      </c>
      <c r="BD491" s="710">
        <v>0.38327828117824891</v>
      </c>
      <c r="BE491" s="710">
        <v>0.18957705878519232</v>
      </c>
      <c r="BF491" s="710">
        <v>0</v>
      </c>
      <c r="BG491" s="710">
        <v>0</v>
      </c>
      <c r="BH491" s="710">
        <v>0</v>
      </c>
      <c r="BI491" s="710">
        <v>0</v>
      </c>
      <c r="BJ491" s="710">
        <v>0</v>
      </c>
      <c r="BK491" s="710">
        <v>0</v>
      </c>
      <c r="BL491" s="710">
        <v>0</v>
      </c>
      <c r="BM491" s="710">
        <v>0</v>
      </c>
      <c r="BN491" s="710">
        <v>0</v>
      </c>
      <c r="BO491" s="710">
        <v>0</v>
      </c>
      <c r="BP491" s="710">
        <v>0</v>
      </c>
      <c r="BQ491" s="710">
        <v>0</v>
      </c>
      <c r="BR491" s="710">
        <v>0</v>
      </c>
      <c r="BS491" s="767"/>
      <c r="BT491" s="767"/>
      <c r="BU491" s="707">
        <v>0</v>
      </c>
      <c r="BV491" s="707">
        <v>3506.4878510973522</v>
      </c>
      <c r="BW491" s="707">
        <v>3506.4878510973522</v>
      </c>
      <c r="BX491" s="707">
        <v>3506.4878510973522</v>
      </c>
      <c r="BY491" s="707">
        <v>3506.4878510973522</v>
      </c>
      <c r="BZ491" s="707">
        <v>3506.4878510973522</v>
      </c>
      <c r="CA491" s="707">
        <v>3506.4878510973522</v>
      </c>
      <c r="CB491" s="707">
        <v>3132.7722439329459</v>
      </c>
      <c r="CC491" s="707">
        <v>3132.7722439329459</v>
      </c>
      <c r="CD491" s="707">
        <v>3132.7722439329459</v>
      </c>
      <c r="CE491" s="707">
        <v>1549.5314423320863</v>
      </c>
      <c r="CF491" s="707">
        <v>0</v>
      </c>
      <c r="CG491" s="707">
        <v>0</v>
      </c>
      <c r="CH491" s="707">
        <v>0</v>
      </c>
      <c r="CI491" s="707">
        <v>0</v>
      </c>
      <c r="CJ491" s="707">
        <v>0</v>
      </c>
      <c r="CK491" s="707">
        <v>0</v>
      </c>
      <c r="CL491" s="707">
        <v>0</v>
      </c>
      <c r="CM491" s="707">
        <v>0</v>
      </c>
      <c r="CN491" s="707">
        <v>0</v>
      </c>
      <c r="CO491" s="707">
        <v>0</v>
      </c>
      <c r="CP491" s="707">
        <v>0</v>
      </c>
      <c r="CQ491" s="707">
        <v>0</v>
      </c>
      <c r="CR491" s="707">
        <v>0</v>
      </c>
    </row>
    <row r="492" spans="1:96" s="53" customFormat="1">
      <c r="A492" s="774" t="s">
        <v>3</v>
      </c>
      <c r="B492" s="772">
        <v>41906</v>
      </c>
      <c r="C492" s="771">
        <v>2014</v>
      </c>
      <c r="D492" s="773" t="s">
        <v>1</v>
      </c>
      <c r="E492" s="773" t="s">
        <v>12</v>
      </c>
      <c r="F492" s="773" t="s">
        <v>457</v>
      </c>
      <c r="G492" s="772" t="s">
        <v>665</v>
      </c>
      <c r="H492" s="772" t="s">
        <v>371</v>
      </c>
      <c r="I492" s="773" t="s">
        <v>5</v>
      </c>
      <c r="J492" s="773" t="s">
        <v>376</v>
      </c>
      <c r="K492" s="706"/>
      <c r="L492" s="772" t="s">
        <v>651</v>
      </c>
      <c r="M492" s="772" t="s">
        <v>831</v>
      </c>
      <c r="N492" s="771">
        <v>9.4946198835018958</v>
      </c>
      <c r="O492" s="708">
        <v>6.0000000000000009</v>
      </c>
      <c r="P492" s="769">
        <v>0.89342167347094836</v>
      </c>
      <c r="Q492" s="706"/>
      <c r="R492" s="706"/>
      <c r="S492" s="706"/>
      <c r="T492" s="706"/>
      <c r="U492" s="710">
        <v>3.1</v>
      </c>
      <c r="V492" s="707">
        <v>12275</v>
      </c>
      <c r="W492" s="710">
        <v>1.5905672900639416</v>
      </c>
      <c r="X492" s="707">
        <v>8264.8241996457364</v>
      </c>
      <c r="Y492" s="707">
        <v>75393.124298420385</v>
      </c>
      <c r="Z492" s="707">
        <v>49351.139589087128</v>
      </c>
      <c r="AA492" s="707">
        <v>5410.0224198366022</v>
      </c>
      <c r="AB492" s="710">
        <v>1.0230010229501258</v>
      </c>
      <c r="AC492" s="769">
        <v>0.67330543377969343</v>
      </c>
      <c r="AD492" s="769">
        <v>0.51308622260127146</v>
      </c>
      <c r="AE492" s="707"/>
      <c r="AF492" s="770"/>
      <c r="AG492" s="706"/>
      <c r="AH492" s="769">
        <v>0.65458408904432563</v>
      </c>
      <c r="AI492" s="748"/>
      <c r="AJ492" s="748"/>
      <c r="AK492" s="748"/>
      <c r="AL492" s="769">
        <v>0.64316739652617949</v>
      </c>
      <c r="AM492" s="706"/>
      <c r="AN492" s="706"/>
      <c r="AO492" s="706"/>
      <c r="AP492" s="768">
        <v>4881.3525427358391</v>
      </c>
      <c r="AQ492" s="768">
        <v>4881.3525427358391</v>
      </c>
      <c r="AR492" s="706"/>
      <c r="AS492" s="738"/>
      <c r="AT492" s="738"/>
      <c r="AU492" s="710">
        <v>0</v>
      </c>
      <c r="AV492" s="710">
        <v>1.0230010229501258</v>
      </c>
      <c r="AW492" s="710">
        <v>1.0230010229501258</v>
      </c>
      <c r="AX492" s="710">
        <v>1.0230010229501258</v>
      </c>
      <c r="AY492" s="710">
        <v>1.0230010229501258</v>
      </c>
      <c r="AZ492" s="710">
        <v>1.0230010229501258</v>
      </c>
      <c r="BA492" s="710">
        <v>1.0230010229501258</v>
      </c>
      <c r="BB492" s="710">
        <v>0.91397128588659349</v>
      </c>
      <c r="BC492" s="710">
        <v>0.91397128588659349</v>
      </c>
      <c r="BD492" s="710">
        <v>0.91397128588659349</v>
      </c>
      <c r="BE492" s="710">
        <v>0.45206837094930474</v>
      </c>
      <c r="BF492" s="710">
        <v>0</v>
      </c>
      <c r="BG492" s="710">
        <v>0</v>
      </c>
      <c r="BH492" s="710">
        <v>0</v>
      </c>
      <c r="BI492" s="710">
        <v>0</v>
      </c>
      <c r="BJ492" s="710">
        <v>0</v>
      </c>
      <c r="BK492" s="710">
        <v>0</v>
      </c>
      <c r="BL492" s="710">
        <v>0</v>
      </c>
      <c r="BM492" s="710">
        <v>0</v>
      </c>
      <c r="BN492" s="710">
        <v>0</v>
      </c>
      <c r="BO492" s="710">
        <v>0</v>
      </c>
      <c r="BP492" s="710">
        <v>0</v>
      </c>
      <c r="BQ492" s="710">
        <v>0</v>
      </c>
      <c r="BR492" s="710">
        <v>0</v>
      </c>
      <c r="BS492" s="767"/>
      <c r="BT492" s="767"/>
      <c r="BU492" s="707">
        <v>0</v>
      </c>
      <c r="BV492" s="707">
        <v>5410.0224198366022</v>
      </c>
      <c r="BW492" s="707">
        <v>5410.0224198366022</v>
      </c>
      <c r="BX492" s="707">
        <v>5410.0224198366022</v>
      </c>
      <c r="BY492" s="707">
        <v>5410.0224198366022</v>
      </c>
      <c r="BZ492" s="707">
        <v>5410.0224198366022</v>
      </c>
      <c r="CA492" s="707">
        <v>5410.0224198366022</v>
      </c>
      <c r="CB492" s="707">
        <v>4833.4312838457672</v>
      </c>
      <c r="CC492" s="707">
        <v>4833.4312838457672</v>
      </c>
      <c r="CD492" s="707">
        <v>4833.4312838457672</v>
      </c>
      <c r="CE492" s="707">
        <v>2390.7112185302117</v>
      </c>
      <c r="CF492" s="707">
        <v>0</v>
      </c>
      <c r="CG492" s="707">
        <v>0</v>
      </c>
      <c r="CH492" s="707">
        <v>0</v>
      </c>
      <c r="CI492" s="707">
        <v>0</v>
      </c>
      <c r="CJ492" s="707">
        <v>0</v>
      </c>
      <c r="CK492" s="707">
        <v>0</v>
      </c>
      <c r="CL492" s="707">
        <v>0</v>
      </c>
      <c r="CM492" s="707">
        <v>0</v>
      </c>
      <c r="CN492" s="707">
        <v>0</v>
      </c>
      <c r="CO492" s="707">
        <v>0</v>
      </c>
      <c r="CP492" s="707">
        <v>0</v>
      </c>
      <c r="CQ492" s="707">
        <v>0</v>
      </c>
      <c r="CR492" s="707">
        <v>0</v>
      </c>
    </row>
    <row r="493" spans="1:96" s="53" customFormat="1">
      <c r="A493" s="774" t="s">
        <v>3</v>
      </c>
      <c r="B493" s="772">
        <v>41906</v>
      </c>
      <c r="C493" s="771">
        <v>2014</v>
      </c>
      <c r="D493" s="773" t="s">
        <v>1</v>
      </c>
      <c r="E493" s="773" t="s">
        <v>12</v>
      </c>
      <c r="F493" s="773" t="s">
        <v>457</v>
      </c>
      <c r="G493" s="772" t="s">
        <v>665</v>
      </c>
      <c r="H493" s="772" t="s">
        <v>371</v>
      </c>
      <c r="I493" s="773" t="s">
        <v>5</v>
      </c>
      <c r="J493" s="773" t="s">
        <v>376</v>
      </c>
      <c r="K493" s="706"/>
      <c r="L493" s="772" t="s">
        <v>651</v>
      </c>
      <c r="M493" s="772" t="s">
        <v>831</v>
      </c>
      <c r="N493" s="771">
        <v>9.4946198835018958</v>
      </c>
      <c r="O493" s="708">
        <v>6.0000000000000009</v>
      </c>
      <c r="P493" s="769">
        <v>0.89342167347094836</v>
      </c>
      <c r="Q493" s="706"/>
      <c r="R493" s="706"/>
      <c r="S493" s="706"/>
      <c r="T493" s="706"/>
      <c r="U493" s="710">
        <v>5.6</v>
      </c>
      <c r="V493" s="707">
        <v>33471</v>
      </c>
      <c r="W493" s="710">
        <v>2.8732828465671201</v>
      </c>
      <c r="X493" s="707">
        <v>22536.206174040115</v>
      </c>
      <c r="Y493" s="707">
        <v>205579.08459408785</v>
      </c>
      <c r="Z493" s="707">
        <v>134568.79781558737</v>
      </c>
      <c r="AA493" s="707">
        <v>14751.841988949156</v>
      </c>
      <c r="AB493" s="710">
        <v>1.8480018479099047</v>
      </c>
      <c r="AC493" s="769">
        <v>0.67330543377969332</v>
      </c>
      <c r="AD493" s="769">
        <v>0.51308622260127146</v>
      </c>
      <c r="AE493" s="707"/>
      <c r="AF493" s="770"/>
      <c r="AG493" s="706"/>
      <c r="AH493" s="769">
        <v>0.65458408904432563</v>
      </c>
      <c r="AI493" s="748"/>
      <c r="AJ493" s="748"/>
      <c r="AK493" s="748"/>
      <c r="AL493" s="769">
        <v>0.64316739652617949</v>
      </c>
      <c r="AM493" s="706"/>
      <c r="AN493" s="706"/>
      <c r="AO493" s="706"/>
      <c r="AP493" s="768">
        <v>13310.285210420469</v>
      </c>
      <c r="AQ493" s="768">
        <v>13310.285210420469</v>
      </c>
      <c r="AR493" s="706"/>
      <c r="AS493" s="738"/>
      <c r="AT493" s="738"/>
      <c r="AU493" s="710">
        <v>0</v>
      </c>
      <c r="AV493" s="710">
        <v>1.8480018479099047</v>
      </c>
      <c r="AW493" s="710">
        <v>1.8480018479099047</v>
      </c>
      <c r="AX493" s="710">
        <v>1.8480018479099047</v>
      </c>
      <c r="AY493" s="710">
        <v>1.8480018479099047</v>
      </c>
      <c r="AZ493" s="710">
        <v>1.8480018479099047</v>
      </c>
      <c r="BA493" s="710">
        <v>1.8480018479099047</v>
      </c>
      <c r="BB493" s="710">
        <v>1.651044903537072</v>
      </c>
      <c r="BC493" s="710">
        <v>1.651044903537072</v>
      </c>
      <c r="BD493" s="710">
        <v>1.651044903537072</v>
      </c>
      <c r="BE493" s="710">
        <v>0.81663963784390536</v>
      </c>
      <c r="BF493" s="710">
        <v>0</v>
      </c>
      <c r="BG493" s="710">
        <v>0</v>
      </c>
      <c r="BH493" s="710">
        <v>0</v>
      </c>
      <c r="BI493" s="710">
        <v>0</v>
      </c>
      <c r="BJ493" s="710">
        <v>0</v>
      </c>
      <c r="BK493" s="710">
        <v>0</v>
      </c>
      <c r="BL493" s="710">
        <v>0</v>
      </c>
      <c r="BM493" s="710">
        <v>0</v>
      </c>
      <c r="BN493" s="710">
        <v>0</v>
      </c>
      <c r="BO493" s="710">
        <v>0</v>
      </c>
      <c r="BP493" s="710">
        <v>0</v>
      </c>
      <c r="BQ493" s="710">
        <v>0</v>
      </c>
      <c r="BR493" s="710">
        <v>0</v>
      </c>
      <c r="BS493" s="767"/>
      <c r="BT493" s="767"/>
      <c r="BU493" s="707">
        <v>0</v>
      </c>
      <c r="BV493" s="707">
        <v>14751.841988949156</v>
      </c>
      <c r="BW493" s="707">
        <v>14751.841988949156</v>
      </c>
      <c r="BX493" s="707">
        <v>14751.841988949156</v>
      </c>
      <c r="BY493" s="707">
        <v>14751.841988949156</v>
      </c>
      <c r="BZ493" s="707">
        <v>14751.841988949156</v>
      </c>
      <c r="CA493" s="707">
        <v>14751.841988949156</v>
      </c>
      <c r="CB493" s="707">
        <v>13179.615356545959</v>
      </c>
      <c r="CC493" s="707">
        <v>13179.615356545959</v>
      </c>
      <c r="CD493" s="707">
        <v>13179.615356545959</v>
      </c>
      <c r="CE493" s="707">
        <v>6518.8998122545581</v>
      </c>
      <c r="CF493" s="707">
        <v>0</v>
      </c>
      <c r="CG493" s="707">
        <v>0</v>
      </c>
      <c r="CH493" s="707">
        <v>0</v>
      </c>
      <c r="CI493" s="707">
        <v>0</v>
      </c>
      <c r="CJ493" s="707">
        <v>0</v>
      </c>
      <c r="CK493" s="707">
        <v>0</v>
      </c>
      <c r="CL493" s="707">
        <v>0</v>
      </c>
      <c r="CM493" s="707">
        <v>0</v>
      </c>
      <c r="CN493" s="707">
        <v>0</v>
      </c>
      <c r="CO493" s="707">
        <v>0</v>
      </c>
      <c r="CP493" s="707">
        <v>0</v>
      </c>
      <c r="CQ493" s="707">
        <v>0</v>
      </c>
      <c r="CR493" s="707">
        <v>0</v>
      </c>
    </row>
    <row r="494" spans="1:96" s="53" customFormat="1">
      <c r="A494" s="774" t="s">
        <v>3</v>
      </c>
      <c r="B494" s="772">
        <v>41817</v>
      </c>
      <c r="C494" s="771">
        <v>2014</v>
      </c>
      <c r="D494" s="773" t="s">
        <v>1</v>
      </c>
      <c r="E494" s="773" t="s">
        <v>12</v>
      </c>
      <c r="F494" s="773" t="s">
        <v>457</v>
      </c>
      <c r="G494" s="772" t="s">
        <v>656</v>
      </c>
      <c r="H494" s="772" t="s">
        <v>792</v>
      </c>
      <c r="I494" s="773" t="s">
        <v>5</v>
      </c>
      <c r="J494" s="773" t="s">
        <v>376</v>
      </c>
      <c r="K494" s="706"/>
      <c r="L494" s="772" t="s">
        <v>651</v>
      </c>
      <c r="M494" s="772" t="s">
        <v>830</v>
      </c>
      <c r="N494" s="771">
        <v>15.464728900771432</v>
      </c>
      <c r="O494" s="708" t="s">
        <v>7</v>
      </c>
      <c r="P494" s="769" t="s">
        <v>7</v>
      </c>
      <c r="Q494" s="706"/>
      <c r="R494" s="706"/>
      <c r="S494" s="706"/>
      <c r="T494" s="706"/>
      <c r="U494" s="710">
        <v>0.91</v>
      </c>
      <c r="V494" s="707">
        <v>909</v>
      </c>
      <c r="W494" s="710">
        <v>0.98984087082664407</v>
      </c>
      <c r="X494" s="707">
        <v>669.12817066227319</v>
      </c>
      <c r="Y494" s="707">
        <v>10347.885759161176</v>
      </c>
      <c r="Z494" s="707">
        <v>7052.3003454793661</v>
      </c>
      <c r="AA494" s="707">
        <v>456.0248285456575</v>
      </c>
      <c r="AB494" s="710">
        <v>0.68518791371162391</v>
      </c>
      <c r="AC494" s="769">
        <v>0.73611459918841937</v>
      </c>
      <c r="AD494" s="769">
        <v>1.0877372206886198</v>
      </c>
      <c r="AE494" s="707"/>
      <c r="AF494" s="770"/>
      <c r="AG494" s="706"/>
      <c r="AH494" s="769">
        <v>0.68152089321587594</v>
      </c>
      <c r="AI494" s="748"/>
      <c r="AJ494" s="748"/>
      <c r="AK494" s="748"/>
      <c r="AL494" s="769">
        <v>0.69222026883917631</v>
      </c>
      <c r="AM494" s="706"/>
      <c r="AN494" s="706"/>
      <c r="AO494" s="706"/>
      <c r="AP494" s="768">
        <v>12660</v>
      </c>
      <c r="AQ494" s="768">
        <v>12660</v>
      </c>
      <c r="AR494" s="706"/>
      <c r="AS494" s="738"/>
      <c r="AT494" s="738"/>
      <c r="AU494" s="710">
        <v>0</v>
      </c>
      <c r="AV494" s="710">
        <v>0.68518791371162391</v>
      </c>
      <c r="AW494" s="710">
        <v>0.68518791371162391</v>
      </c>
      <c r="AX494" s="710">
        <v>0.68518791371162391</v>
      </c>
      <c r="AY494" s="710">
        <v>0.68518791371162391</v>
      </c>
      <c r="AZ494" s="710">
        <v>0.68518791371162391</v>
      </c>
      <c r="BA494" s="710">
        <v>0.68518791371162391</v>
      </c>
      <c r="BB494" s="710">
        <v>0.68518791371162391</v>
      </c>
      <c r="BC494" s="710">
        <v>0.68518791371162391</v>
      </c>
      <c r="BD494" s="710">
        <v>0.68518791371162391</v>
      </c>
      <c r="BE494" s="710">
        <v>0.68518791371162391</v>
      </c>
      <c r="BF494" s="710">
        <v>0.68518791371162391</v>
      </c>
      <c r="BG494" s="710">
        <v>0.68518791371162391</v>
      </c>
      <c r="BH494" s="710">
        <v>0.68518791371162391</v>
      </c>
      <c r="BI494" s="710">
        <v>0.68518791371162391</v>
      </c>
      <c r="BJ494" s="710">
        <v>0.68518791371162391</v>
      </c>
      <c r="BK494" s="710">
        <v>0.31842662596107357</v>
      </c>
      <c r="BL494" s="710">
        <v>0</v>
      </c>
      <c r="BM494" s="710">
        <v>0</v>
      </c>
      <c r="BN494" s="710">
        <v>0</v>
      </c>
      <c r="BO494" s="710">
        <v>0</v>
      </c>
      <c r="BP494" s="710">
        <v>0</v>
      </c>
      <c r="BQ494" s="710">
        <v>0</v>
      </c>
      <c r="BR494" s="710">
        <v>0</v>
      </c>
      <c r="BS494" s="767"/>
      <c r="BT494" s="767"/>
      <c r="BU494" s="707">
        <v>0</v>
      </c>
      <c r="BV494" s="707">
        <v>456.0248285456575</v>
      </c>
      <c r="BW494" s="707">
        <v>456.0248285456575</v>
      </c>
      <c r="BX494" s="707">
        <v>456.0248285456575</v>
      </c>
      <c r="BY494" s="707">
        <v>456.0248285456575</v>
      </c>
      <c r="BZ494" s="707">
        <v>456.0248285456575</v>
      </c>
      <c r="CA494" s="707">
        <v>456.0248285456575</v>
      </c>
      <c r="CB494" s="707">
        <v>456.0248285456575</v>
      </c>
      <c r="CC494" s="707">
        <v>456.0248285456575</v>
      </c>
      <c r="CD494" s="707">
        <v>456.0248285456575</v>
      </c>
      <c r="CE494" s="707">
        <v>456.0248285456575</v>
      </c>
      <c r="CF494" s="707">
        <v>456.0248285456575</v>
      </c>
      <c r="CG494" s="707">
        <v>456.0248285456575</v>
      </c>
      <c r="CH494" s="707">
        <v>456.0248285456575</v>
      </c>
      <c r="CI494" s="707">
        <v>456.0248285456575</v>
      </c>
      <c r="CJ494" s="707">
        <v>456.0248285456575</v>
      </c>
      <c r="CK494" s="707">
        <v>211.92791729450403</v>
      </c>
      <c r="CL494" s="707">
        <v>0</v>
      </c>
      <c r="CM494" s="707">
        <v>0</v>
      </c>
      <c r="CN494" s="707">
        <v>0</v>
      </c>
      <c r="CO494" s="707">
        <v>0</v>
      </c>
      <c r="CP494" s="707">
        <v>0</v>
      </c>
      <c r="CQ494" s="707">
        <v>0</v>
      </c>
      <c r="CR494" s="707">
        <v>0</v>
      </c>
    </row>
    <row r="495" spans="1:96" s="53" customFormat="1">
      <c r="A495" s="774" t="s">
        <v>3</v>
      </c>
      <c r="B495" s="772">
        <v>41985</v>
      </c>
      <c r="C495" s="771">
        <v>2014</v>
      </c>
      <c r="D495" s="773" t="s">
        <v>1</v>
      </c>
      <c r="E495" s="773" t="s">
        <v>12</v>
      </c>
      <c r="F495" s="773" t="s">
        <v>457</v>
      </c>
      <c r="G495" s="772" t="s">
        <v>656</v>
      </c>
      <c r="H495" s="772" t="s">
        <v>371</v>
      </c>
      <c r="I495" s="773" t="s">
        <v>5</v>
      </c>
      <c r="J495" s="773" t="s">
        <v>376</v>
      </c>
      <c r="K495" s="706"/>
      <c r="L495" s="772" t="s">
        <v>651</v>
      </c>
      <c r="M495" s="772" t="s">
        <v>829</v>
      </c>
      <c r="N495" s="771">
        <v>12</v>
      </c>
      <c r="O495" s="708" t="s">
        <v>7</v>
      </c>
      <c r="P495" s="769" t="s">
        <v>7</v>
      </c>
      <c r="Q495" s="706"/>
      <c r="R495" s="706"/>
      <c r="S495" s="706"/>
      <c r="T495" s="706"/>
      <c r="U495" s="710">
        <v>0.159</v>
      </c>
      <c r="V495" s="707">
        <v>761.928</v>
      </c>
      <c r="W495" s="710">
        <v>0.14526797935618468</v>
      </c>
      <c r="X495" s="707">
        <v>921.26986397756832</v>
      </c>
      <c r="Y495" s="707">
        <v>11055.238367730821</v>
      </c>
      <c r="Z495" s="707">
        <v>8111.977744861204</v>
      </c>
      <c r="AA495" s="707">
        <v>675.99814540510033</v>
      </c>
      <c r="AB495" s="710">
        <v>0.10504715192381582</v>
      </c>
      <c r="AC495" s="769">
        <v>1.2091298180111092</v>
      </c>
      <c r="AD495" s="769">
        <v>0.91363509029046974</v>
      </c>
      <c r="AE495" s="707"/>
      <c r="AF495" s="770"/>
      <c r="AG495" s="706"/>
      <c r="AH495" s="769">
        <v>0.7337677827498762</v>
      </c>
      <c r="AI495" s="748"/>
      <c r="AJ495" s="748"/>
      <c r="AK495" s="748"/>
      <c r="AL495" s="769">
        <v>0.7231266820766411</v>
      </c>
      <c r="AM495" s="706"/>
      <c r="AN495" s="706"/>
      <c r="AO495" s="706"/>
      <c r="AP495" s="768">
        <v>195.40538461538463</v>
      </c>
      <c r="AQ495" s="768">
        <v>195.40538461538463</v>
      </c>
      <c r="AR495" s="706"/>
      <c r="AS495" s="738"/>
      <c r="AT495" s="738"/>
      <c r="AU495" s="710">
        <v>0</v>
      </c>
      <c r="AV495" s="710">
        <v>0.10504715192381582</v>
      </c>
      <c r="AW495" s="710">
        <v>0.10504715192381582</v>
      </c>
      <c r="AX495" s="710">
        <v>0.10504715192381582</v>
      </c>
      <c r="AY495" s="710">
        <v>0.10504715192381582</v>
      </c>
      <c r="AZ495" s="710">
        <v>0.10504715192381582</v>
      </c>
      <c r="BA495" s="710">
        <v>0.10504715192381582</v>
      </c>
      <c r="BB495" s="710">
        <v>0.10504715192381582</v>
      </c>
      <c r="BC495" s="710">
        <v>0.10504715192381582</v>
      </c>
      <c r="BD495" s="710">
        <v>0.10504715192381582</v>
      </c>
      <c r="BE495" s="710">
        <v>0.10504715192381582</v>
      </c>
      <c r="BF495" s="710">
        <v>0.10504715192381582</v>
      </c>
      <c r="BG495" s="710">
        <v>0.10504715192381582</v>
      </c>
      <c r="BH495" s="710">
        <v>0</v>
      </c>
      <c r="BI495" s="710">
        <v>0</v>
      </c>
      <c r="BJ495" s="710">
        <v>0</v>
      </c>
      <c r="BK495" s="710">
        <v>0</v>
      </c>
      <c r="BL495" s="710">
        <v>0</v>
      </c>
      <c r="BM495" s="710">
        <v>0</v>
      </c>
      <c r="BN495" s="710">
        <v>0</v>
      </c>
      <c r="BO495" s="710">
        <v>0</v>
      </c>
      <c r="BP495" s="710">
        <v>0</v>
      </c>
      <c r="BQ495" s="710">
        <v>0</v>
      </c>
      <c r="BR495" s="710">
        <v>0</v>
      </c>
      <c r="BS495" s="767"/>
      <c r="BT495" s="767"/>
      <c r="BU495" s="707">
        <v>0</v>
      </c>
      <c r="BV495" s="707">
        <v>675.99814540510033</v>
      </c>
      <c r="BW495" s="707">
        <v>675.99814540510033</v>
      </c>
      <c r="BX495" s="707">
        <v>675.99814540510033</v>
      </c>
      <c r="BY495" s="707">
        <v>675.99814540510033</v>
      </c>
      <c r="BZ495" s="707">
        <v>675.99814540510033</v>
      </c>
      <c r="CA495" s="707">
        <v>675.99814540510033</v>
      </c>
      <c r="CB495" s="707">
        <v>675.99814540510033</v>
      </c>
      <c r="CC495" s="707">
        <v>675.99814540510033</v>
      </c>
      <c r="CD495" s="707">
        <v>675.99814540510033</v>
      </c>
      <c r="CE495" s="707">
        <v>675.99814540510033</v>
      </c>
      <c r="CF495" s="707">
        <v>675.99814540510033</v>
      </c>
      <c r="CG495" s="707">
        <v>675.99814540510033</v>
      </c>
      <c r="CH495" s="707">
        <v>0</v>
      </c>
      <c r="CI495" s="707">
        <v>0</v>
      </c>
      <c r="CJ495" s="707">
        <v>0</v>
      </c>
      <c r="CK495" s="707">
        <v>0</v>
      </c>
      <c r="CL495" s="707">
        <v>0</v>
      </c>
      <c r="CM495" s="707">
        <v>0</v>
      </c>
      <c r="CN495" s="707">
        <v>0</v>
      </c>
      <c r="CO495" s="707">
        <v>0</v>
      </c>
      <c r="CP495" s="707">
        <v>0</v>
      </c>
      <c r="CQ495" s="707">
        <v>0</v>
      </c>
      <c r="CR495" s="707">
        <v>0</v>
      </c>
    </row>
    <row r="496" spans="1:96" s="53" customFormat="1">
      <c r="A496" s="774" t="s">
        <v>3</v>
      </c>
      <c r="B496" s="772">
        <v>41985</v>
      </c>
      <c r="C496" s="771">
        <v>2014</v>
      </c>
      <c r="D496" s="773" t="s">
        <v>1</v>
      </c>
      <c r="E496" s="773" t="s">
        <v>12</v>
      </c>
      <c r="F496" s="773" t="s">
        <v>457</v>
      </c>
      <c r="G496" s="772" t="s">
        <v>656</v>
      </c>
      <c r="H496" s="772" t="s">
        <v>371</v>
      </c>
      <c r="I496" s="773" t="s">
        <v>5</v>
      </c>
      <c r="J496" s="773" t="s">
        <v>376</v>
      </c>
      <c r="K496" s="706"/>
      <c r="L496" s="772" t="s">
        <v>651</v>
      </c>
      <c r="M496" s="772" t="s">
        <v>829</v>
      </c>
      <c r="N496" s="771">
        <v>12</v>
      </c>
      <c r="O496" s="708" t="s">
        <v>7</v>
      </c>
      <c r="P496" s="769" t="s">
        <v>7</v>
      </c>
      <c r="Q496" s="706"/>
      <c r="R496" s="706"/>
      <c r="S496" s="706"/>
      <c r="T496" s="706"/>
      <c r="U496" s="710">
        <v>1.9079999999999999</v>
      </c>
      <c r="V496" s="707">
        <v>9143.1360000000004</v>
      </c>
      <c r="W496" s="710">
        <v>1.743215752274216</v>
      </c>
      <c r="X496" s="707">
        <v>11055.238367730819</v>
      </c>
      <c r="Y496" s="707">
        <v>132662.86041276983</v>
      </c>
      <c r="Z496" s="707">
        <v>97343.732938334433</v>
      </c>
      <c r="AA496" s="707">
        <v>8111.9777448612031</v>
      </c>
      <c r="AB496" s="710">
        <v>1.2605658230857897</v>
      </c>
      <c r="AC496" s="769">
        <v>1.209129818011109</v>
      </c>
      <c r="AD496" s="769">
        <v>0.91363509029046963</v>
      </c>
      <c r="AE496" s="707"/>
      <c r="AF496" s="770"/>
      <c r="AG496" s="706"/>
      <c r="AH496" s="769">
        <v>0.7337677827498762</v>
      </c>
      <c r="AI496" s="748"/>
      <c r="AJ496" s="748"/>
      <c r="AK496" s="748"/>
      <c r="AL496" s="769">
        <v>0.7231266820766411</v>
      </c>
      <c r="AM496" s="706"/>
      <c r="AN496" s="706"/>
      <c r="AO496" s="706"/>
      <c r="AP496" s="768">
        <v>195.40538461538463</v>
      </c>
      <c r="AQ496" s="768">
        <v>2344.8646153846157</v>
      </c>
      <c r="AR496" s="706"/>
      <c r="AS496" s="738"/>
      <c r="AT496" s="738"/>
      <c r="AU496" s="710">
        <v>0</v>
      </c>
      <c r="AV496" s="710">
        <v>1.2605658230857897</v>
      </c>
      <c r="AW496" s="710">
        <v>1.2605658230857897</v>
      </c>
      <c r="AX496" s="710">
        <v>1.2605658230857897</v>
      </c>
      <c r="AY496" s="710">
        <v>1.2605658230857897</v>
      </c>
      <c r="AZ496" s="710">
        <v>1.2605658230857897</v>
      </c>
      <c r="BA496" s="710">
        <v>1.2605658230857897</v>
      </c>
      <c r="BB496" s="710">
        <v>1.2605658230857897</v>
      </c>
      <c r="BC496" s="710">
        <v>1.2605658230857897</v>
      </c>
      <c r="BD496" s="710">
        <v>1.2605658230857897</v>
      </c>
      <c r="BE496" s="710">
        <v>1.2605658230857897</v>
      </c>
      <c r="BF496" s="710">
        <v>1.2605658230857897</v>
      </c>
      <c r="BG496" s="710">
        <v>1.2605658230857897</v>
      </c>
      <c r="BH496" s="710">
        <v>0</v>
      </c>
      <c r="BI496" s="710">
        <v>0</v>
      </c>
      <c r="BJ496" s="710">
        <v>0</v>
      </c>
      <c r="BK496" s="710">
        <v>0</v>
      </c>
      <c r="BL496" s="710">
        <v>0</v>
      </c>
      <c r="BM496" s="710">
        <v>0</v>
      </c>
      <c r="BN496" s="710">
        <v>0</v>
      </c>
      <c r="BO496" s="710">
        <v>0</v>
      </c>
      <c r="BP496" s="710">
        <v>0</v>
      </c>
      <c r="BQ496" s="710">
        <v>0</v>
      </c>
      <c r="BR496" s="710">
        <v>0</v>
      </c>
      <c r="BS496" s="767"/>
      <c r="BT496" s="767"/>
      <c r="BU496" s="707">
        <v>0</v>
      </c>
      <c r="BV496" s="707">
        <v>8111.9777448612031</v>
      </c>
      <c r="BW496" s="707">
        <v>8111.9777448612031</v>
      </c>
      <c r="BX496" s="707">
        <v>8111.9777448612031</v>
      </c>
      <c r="BY496" s="707">
        <v>8111.9777448612031</v>
      </c>
      <c r="BZ496" s="707">
        <v>8111.9777448612031</v>
      </c>
      <c r="CA496" s="707">
        <v>8111.9777448612031</v>
      </c>
      <c r="CB496" s="707">
        <v>8111.9777448612031</v>
      </c>
      <c r="CC496" s="707">
        <v>8111.9777448612031</v>
      </c>
      <c r="CD496" s="707">
        <v>8111.9777448612031</v>
      </c>
      <c r="CE496" s="707">
        <v>8111.9777448612031</v>
      </c>
      <c r="CF496" s="707">
        <v>8111.9777448612031</v>
      </c>
      <c r="CG496" s="707">
        <v>8111.9777448612031</v>
      </c>
      <c r="CH496" s="707">
        <v>0</v>
      </c>
      <c r="CI496" s="707">
        <v>0</v>
      </c>
      <c r="CJ496" s="707">
        <v>0</v>
      </c>
      <c r="CK496" s="707">
        <v>0</v>
      </c>
      <c r="CL496" s="707">
        <v>0</v>
      </c>
      <c r="CM496" s="707">
        <v>0</v>
      </c>
      <c r="CN496" s="707">
        <v>0</v>
      </c>
      <c r="CO496" s="707">
        <v>0</v>
      </c>
      <c r="CP496" s="707">
        <v>0</v>
      </c>
      <c r="CQ496" s="707">
        <v>0</v>
      </c>
      <c r="CR496" s="707">
        <v>0</v>
      </c>
    </row>
    <row r="497" spans="1:96" s="53" customFormat="1">
      <c r="A497" s="774" t="s">
        <v>3</v>
      </c>
      <c r="B497" s="772">
        <v>41775</v>
      </c>
      <c r="C497" s="771">
        <v>2014</v>
      </c>
      <c r="D497" s="773" t="s">
        <v>1</v>
      </c>
      <c r="E497" s="773" t="s">
        <v>12</v>
      </c>
      <c r="F497" s="773" t="s">
        <v>457</v>
      </c>
      <c r="G497" s="772" t="s">
        <v>656</v>
      </c>
      <c r="H497" s="772" t="s">
        <v>371</v>
      </c>
      <c r="I497" s="773" t="s">
        <v>5</v>
      </c>
      <c r="J497" s="773" t="s">
        <v>376</v>
      </c>
      <c r="K497" s="706"/>
      <c r="L497" s="772" t="s">
        <v>828</v>
      </c>
      <c r="M497" s="772" t="s">
        <v>827</v>
      </c>
      <c r="N497" s="771">
        <v>12</v>
      </c>
      <c r="O497" s="708" t="s">
        <v>7</v>
      </c>
      <c r="P497" s="769" t="s">
        <v>7</v>
      </c>
      <c r="Q497" s="706"/>
      <c r="R497" s="706"/>
      <c r="S497" s="706"/>
      <c r="T497" s="706"/>
      <c r="U497" s="710">
        <v>1.272</v>
      </c>
      <c r="V497" s="707">
        <v>6095.424</v>
      </c>
      <c r="W497" s="710">
        <v>1.1621438348494775</v>
      </c>
      <c r="X497" s="707">
        <v>7370.1589118205466</v>
      </c>
      <c r="Y497" s="707">
        <v>88441.906941846566</v>
      </c>
      <c r="Z497" s="707">
        <v>64895.821958889632</v>
      </c>
      <c r="AA497" s="707">
        <v>5407.9851632408026</v>
      </c>
      <c r="AB497" s="710">
        <v>0.84037721539052657</v>
      </c>
      <c r="AC497" s="769">
        <v>1.2091298180111092</v>
      </c>
      <c r="AD497" s="769">
        <v>0.91363509029046974</v>
      </c>
      <c r="AE497" s="707"/>
      <c r="AF497" s="770"/>
      <c r="AG497" s="706"/>
      <c r="AH497" s="769">
        <v>0.7337677827498762</v>
      </c>
      <c r="AI497" s="748"/>
      <c r="AJ497" s="748"/>
      <c r="AK497" s="748"/>
      <c r="AL497" s="769">
        <v>0.7231266820766411</v>
      </c>
      <c r="AM497" s="706"/>
      <c r="AN497" s="706"/>
      <c r="AO497" s="706"/>
      <c r="AP497" s="768">
        <v>440.12</v>
      </c>
      <c r="AQ497" s="768">
        <v>3520.96</v>
      </c>
      <c r="AR497" s="706"/>
      <c r="AS497" s="738"/>
      <c r="AT497" s="738"/>
      <c r="AU497" s="710">
        <v>0</v>
      </c>
      <c r="AV497" s="710">
        <v>0.84037721539052657</v>
      </c>
      <c r="AW497" s="710">
        <v>0.84037721539052657</v>
      </c>
      <c r="AX497" s="710">
        <v>0.84037721539052657</v>
      </c>
      <c r="AY497" s="710">
        <v>0.84037721539052657</v>
      </c>
      <c r="AZ497" s="710">
        <v>0.84037721539052657</v>
      </c>
      <c r="BA497" s="710">
        <v>0.84037721539052657</v>
      </c>
      <c r="BB497" s="710">
        <v>0.84037721539052657</v>
      </c>
      <c r="BC497" s="710">
        <v>0.84037721539052657</v>
      </c>
      <c r="BD497" s="710">
        <v>0.84037721539052657</v>
      </c>
      <c r="BE497" s="710">
        <v>0.84037721539052657</v>
      </c>
      <c r="BF497" s="710">
        <v>0.84037721539052657</v>
      </c>
      <c r="BG497" s="710">
        <v>0.84037721539052657</v>
      </c>
      <c r="BH497" s="710">
        <v>0</v>
      </c>
      <c r="BI497" s="710">
        <v>0</v>
      </c>
      <c r="BJ497" s="710">
        <v>0</v>
      </c>
      <c r="BK497" s="710">
        <v>0</v>
      </c>
      <c r="BL497" s="710">
        <v>0</v>
      </c>
      <c r="BM497" s="710">
        <v>0</v>
      </c>
      <c r="BN497" s="710">
        <v>0</v>
      </c>
      <c r="BO497" s="710">
        <v>0</v>
      </c>
      <c r="BP497" s="710">
        <v>0</v>
      </c>
      <c r="BQ497" s="710">
        <v>0</v>
      </c>
      <c r="BR497" s="710">
        <v>0</v>
      </c>
      <c r="BS497" s="767"/>
      <c r="BT497" s="767"/>
      <c r="BU497" s="707">
        <v>0</v>
      </c>
      <c r="BV497" s="707">
        <v>5407.9851632408026</v>
      </c>
      <c r="BW497" s="707">
        <v>5407.9851632408026</v>
      </c>
      <c r="BX497" s="707">
        <v>5407.9851632408026</v>
      </c>
      <c r="BY497" s="707">
        <v>5407.9851632408026</v>
      </c>
      <c r="BZ497" s="707">
        <v>5407.9851632408026</v>
      </c>
      <c r="CA497" s="707">
        <v>5407.9851632408026</v>
      </c>
      <c r="CB497" s="707">
        <v>5407.9851632408026</v>
      </c>
      <c r="CC497" s="707">
        <v>5407.9851632408026</v>
      </c>
      <c r="CD497" s="707">
        <v>5407.9851632408026</v>
      </c>
      <c r="CE497" s="707">
        <v>5407.9851632408026</v>
      </c>
      <c r="CF497" s="707">
        <v>5407.9851632408026</v>
      </c>
      <c r="CG497" s="707">
        <v>5407.9851632408026</v>
      </c>
      <c r="CH497" s="707">
        <v>0</v>
      </c>
      <c r="CI497" s="707">
        <v>0</v>
      </c>
      <c r="CJ497" s="707">
        <v>0</v>
      </c>
      <c r="CK497" s="707">
        <v>0</v>
      </c>
      <c r="CL497" s="707">
        <v>0</v>
      </c>
      <c r="CM497" s="707">
        <v>0</v>
      </c>
      <c r="CN497" s="707">
        <v>0</v>
      </c>
      <c r="CO497" s="707">
        <v>0</v>
      </c>
      <c r="CP497" s="707">
        <v>0</v>
      </c>
      <c r="CQ497" s="707">
        <v>0</v>
      </c>
      <c r="CR497" s="707">
        <v>0</v>
      </c>
    </row>
    <row r="498" spans="1:96" s="53" customFormat="1">
      <c r="A498" s="774" t="s">
        <v>3</v>
      </c>
      <c r="B498" s="772">
        <v>41815</v>
      </c>
      <c r="C498" s="771">
        <v>2014</v>
      </c>
      <c r="D498" s="773" t="s">
        <v>1</v>
      </c>
      <c r="E498" s="773" t="s">
        <v>12</v>
      </c>
      <c r="F498" s="773" t="s">
        <v>457</v>
      </c>
      <c r="G498" s="772" t="s">
        <v>656</v>
      </c>
      <c r="H498" s="772" t="s">
        <v>792</v>
      </c>
      <c r="I498" s="773" t="s">
        <v>5</v>
      </c>
      <c r="J498" s="773" t="s">
        <v>376</v>
      </c>
      <c r="K498" s="706"/>
      <c r="L498" s="772" t="s">
        <v>805</v>
      </c>
      <c r="M498" s="772" t="s">
        <v>826</v>
      </c>
      <c r="N498" s="771">
        <v>15.464728900771432</v>
      </c>
      <c r="O498" s="708" t="s">
        <v>7</v>
      </c>
      <c r="P498" s="769" t="s">
        <v>7</v>
      </c>
      <c r="Q498" s="706"/>
      <c r="R498" s="706"/>
      <c r="S498" s="706"/>
      <c r="T498" s="706"/>
      <c r="U498" s="710">
        <v>0.91</v>
      </c>
      <c r="V498" s="707">
        <v>909</v>
      </c>
      <c r="W498" s="710">
        <v>0.98984087082664407</v>
      </c>
      <c r="X498" s="707">
        <v>669.12817066227319</v>
      </c>
      <c r="Y498" s="707">
        <v>10347.885759161176</v>
      </c>
      <c r="Z498" s="707">
        <v>7052.3003454793661</v>
      </c>
      <c r="AA498" s="707">
        <v>456.0248285456575</v>
      </c>
      <c r="AB498" s="710">
        <v>0.68518791371162391</v>
      </c>
      <c r="AC498" s="769">
        <v>0.73611459918841937</v>
      </c>
      <c r="AD498" s="769">
        <v>1.0877372206886198</v>
      </c>
      <c r="AE498" s="707"/>
      <c r="AF498" s="770"/>
      <c r="AG498" s="706"/>
      <c r="AH498" s="769">
        <v>0.68152089321587594</v>
      </c>
      <c r="AI498" s="748"/>
      <c r="AJ498" s="748"/>
      <c r="AK498" s="748"/>
      <c r="AL498" s="769">
        <v>0.69222026883917631</v>
      </c>
      <c r="AM498" s="706"/>
      <c r="AN498" s="706"/>
      <c r="AO498" s="706"/>
      <c r="AP498" s="768">
        <v>13393</v>
      </c>
      <c r="AQ498" s="768">
        <v>13393</v>
      </c>
      <c r="AR498" s="706"/>
      <c r="AS498" s="738"/>
      <c r="AT498" s="738"/>
      <c r="AU498" s="710">
        <v>0</v>
      </c>
      <c r="AV498" s="710">
        <v>0.68518791371162391</v>
      </c>
      <c r="AW498" s="710">
        <v>0.68518791371162391</v>
      </c>
      <c r="AX498" s="710">
        <v>0.68518791371162391</v>
      </c>
      <c r="AY498" s="710">
        <v>0.68518791371162391</v>
      </c>
      <c r="AZ498" s="710">
        <v>0.68518791371162391</v>
      </c>
      <c r="BA498" s="710">
        <v>0.68518791371162391</v>
      </c>
      <c r="BB498" s="710">
        <v>0.68518791371162391</v>
      </c>
      <c r="BC498" s="710">
        <v>0.68518791371162391</v>
      </c>
      <c r="BD498" s="710">
        <v>0.68518791371162391</v>
      </c>
      <c r="BE498" s="710">
        <v>0.68518791371162391</v>
      </c>
      <c r="BF498" s="710">
        <v>0.68518791371162391</v>
      </c>
      <c r="BG498" s="710">
        <v>0.68518791371162391</v>
      </c>
      <c r="BH498" s="710">
        <v>0.68518791371162391</v>
      </c>
      <c r="BI498" s="710">
        <v>0.68518791371162391</v>
      </c>
      <c r="BJ498" s="710">
        <v>0.68518791371162391</v>
      </c>
      <c r="BK498" s="710">
        <v>0.31842662596107357</v>
      </c>
      <c r="BL498" s="710">
        <v>0</v>
      </c>
      <c r="BM498" s="710">
        <v>0</v>
      </c>
      <c r="BN498" s="710">
        <v>0</v>
      </c>
      <c r="BO498" s="710">
        <v>0</v>
      </c>
      <c r="BP498" s="710">
        <v>0</v>
      </c>
      <c r="BQ498" s="710">
        <v>0</v>
      </c>
      <c r="BR498" s="710">
        <v>0</v>
      </c>
      <c r="BS498" s="767"/>
      <c r="BT498" s="767"/>
      <c r="BU498" s="707">
        <v>0</v>
      </c>
      <c r="BV498" s="707">
        <v>456.0248285456575</v>
      </c>
      <c r="BW498" s="707">
        <v>456.0248285456575</v>
      </c>
      <c r="BX498" s="707">
        <v>456.0248285456575</v>
      </c>
      <c r="BY498" s="707">
        <v>456.0248285456575</v>
      </c>
      <c r="BZ498" s="707">
        <v>456.0248285456575</v>
      </c>
      <c r="CA498" s="707">
        <v>456.0248285456575</v>
      </c>
      <c r="CB498" s="707">
        <v>456.0248285456575</v>
      </c>
      <c r="CC498" s="707">
        <v>456.0248285456575</v>
      </c>
      <c r="CD498" s="707">
        <v>456.0248285456575</v>
      </c>
      <c r="CE498" s="707">
        <v>456.0248285456575</v>
      </c>
      <c r="CF498" s="707">
        <v>456.0248285456575</v>
      </c>
      <c r="CG498" s="707">
        <v>456.0248285456575</v>
      </c>
      <c r="CH498" s="707">
        <v>456.0248285456575</v>
      </c>
      <c r="CI498" s="707">
        <v>456.0248285456575</v>
      </c>
      <c r="CJ498" s="707">
        <v>456.0248285456575</v>
      </c>
      <c r="CK498" s="707">
        <v>211.92791729450403</v>
      </c>
      <c r="CL498" s="707">
        <v>0</v>
      </c>
      <c r="CM498" s="707">
        <v>0</v>
      </c>
      <c r="CN498" s="707">
        <v>0</v>
      </c>
      <c r="CO498" s="707">
        <v>0</v>
      </c>
      <c r="CP498" s="707">
        <v>0</v>
      </c>
      <c r="CQ498" s="707">
        <v>0</v>
      </c>
      <c r="CR498" s="707">
        <v>0</v>
      </c>
    </row>
    <row r="499" spans="1:96" s="53" customFormat="1">
      <c r="A499" s="774" t="s">
        <v>3</v>
      </c>
      <c r="B499" s="772">
        <v>42003</v>
      </c>
      <c r="C499" s="771">
        <v>2014</v>
      </c>
      <c r="D499" s="773" t="s">
        <v>1</v>
      </c>
      <c r="E499" s="773" t="s">
        <v>12</v>
      </c>
      <c r="F499" s="773" t="s">
        <v>457</v>
      </c>
      <c r="G499" s="772" t="s">
        <v>665</v>
      </c>
      <c r="H499" s="772" t="s">
        <v>371</v>
      </c>
      <c r="I499" s="773" t="s">
        <v>5</v>
      </c>
      <c r="J499" s="773" t="s">
        <v>376</v>
      </c>
      <c r="K499" s="706"/>
      <c r="L499" s="772" t="s">
        <v>651</v>
      </c>
      <c r="M499" s="772" t="s">
        <v>825</v>
      </c>
      <c r="N499" s="771">
        <v>9.4946198835018958</v>
      </c>
      <c r="O499" s="708">
        <v>6.0000000000000009</v>
      </c>
      <c r="P499" s="769">
        <v>0.89342167347094836</v>
      </c>
      <c r="Q499" s="706"/>
      <c r="R499" s="706"/>
      <c r="S499" s="706"/>
      <c r="T499" s="706"/>
      <c r="U499" s="710">
        <v>3.7</v>
      </c>
      <c r="V499" s="707">
        <v>31428</v>
      </c>
      <c r="W499" s="710">
        <v>1.8984190236247045</v>
      </c>
      <c r="X499" s="707">
        <v>21160.643172828204</v>
      </c>
      <c r="Y499" s="707">
        <v>193030.9662281675</v>
      </c>
      <c r="Z499" s="707">
        <v>126354.99918581102</v>
      </c>
      <c r="AA499" s="707">
        <v>13851.420334877779</v>
      </c>
      <c r="AB499" s="710">
        <v>1.2210012209404728</v>
      </c>
      <c r="AC499" s="769">
        <v>0.67330543377969343</v>
      </c>
      <c r="AD499" s="769">
        <v>0.51308622260127146</v>
      </c>
      <c r="AE499" s="707"/>
      <c r="AF499" s="770"/>
      <c r="AG499" s="706"/>
      <c r="AH499" s="769">
        <v>0.65458408904432563</v>
      </c>
      <c r="AI499" s="748"/>
      <c r="AJ499" s="748"/>
      <c r="AK499" s="748"/>
      <c r="AL499" s="769">
        <v>0.64316739652617949</v>
      </c>
      <c r="AM499" s="706"/>
      <c r="AN499" s="706"/>
      <c r="AO499" s="706"/>
      <c r="AP499" s="768">
        <v>8067</v>
      </c>
      <c r="AQ499" s="768">
        <v>8067</v>
      </c>
      <c r="AR499" s="706"/>
      <c r="AS499" s="738"/>
      <c r="AT499" s="738"/>
      <c r="AU499" s="710">
        <v>0</v>
      </c>
      <c r="AV499" s="710">
        <v>1.2210012209404728</v>
      </c>
      <c r="AW499" s="710">
        <v>1.2210012209404728</v>
      </c>
      <c r="AX499" s="710">
        <v>1.2210012209404728</v>
      </c>
      <c r="AY499" s="710">
        <v>1.2210012209404728</v>
      </c>
      <c r="AZ499" s="710">
        <v>1.2210012209404728</v>
      </c>
      <c r="BA499" s="710">
        <v>1.2210012209404728</v>
      </c>
      <c r="BB499" s="710">
        <v>1.0908689541227083</v>
      </c>
      <c r="BC499" s="710">
        <v>1.0908689541227083</v>
      </c>
      <c r="BD499" s="710">
        <v>1.0908689541227083</v>
      </c>
      <c r="BE499" s="710">
        <v>0.53956547500400887</v>
      </c>
      <c r="BF499" s="710">
        <v>0</v>
      </c>
      <c r="BG499" s="710">
        <v>0</v>
      </c>
      <c r="BH499" s="710">
        <v>0</v>
      </c>
      <c r="BI499" s="710">
        <v>0</v>
      </c>
      <c r="BJ499" s="710">
        <v>0</v>
      </c>
      <c r="BK499" s="710">
        <v>0</v>
      </c>
      <c r="BL499" s="710">
        <v>0</v>
      </c>
      <c r="BM499" s="710">
        <v>0</v>
      </c>
      <c r="BN499" s="710">
        <v>0</v>
      </c>
      <c r="BO499" s="710">
        <v>0</v>
      </c>
      <c r="BP499" s="710">
        <v>0</v>
      </c>
      <c r="BQ499" s="710">
        <v>0</v>
      </c>
      <c r="BR499" s="710">
        <v>0</v>
      </c>
      <c r="BS499" s="767"/>
      <c r="BT499" s="767"/>
      <c r="BU499" s="707">
        <v>0</v>
      </c>
      <c r="BV499" s="707">
        <v>13851.420334877779</v>
      </c>
      <c r="BW499" s="707">
        <v>13851.420334877779</v>
      </c>
      <c r="BX499" s="707">
        <v>13851.420334877779</v>
      </c>
      <c r="BY499" s="707">
        <v>13851.420334877779</v>
      </c>
      <c r="BZ499" s="707">
        <v>13851.420334877779</v>
      </c>
      <c r="CA499" s="707">
        <v>13851.420334877779</v>
      </c>
      <c r="CB499" s="707">
        <v>12375.159135536029</v>
      </c>
      <c r="CC499" s="707">
        <v>12375.159135536029</v>
      </c>
      <c r="CD499" s="707">
        <v>12375.159135536029</v>
      </c>
      <c r="CE499" s="707">
        <v>6120.9997699362521</v>
      </c>
      <c r="CF499" s="707">
        <v>0</v>
      </c>
      <c r="CG499" s="707">
        <v>0</v>
      </c>
      <c r="CH499" s="707">
        <v>0</v>
      </c>
      <c r="CI499" s="707">
        <v>0</v>
      </c>
      <c r="CJ499" s="707">
        <v>0</v>
      </c>
      <c r="CK499" s="707">
        <v>0</v>
      </c>
      <c r="CL499" s="707">
        <v>0</v>
      </c>
      <c r="CM499" s="707">
        <v>0</v>
      </c>
      <c r="CN499" s="707">
        <v>0</v>
      </c>
      <c r="CO499" s="707">
        <v>0</v>
      </c>
      <c r="CP499" s="707">
        <v>0</v>
      </c>
      <c r="CQ499" s="707">
        <v>0</v>
      </c>
      <c r="CR499" s="707">
        <v>0</v>
      </c>
    </row>
    <row r="500" spans="1:96" s="53" customFormat="1">
      <c r="A500" s="774" t="s">
        <v>3</v>
      </c>
      <c r="B500" s="772">
        <v>42003</v>
      </c>
      <c r="C500" s="771">
        <v>2014</v>
      </c>
      <c r="D500" s="773" t="s">
        <v>1</v>
      </c>
      <c r="E500" s="773" t="s">
        <v>12</v>
      </c>
      <c r="F500" s="773" t="s">
        <v>457</v>
      </c>
      <c r="G500" s="772" t="s">
        <v>656</v>
      </c>
      <c r="H500" s="772" t="s">
        <v>371</v>
      </c>
      <c r="I500" s="773" t="s">
        <v>5</v>
      </c>
      <c r="J500" s="773" t="s">
        <v>376</v>
      </c>
      <c r="K500" s="706"/>
      <c r="L500" s="772" t="s">
        <v>651</v>
      </c>
      <c r="M500" s="772" t="s">
        <v>825</v>
      </c>
      <c r="N500" s="771">
        <v>20</v>
      </c>
      <c r="O500" s="708" t="s">
        <v>7</v>
      </c>
      <c r="P500" s="769" t="s">
        <v>7</v>
      </c>
      <c r="Q500" s="706"/>
      <c r="R500" s="706"/>
      <c r="S500" s="706"/>
      <c r="T500" s="706"/>
      <c r="U500" s="710">
        <v>0.61499999999999999</v>
      </c>
      <c r="V500" s="707">
        <v>1595.31</v>
      </c>
      <c r="W500" s="710">
        <v>0.56188558052863891</v>
      </c>
      <c r="X500" s="707">
        <v>1928.9368899713024</v>
      </c>
      <c r="Y500" s="707">
        <v>38578.737799426046</v>
      </c>
      <c r="Z500" s="707">
        <v>28307.834896373686</v>
      </c>
      <c r="AA500" s="707">
        <v>1415.3917448186844</v>
      </c>
      <c r="AB500" s="710">
        <v>0.406314455554382</v>
      </c>
      <c r="AC500" s="769">
        <v>1.2091298180111092</v>
      </c>
      <c r="AD500" s="769">
        <v>0.91363509029046974</v>
      </c>
      <c r="AE500" s="707"/>
      <c r="AF500" s="770"/>
      <c r="AG500" s="706"/>
      <c r="AH500" s="769">
        <v>0.7337677827498762</v>
      </c>
      <c r="AI500" s="748"/>
      <c r="AJ500" s="748"/>
      <c r="AK500" s="748"/>
      <c r="AL500" s="769">
        <v>0.7231266820766411</v>
      </c>
      <c r="AM500" s="706"/>
      <c r="AN500" s="706"/>
      <c r="AO500" s="706"/>
      <c r="AP500" s="768">
        <v>41.4190089700895</v>
      </c>
      <c r="AQ500" s="768">
        <v>1698.1793677736696</v>
      </c>
      <c r="AR500" s="706"/>
      <c r="AS500" s="738"/>
      <c r="AT500" s="738"/>
      <c r="AU500" s="710">
        <v>0</v>
      </c>
      <c r="AV500" s="710">
        <v>0.406314455554382</v>
      </c>
      <c r="AW500" s="710">
        <v>0.406314455554382</v>
      </c>
      <c r="AX500" s="710">
        <v>0.406314455554382</v>
      </c>
      <c r="AY500" s="710">
        <v>0.406314455554382</v>
      </c>
      <c r="AZ500" s="710">
        <v>0.406314455554382</v>
      </c>
      <c r="BA500" s="710">
        <v>0.406314455554382</v>
      </c>
      <c r="BB500" s="710">
        <v>0.406314455554382</v>
      </c>
      <c r="BC500" s="710">
        <v>0.406314455554382</v>
      </c>
      <c r="BD500" s="710">
        <v>0.406314455554382</v>
      </c>
      <c r="BE500" s="710">
        <v>0.406314455554382</v>
      </c>
      <c r="BF500" s="710">
        <v>0.406314455554382</v>
      </c>
      <c r="BG500" s="710">
        <v>0.406314455554382</v>
      </c>
      <c r="BH500" s="710">
        <v>0.406314455554382</v>
      </c>
      <c r="BI500" s="710">
        <v>0.406314455554382</v>
      </c>
      <c r="BJ500" s="710">
        <v>0.406314455554382</v>
      </c>
      <c r="BK500" s="710">
        <v>0.406314455554382</v>
      </c>
      <c r="BL500" s="710">
        <v>0.406314455554382</v>
      </c>
      <c r="BM500" s="710">
        <v>0.406314455554382</v>
      </c>
      <c r="BN500" s="710">
        <v>0.406314455554382</v>
      </c>
      <c r="BO500" s="710">
        <v>0.406314455554382</v>
      </c>
      <c r="BP500" s="710">
        <v>0</v>
      </c>
      <c r="BQ500" s="710">
        <v>0</v>
      </c>
      <c r="BR500" s="710">
        <v>0</v>
      </c>
      <c r="BS500" s="767"/>
      <c r="BT500" s="767"/>
      <c r="BU500" s="707">
        <v>0</v>
      </c>
      <c r="BV500" s="707">
        <v>1415.3917448186844</v>
      </c>
      <c r="BW500" s="707">
        <v>1415.3917448186844</v>
      </c>
      <c r="BX500" s="707">
        <v>1415.3917448186844</v>
      </c>
      <c r="BY500" s="707">
        <v>1415.3917448186844</v>
      </c>
      <c r="BZ500" s="707">
        <v>1415.3917448186844</v>
      </c>
      <c r="CA500" s="707">
        <v>1415.3917448186844</v>
      </c>
      <c r="CB500" s="707">
        <v>1415.3917448186844</v>
      </c>
      <c r="CC500" s="707">
        <v>1415.3917448186844</v>
      </c>
      <c r="CD500" s="707">
        <v>1415.3917448186844</v>
      </c>
      <c r="CE500" s="707">
        <v>1415.3917448186844</v>
      </c>
      <c r="CF500" s="707">
        <v>1415.3917448186844</v>
      </c>
      <c r="CG500" s="707">
        <v>1415.3917448186844</v>
      </c>
      <c r="CH500" s="707">
        <v>1415.3917448186844</v>
      </c>
      <c r="CI500" s="707">
        <v>1415.3917448186844</v>
      </c>
      <c r="CJ500" s="707">
        <v>1415.3917448186844</v>
      </c>
      <c r="CK500" s="707">
        <v>1415.3917448186844</v>
      </c>
      <c r="CL500" s="707">
        <v>1415.3917448186844</v>
      </c>
      <c r="CM500" s="707">
        <v>1415.3917448186844</v>
      </c>
      <c r="CN500" s="707">
        <v>1415.3917448186844</v>
      </c>
      <c r="CO500" s="707">
        <v>1415.3917448186844</v>
      </c>
      <c r="CP500" s="707">
        <v>0</v>
      </c>
      <c r="CQ500" s="707">
        <v>0</v>
      </c>
      <c r="CR500" s="707">
        <v>0</v>
      </c>
    </row>
    <row r="501" spans="1:96" s="53" customFormat="1">
      <c r="A501" s="774" t="s">
        <v>3</v>
      </c>
      <c r="B501" s="772">
        <v>42003</v>
      </c>
      <c r="C501" s="771">
        <v>2014</v>
      </c>
      <c r="D501" s="773" t="s">
        <v>1</v>
      </c>
      <c r="E501" s="773" t="s">
        <v>12</v>
      </c>
      <c r="F501" s="773" t="s">
        <v>457</v>
      </c>
      <c r="G501" s="772" t="s">
        <v>656</v>
      </c>
      <c r="H501" s="772" t="s">
        <v>371</v>
      </c>
      <c r="I501" s="773" t="s">
        <v>5</v>
      </c>
      <c r="J501" s="773" t="s">
        <v>376</v>
      </c>
      <c r="K501" s="706"/>
      <c r="L501" s="772" t="s">
        <v>651</v>
      </c>
      <c r="M501" s="772" t="s">
        <v>825</v>
      </c>
      <c r="N501" s="771">
        <v>12</v>
      </c>
      <c r="O501" s="708">
        <v>0</v>
      </c>
      <c r="P501" s="769">
        <v>1</v>
      </c>
      <c r="Q501" s="706"/>
      <c r="R501" s="706"/>
      <c r="S501" s="706"/>
      <c r="T501" s="706"/>
      <c r="U501" s="710">
        <v>2.52</v>
      </c>
      <c r="V501" s="707">
        <v>7224</v>
      </c>
      <c r="W501" s="710">
        <v>2.3023604275319833</v>
      </c>
      <c r="X501" s="707">
        <v>8734.7538053122516</v>
      </c>
      <c r="Y501" s="707">
        <v>104817.04566374702</v>
      </c>
      <c r="Z501" s="707">
        <v>76911.371191080165</v>
      </c>
      <c r="AA501" s="707">
        <v>6409.2809325900143</v>
      </c>
      <c r="AB501" s="710">
        <v>1.66489825690576</v>
      </c>
      <c r="AC501" s="769">
        <v>1.209129818011109</v>
      </c>
      <c r="AD501" s="769">
        <v>0.91363509029046952</v>
      </c>
      <c r="AE501" s="707"/>
      <c r="AF501" s="770"/>
      <c r="AG501" s="706"/>
      <c r="AH501" s="769">
        <v>0.7337677827498762</v>
      </c>
      <c r="AI501" s="748"/>
      <c r="AJ501" s="748"/>
      <c r="AK501" s="748"/>
      <c r="AL501" s="769">
        <v>0.7231266820766411</v>
      </c>
      <c r="AM501" s="706"/>
      <c r="AN501" s="706"/>
      <c r="AO501" s="706"/>
      <c r="AP501" s="768">
        <v>91.545483716980129</v>
      </c>
      <c r="AQ501" s="768">
        <v>7689.8206322263313</v>
      </c>
      <c r="AR501" s="706"/>
      <c r="AS501" s="738"/>
      <c r="AT501" s="738"/>
      <c r="AU501" s="710">
        <v>0</v>
      </c>
      <c r="AV501" s="710">
        <v>1.66489825690576</v>
      </c>
      <c r="AW501" s="710">
        <v>1.66489825690576</v>
      </c>
      <c r="AX501" s="710">
        <v>1.66489825690576</v>
      </c>
      <c r="AY501" s="710">
        <v>1.66489825690576</v>
      </c>
      <c r="AZ501" s="710">
        <v>1.66489825690576</v>
      </c>
      <c r="BA501" s="710">
        <v>1.66489825690576</v>
      </c>
      <c r="BB501" s="710">
        <v>1.66489825690576</v>
      </c>
      <c r="BC501" s="710">
        <v>1.66489825690576</v>
      </c>
      <c r="BD501" s="710">
        <v>1.66489825690576</v>
      </c>
      <c r="BE501" s="710">
        <v>1.66489825690576</v>
      </c>
      <c r="BF501" s="710">
        <v>1.66489825690576</v>
      </c>
      <c r="BG501" s="710">
        <v>1.66489825690576</v>
      </c>
      <c r="BH501" s="710">
        <v>0</v>
      </c>
      <c r="BI501" s="710">
        <v>0</v>
      </c>
      <c r="BJ501" s="710">
        <v>0</v>
      </c>
      <c r="BK501" s="710">
        <v>0</v>
      </c>
      <c r="BL501" s="710">
        <v>0</v>
      </c>
      <c r="BM501" s="710">
        <v>0</v>
      </c>
      <c r="BN501" s="710">
        <v>0</v>
      </c>
      <c r="BO501" s="710">
        <v>0</v>
      </c>
      <c r="BP501" s="710">
        <v>0</v>
      </c>
      <c r="BQ501" s="710">
        <v>0</v>
      </c>
      <c r="BR501" s="710">
        <v>0</v>
      </c>
      <c r="BS501" s="767"/>
      <c r="BT501" s="767"/>
      <c r="BU501" s="707">
        <v>0</v>
      </c>
      <c r="BV501" s="707">
        <v>6409.2809325900143</v>
      </c>
      <c r="BW501" s="707">
        <v>6409.2809325900143</v>
      </c>
      <c r="BX501" s="707">
        <v>6409.2809325900143</v>
      </c>
      <c r="BY501" s="707">
        <v>6409.2809325900143</v>
      </c>
      <c r="BZ501" s="707">
        <v>6409.2809325900143</v>
      </c>
      <c r="CA501" s="707">
        <v>6409.2809325900143</v>
      </c>
      <c r="CB501" s="707">
        <v>6409.2809325900143</v>
      </c>
      <c r="CC501" s="707">
        <v>6409.2809325900143</v>
      </c>
      <c r="CD501" s="707">
        <v>6409.2809325900143</v>
      </c>
      <c r="CE501" s="707">
        <v>6409.2809325900143</v>
      </c>
      <c r="CF501" s="707">
        <v>6409.2809325900143</v>
      </c>
      <c r="CG501" s="707">
        <v>6409.2809325900143</v>
      </c>
      <c r="CH501" s="707">
        <v>0</v>
      </c>
      <c r="CI501" s="707">
        <v>0</v>
      </c>
      <c r="CJ501" s="707">
        <v>0</v>
      </c>
      <c r="CK501" s="707">
        <v>0</v>
      </c>
      <c r="CL501" s="707">
        <v>0</v>
      </c>
      <c r="CM501" s="707">
        <v>0</v>
      </c>
      <c r="CN501" s="707">
        <v>0</v>
      </c>
      <c r="CO501" s="707">
        <v>0</v>
      </c>
      <c r="CP501" s="707">
        <v>0</v>
      </c>
      <c r="CQ501" s="707">
        <v>0</v>
      </c>
      <c r="CR501" s="707">
        <v>0</v>
      </c>
    </row>
    <row r="502" spans="1:96" s="53" customFormat="1">
      <c r="A502" s="774" t="s">
        <v>3</v>
      </c>
      <c r="B502" s="772">
        <v>41893</v>
      </c>
      <c r="C502" s="771">
        <v>2014</v>
      </c>
      <c r="D502" s="773" t="s">
        <v>1</v>
      </c>
      <c r="E502" s="773" t="s">
        <v>12</v>
      </c>
      <c r="F502" s="773" t="s">
        <v>457</v>
      </c>
      <c r="G502" s="772" t="s">
        <v>656</v>
      </c>
      <c r="H502" s="772" t="s">
        <v>371</v>
      </c>
      <c r="I502" s="773" t="s">
        <v>5</v>
      </c>
      <c r="J502" s="773" t="s">
        <v>376</v>
      </c>
      <c r="K502" s="706"/>
      <c r="L502" s="772" t="s">
        <v>651</v>
      </c>
      <c r="M502" s="772" t="s">
        <v>824</v>
      </c>
      <c r="N502" s="771">
        <v>10</v>
      </c>
      <c r="O502" s="708" t="s">
        <v>7</v>
      </c>
      <c r="P502" s="769" t="s">
        <v>7</v>
      </c>
      <c r="Q502" s="706"/>
      <c r="R502" s="706"/>
      <c r="S502" s="706"/>
      <c r="T502" s="706"/>
      <c r="U502" s="710">
        <v>1.248</v>
      </c>
      <c r="V502" s="707">
        <v>10932.48</v>
      </c>
      <c r="W502" s="710">
        <v>1.1402165926825061</v>
      </c>
      <c r="X502" s="707">
        <v>13218.787552810089</v>
      </c>
      <c r="Y502" s="707">
        <v>132187.87552810088</v>
      </c>
      <c r="Z502" s="707">
        <v>96995.204332671201</v>
      </c>
      <c r="AA502" s="707">
        <v>9699.5204332671201</v>
      </c>
      <c r="AB502" s="710">
        <v>0.82452104151523353</v>
      </c>
      <c r="AC502" s="769">
        <v>1.209129818011109</v>
      </c>
      <c r="AD502" s="769">
        <v>0.91363509029046963</v>
      </c>
      <c r="AE502" s="707"/>
      <c r="AF502" s="770"/>
      <c r="AG502" s="706"/>
      <c r="AH502" s="769">
        <v>0.7337677827498762</v>
      </c>
      <c r="AI502" s="748"/>
      <c r="AJ502" s="748"/>
      <c r="AK502" s="748"/>
      <c r="AL502" s="769">
        <v>0.7231266820766411</v>
      </c>
      <c r="AM502" s="706"/>
      <c r="AN502" s="706"/>
      <c r="AO502" s="706"/>
      <c r="AP502" s="768">
        <v>32.550000000000004</v>
      </c>
      <c r="AQ502" s="768">
        <v>1562.4</v>
      </c>
      <c r="AR502" s="706"/>
      <c r="AS502" s="738"/>
      <c r="AT502" s="738"/>
      <c r="AU502" s="710">
        <v>0</v>
      </c>
      <c r="AV502" s="710">
        <v>0.82452104151523353</v>
      </c>
      <c r="AW502" s="710">
        <v>0.82452104151523353</v>
      </c>
      <c r="AX502" s="710">
        <v>0.82452104151523353</v>
      </c>
      <c r="AY502" s="710">
        <v>0.82452104151523353</v>
      </c>
      <c r="AZ502" s="710">
        <v>0.82452104151523353</v>
      </c>
      <c r="BA502" s="710">
        <v>0.82452104151523353</v>
      </c>
      <c r="BB502" s="710">
        <v>0.82452104151523353</v>
      </c>
      <c r="BC502" s="710">
        <v>0.82452104151523353</v>
      </c>
      <c r="BD502" s="710">
        <v>0.82452104151523353</v>
      </c>
      <c r="BE502" s="710">
        <v>0.82452104151523353</v>
      </c>
      <c r="BF502" s="710">
        <v>0</v>
      </c>
      <c r="BG502" s="710">
        <v>0</v>
      </c>
      <c r="BH502" s="710">
        <v>0</v>
      </c>
      <c r="BI502" s="710">
        <v>0</v>
      </c>
      <c r="BJ502" s="710">
        <v>0</v>
      </c>
      <c r="BK502" s="710">
        <v>0</v>
      </c>
      <c r="BL502" s="710">
        <v>0</v>
      </c>
      <c r="BM502" s="710">
        <v>0</v>
      </c>
      <c r="BN502" s="710">
        <v>0</v>
      </c>
      <c r="BO502" s="710">
        <v>0</v>
      </c>
      <c r="BP502" s="710">
        <v>0</v>
      </c>
      <c r="BQ502" s="710">
        <v>0</v>
      </c>
      <c r="BR502" s="710">
        <v>0</v>
      </c>
      <c r="BS502" s="767"/>
      <c r="BT502" s="767"/>
      <c r="BU502" s="707">
        <v>0</v>
      </c>
      <c r="BV502" s="707">
        <v>9699.5204332671201</v>
      </c>
      <c r="BW502" s="707">
        <v>9699.5204332671201</v>
      </c>
      <c r="BX502" s="707">
        <v>9699.5204332671201</v>
      </c>
      <c r="BY502" s="707">
        <v>9699.5204332671201</v>
      </c>
      <c r="BZ502" s="707">
        <v>9699.5204332671201</v>
      </c>
      <c r="CA502" s="707">
        <v>9699.5204332671201</v>
      </c>
      <c r="CB502" s="707">
        <v>9699.5204332671201</v>
      </c>
      <c r="CC502" s="707">
        <v>9699.5204332671201</v>
      </c>
      <c r="CD502" s="707">
        <v>9699.5204332671201</v>
      </c>
      <c r="CE502" s="707">
        <v>9699.5204332671201</v>
      </c>
      <c r="CF502" s="707">
        <v>0</v>
      </c>
      <c r="CG502" s="707">
        <v>0</v>
      </c>
      <c r="CH502" s="707">
        <v>0</v>
      </c>
      <c r="CI502" s="707">
        <v>0</v>
      </c>
      <c r="CJ502" s="707">
        <v>0</v>
      </c>
      <c r="CK502" s="707">
        <v>0</v>
      </c>
      <c r="CL502" s="707">
        <v>0</v>
      </c>
      <c r="CM502" s="707">
        <v>0</v>
      </c>
      <c r="CN502" s="707">
        <v>0</v>
      </c>
      <c r="CO502" s="707">
        <v>0</v>
      </c>
      <c r="CP502" s="707">
        <v>0</v>
      </c>
      <c r="CQ502" s="707">
        <v>0</v>
      </c>
      <c r="CR502" s="707">
        <v>0</v>
      </c>
    </row>
    <row r="503" spans="1:96" s="53" customFormat="1">
      <c r="A503" s="774" t="s">
        <v>3</v>
      </c>
      <c r="B503" s="772">
        <v>41900</v>
      </c>
      <c r="C503" s="771">
        <v>2014</v>
      </c>
      <c r="D503" s="773" t="s">
        <v>1</v>
      </c>
      <c r="E503" s="773" t="s">
        <v>12</v>
      </c>
      <c r="F503" s="773" t="s">
        <v>457</v>
      </c>
      <c r="G503" s="772" t="s">
        <v>665</v>
      </c>
      <c r="H503" s="772" t="s">
        <v>371</v>
      </c>
      <c r="I503" s="773" t="s">
        <v>5</v>
      </c>
      <c r="J503" s="773" t="s">
        <v>376</v>
      </c>
      <c r="K503" s="706"/>
      <c r="L503" s="772" t="s">
        <v>651</v>
      </c>
      <c r="M503" s="772" t="s">
        <v>823</v>
      </c>
      <c r="N503" s="771">
        <v>9.4946198835018958</v>
      </c>
      <c r="O503" s="708">
        <v>6.0000000000000009</v>
      </c>
      <c r="P503" s="769">
        <v>0.89342167347094836</v>
      </c>
      <c r="Q503" s="706"/>
      <c r="R503" s="706"/>
      <c r="S503" s="706"/>
      <c r="T503" s="706"/>
      <c r="U503" s="710">
        <v>0.4</v>
      </c>
      <c r="V503" s="707">
        <v>3332</v>
      </c>
      <c r="W503" s="710">
        <v>0.20523448904050859</v>
      </c>
      <c r="X503" s="707">
        <v>2243.4537053539384</v>
      </c>
      <c r="Y503" s="707">
        <v>20465.164168011142</v>
      </c>
      <c r="Z503" s="707">
        <v>13396.170844060147</v>
      </c>
      <c r="AA503" s="707">
        <v>1468.5291000322247</v>
      </c>
      <c r="AB503" s="710">
        <v>0.13200013199356464</v>
      </c>
      <c r="AC503" s="769">
        <v>0.67330543377969343</v>
      </c>
      <c r="AD503" s="769">
        <v>0.51308622260127146</v>
      </c>
      <c r="AE503" s="707"/>
      <c r="AF503" s="770"/>
      <c r="AG503" s="706"/>
      <c r="AH503" s="769">
        <v>0.65458408904432563</v>
      </c>
      <c r="AI503" s="748"/>
      <c r="AJ503" s="748"/>
      <c r="AK503" s="748"/>
      <c r="AL503" s="769">
        <v>0.64316739652617949</v>
      </c>
      <c r="AM503" s="706"/>
      <c r="AN503" s="706"/>
      <c r="AO503" s="706"/>
      <c r="AP503" s="768">
        <v>1050</v>
      </c>
      <c r="AQ503" s="768">
        <v>1050</v>
      </c>
      <c r="AR503" s="706"/>
      <c r="AS503" s="738"/>
      <c r="AT503" s="738"/>
      <c r="AU503" s="710">
        <v>0</v>
      </c>
      <c r="AV503" s="710">
        <v>0.13200013199356464</v>
      </c>
      <c r="AW503" s="710">
        <v>0.13200013199356464</v>
      </c>
      <c r="AX503" s="710">
        <v>0.13200013199356464</v>
      </c>
      <c r="AY503" s="710">
        <v>0.13200013199356464</v>
      </c>
      <c r="AZ503" s="710">
        <v>0.13200013199356464</v>
      </c>
      <c r="BA503" s="710">
        <v>0.13200013199356464</v>
      </c>
      <c r="BB503" s="710">
        <v>0.11793177882407659</v>
      </c>
      <c r="BC503" s="710">
        <v>0.11793177882407659</v>
      </c>
      <c r="BD503" s="710">
        <v>0.11793177882407659</v>
      </c>
      <c r="BE503" s="710">
        <v>5.8331402703136102E-2</v>
      </c>
      <c r="BF503" s="710">
        <v>0</v>
      </c>
      <c r="BG503" s="710">
        <v>0</v>
      </c>
      <c r="BH503" s="710">
        <v>0</v>
      </c>
      <c r="BI503" s="710">
        <v>0</v>
      </c>
      <c r="BJ503" s="710">
        <v>0</v>
      </c>
      <c r="BK503" s="710">
        <v>0</v>
      </c>
      <c r="BL503" s="710">
        <v>0</v>
      </c>
      <c r="BM503" s="710">
        <v>0</v>
      </c>
      <c r="BN503" s="710">
        <v>0</v>
      </c>
      <c r="BO503" s="710">
        <v>0</v>
      </c>
      <c r="BP503" s="710">
        <v>0</v>
      </c>
      <c r="BQ503" s="710">
        <v>0</v>
      </c>
      <c r="BR503" s="710">
        <v>0</v>
      </c>
      <c r="BS503" s="767"/>
      <c r="BT503" s="767"/>
      <c r="BU503" s="707">
        <v>0</v>
      </c>
      <c r="BV503" s="707">
        <v>1468.5291000322247</v>
      </c>
      <c r="BW503" s="707">
        <v>1468.5291000322247</v>
      </c>
      <c r="BX503" s="707">
        <v>1468.5291000322247</v>
      </c>
      <c r="BY503" s="707">
        <v>1468.5291000322247</v>
      </c>
      <c r="BZ503" s="707">
        <v>1468.5291000322247</v>
      </c>
      <c r="CA503" s="707">
        <v>1468.5291000322247</v>
      </c>
      <c r="CB503" s="707">
        <v>1312.015726091576</v>
      </c>
      <c r="CC503" s="707">
        <v>1312.015726091576</v>
      </c>
      <c r="CD503" s="707">
        <v>1312.015726091576</v>
      </c>
      <c r="CE503" s="707">
        <v>648.9490655920705</v>
      </c>
      <c r="CF503" s="707">
        <v>0</v>
      </c>
      <c r="CG503" s="707">
        <v>0</v>
      </c>
      <c r="CH503" s="707">
        <v>0</v>
      </c>
      <c r="CI503" s="707">
        <v>0</v>
      </c>
      <c r="CJ503" s="707">
        <v>0</v>
      </c>
      <c r="CK503" s="707">
        <v>0</v>
      </c>
      <c r="CL503" s="707">
        <v>0</v>
      </c>
      <c r="CM503" s="707">
        <v>0</v>
      </c>
      <c r="CN503" s="707">
        <v>0</v>
      </c>
      <c r="CO503" s="707">
        <v>0</v>
      </c>
      <c r="CP503" s="707">
        <v>0</v>
      </c>
      <c r="CQ503" s="707">
        <v>0</v>
      </c>
      <c r="CR503" s="707">
        <v>0</v>
      </c>
    </row>
    <row r="504" spans="1:96" s="53" customFormat="1">
      <c r="A504" s="774" t="s">
        <v>3</v>
      </c>
      <c r="B504" s="772">
        <v>41900</v>
      </c>
      <c r="C504" s="771">
        <v>2014</v>
      </c>
      <c r="D504" s="773" t="s">
        <v>1</v>
      </c>
      <c r="E504" s="773" t="s">
        <v>12</v>
      </c>
      <c r="F504" s="773" t="s">
        <v>457</v>
      </c>
      <c r="G504" s="772" t="s">
        <v>656</v>
      </c>
      <c r="H504" s="772" t="s">
        <v>371</v>
      </c>
      <c r="I504" s="773" t="s">
        <v>5</v>
      </c>
      <c r="J504" s="773" t="s">
        <v>376</v>
      </c>
      <c r="K504" s="706"/>
      <c r="L504" s="772" t="s">
        <v>651</v>
      </c>
      <c r="M504" s="772" t="s">
        <v>823</v>
      </c>
      <c r="N504" s="771">
        <v>13</v>
      </c>
      <c r="O504" s="708">
        <v>1</v>
      </c>
      <c r="P504" s="769">
        <v>0.61496236566876838</v>
      </c>
      <c r="Q504" s="706"/>
      <c r="R504" s="706"/>
      <c r="S504" s="706"/>
      <c r="T504" s="706"/>
      <c r="U504" s="710">
        <v>4.7</v>
      </c>
      <c r="V504" s="707">
        <v>12191.8</v>
      </c>
      <c r="W504" s="710">
        <v>4.2940849243652073</v>
      </c>
      <c r="X504" s="707">
        <v>14741.468915227837</v>
      </c>
      <c r="Y504" s="707">
        <v>123526.85208572133</v>
      </c>
      <c r="Z504" s="707">
        <v>90640.024365011661</v>
      </c>
      <c r="AA504" s="707">
        <v>10816.814960402953</v>
      </c>
      <c r="AB504" s="710">
        <v>3.1051673839115366</v>
      </c>
      <c r="AC504" s="769">
        <v>1.209129818011109</v>
      </c>
      <c r="AD504" s="769">
        <v>0.91363509029046963</v>
      </c>
      <c r="AE504" s="707"/>
      <c r="AF504" s="770"/>
      <c r="AG504" s="706"/>
      <c r="AH504" s="769">
        <v>0.7337677827498762</v>
      </c>
      <c r="AI504" s="748"/>
      <c r="AJ504" s="748"/>
      <c r="AK504" s="748"/>
      <c r="AL504" s="769">
        <v>0.7231266820766411</v>
      </c>
      <c r="AM504" s="706"/>
      <c r="AN504" s="706"/>
      <c r="AO504" s="706"/>
      <c r="AP504" s="768">
        <v>32.12682053291536</v>
      </c>
      <c r="AQ504" s="768">
        <v>3212.6820532915358</v>
      </c>
      <c r="AR504" s="706"/>
      <c r="AS504" s="738"/>
      <c r="AT504" s="738"/>
      <c r="AU504" s="710">
        <v>0</v>
      </c>
      <c r="AV504" s="710">
        <v>3.1051673839115366</v>
      </c>
      <c r="AW504" s="710">
        <v>1.9095610802077392</v>
      </c>
      <c r="AX504" s="710">
        <v>1.9095610802077392</v>
      </c>
      <c r="AY504" s="710">
        <v>1.9095610802077392</v>
      </c>
      <c r="AZ504" s="710">
        <v>1.9095610802077392</v>
      </c>
      <c r="BA504" s="710">
        <v>1.9095610802077392</v>
      </c>
      <c r="BB504" s="710">
        <v>1.9095610802077392</v>
      </c>
      <c r="BC504" s="710">
        <v>1.9095610802077392</v>
      </c>
      <c r="BD504" s="710">
        <v>1.9095610802077392</v>
      </c>
      <c r="BE504" s="710">
        <v>1.9095610802077392</v>
      </c>
      <c r="BF504" s="710">
        <v>1.9095610802077392</v>
      </c>
      <c r="BG504" s="710">
        <v>1.9095610802077392</v>
      </c>
      <c r="BH504" s="710">
        <v>1.9095610802077392</v>
      </c>
      <c r="BI504" s="710">
        <v>0</v>
      </c>
      <c r="BJ504" s="710">
        <v>0</v>
      </c>
      <c r="BK504" s="710">
        <v>0</v>
      </c>
      <c r="BL504" s="710">
        <v>0</v>
      </c>
      <c r="BM504" s="710">
        <v>0</v>
      </c>
      <c r="BN504" s="710">
        <v>0</v>
      </c>
      <c r="BO504" s="710">
        <v>0</v>
      </c>
      <c r="BP504" s="710">
        <v>0</v>
      </c>
      <c r="BQ504" s="710">
        <v>0</v>
      </c>
      <c r="BR504" s="710">
        <v>0</v>
      </c>
      <c r="BS504" s="767"/>
      <c r="BT504" s="767"/>
      <c r="BU504" s="707">
        <v>0</v>
      </c>
      <c r="BV504" s="707">
        <v>10816.814960402953</v>
      </c>
      <c r="BW504" s="707">
        <v>6651.934117050725</v>
      </c>
      <c r="BX504" s="707">
        <v>6651.934117050725</v>
      </c>
      <c r="BY504" s="707">
        <v>6651.934117050725</v>
      </c>
      <c r="BZ504" s="707">
        <v>6651.934117050725</v>
      </c>
      <c r="CA504" s="707">
        <v>6651.934117050725</v>
      </c>
      <c r="CB504" s="707">
        <v>6651.934117050725</v>
      </c>
      <c r="CC504" s="707">
        <v>6651.934117050725</v>
      </c>
      <c r="CD504" s="707">
        <v>6651.934117050725</v>
      </c>
      <c r="CE504" s="707">
        <v>6651.934117050725</v>
      </c>
      <c r="CF504" s="707">
        <v>6651.934117050725</v>
      </c>
      <c r="CG504" s="707">
        <v>6651.934117050725</v>
      </c>
      <c r="CH504" s="707">
        <v>6651.934117050725</v>
      </c>
      <c r="CI504" s="707">
        <v>0</v>
      </c>
      <c r="CJ504" s="707">
        <v>0</v>
      </c>
      <c r="CK504" s="707">
        <v>0</v>
      </c>
      <c r="CL504" s="707">
        <v>0</v>
      </c>
      <c r="CM504" s="707">
        <v>0</v>
      </c>
      <c r="CN504" s="707">
        <v>0</v>
      </c>
      <c r="CO504" s="707">
        <v>0</v>
      </c>
      <c r="CP504" s="707">
        <v>0</v>
      </c>
      <c r="CQ504" s="707">
        <v>0</v>
      </c>
      <c r="CR504" s="707">
        <v>0</v>
      </c>
    </row>
    <row r="505" spans="1:96" s="53" customFormat="1">
      <c r="A505" s="774" t="s">
        <v>3</v>
      </c>
      <c r="B505" s="772">
        <v>41900</v>
      </c>
      <c r="C505" s="771">
        <v>2014</v>
      </c>
      <c r="D505" s="773" t="s">
        <v>1</v>
      </c>
      <c r="E505" s="773" t="s">
        <v>12</v>
      </c>
      <c r="F505" s="773" t="s">
        <v>457</v>
      </c>
      <c r="G505" s="772" t="s">
        <v>656</v>
      </c>
      <c r="H505" s="772" t="s">
        <v>371</v>
      </c>
      <c r="I505" s="773" t="s">
        <v>5</v>
      </c>
      <c r="J505" s="773" t="s">
        <v>376</v>
      </c>
      <c r="K505" s="706"/>
      <c r="L505" s="772" t="s">
        <v>651</v>
      </c>
      <c r="M505" s="772" t="s">
        <v>823</v>
      </c>
      <c r="N505" s="771">
        <v>13</v>
      </c>
      <c r="O505" s="708">
        <v>0</v>
      </c>
      <c r="P505" s="769">
        <v>0.69683294238735016</v>
      </c>
      <c r="Q505" s="706"/>
      <c r="R505" s="706"/>
      <c r="S505" s="706"/>
      <c r="T505" s="706"/>
      <c r="U505" s="710">
        <v>8.06</v>
      </c>
      <c r="V505" s="707">
        <v>20907.64</v>
      </c>
      <c r="W505" s="710">
        <v>5.1314072875776491</v>
      </c>
      <c r="X505" s="707">
        <v>17615.972285965443</v>
      </c>
      <c r="Y505" s="707">
        <v>229007.63971755077</v>
      </c>
      <c r="Z505" s="707">
        <v>168038.42802832971</v>
      </c>
      <c r="AA505" s="707">
        <v>12926.032925256131</v>
      </c>
      <c r="AB505" s="710">
        <v>3.7106575262499217</v>
      </c>
      <c r="AC505" s="769">
        <v>0.84256148881296233</v>
      </c>
      <c r="AD505" s="769">
        <v>0.63665102823544029</v>
      </c>
      <c r="AE505" s="707"/>
      <c r="AF505" s="770"/>
      <c r="AG505" s="706"/>
      <c r="AH505" s="769">
        <v>0.7337677827498762</v>
      </c>
      <c r="AI505" s="748"/>
      <c r="AJ505" s="748"/>
      <c r="AK505" s="748"/>
      <c r="AL505" s="769">
        <v>0.7231266820766411</v>
      </c>
      <c r="AM505" s="706"/>
      <c r="AN505" s="706"/>
      <c r="AO505" s="706"/>
      <c r="AP505" s="768">
        <v>35.544567398119113</v>
      </c>
      <c r="AQ505" s="768">
        <v>5509.407946708463</v>
      </c>
      <c r="AR505" s="706"/>
      <c r="AS505" s="738"/>
      <c r="AT505" s="738"/>
      <c r="AU505" s="710">
        <v>0</v>
      </c>
      <c r="AV505" s="710">
        <v>3.7106575262499217</v>
      </c>
      <c r="AW505" s="710">
        <v>3.7106575262499217</v>
      </c>
      <c r="AX505" s="710">
        <v>3.7106575262499217</v>
      </c>
      <c r="AY505" s="710">
        <v>3.7106575262499217</v>
      </c>
      <c r="AZ505" s="710">
        <v>3.7106575262499217</v>
      </c>
      <c r="BA505" s="710">
        <v>3.7106575262499217</v>
      </c>
      <c r="BB505" s="710">
        <v>3.7106575262499217</v>
      </c>
      <c r="BC505" s="710">
        <v>3.7106575262499217</v>
      </c>
      <c r="BD505" s="710">
        <v>3.7106575262499217</v>
      </c>
      <c r="BE505" s="710">
        <v>3.7106575262499217</v>
      </c>
      <c r="BF505" s="710">
        <v>3.7106575262499217</v>
      </c>
      <c r="BG505" s="710">
        <v>3.7106575262499217</v>
      </c>
      <c r="BH505" s="710">
        <v>3.7106575262499217</v>
      </c>
      <c r="BI505" s="710">
        <v>0</v>
      </c>
      <c r="BJ505" s="710">
        <v>0</v>
      </c>
      <c r="BK505" s="710">
        <v>0</v>
      </c>
      <c r="BL505" s="710">
        <v>0</v>
      </c>
      <c r="BM505" s="710">
        <v>0</v>
      </c>
      <c r="BN505" s="710">
        <v>0</v>
      </c>
      <c r="BO505" s="710">
        <v>0</v>
      </c>
      <c r="BP505" s="710">
        <v>0</v>
      </c>
      <c r="BQ505" s="710">
        <v>0</v>
      </c>
      <c r="BR505" s="710">
        <v>0</v>
      </c>
      <c r="BS505" s="767"/>
      <c r="BT505" s="767"/>
      <c r="BU505" s="707">
        <v>0</v>
      </c>
      <c r="BV505" s="707">
        <v>12926.032925256131</v>
      </c>
      <c r="BW505" s="707">
        <v>12926.032925256131</v>
      </c>
      <c r="BX505" s="707">
        <v>12926.032925256131</v>
      </c>
      <c r="BY505" s="707">
        <v>12926.032925256131</v>
      </c>
      <c r="BZ505" s="707">
        <v>12926.032925256131</v>
      </c>
      <c r="CA505" s="707">
        <v>12926.032925256131</v>
      </c>
      <c r="CB505" s="707">
        <v>12926.032925256131</v>
      </c>
      <c r="CC505" s="707">
        <v>12926.032925256131</v>
      </c>
      <c r="CD505" s="707">
        <v>12926.032925256131</v>
      </c>
      <c r="CE505" s="707">
        <v>12926.032925256131</v>
      </c>
      <c r="CF505" s="707">
        <v>12926.032925256131</v>
      </c>
      <c r="CG505" s="707">
        <v>12926.032925256131</v>
      </c>
      <c r="CH505" s="707">
        <v>12926.032925256131</v>
      </c>
      <c r="CI505" s="707">
        <v>0</v>
      </c>
      <c r="CJ505" s="707">
        <v>0</v>
      </c>
      <c r="CK505" s="707">
        <v>0</v>
      </c>
      <c r="CL505" s="707">
        <v>0</v>
      </c>
      <c r="CM505" s="707">
        <v>0</v>
      </c>
      <c r="CN505" s="707">
        <v>0</v>
      </c>
      <c r="CO505" s="707">
        <v>0</v>
      </c>
      <c r="CP505" s="707">
        <v>0</v>
      </c>
      <c r="CQ505" s="707">
        <v>0</v>
      </c>
      <c r="CR505" s="707">
        <v>0</v>
      </c>
    </row>
    <row r="506" spans="1:96" s="53" customFormat="1">
      <c r="A506" s="774" t="s">
        <v>3</v>
      </c>
      <c r="B506" s="772">
        <v>41836</v>
      </c>
      <c r="C506" s="771">
        <v>2014</v>
      </c>
      <c r="D506" s="773" t="s">
        <v>1</v>
      </c>
      <c r="E506" s="773" t="s">
        <v>12</v>
      </c>
      <c r="F506" s="773" t="s">
        <v>457</v>
      </c>
      <c r="G506" s="772" t="s">
        <v>656</v>
      </c>
      <c r="H506" s="772" t="s">
        <v>371</v>
      </c>
      <c r="I506" s="773" t="s">
        <v>5</v>
      </c>
      <c r="J506" s="773" t="s">
        <v>376</v>
      </c>
      <c r="K506" s="706"/>
      <c r="L506" s="772" t="s">
        <v>651</v>
      </c>
      <c r="M506" s="772" t="s">
        <v>794</v>
      </c>
      <c r="N506" s="771">
        <v>20</v>
      </c>
      <c r="O506" s="708" t="s">
        <v>7</v>
      </c>
      <c r="P506" s="769" t="s">
        <v>7</v>
      </c>
      <c r="Q506" s="706"/>
      <c r="R506" s="706"/>
      <c r="S506" s="706"/>
      <c r="T506" s="706"/>
      <c r="U506" s="710">
        <v>1.02</v>
      </c>
      <c r="V506" s="707">
        <v>2645.88</v>
      </c>
      <c r="W506" s="710">
        <v>0.93190779209627905</v>
      </c>
      <c r="X506" s="707">
        <v>3199.2124028792332</v>
      </c>
      <c r="Y506" s="707">
        <v>63984.248057584664</v>
      </c>
      <c r="Z506" s="707">
        <v>46949.579828131973</v>
      </c>
      <c r="AA506" s="707">
        <v>2347.4789914065987</v>
      </c>
      <c r="AB506" s="710">
        <v>0.67388738969995055</v>
      </c>
      <c r="AC506" s="769">
        <v>1.209129818011109</v>
      </c>
      <c r="AD506" s="769">
        <v>0.91363509029046963</v>
      </c>
      <c r="AE506" s="707"/>
      <c r="AF506" s="770"/>
      <c r="AG506" s="706"/>
      <c r="AH506" s="769">
        <v>0.7337677827498762</v>
      </c>
      <c r="AI506" s="748"/>
      <c r="AJ506" s="748"/>
      <c r="AK506" s="748"/>
      <c r="AL506" s="769">
        <v>0.7231266820766411</v>
      </c>
      <c r="AM506" s="706"/>
      <c r="AN506" s="706"/>
      <c r="AO506" s="706"/>
      <c r="AP506" s="768">
        <v>32.666666666666664</v>
      </c>
      <c r="AQ506" s="768">
        <v>980</v>
      </c>
      <c r="AR506" s="706"/>
      <c r="AS506" s="738"/>
      <c r="AT506" s="738"/>
      <c r="AU506" s="710">
        <v>0</v>
      </c>
      <c r="AV506" s="710">
        <v>0.67388738969995055</v>
      </c>
      <c r="AW506" s="710">
        <v>0.67388738969995055</v>
      </c>
      <c r="AX506" s="710">
        <v>0.67388738969995055</v>
      </c>
      <c r="AY506" s="710">
        <v>0.67388738969995055</v>
      </c>
      <c r="AZ506" s="710">
        <v>0.67388738969995055</v>
      </c>
      <c r="BA506" s="710">
        <v>0.67388738969995055</v>
      </c>
      <c r="BB506" s="710">
        <v>0.67388738969995055</v>
      </c>
      <c r="BC506" s="710">
        <v>0.67388738969995055</v>
      </c>
      <c r="BD506" s="710">
        <v>0.67388738969995055</v>
      </c>
      <c r="BE506" s="710">
        <v>0.67388738969995055</v>
      </c>
      <c r="BF506" s="710">
        <v>0.67388738969995055</v>
      </c>
      <c r="BG506" s="710">
        <v>0.67388738969995055</v>
      </c>
      <c r="BH506" s="710">
        <v>0.67388738969995055</v>
      </c>
      <c r="BI506" s="710">
        <v>0.67388738969995055</v>
      </c>
      <c r="BJ506" s="710">
        <v>0.67388738969995055</v>
      </c>
      <c r="BK506" s="710">
        <v>0.67388738969995055</v>
      </c>
      <c r="BL506" s="710">
        <v>0.67388738969995055</v>
      </c>
      <c r="BM506" s="710">
        <v>0.67388738969995055</v>
      </c>
      <c r="BN506" s="710">
        <v>0.67388738969995055</v>
      </c>
      <c r="BO506" s="710">
        <v>0.67388738969995055</v>
      </c>
      <c r="BP506" s="710">
        <v>0</v>
      </c>
      <c r="BQ506" s="710">
        <v>0</v>
      </c>
      <c r="BR506" s="710">
        <v>0</v>
      </c>
      <c r="BS506" s="767"/>
      <c r="BT506" s="767"/>
      <c r="BU506" s="707">
        <v>0</v>
      </c>
      <c r="BV506" s="707">
        <v>2347.4789914065987</v>
      </c>
      <c r="BW506" s="707">
        <v>2347.4789914065987</v>
      </c>
      <c r="BX506" s="707">
        <v>2347.4789914065987</v>
      </c>
      <c r="BY506" s="707">
        <v>2347.4789914065987</v>
      </c>
      <c r="BZ506" s="707">
        <v>2347.4789914065987</v>
      </c>
      <c r="CA506" s="707">
        <v>2347.4789914065987</v>
      </c>
      <c r="CB506" s="707">
        <v>2347.4789914065987</v>
      </c>
      <c r="CC506" s="707">
        <v>2347.4789914065987</v>
      </c>
      <c r="CD506" s="707">
        <v>2347.4789914065987</v>
      </c>
      <c r="CE506" s="707">
        <v>2347.4789914065987</v>
      </c>
      <c r="CF506" s="707">
        <v>2347.4789914065987</v>
      </c>
      <c r="CG506" s="707">
        <v>2347.4789914065987</v>
      </c>
      <c r="CH506" s="707">
        <v>2347.4789914065987</v>
      </c>
      <c r="CI506" s="707">
        <v>2347.4789914065987</v>
      </c>
      <c r="CJ506" s="707">
        <v>2347.4789914065987</v>
      </c>
      <c r="CK506" s="707">
        <v>2347.4789914065987</v>
      </c>
      <c r="CL506" s="707">
        <v>2347.4789914065987</v>
      </c>
      <c r="CM506" s="707">
        <v>2347.4789914065987</v>
      </c>
      <c r="CN506" s="707">
        <v>2347.4789914065987</v>
      </c>
      <c r="CO506" s="707">
        <v>2347.4789914065987</v>
      </c>
      <c r="CP506" s="707">
        <v>0</v>
      </c>
      <c r="CQ506" s="707">
        <v>0</v>
      </c>
      <c r="CR506" s="707">
        <v>0</v>
      </c>
    </row>
    <row r="507" spans="1:96" s="53" customFormat="1">
      <c r="A507" s="774" t="s">
        <v>3</v>
      </c>
      <c r="B507" s="772">
        <v>41720</v>
      </c>
      <c r="C507" s="771">
        <v>2014</v>
      </c>
      <c r="D507" s="773" t="s">
        <v>1</v>
      </c>
      <c r="E507" s="773" t="s">
        <v>12</v>
      </c>
      <c r="F507" s="773" t="s">
        <v>457</v>
      </c>
      <c r="G507" s="772" t="s">
        <v>656</v>
      </c>
      <c r="H507" s="772" t="s">
        <v>792</v>
      </c>
      <c r="I507" s="773" t="s">
        <v>5</v>
      </c>
      <c r="J507" s="773" t="s">
        <v>376</v>
      </c>
      <c r="K507" s="706"/>
      <c r="L507" s="772" t="s">
        <v>822</v>
      </c>
      <c r="M507" s="772" t="s">
        <v>821</v>
      </c>
      <c r="N507" s="771">
        <v>15.464728900771432</v>
      </c>
      <c r="O507" s="708" t="s">
        <v>7</v>
      </c>
      <c r="P507" s="769" t="s">
        <v>7</v>
      </c>
      <c r="Q507" s="706"/>
      <c r="R507" s="706"/>
      <c r="S507" s="706"/>
      <c r="T507" s="706"/>
      <c r="U507" s="710">
        <v>18</v>
      </c>
      <c r="V507" s="707">
        <v>61200</v>
      </c>
      <c r="W507" s="710">
        <v>19.579269972395156</v>
      </c>
      <c r="X507" s="707">
        <v>45050.213470331262</v>
      </c>
      <c r="Y507" s="707">
        <v>696689.33824055432</v>
      </c>
      <c r="Z507" s="707">
        <v>474808.34009168012</v>
      </c>
      <c r="AA507" s="707">
        <v>30702.661723866047</v>
      </c>
      <c r="AB507" s="710">
        <v>13.553167523966188</v>
      </c>
      <c r="AC507" s="769">
        <v>0.73611459918841937</v>
      </c>
      <c r="AD507" s="769">
        <v>1.0877372206886198</v>
      </c>
      <c r="AE507" s="707"/>
      <c r="AF507" s="770"/>
      <c r="AG507" s="706"/>
      <c r="AH507" s="769">
        <v>0.68152089321587594</v>
      </c>
      <c r="AI507" s="748"/>
      <c r="AJ507" s="748"/>
      <c r="AK507" s="748"/>
      <c r="AL507" s="769">
        <v>0.69222026883917631</v>
      </c>
      <c r="AM507" s="706"/>
      <c r="AN507" s="706"/>
      <c r="AO507" s="706"/>
      <c r="AP507" s="768">
        <v>101.28013888888889</v>
      </c>
      <c r="AQ507" s="768">
        <v>36460.85</v>
      </c>
      <c r="AR507" s="706"/>
      <c r="AS507" s="738"/>
      <c r="AT507" s="738"/>
      <c r="AU507" s="710">
        <v>0</v>
      </c>
      <c r="AV507" s="710">
        <v>13.553167523966188</v>
      </c>
      <c r="AW507" s="710">
        <v>13.553167523966188</v>
      </c>
      <c r="AX507" s="710">
        <v>13.553167523966188</v>
      </c>
      <c r="AY507" s="710">
        <v>13.553167523966188</v>
      </c>
      <c r="AZ507" s="710">
        <v>13.553167523966188</v>
      </c>
      <c r="BA507" s="710">
        <v>13.553167523966188</v>
      </c>
      <c r="BB507" s="710">
        <v>13.553167523966188</v>
      </c>
      <c r="BC507" s="710">
        <v>13.553167523966188</v>
      </c>
      <c r="BD507" s="710">
        <v>13.553167523966188</v>
      </c>
      <c r="BE507" s="710">
        <v>13.553167523966188</v>
      </c>
      <c r="BF507" s="710">
        <v>13.553167523966188</v>
      </c>
      <c r="BG507" s="710">
        <v>13.553167523966188</v>
      </c>
      <c r="BH507" s="710">
        <v>13.553167523966188</v>
      </c>
      <c r="BI507" s="710">
        <v>13.553167523966188</v>
      </c>
      <c r="BJ507" s="710">
        <v>13.553167523966188</v>
      </c>
      <c r="BK507" s="710">
        <v>6.2985486453838728</v>
      </c>
      <c r="BL507" s="710">
        <v>0</v>
      </c>
      <c r="BM507" s="710">
        <v>0</v>
      </c>
      <c r="BN507" s="710">
        <v>0</v>
      </c>
      <c r="BO507" s="710">
        <v>0</v>
      </c>
      <c r="BP507" s="710">
        <v>0</v>
      </c>
      <c r="BQ507" s="710">
        <v>0</v>
      </c>
      <c r="BR507" s="710">
        <v>0</v>
      </c>
      <c r="BS507" s="767"/>
      <c r="BT507" s="767"/>
      <c r="BU507" s="707">
        <v>0</v>
      </c>
      <c r="BV507" s="707">
        <v>30702.661723866047</v>
      </c>
      <c r="BW507" s="707">
        <v>30702.661723866047</v>
      </c>
      <c r="BX507" s="707">
        <v>30702.661723866047</v>
      </c>
      <c r="BY507" s="707">
        <v>30702.661723866047</v>
      </c>
      <c r="BZ507" s="707">
        <v>30702.661723866047</v>
      </c>
      <c r="CA507" s="707">
        <v>30702.661723866047</v>
      </c>
      <c r="CB507" s="707">
        <v>30702.661723866047</v>
      </c>
      <c r="CC507" s="707">
        <v>30702.661723866047</v>
      </c>
      <c r="CD507" s="707">
        <v>30702.661723866047</v>
      </c>
      <c r="CE507" s="707">
        <v>30702.661723866047</v>
      </c>
      <c r="CF507" s="707">
        <v>30702.661723866047</v>
      </c>
      <c r="CG507" s="707">
        <v>30702.661723866047</v>
      </c>
      <c r="CH507" s="707">
        <v>30702.661723866047</v>
      </c>
      <c r="CI507" s="707">
        <v>30702.661723866047</v>
      </c>
      <c r="CJ507" s="707">
        <v>30702.661723866047</v>
      </c>
      <c r="CK507" s="707">
        <v>14268.414233689378</v>
      </c>
      <c r="CL507" s="707">
        <v>0</v>
      </c>
      <c r="CM507" s="707">
        <v>0</v>
      </c>
      <c r="CN507" s="707">
        <v>0</v>
      </c>
      <c r="CO507" s="707">
        <v>0</v>
      </c>
      <c r="CP507" s="707">
        <v>0</v>
      </c>
      <c r="CQ507" s="707">
        <v>0</v>
      </c>
      <c r="CR507" s="707">
        <v>0</v>
      </c>
    </row>
    <row r="508" spans="1:96" s="53" customFormat="1">
      <c r="A508" s="774" t="s">
        <v>3</v>
      </c>
      <c r="B508" s="772">
        <v>41997</v>
      </c>
      <c r="C508" s="771">
        <v>2014</v>
      </c>
      <c r="D508" s="773" t="s">
        <v>1</v>
      </c>
      <c r="E508" s="773" t="s">
        <v>12</v>
      </c>
      <c r="F508" s="773" t="s">
        <v>457</v>
      </c>
      <c r="G508" s="772" t="s">
        <v>656</v>
      </c>
      <c r="H508" s="772" t="s">
        <v>371</v>
      </c>
      <c r="I508" s="773" t="s">
        <v>5</v>
      </c>
      <c r="J508" s="773" t="s">
        <v>376</v>
      </c>
      <c r="K508" s="706"/>
      <c r="L508" s="772" t="s">
        <v>651</v>
      </c>
      <c r="M508" s="772" t="s">
        <v>820</v>
      </c>
      <c r="N508" s="771">
        <v>12</v>
      </c>
      <c r="O508" s="708" t="s">
        <v>7</v>
      </c>
      <c r="P508" s="769" t="s">
        <v>7</v>
      </c>
      <c r="Q508" s="706"/>
      <c r="R508" s="706"/>
      <c r="S508" s="706"/>
      <c r="T508" s="706"/>
      <c r="U508" s="710">
        <v>0.82799999999999996</v>
      </c>
      <c r="V508" s="707">
        <v>3974.4</v>
      </c>
      <c r="W508" s="710">
        <v>0.75648985476050878</v>
      </c>
      <c r="X508" s="707">
        <v>4805.5655487033519</v>
      </c>
      <c r="Y508" s="707">
        <v>57666.786584440226</v>
      </c>
      <c r="Z508" s="707">
        <v>42314.030130375009</v>
      </c>
      <c r="AA508" s="707">
        <v>3526.1691775312506</v>
      </c>
      <c r="AB508" s="710">
        <v>0.54703799869760683</v>
      </c>
      <c r="AC508" s="769">
        <v>1.209129818011109</v>
      </c>
      <c r="AD508" s="769">
        <v>0.91363509029046963</v>
      </c>
      <c r="AE508" s="707"/>
      <c r="AF508" s="770"/>
      <c r="AG508" s="706"/>
      <c r="AH508" s="769">
        <v>0.7337677827498762</v>
      </c>
      <c r="AI508" s="748"/>
      <c r="AJ508" s="748"/>
      <c r="AK508" s="748"/>
      <c r="AL508" s="769">
        <v>0.7231266820766411</v>
      </c>
      <c r="AM508" s="706"/>
      <c r="AN508" s="706"/>
      <c r="AO508" s="706"/>
      <c r="AP508" s="768">
        <v>90</v>
      </c>
      <c r="AQ508" s="768">
        <v>1620</v>
      </c>
      <c r="AR508" s="706"/>
      <c r="AS508" s="738"/>
      <c r="AT508" s="738"/>
      <c r="AU508" s="710">
        <v>0</v>
      </c>
      <c r="AV508" s="710">
        <v>0.54703799869760683</v>
      </c>
      <c r="AW508" s="710">
        <v>0.54703799869760683</v>
      </c>
      <c r="AX508" s="710">
        <v>0.54703799869760683</v>
      </c>
      <c r="AY508" s="710">
        <v>0.54703799869760683</v>
      </c>
      <c r="AZ508" s="710">
        <v>0.54703799869760683</v>
      </c>
      <c r="BA508" s="710">
        <v>0.54703799869760683</v>
      </c>
      <c r="BB508" s="710">
        <v>0.54703799869760683</v>
      </c>
      <c r="BC508" s="710">
        <v>0.54703799869760683</v>
      </c>
      <c r="BD508" s="710">
        <v>0.54703799869760683</v>
      </c>
      <c r="BE508" s="710">
        <v>0.54703799869760683</v>
      </c>
      <c r="BF508" s="710">
        <v>0.54703799869760683</v>
      </c>
      <c r="BG508" s="710">
        <v>0.54703799869760683</v>
      </c>
      <c r="BH508" s="710">
        <v>0</v>
      </c>
      <c r="BI508" s="710">
        <v>0</v>
      </c>
      <c r="BJ508" s="710">
        <v>0</v>
      </c>
      <c r="BK508" s="710">
        <v>0</v>
      </c>
      <c r="BL508" s="710">
        <v>0</v>
      </c>
      <c r="BM508" s="710">
        <v>0</v>
      </c>
      <c r="BN508" s="710">
        <v>0</v>
      </c>
      <c r="BO508" s="710">
        <v>0</v>
      </c>
      <c r="BP508" s="710">
        <v>0</v>
      </c>
      <c r="BQ508" s="710">
        <v>0</v>
      </c>
      <c r="BR508" s="710">
        <v>0</v>
      </c>
      <c r="BS508" s="767"/>
      <c r="BT508" s="767"/>
      <c r="BU508" s="707">
        <v>0</v>
      </c>
      <c r="BV508" s="707">
        <v>3526.1691775312506</v>
      </c>
      <c r="BW508" s="707">
        <v>3526.1691775312506</v>
      </c>
      <c r="BX508" s="707">
        <v>3526.1691775312506</v>
      </c>
      <c r="BY508" s="707">
        <v>3526.1691775312506</v>
      </c>
      <c r="BZ508" s="707">
        <v>3526.1691775312506</v>
      </c>
      <c r="CA508" s="707">
        <v>3526.1691775312506</v>
      </c>
      <c r="CB508" s="707">
        <v>3526.1691775312506</v>
      </c>
      <c r="CC508" s="707">
        <v>3526.1691775312506</v>
      </c>
      <c r="CD508" s="707">
        <v>3526.1691775312506</v>
      </c>
      <c r="CE508" s="707">
        <v>3526.1691775312506</v>
      </c>
      <c r="CF508" s="707">
        <v>3526.1691775312506</v>
      </c>
      <c r="CG508" s="707">
        <v>3526.1691775312506</v>
      </c>
      <c r="CH508" s="707">
        <v>0</v>
      </c>
      <c r="CI508" s="707">
        <v>0</v>
      </c>
      <c r="CJ508" s="707">
        <v>0</v>
      </c>
      <c r="CK508" s="707">
        <v>0</v>
      </c>
      <c r="CL508" s="707">
        <v>0</v>
      </c>
      <c r="CM508" s="707">
        <v>0</v>
      </c>
      <c r="CN508" s="707">
        <v>0</v>
      </c>
      <c r="CO508" s="707">
        <v>0</v>
      </c>
      <c r="CP508" s="707">
        <v>0</v>
      </c>
      <c r="CQ508" s="707">
        <v>0</v>
      </c>
      <c r="CR508" s="707">
        <v>0</v>
      </c>
    </row>
    <row r="509" spans="1:96" s="53" customFormat="1">
      <c r="A509" s="774" t="s">
        <v>3</v>
      </c>
      <c r="B509" s="772">
        <v>42004</v>
      </c>
      <c r="C509" s="771">
        <v>2014</v>
      </c>
      <c r="D509" s="773" t="s">
        <v>1</v>
      </c>
      <c r="E509" s="773" t="s">
        <v>12</v>
      </c>
      <c r="F509" s="773" t="s">
        <v>457</v>
      </c>
      <c r="G509" s="772" t="s">
        <v>656</v>
      </c>
      <c r="H509" s="772" t="s">
        <v>371</v>
      </c>
      <c r="I509" s="773" t="s">
        <v>5</v>
      </c>
      <c r="J509" s="773" t="s">
        <v>376</v>
      </c>
      <c r="K509" s="706"/>
      <c r="L509" s="772" t="s">
        <v>651</v>
      </c>
      <c r="M509" s="772" t="s">
        <v>819</v>
      </c>
      <c r="N509" s="771">
        <v>12</v>
      </c>
      <c r="O509" s="708" t="s">
        <v>7</v>
      </c>
      <c r="P509" s="769" t="s">
        <v>7</v>
      </c>
      <c r="Q509" s="706"/>
      <c r="R509" s="706"/>
      <c r="S509" s="706"/>
      <c r="T509" s="706"/>
      <c r="U509" s="710">
        <v>0.82799999999999996</v>
      </c>
      <c r="V509" s="707">
        <v>3974.4</v>
      </c>
      <c r="W509" s="710">
        <v>0.75648985476050878</v>
      </c>
      <c r="X509" s="707">
        <v>4805.5655487033519</v>
      </c>
      <c r="Y509" s="707">
        <v>57666.786584440226</v>
      </c>
      <c r="Z509" s="707">
        <v>42314.030130375009</v>
      </c>
      <c r="AA509" s="707">
        <v>3526.1691775312506</v>
      </c>
      <c r="AB509" s="710">
        <v>0.54703799869760683</v>
      </c>
      <c r="AC509" s="769">
        <v>1.209129818011109</v>
      </c>
      <c r="AD509" s="769">
        <v>0.91363509029046963</v>
      </c>
      <c r="AE509" s="707"/>
      <c r="AF509" s="770"/>
      <c r="AG509" s="706"/>
      <c r="AH509" s="769">
        <v>0.7337677827498762</v>
      </c>
      <c r="AI509" s="748"/>
      <c r="AJ509" s="748"/>
      <c r="AK509" s="748"/>
      <c r="AL509" s="769">
        <v>0.7231266820766411</v>
      </c>
      <c r="AM509" s="706"/>
      <c r="AN509" s="706"/>
      <c r="AO509" s="706"/>
      <c r="AP509" s="768">
        <v>90</v>
      </c>
      <c r="AQ509" s="768">
        <v>1620</v>
      </c>
      <c r="AR509" s="706"/>
      <c r="AS509" s="738"/>
      <c r="AT509" s="738"/>
      <c r="AU509" s="710">
        <v>0</v>
      </c>
      <c r="AV509" s="710">
        <v>0.54703799869760683</v>
      </c>
      <c r="AW509" s="710">
        <v>0.54703799869760683</v>
      </c>
      <c r="AX509" s="710">
        <v>0.54703799869760683</v>
      </c>
      <c r="AY509" s="710">
        <v>0.54703799869760683</v>
      </c>
      <c r="AZ509" s="710">
        <v>0.54703799869760683</v>
      </c>
      <c r="BA509" s="710">
        <v>0.54703799869760683</v>
      </c>
      <c r="BB509" s="710">
        <v>0.54703799869760683</v>
      </c>
      <c r="BC509" s="710">
        <v>0.54703799869760683</v>
      </c>
      <c r="BD509" s="710">
        <v>0.54703799869760683</v>
      </c>
      <c r="BE509" s="710">
        <v>0.54703799869760683</v>
      </c>
      <c r="BF509" s="710">
        <v>0.54703799869760683</v>
      </c>
      <c r="BG509" s="710">
        <v>0.54703799869760683</v>
      </c>
      <c r="BH509" s="710">
        <v>0</v>
      </c>
      <c r="BI509" s="710">
        <v>0</v>
      </c>
      <c r="BJ509" s="710">
        <v>0</v>
      </c>
      <c r="BK509" s="710">
        <v>0</v>
      </c>
      <c r="BL509" s="710">
        <v>0</v>
      </c>
      <c r="BM509" s="710">
        <v>0</v>
      </c>
      <c r="BN509" s="710">
        <v>0</v>
      </c>
      <c r="BO509" s="710">
        <v>0</v>
      </c>
      <c r="BP509" s="710">
        <v>0</v>
      </c>
      <c r="BQ509" s="710">
        <v>0</v>
      </c>
      <c r="BR509" s="710">
        <v>0</v>
      </c>
      <c r="BS509" s="767"/>
      <c r="BT509" s="767"/>
      <c r="BU509" s="707">
        <v>0</v>
      </c>
      <c r="BV509" s="707">
        <v>3526.1691775312506</v>
      </c>
      <c r="BW509" s="707">
        <v>3526.1691775312506</v>
      </c>
      <c r="BX509" s="707">
        <v>3526.1691775312506</v>
      </c>
      <c r="BY509" s="707">
        <v>3526.1691775312506</v>
      </c>
      <c r="BZ509" s="707">
        <v>3526.1691775312506</v>
      </c>
      <c r="CA509" s="707">
        <v>3526.1691775312506</v>
      </c>
      <c r="CB509" s="707">
        <v>3526.1691775312506</v>
      </c>
      <c r="CC509" s="707">
        <v>3526.1691775312506</v>
      </c>
      <c r="CD509" s="707">
        <v>3526.1691775312506</v>
      </c>
      <c r="CE509" s="707">
        <v>3526.1691775312506</v>
      </c>
      <c r="CF509" s="707">
        <v>3526.1691775312506</v>
      </c>
      <c r="CG509" s="707">
        <v>3526.1691775312506</v>
      </c>
      <c r="CH509" s="707">
        <v>0</v>
      </c>
      <c r="CI509" s="707">
        <v>0</v>
      </c>
      <c r="CJ509" s="707">
        <v>0</v>
      </c>
      <c r="CK509" s="707">
        <v>0</v>
      </c>
      <c r="CL509" s="707">
        <v>0</v>
      </c>
      <c r="CM509" s="707">
        <v>0</v>
      </c>
      <c r="CN509" s="707">
        <v>0</v>
      </c>
      <c r="CO509" s="707">
        <v>0</v>
      </c>
      <c r="CP509" s="707">
        <v>0</v>
      </c>
      <c r="CQ509" s="707">
        <v>0</v>
      </c>
      <c r="CR509" s="707">
        <v>0</v>
      </c>
    </row>
    <row r="510" spans="1:96" s="53" customFormat="1">
      <c r="A510" s="774" t="s">
        <v>3</v>
      </c>
      <c r="B510" s="772">
        <v>41969</v>
      </c>
      <c r="C510" s="771">
        <v>2014</v>
      </c>
      <c r="D510" s="773" t="s">
        <v>1</v>
      </c>
      <c r="E510" s="773" t="s">
        <v>12</v>
      </c>
      <c r="F510" s="773" t="s">
        <v>457</v>
      </c>
      <c r="G510" s="772" t="s">
        <v>656</v>
      </c>
      <c r="H510" s="772" t="s">
        <v>792</v>
      </c>
      <c r="I510" s="773" t="s">
        <v>5</v>
      </c>
      <c r="J510" s="773" t="s">
        <v>376</v>
      </c>
      <c r="K510" s="706"/>
      <c r="L510" s="772" t="s">
        <v>651</v>
      </c>
      <c r="M510" s="772" t="s">
        <v>818</v>
      </c>
      <c r="N510" s="771">
        <v>15.464728900771432</v>
      </c>
      <c r="O510" s="708" t="s">
        <v>7</v>
      </c>
      <c r="P510" s="769" t="s">
        <v>7</v>
      </c>
      <c r="Q510" s="706"/>
      <c r="R510" s="706"/>
      <c r="S510" s="706"/>
      <c r="T510" s="706"/>
      <c r="U510" s="710">
        <v>0.36399999999999999</v>
      </c>
      <c r="V510" s="707">
        <v>363.6</v>
      </c>
      <c r="W510" s="710">
        <v>0.39593634833065761</v>
      </c>
      <c r="X510" s="707">
        <v>267.65126826490928</v>
      </c>
      <c r="Y510" s="707">
        <v>4139.1543036644698</v>
      </c>
      <c r="Z510" s="707">
        <v>2820.9201381917464</v>
      </c>
      <c r="AA510" s="707">
        <v>182.409931418263</v>
      </c>
      <c r="AB510" s="710">
        <v>0.27407516548464955</v>
      </c>
      <c r="AC510" s="769">
        <v>0.73611459918841926</v>
      </c>
      <c r="AD510" s="769">
        <v>1.0877372206886198</v>
      </c>
      <c r="AE510" s="707"/>
      <c r="AF510" s="770"/>
      <c r="AG510" s="706"/>
      <c r="AH510" s="769">
        <v>0.68152089321587594</v>
      </c>
      <c r="AI510" s="748"/>
      <c r="AJ510" s="748"/>
      <c r="AK510" s="748"/>
      <c r="AL510" s="769">
        <v>0.69222026883917631</v>
      </c>
      <c r="AM510" s="706"/>
      <c r="AN510" s="706"/>
      <c r="AO510" s="706"/>
      <c r="AP510" s="768">
        <v>6506.3345501395752</v>
      </c>
      <c r="AQ510" s="768">
        <v>6506.3345501395752</v>
      </c>
      <c r="AR510" s="706"/>
      <c r="AS510" s="738"/>
      <c r="AT510" s="738"/>
      <c r="AU510" s="710">
        <v>0</v>
      </c>
      <c r="AV510" s="710">
        <v>0.27407516548464955</v>
      </c>
      <c r="AW510" s="710">
        <v>0.27407516548464955</v>
      </c>
      <c r="AX510" s="710">
        <v>0.27407516548464955</v>
      </c>
      <c r="AY510" s="710">
        <v>0.27407516548464955</v>
      </c>
      <c r="AZ510" s="710">
        <v>0.27407516548464955</v>
      </c>
      <c r="BA510" s="710">
        <v>0.27407516548464955</v>
      </c>
      <c r="BB510" s="710">
        <v>0.27407516548464955</v>
      </c>
      <c r="BC510" s="710">
        <v>0.27407516548464955</v>
      </c>
      <c r="BD510" s="710">
        <v>0.27407516548464955</v>
      </c>
      <c r="BE510" s="710">
        <v>0.27407516548464955</v>
      </c>
      <c r="BF510" s="710">
        <v>0.27407516548464955</v>
      </c>
      <c r="BG510" s="710">
        <v>0.27407516548464955</v>
      </c>
      <c r="BH510" s="710">
        <v>0.27407516548464955</v>
      </c>
      <c r="BI510" s="710">
        <v>0.27407516548464955</v>
      </c>
      <c r="BJ510" s="710">
        <v>0.27407516548464955</v>
      </c>
      <c r="BK510" s="710">
        <v>0.12737065038442943</v>
      </c>
      <c r="BL510" s="710">
        <v>0</v>
      </c>
      <c r="BM510" s="710">
        <v>0</v>
      </c>
      <c r="BN510" s="710">
        <v>0</v>
      </c>
      <c r="BO510" s="710">
        <v>0</v>
      </c>
      <c r="BP510" s="710">
        <v>0</v>
      </c>
      <c r="BQ510" s="710">
        <v>0</v>
      </c>
      <c r="BR510" s="710">
        <v>0</v>
      </c>
      <c r="BS510" s="767"/>
      <c r="BT510" s="767"/>
      <c r="BU510" s="707">
        <v>0</v>
      </c>
      <c r="BV510" s="707">
        <v>182.409931418263</v>
      </c>
      <c r="BW510" s="707">
        <v>182.409931418263</v>
      </c>
      <c r="BX510" s="707">
        <v>182.409931418263</v>
      </c>
      <c r="BY510" s="707">
        <v>182.409931418263</v>
      </c>
      <c r="BZ510" s="707">
        <v>182.409931418263</v>
      </c>
      <c r="CA510" s="707">
        <v>182.409931418263</v>
      </c>
      <c r="CB510" s="707">
        <v>182.409931418263</v>
      </c>
      <c r="CC510" s="707">
        <v>182.409931418263</v>
      </c>
      <c r="CD510" s="707">
        <v>182.409931418263</v>
      </c>
      <c r="CE510" s="707">
        <v>182.409931418263</v>
      </c>
      <c r="CF510" s="707">
        <v>182.409931418263</v>
      </c>
      <c r="CG510" s="707">
        <v>182.409931418263</v>
      </c>
      <c r="CH510" s="707">
        <v>182.409931418263</v>
      </c>
      <c r="CI510" s="707">
        <v>182.409931418263</v>
      </c>
      <c r="CJ510" s="707">
        <v>182.409931418263</v>
      </c>
      <c r="CK510" s="707">
        <v>84.771166917801608</v>
      </c>
      <c r="CL510" s="707">
        <v>0</v>
      </c>
      <c r="CM510" s="707">
        <v>0</v>
      </c>
      <c r="CN510" s="707">
        <v>0</v>
      </c>
      <c r="CO510" s="707">
        <v>0</v>
      </c>
      <c r="CP510" s="707">
        <v>0</v>
      </c>
      <c r="CQ510" s="707">
        <v>0</v>
      </c>
      <c r="CR510" s="707">
        <v>0</v>
      </c>
    </row>
    <row r="511" spans="1:96" s="53" customFormat="1">
      <c r="A511" s="774" t="s">
        <v>3</v>
      </c>
      <c r="B511" s="772">
        <v>41969</v>
      </c>
      <c r="C511" s="771">
        <v>2014</v>
      </c>
      <c r="D511" s="773" t="s">
        <v>1</v>
      </c>
      <c r="E511" s="773" t="s">
        <v>12</v>
      </c>
      <c r="F511" s="773" t="s">
        <v>457</v>
      </c>
      <c r="G511" s="772" t="s">
        <v>656</v>
      </c>
      <c r="H511" s="772" t="s">
        <v>792</v>
      </c>
      <c r="I511" s="773" t="s">
        <v>5</v>
      </c>
      <c r="J511" s="773" t="s">
        <v>376</v>
      </c>
      <c r="K511" s="706"/>
      <c r="L511" s="772" t="s">
        <v>651</v>
      </c>
      <c r="M511" s="772" t="s">
        <v>818</v>
      </c>
      <c r="N511" s="771">
        <v>15.464728900771432</v>
      </c>
      <c r="O511" s="708" t="s">
        <v>7</v>
      </c>
      <c r="P511" s="769" t="s">
        <v>7</v>
      </c>
      <c r="Q511" s="706"/>
      <c r="R511" s="706"/>
      <c r="S511" s="706"/>
      <c r="T511" s="706"/>
      <c r="U511" s="710">
        <v>0.45500000000000002</v>
      </c>
      <c r="V511" s="707">
        <v>454.5</v>
      </c>
      <c r="W511" s="710">
        <v>0.49492043541332204</v>
      </c>
      <c r="X511" s="707">
        <v>334.5640853311366</v>
      </c>
      <c r="Y511" s="707">
        <v>5173.9428795805879</v>
      </c>
      <c r="Z511" s="707">
        <v>3526.1501727396831</v>
      </c>
      <c r="AA511" s="707">
        <v>228.01241427282875</v>
      </c>
      <c r="AB511" s="710">
        <v>0.34259395685581195</v>
      </c>
      <c r="AC511" s="769">
        <v>0.73611459918841937</v>
      </c>
      <c r="AD511" s="769">
        <v>1.0877372206886198</v>
      </c>
      <c r="AE511" s="707"/>
      <c r="AF511" s="770"/>
      <c r="AG511" s="706"/>
      <c r="AH511" s="769">
        <v>0.68152089321587594</v>
      </c>
      <c r="AI511" s="748"/>
      <c r="AJ511" s="748"/>
      <c r="AK511" s="748"/>
      <c r="AL511" s="769">
        <v>0.69222026883917631</v>
      </c>
      <c r="AM511" s="706"/>
      <c r="AN511" s="706"/>
      <c r="AO511" s="706"/>
      <c r="AP511" s="768">
        <v>8132.9181876744688</v>
      </c>
      <c r="AQ511" s="768">
        <v>8132.9181876744688</v>
      </c>
      <c r="AR511" s="706"/>
      <c r="AS511" s="738"/>
      <c r="AT511" s="738"/>
      <c r="AU511" s="710">
        <v>0</v>
      </c>
      <c r="AV511" s="710">
        <v>0.34259395685581195</v>
      </c>
      <c r="AW511" s="710">
        <v>0.34259395685581195</v>
      </c>
      <c r="AX511" s="710">
        <v>0.34259395685581195</v>
      </c>
      <c r="AY511" s="710">
        <v>0.34259395685581195</v>
      </c>
      <c r="AZ511" s="710">
        <v>0.34259395685581195</v>
      </c>
      <c r="BA511" s="710">
        <v>0.34259395685581195</v>
      </c>
      <c r="BB511" s="710">
        <v>0.34259395685581195</v>
      </c>
      <c r="BC511" s="710">
        <v>0.34259395685581195</v>
      </c>
      <c r="BD511" s="710">
        <v>0.34259395685581195</v>
      </c>
      <c r="BE511" s="710">
        <v>0.34259395685581195</v>
      </c>
      <c r="BF511" s="710">
        <v>0.34259395685581195</v>
      </c>
      <c r="BG511" s="710">
        <v>0.34259395685581195</v>
      </c>
      <c r="BH511" s="710">
        <v>0.34259395685581195</v>
      </c>
      <c r="BI511" s="710">
        <v>0.34259395685581195</v>
      </c>
      <c r="BJ511" s="710">
        <v>0.34259395685581195</v>
      </c>
      <c r="BK511" s="710">
        <v>0.15921331298053679</v>
      </c>
      <c r="BL511" s="710">
        <v>0</v>
      </c>
      <c r="BM511" s="710">
        <v>0</v>
      </c>
      <c r="BN511" s="710">
        <v>0</v>
      </c>
      <c r="BO511" s="710">
        <v>0</v>
      </c>
      <c r="BP511" s="710">
        <v>0</v>
      </c>
      <c r="BQ511" s="710">
        <v>0</v>
      </c>
      <c r="BR511" s="710">
        <v>0</v>
      </c>
      <c r="BS511" s="767"/>
      <c r="BT511" s="767"/>
      <c r="BU511" s="707">
        <v>0</v>
      </c>
      <c r="BV511" s="707">
        <v>228.01241427282875</v>
      </c>
      <c r="BW511" s="707">
        <v>228.01241427282875</v>
      </c>
      <c r="BX511" s="707">
        <v>228.01241427282875</v>
      </c>
      <c r="BY511" s="707">
        <v>228.01241427282875</v>
      </c>
      <c r="BZ511" s="707">
        <v>228.01241427282875</v>
      </c>
      <c r="CA511" s="707">
        <v>228.01241427282875</v>
      </c>
      <c r="CB511" s="707">
        <v>228.01241427282875</v>
      </c>
      <c r="CC511" s="707">
        <v>228.01241427282875</v>
      </c>
      <c r="CD511" s="707">
        <v>228.01241427282875</v>
      </c>
      <c r="CE511" s="707">
        <v>228.01241427282875</v>
      </c>
      <c r="CF511" s="707">
        <v>228.01241427282875</v>
      </c>
      <c r="CG511" s="707">
        <v>228.01241427282875</v>
      </c>
      <c r="CH511" s="707">
        <v>228.01241427282875</v>
      </c>
      <c r="CI511" s="707">
        <v>228.01241427282875</v>
      </c>
      <c r="CJ511" s="707">
        <v>228.01241427282875</v>
      </c>
      <c r="CK511" s="707">
        <v>105.96395864725201</v>
      </c>
      <c r="CL511" s="707">
        <v>0</v>
      </c>
      <c r="CM511" s="707">
        <v>0</v>
      </c>
      <c r="CN511" s="707">
        <v>0</v>
      </c>
      <c r="CO511" s="707">
        <v>0</v>
      </c>
      <c r="CP511" s="707">
        <v>0</v>
      </c>
      <c r="CQ511" s="707">
        <v>0</v>
      </c>
      <c r="CR511" s="707">
        <v>0</v>
      </c>
    </row>
    <row r="512" spans="1:96" s="53" customFormat="1">
      <c r="A512" s="774" t="s">
        <v>3</v>
      </c>
      <c r="B512" s="772">
        <v>41969</v>
      </c>
      <c r="C512" s="771">
        <v>2014</v>
      </c>
      <c r="D512" s="773" t="s">
        <v>1</v>
      </c>
      <c r="E512" s="773" t="s">
        <v>12</v>
      </c>
      <c r="F512" s="773" t="s">
        <v>457</v>
      </c>
      <c r="G512" s="772" t="s">
        <v>656</v>
      </c>
      <c r="H512" s="772" t="s">
        <v>792</v>
      </c>
      <c r="I512" s="773" t="s">
        <v>5</v>
      </c>
      <c r="J512" s="773" t="s">
        <v>376</v>
      </c>
      <c r="K512" s="706"/>
      <c r="L512" s="772" t="s">
        <v>651</v>
      </c>
      <c r="M512" s="772" t="s">
        <v>818</v>
      </c>
      <c r="N512" s="771">
        <v>15.464728900771432</v>
      </c>
      <c r="O512" s="708" t="s">
        <v>7</v>
      </c>
      <c r="P512" s="769" t="s">
        <v>7</v>
      </c>
      <c r="Q512" s="706"/>
      <c r="R512" s="706"/>
      <c r="S512" s="706"/>
      <c r="T512" s="706"/>
      <c r="U512" s="710">
        <v>0.57750000000000001</v>
      </c>
      <c r="V512" s="707">
        <v>579</v>
      </c>
      <c r="W512" s="710">
        <v>0.62816824494767798</v>
      </c>
      <c r="X512" s="707">
        <v>426.21035293009481</v>
      </c>
      <c r="Y512" s="707">
        <v>6591.2275627660292</v>
      </c>
      <c r="Z512" s="707">
        <v>4492.059295965405</v>
      </c>
      <c r="AA512" s="707">
        <v>290.47126042677195</v>
      </c>
      <c r="AB512" s="710">
        <v>0.43483079139391523</v>
      </c>
      <c r="AC512" s="769">
        <v>0.73611459918841937</v>
      </c>
      <c r="AD512" s="769">
        <v>1.0877372206886198</v>
      </c>
      <c r="AE512" s="707"/>
      <c r="AF512" s="770"/>
      <c r="AG512" s="706"/>
      <c r="AH512" s="769">
        <v>0.68152089321587594</v>
      </c>
      <c r="AI512" s="748"/>
      <c r="AJ512" s="748"/>
      <c r="AK512" s="748"/>
      <c r="AL512" s="769">
        <v>0.69222026883917631</v>
      </c>
      <c r="AM512" s="706"/>
      <c r="AN512" s="706"/>
      <c r="AO512" s="706"/>
      <c r="AP512" s="768">
        <v>10360.747262185958</v>
      </c>
      <c r="AQ512" s="768">
        <v>10360.747262185958</v>
      </c>
      <c r="AR512" s="706"/>
      <c r="AS512" s="738"/>
      <c r="AT512" s="738"/>
      <c r="AU512" s="710">
        <v>0</v>
      </c>
      <c r="AV512" s="710">
        <v>0.43483079139391523</v>
      </c>
      <c r="AW512" s="710">
        <v>0.43483079139391523</v>
      </c>
      <c r="AX512" s="710">
        <v>0.43483079139391523</v>
      </c>
      <c r="AY512" s="710">
        <v>0.43483079139391523</v>
      </c>
      <c r="AZ512" s="710">
        <v>0.43483079139391523</v>
      </c>
      <c r="BA512" s="710">
        <v>0.43483079139391523</v>
      </c>
      <c r="BB512" s="710">
        <v>0.43483079139391523</v>
      </c>
      <c r="BC512" s="710">
        <v>0.43483079139391523</v>
      </c>
      <c r="BD512" s="710">
        <v>0.43483079139391523</v>
      </c>
      <c r="BE512" s="710">
        <v>0.43483079139391523</v>
      </c>
      <c r="BF512" s="710">
        <v>0.43483079139391523</v>
      </c>
      <c r="BG512" s="710">
        <v>0.43483079139391523</v>
      </c>
      <c r="BH512" s="710">
        <v>0.43483079139391523</v>
      </c>
      <c r="BI512" s="710">
        <v>0.43483079139391523</v>
      </c>
      <c r="BJ512" s="710">
        <v>0.43483079139391523</v>
      </c>
      <c r="BK512" s="710">
        <v>0.20207843570606596</v>
      </c>
      <c r="BL512" s="710">
        <v>0</v>
      </c>
      <c r="BM512" s="710">
        <v>0</v>
      </c>
      <c r="BN512" s="710">
        <v>0</v>
      </c>
      <c r="BO512" s="710">
        <v>0</v>
      </c>
      <c r="BP512" s="710">
        <v>0</v>
      </c>
      <c r="BQ512" s="710">
        <v>0</v>
      </c>
      <c r="BR512" s="710">
        <v>0</v>
      </c>
      <c r="BS512" s="767"/>
      <c r="BT512" s="767"/>
      <c r="BU512" s="707">
        <v>0</v>
      </c>
      <c r="BV512" s="707">
        <v>290.47126042677195</v>
      </c>
      <c r="BW512" s="707">
        <v>290.47126042677195</v>
      </c>
      <c r="BX512" s="707">
        <v>290.47126042677195</v>
      </c>
      <c r="BY512" s="707">
        <v>290.47126042677195</v>
      </c>
      <c r="BZ512" s="707">
        <v>290.47126042677195</v>
      </c>
      <c r="CA512" s="707">
        <v>290.47126042677195</v>
      </c>
      <c r="CB512" s="707">
        <v>290.47126042677195</v>
      </c>
      <c r="CC512" s="707">
        <v>290.47126042677195</v>
      </c>
      <c r="CD512" s="707">
        <v>290.47126042677195</v>
      </c>
      <c r="CE512" s="707">
        <v>290.47126042677195</v>
      </c>
      <c r="CF512" s="707">
        <v>290.47126042677195</v>
      </c>
      <c r="CG512" s="707">
        <v>290.47126042677195</v>
      </c>
      <c r="CH512" s="707">
        <v>290.47126042677195</v>
      </c>
      <c r="CI512" s="707">
        <v>290.47126042677195</v>
      </c>
      <c r="CJ512" s="707">
        <v>290.47126042677195</v>
      </c>
      <c r="CK512" s="707">
        <v>134.990389563826</v>
      </c>
      <c r="CL512" s="707">
        <v>0</v>
      </c>
      <c r="CM512" s="707">
        <v>0</v>
      </c>
      <c r="CN512" s="707">
        <v>0</v>
      </c>
      <c r="CO512" s="707">
        <v>0</v>
      </c>
      <c r="CP512" s="707">
        <v>0</v>
      </c>
      <c r="CQ512" s="707">
        <v>0</v>
      </c>
      <c r="CR512" s="707">
        <v>0</v>
      </c>
    </row>
    <row r="513" spans="1:96" s="53" customFormat="1">
      <c r="A513" s="774" t="s">
        <v>3</v>
      </c>
      <c r="B513" s="772">
        <v>41893</v>
      </c>
      <c r="C513" s="771">
        <v>2014</v>
      </c>
      <c r="D513" s="773" t="s">
        <v>1</v>
      </c>
      <c r="E513" s="773" t="s">
        <v>12</v>
      </c>
      <c r="F513" s="773" t="s">
        <v>457</v>
      </c>
      <c r="G513" s="772" t="s">
        <v>656</v>
      </c>
      <c r="H513" s="772" t="s">
        <v>792</v>
      </c>
      <c r="I513" s="773" t="s">
        <v>5</v>
      </c>
      <c r="J513" s="773" t="s">
        <v>376</v>
      </c>
      <c r="K513" s="706"/>
      <c r="L513" s="772" t="s">
        <v>817</v>
      </c>
      <c r="M513" s="772" t="s">
        <v>816</v>
      </c>
      <c r="N513" s="771">
        <v>15.464728900771432</v>
      </c>
      <c r="O513" s="708" t="s">
        <v>7</v>
      </c>
      <c r="P513" s="769" t="s">
        <v>7</v>
      </c>
      <c r="Q513" s="706"/>
      <c r="R513" s="706"/>
      <c r="S513" s="706"/>
      <c r="T513" s="706"/>
      <c r="U513" s="710">
        <v>0.38500000000000001</v>
      </c>
      <c r="V513" s="707">
        <v>386</v>
      </c>
      <c r="W513" s="710">
        <v>0.41877882996511862</v>
      </c>
      <c r="X513" s="707">
        <v>284.14023528672988</v>
      </c>
      <c r="Y513" s="707">
        <v>4394.1517085106861</v>
      </c>
      <c r="Z513" s="707">
        <v>2994.70619731027</v>
      </c>
      <c r="AA513" s="707">
        <v>193.6475069511813</v>
      </c>
      <c r="AB513" s="710">
        <v>0.28988719426261012</v>
      </c>
      <c r="AC513" s="769">
        <v>0.73611459918841937</v>
      </c>
      <c r="AD513" s="769">
        <v>1.0877372206886198</v>
      </c>
      <c r="AE513" s="707"/>
      <c r="AF513" s="770"/>
      <c r="AG513" s="706"/>
      <c r="AH513" s="769">
        <v>0.68152089321587594</v>
      </c>
      <c r="AI513" s="748"/>
      <c r="AJ513" s="748"/>
      <c r="AK513" s="748"/>
      <c r="AL513" s="769">
        <v>0.69222026883917631</v>
      </c>
      <c r="AM513" s="706"/>
      <c r="AN513" s="706"/>
      <c r="AO513" s="706"/>
      <c r="AP513" s="768">
        <v>8668.9500000000007</v>
      </c>
      <c r="AQ513" s="768">
        <v>8668.9500000000007</v>
      </c>
      <c r="AR513" s="706"/>
      <c r="AS513" s="738"/>
      <c r="AT513" s="738"/>
      <c r="AU513" s="710">
        <v>0</v>
      </c>
      <c r="AV513" s="710">
        <v>0.28988719426261012</v>
      </c>
      <c r="AW513" s="710">
        <v>0.28988719426261012</v>
      </c>
      <c r="AX513" s="710">
        <v>0.28988719426261012</v>
      </c>
      <c r="AY513" s="710">
        <v>0.28988719426261012</v>
      </c>
      <c r="AZ513" s="710">
        <v>0.28988719426261012</v>
      </c>
      <c r="BA513" s="710">
        <v>0.28988719426261012</v>
      </c>
      <c r="BB513" s="710">
        <v>0.28988719426261012</v>
      </c>
      <c r="BC513" s="710">
        <v>0.28988719426261012</v>
      </c>
      <c r="BD513" s="710">
        <v>0.28988719426261012</v>
      </c>
      <c r="BE513" s="710">
        <v>0.28988719426261012</v>
      </c>
      <c r="BF513" s="710">
        <v>0.28988719426261012</v>
      </c>
      <c r="BG513" s="710">
        <v>0.28988719426261012</v>
      </c>
      <c r="BH513" s="710">
        <v>0.28988719426261012</v>
      </c>
      <c r="BI513" s="710">
        <v>0.28988719426261012</v>
      </c>
      <c r="BJ513" s="710">
        <v>0.28988719426261012</v>
      </c>
      <c r="BK513" s="710">
        <v>0.13471895713737728</v>
      </c>
      <c r="BL513" s="710">
        <v>0</v>
      </c>
      <c r="BM513" s="710">
        <v>0</v>
      </c>
      <c r="BN513" s="710">
        <v>0</v>
      </c>
      <c r="BO513" s="710">
        <v>0</v>
      </c>
      <c r="BP513" s="710">
        <v>0</v>
      </c>
      <c r="BQ513" s="710">
        <v>0</v>
      </c>
      <c r="BR513" s="710">
        <v>0</v>
      </c>
      <c r="BS513" s="767"/>
      <c r="BT513" s="767"/>
      <c r="BU513" s="707">
        <v>0</v>
      </c>
      <c r="BV513" s="707">
        <v>193.6475069511813</v>
      </c>
      <c r="BW513" s="707">
        <v>193.6475069511813</v>
      </c>
      <c r="BX513" s="707">
        <v>193.6475069511813</v>
      </c>
      <c r="BY513" s="707">
        <v>193.6475069511813</v>
      </c>
      <c r="BZ513" s="707">
        <v>193.6475069511813</v>
      </c>
      <c r="CA513" s="707">
        <v>193.6475069511813</v>
      </c>
      <c r="CB513" s="707">
        <v>193.6475069511813</v>
      </c>
      <c r="CC513" s="707">
        <v>193.6475069511813</v>
      </c>
      <c r="CD513" s="707">
        <v>193.6475069511813</v>
      </c>
      <c r="CE513" s="707">
        <v>193.6475069511813</v>
      </c>
      <c r="CF513" s="707">
        <v>193.6475069511813</v>
      </c>
      <c r="CG513" s="707">
        <v>193.6475069511813</v>
      </c>
      <c r="CH513" s="707">
        <v>193.6475069511813</v>
      </c>
      <c r="CI513" s="707">
        <v>193.6475069511813</v>
      </c>
      <c r="CJ513" s="707">
        <v>193.6475069511813</v>
      </c>
      <c r="CK513" s="707">
        <v>89.993593042550657</v>
      </c>
      <c r="CL513" s="707">
        <v>0</v>
      </c>
      <c r="CM513" s="707">
        <v>0</v>
      </c>
      <c r="CN513" s="707">
        <v>0</v>
      </c>
      <c r="CO513" s="707">
        <v>0</v>
      </c>
      <c r="CP513" s="707">
        <v>0</v>
      </c>
      <c r="CQ513" s="707">
        <v>0</v>
      </c>
      <c r="CR513" s="707">
        <v>0</v>
      </c>
    </row>
    <row r="514" spans="1:96" s="53" customFormat="1">
      <c r="A514" s="774" t="s">
        <v>3</v>
      </c>
      <c r="B514" s="772">
        <v>41995</v>
      </c>
      <c r="C514" s="771">
        <v>2014</v>
      </c>
      <c r="D514" s="773" t="s">
        <v>1</v>
      </c>
      <c r="E514" s="773" t="s">
        <v>12</v>
      </c>
      <c r="F514" s="773" t="s">
        <v>457</v>
      </c>
      <c r="G514" s="772" t="s">
        <v>656</v>
      </c>
      <c r="H514" s="772" t="s">
        <v>371</v>
      </c>
      <c r="I514" s="773" t="s">
        <v>5</v>
      </c>
      <c r="J514" s="773" t="s">
        <v>376</v>
      </c>
      <c r="K514" s="706"/>
      <c r="L514" s="772" t="s">
        <v>651</v>
      </c>
      <c r="M514" s="772" t="s">
        <v>815</v>
      </c>
      <c r="N514" s="771">
        <v>20</v>
      </c>
      <c r="O514" s="708" t="s">
        <v>7</v>
      </c>
      <c r="P514" s="769" t="s">
        <v>7</v>
      </c>
      <c r="Q514" s="706"/>
      <c r="R514" s="706"/>
      <c r="S514" s="706"/>
      <c r="T514" s="706"/>
      <c r="U514" s="710">
        <v>0.54400000000000004</v>
      </c>
      <c r="V514" s="707">
        <v>1411.136</v>
      </c>
      <c r="W514" s="710">
        <v>0.42798150005624364</v>
      </c>
      <c r="X514" s="707">
        <v>1775.7906941561307</v>
      </c>
      <c r="Y514" s="707">
        <v>35515.813883122617</v>
      </c>
      <c r="Z514" s="707">
        <v>31135.967540988571</v>
      </c>
      <c r="AA514" s="707">
        <v>1556.7983770494286</v>
      </c>
      <c r="AB514" s="710">
        <v>0.37284672848603845</v>
      </c>
      <c r="AC514" s="769">
        <v>1.2584121545734293</v>
      </c>
      <c r="AD514" s="769">
        <v>0.78673069863280076</v>
      </c>
      <c r="AE514" s="707"/>
      <c r="AF514" s="770"/>
      <c r="AG514" s="706"/>
      <c r="AH514" s="769">
        <v>0.87667898146590473</v>
      </c>
      <c r="AI514" s="748"/>
      <c r="AJ514" s="748"/>
      <c r="AK514" s="748"/>
      <c r="AL514" s="769">
        <v>0.87117487189759468</v>
      </c>
      <c r="AM514" s="706"/>
      <c r="AN514" s="706"/>
      <c r="AO514" s="706"/>
      <c r="AP514" s="768">
        <v>0.65943600867678953</v>
      </c>
      <c r="AQ514" s="768">
        <v>10.550976138828633</v>
      </c>
      <c r="AR514" s="706"/>
      <c r="AS514" s="738"/>
      <c r="AT514" s="738"/>
      <c r="AU514" s="710">
        <v>0</v>
      </c>
      <c r="AV514" s="710">
        <v>0.37284672848603845</v>
      </c>
      <c r="AW514" s="710">
        <v>0.37284672848603845</v>
      </c>
      <c r="AX514" s="710">
        <v>0.37284672848603845</v>
      </c>
      <c r="AY514" s="710">
        <v>0.37284672848603845</v>
      </c>
      <c r="AZ514" s="710">
        <v>0.37284672848603845</v>
      </c>
      <c r="BA514" s="710">
        <v>0.37284672848603845</v>
      </c>
      <c r="BB514" s="710">
        <v>0.37284672848603845</v>
      </c>
      <c r="BC514" s="710">
        <v>0.37284672848603845</v>
      </c>
      <c r="BD514" s="710">
        <v>0.37284672848603845</v>
      </c>
      <c r="BE514" s="710">
        <v>0.37284672848603845</v>
      </c>
      <c r="BF514" s="710">
        <v>0.37284672848603845</v>
      </c>
      <c r="BG514" s="710">
        <v>0.37284672848603845</v>
      </c>
      <c r="BH514" s="710">
        <v>0.37284672848603845</v>
      </c>
      <c r="BI514" s="710">
        <v>0.37284672848603845</v>
      </c>
      <c r="BJ514" s="710">
        <v>0.37284672848603845</v>
      </c>
      <c r="BK514" s="710">
        <v>0.37284672848603845</v>
      </c>
      <c r="BL514" s="710">
        <v>0.37284672848603845</v>
      </c>
      <c r="BM514" s="710">
        <v>0.37284672848603845</v>
      </c>
      <c r="BN514" s="710">
        <v>0.37284672848603845</v>
      </c>
      <c r="BO514" s="710">
        <v>0.37284672848603845</v>
      </c>
      <c r="BP514" s="710">
        <v>0</v>
      </c>
      <c r="BQ514" s="710">
        <v>0</v>
      </c>
      <c r="BR514" s="710">
        <v>0</v>
      </c>
      <c r="BS514" s="767"/>
      <c r="BT514" s="767"/>
      <c r="BU514" s="707">
        <v>0</v>
      </c>
      <c r="BV514" s="707">
        <v>1556.7983770494286</v>
      </c>
      <c r="BW514" s="707">
        <v>1556.7983770494286</v>
      </c>
      <c r="BX514" s="707">
        <v>1556.7983770494286</v>
      </c>
      <c r="BY514" s="707">
        <v>1556.7983770494286</v>
      </c>
      <c r="BZ514" s="707">
        <v>1556.7983770494286</v>
      </c>
      <c r="CA514" s="707">
        <v>1556.7983770494286</v>
      </c>
      <c r="CB514" s="707">
        <v>1556.7983770494286</v>
      </c>
      <c r="CC514" s="707">
        <v>1556.7983770494286</v>
      </c>
      <c r="CD514" s="707">
        <v>1556.7983770494286</v>
      </c>
      <c r="CE514" s="707">
        <v>1556.7983770494286</v>
      </c>
      <c r="CF514" s="707">
        <v>1556.7983770494286</v>
      </c>
      <c r="CG514" s="707">
        <v>1556.7983770494286</v>
      </c>
      <c r="CH514" s="707">
        <v>1556.7983770494286</v>
      </c>
      <c r="CI514" s="707">
        <v>1556.7983770494286</v>
      </c>
      <c r="CJ514" s="707">
        <v>1556.7983770494286</v>
      </c>
      <c r="CK514" s="707">
        <v>1556.7983770494286</v>
      </c>
      <c r="CL514" s="707">
        <v>1556.7983770494286</v>
      </c>
      <c r="CM514" s="707">
        <v>1556.7983770494286</v>
      </c>
      <c r="CN514" s="707">
        <v>1556.7983770494286</v>
      </c>
      <c r="CO514" s="707">
        <v>1556.7983770494286</v>
      </c>
      <c r="CP514" s="707">
        <v>0</v>
      </c>
      <c r="CQ514" s="707">
        <v>0</v>
      </c>
      <c r="CR514" s="707">
        <v>0</v>
      </c>
    </row>
    <row r="515" spans="1:96" s="53" customFormat="1">
      <c r="A515" s="774" t="s">
        <v>3</v>
      </c>
      <c r="B515" s="772">
        <v>41995</v>
      </c>
      <c r="C515" s="771">
        <v>2014</v>
      </c>
      <c r="D515" s="773" t="s">
        <v>1</v>
      </c>
      <c r="E515" s="773" t="s">
        <v>12</v>
      </c>
      <c r="F515" s="773" t="s">
        <v>457</v>
      </c>
      <c r="G515" s="772" t="s">
        <v>656</v>
      </c>
      <c r="H515" s="772" t="s">
        <v>371</v>
      </c>
      <c r="I515" s="773" t="s">
        <v>5</v>
      </c>
      <c r="J515" s="773" t="s">
        <v>376</v>
      </c>
      <c r="K515" s="706"/>
      <c r="L515" s="772" t="s">
        <v>651</v>
      </c>
      <c r="M515" s="772" t="s">
        <v>814</v>
      </c>
      <c r="N515" s="771">
        <v>20</v>
      </c>
      <c r="O515" s="708" t="s">
        <v>7</v>
      </c>
      <c r="P515" s="769" t="s">
        <v>7</v>
      </c>
      <c r="Q515" s="706"/>
      <c r="R515" s="706"/>
      <c r="S515" s="706"/>
      <c r="T515" s="706"/>
      <c r="U515" s="710">
        <v>0.88400000000000001</v>
      </c>
      <c r="V515" s="707">
        <v>2293.096</v>
      </c>
      <c r="W515" s="710">
        <v>0.69546993759139597</v>
      </c>
      <c r="X515" s="707">
        <v>2885.6598780037125</v>
      </c>
      <c r="Y515" s="707">
        <v>57713.197560074252</v>
      </c>
      <c r="Z515" s="707">
        <v>50595.947254106432</v>
      </c>
      <c r="AA515" s="707">
        <v>2529.7973627053216</v>
      </c>
      <c r="AB515" s="710">
        <v>0.60587593378981253</v>
      </c>
      <c r="AC515" s="769">
        <v>1.2584121545734293</v>
      </c>
      <c r="AD515" s="769">
        <v>0.78673069863280087</v>
      </c>
      <c r="AE515" s="707"/>
      <c r="AF515" s="770"/>
      <c r="AG515" s="706"/>
      <c r="AH515" s="769">
        <v>0.87667898146590473</v>
      </c>
      <c r="AI515" s="748"/>
      <c r="AJ515" s="748"/>
      <c r="AK515" s="748"/>
      <c r="AL515" s="769">
        <v>0.87117487189759468</v>
      </c>
      <c r="AM515" s="706"/>
      <c r="AN515" s="706"/>
      <c r="AO515" s="706"/>
      <c r="AP515" s="768">
        <v>1.0715835140997831</v>
      </c>
      <c r="AQ515" s="768">
        <v>27.861171366594359</v>
      </c>
      <c r="AR515" s="706"/>
      <c r="AS515" s="738"/>
      <c r="AT515" s="738"/>
      <c r="AU515" s="710">
        <v>0</v>
      </c>
      <c r="AV515" s="710">
        <v>0.60587593378981253</v>
      </c>
      <c r="AW515" s="710">
        <v>0.60587593378981253</v>
      </c>
      <c r="AX515" s="710">
        <v>0.60587593378981253</v>
      </c>
      <c r="AY515" s="710">
        <v>0.60587593378981253</v>
      </c>
      <c r="AZ515" s="710">
        <v>0.60587593378981253</v>
      </c>
      <c r="BA515" s="710">
        <v>0.60587593378981253</v>
      </c>
      <c r="BB515" s="710">
        <v>0.60587593378981253</v>
      </c>
      <c r="BC515" s="710">
        <v>0.60587593378981253</v>
      </c>
      <c r="BD515" s="710">
        <v>0.60587593378981253</v>
      </c>
      <c r="BE515" s="710">
        <v>0.60587593378981253</v>
      </c>
      <c r="BF515" s="710">
        <v>0.60587593378981253</v>
      </c>
      <c r="BG515" s="710">
        <v>0.60587593378981253</v>
      </c>
      <c r="BH515" s="710">
        <v>0.60587593378981253</v>
      </c>
      <c r="BI515" s="710">
        <v>0.60587593378981253</v>
      </c>
      <c r="BJ515" s="710">
        <v>0.60587593378981253</v>
      </c>
      <c r="BK515" s="710">
        <v>0.60587593378981253</v>
      </c>
      <c r="BL515" s="710">
        <v>0.60587593378981253</v>
      </c>
      <c r="BM515" s="710">
        <v>0.60587593378981253</v>
      </c>
      <c r="BN515" s="710">
        <v>0.60587593378981253</v>
      </c>
      <c r="BO515" s="710">
        <v>0.60587593378981253</v>
      </c>
      <c r="BP515" s="710">
        <v>0</v>
      </c>
      <c r="BQ515" s="710">
        <v>0</v>
      </c>
      <c r="BR515" s="710">
        <v>0</v>
      </c>
      <c r="BS515" s="767"/>
      <c r="BT515" s="767"/>
      <c r="BU515" s="707">
        <v>0</v>
      </c>
      <c r="BV515" s="707">
        <v>2529.7973627053216</v>
      </c>
      <c r="BW515" s="707">
        <v>2529.7973627053216</v>
      </c>
      <c r="BX515" s="707">
        <v>2529.7973627053216</v>
      </c>
      <c r="BY515" s="707">
        <v>2529.7973627053216</v>
      </c>
      <c r="BZ515" s="707">
        <v>2529.7973627053216</v>
      </c>
      <c r="CA515" s="707">
        <v>2529.7973627053216</v>
      </c>
      <c r="CB515" s="707">
        <v>2529.7973627053216</v>
      </c>
      <c r="CC515" s="707">
        <v>2529.7973627053216</v>
      </c>
      <c r="CD515" s="707">
        <v>2529.7973627053216</v>
      </c>
      <c r="CE515" s="707">
        <v>2529.7973627053216</v>
      </c>
      <c r="CF515" s="707">
        <v>2529.7973627053216</v>
      </c>
      <c r="CG515" s="707">
        <v>2529.7973627053216</v>
      </c>
      <c r="CH515" s="707">
        <v>2529.7973627053216</v>
      </c>
      <c r="CI515" s="707">
        <v>2529.7973627053216</v>
      </c>
      <c r="CJ515" s="707">
        <v>2529.7973627053216</v>
      </c>
      <c r="CK515" s="707">
        <v>2529.7973627053216</v>
      </c>
      <c r="CL515" s="707">
        <v>2529.7973627053216</v>
      </c>
      <c r="CM515" s="707">
        <v>2529.7973627053216</v>
      </c>
      <c r="CN515" s="707">
        <v>2529.7973627053216</v>
      </c>
      <c r="CO515" s="707">
        <v>2529.7973627053216</v>
      </c>
      <c r="CP515" s="707">
        <v>0</v>
      </c>
      <c r="CQ515" s="707">
        <v>0</v>
      </c>
      <c r="CR515" s="707">
        <v>0</v>
      </c>
    </row>
    <row r="516" spans="1:96" s="53" customFormat="1">
      <c r="A516" s="774" t="s">
        <v>3</v>
      </c>
      <c r="B516" s="772">
        <v>41910</v>
      </c>
      <c r="C516" s="771">
        <v>2014</v>
      </c>
      <c r="D516" s="773" t="s">
        <v>1</v>
      </c>
      <c r="E516" s="773" t="s">
        <v>12</v>
      </c>
      <c r="F516" s="773" t="s">
        <v>457</v>
      </c>
      <c r="G516" s="772" t="s">
        <v>656</v>
      </c>
      <c r="H516" s="772" t="s">
        <v>371</v>
      </c>
      <c r="I516" s="773" t="s">
        <v>5</v>
      </c>
      <c r="J516" s="773" t="s">
        <v>376</v>
      </c>
      <c r="K516" s="706"/>
      <c r="L516" s="772" t="s">
        <v>651</v>
      </c>
      <c r="M516" s="772" t="s">
        <v>804</v>
      </c>
      <c r="N516" s="771">
        <v>20</v>
      </c>
      <c r="O516" s="708" t="s">
        <v>7</v>
      </c>
      <c r="P516" s="769" t="s">
        <v>7</v>
      </c>
      <c r="Q516" s="706"/>
      <c r="R516" s="706"/>
      <c r="S516" s="706"/>
      <c r="T516" s="706"/>
      <c r="U516" s="710">
        <v>0.13</v>
      </c>
      <c r="V516" s="707">
        <v>337.22</v>
      </c>
      <c r="W516" s="710">
        <v>0.11877256173776106</v>
      </c>
      <c r="X516" s="707">
        <v>407.74275722970623</v>
      </c>
      <c r="Y516" s="707">
        <v>8154.8551445941248</v>
      </c>
      <c r="Z516" s="707">
        <v>5983.7699780952516</v>
      </c>
      <c r="AA516" s="707">
        <v>299.18849890476258</v>
      </c>
      <c r="AB516" s="710">
        <v>8.5887608491170164E-2</v>
      </c>
      <c r="AC516" s="769">
        <v>1.209129818011109</v>
      </c>
      <c r="AD516" s="769">
        <v>0.91363509029046963</v>
      </c>
      <c r="AE516" s="707"/>
      <c r="AF516" s="770"/>
      <c r="AG516" s="706"/>
      <c r="AH516" s="769">
        <v>0.7337677827498762</v>
      </c>
      <c r="AI516" s="748"/>
      <c r="AJ516" s="748"/>
      <c r="AK516" s="748"/>
      <c r="AL516" s="769">
        <v>0.7231266820766411</v>
      </c>
      <c r="AM516" s="706"/>
      <c r="AN516" s="706"/>
      <c r="AO516" s="706"/>
      <c r="AP516" s="768">
        <v>30.450134770889484</v>
      </c>
      <c r="AQ516" s="768">
        <v>152.25067385444743</v>
      </c>
      <c r="AR516" s="706"/>
      <c r="AS516" s="738"/>
      <c r="AT516" s="738"/>
      <c r="AU516" s="710">
        <v>0</v>
      </c>
      <c r="AV516" s="710">
        <v>8.5887608491170164E-2</v>
      </c>
      <c r="AW516" s="710">
        <v>8.5887608491170164E-2</v>
      </c>
      <c r="AX516" s="710">
        <v>8.5887608491170164E-2</v>
      </c>
      <c r="AY516" s="710">
        <v>8.5887608491170164E-2</v>
      </c>
      <c r="AZ516" s="710">
        <v>8.5887608491170164E-2</v>
      </c>
      <c r="BA516" s="710">
        <v>8.5887608491170164E-2</v>
      </c>
      <c r="BB516" s="710">
        <v>8.5887608491170164E-2</v>
      </c>
      <c r="BC516" s="710">
        <v>8.5887608491170164E-2</v>
      </c>
      <c r="BD516" s="710">
        <v>8.5887608491170164E-2</v>
      </c>
      <c r="BE516" s="710">
        <v>8.5887608491170164E-2</v>
      </c>
      <c r="BF516" s="710">
        <v>8.5887608491170164E-2</v>
      </c>
      <c r="BG516" s="710">
        <v>8.5887608491170164E-2</v>
      </c>
      <c r="BH516" s="710">
        <v>8.5887608491170164E-2</v>
      </c>
      <c r="BI516" s="710">
        <v>8.5887608491170164E-2</v>
      </c>
      <c r="BJ516" s="710">
        <v>8.5887608491170164E-2</v>
      </c>
      <c r="BK516" s="710">
        <v>8.5887608491170164E-2</v>
      </c>
      <c r="BL516" s="710">
        <v>8.5887608491170164E-2</v>
      </c>
      <c r="BM516" s="710">
        <v>8.5887608491170164E-2</v>
      </c>
      <c r="BN516" s="710">
        <v>8.5887608491170164E-2</v>
      </c>
      <c r="BO516" s="710">
        <v>8.5887608491170164E-2</v>
      </c>
      <c r="BP516" s="710">
        <v>0</v>
      </c>
      <c r="BQ516" s="710">
        <v>0</v>
      </c>
      <c r="BR516" s="710">
        <v>0</v>
      </c>
      <c r="BS516" s="767"/>
      <c r="BT516" s="767"/>
      <c r="BU516" s="707">
        <v>0</v>
      </c>
      <c r="BV516" s="707">
        <v>299.18849890476258</v>
      </c>
      <c r="BW516" s="707">
        <v>299.18849890476258</v>
      </c>
      <c r="BX516" s="707">
        <v>299.18849890476258</v>
      </c>
      <c r="BY516" s="707">
        <v>299.18849890476258</v>
      </c>
      <c r="BZ516" s="707">
        <v>299.18849890476258</v>
      </c>
      <c r="CA516" s="707">
        <v>299.18849890476258</v>
      </c>
      <c r="CB516" s="707">
        <v>299.18849890476258</v>
      </c>
      <c r="CC516" s="707">
        <v>299.18849890476258</v>
      </c>
      <c r="CD516" s="707">
        <v>299.18849890476258</v>
      </c>
      <c r="CE516" s="707">
        <v>299.18849890476258</v>
      </c>
      <c r="CF516" s="707">
        <v>299.18849890476258</v>
      </c>
      <c r="CG516" s="707">
        <v>299.18849890476258</v>
      </c>
      <c r="CH516" s="707">
        <v>299.18849890476258</v>
      </c>
      <c r="CI516" s="707">
        <v>299.18849890476258</v>
      </c>
      <c r="CJ516" s="707">
        <v>299.18849890476258</v>
      </c>
      <c r="CK516" s="707">
        <v>299.18849890476258</v>
      </c>
      <c r="CL516" s="707">
        <v>299.18849890476258</v>
      </c>
      <c r="CM516" s="707">
        <v>299.18849890476258</v>
      </c>
      <c r="CN516" s="707">
        <v>299.18849890476258</v>
      </c>
      <c r="CO516" s="707">
        <v>299.18849890476258</v>
      </c>
      <c r="CP516" s="707">
        <v>0</v>
      </c>
      <c r="CQ516" s="707">
        <v>0</v>
      </c>
      <c r="CR516" s="707">
        <v>0</v>
      </c>
    </row>
    <row r="517" spans="1:96" s="53" customFormat="1">
      <c r="A517" s="774" t="s">
        <v>3</v>
      </c>
      <c r="B517" s="772">
        <v>41910</v>
      </c>
      <c r="C517" s="771">
        <v>2014</v>
      </c>
      <c r="D517" s="773" t="s">
        <v>1</v>
      </c>
      <c r="E517" s="773" t="s">
        <v>12</v>
      </c>
      <c r="F517" s="773" t="s">
        <v>457</v>
      </c>
      <c r="G517" s="772" t="s">
        <v>656</v>
      </c>
      <c r="H517" s="772" t="s">
        <v>371</v>
      </c>
      <c r="I517" s="773" t="s">
        <v>5</v>
      </c>
      <c r="J517" s="773" t="s">
        <v>376</v>
      </c>
      <c r="K517" s="706"/>
      <c r="L517" s="772" t="s">
        <v>651</v>
      </c>
      <c r="M517" s="772" t="s">
        <v>804</v>
      </c>
      <c r="N517" s="771">
        <v>20</v>
      </c>
      <c r="O517" s="708" t="s">
        <v>7</v>
      </c>
      <c r="P517" s="769" t="s">
        <v>7</v>
      </c>
      <c r="Q517" s="706"/>
      <c r="R517" s="706"/>
      <c r="S517" s="706"/>
      <c r="T517" s="706"/>
      <c r="U517" s="710">
        <v>0.61199999999999999</v>
      </c>
      <c r="V517" s="707">
        <v>1587.528</v>
      </c>
      <c r="W517" s="710">
        <v>0.55914467525776745</v>
      </c>
      <c r="X517" s="707">
        <v>1919.5274417275398</v>
      </c>
      <c r="Y517" s="707">
        <v>38390.548834550798</v>
      </c>
      <c r="Z517" s="707">
        <v>28169.74789687918</v>
      </c>
      <c r="AA517" s="707">
        <v>1408.487394843959</v>
      </c>
      <c r="AB517" s="710">
        <v>0.40433243381997036</v>
      </c>
      <c r="AC517" s="769">
        <v>1.209129818011109</v>
      </c>
      <c r="AD517" s="769">
        <v>0.91363509029046974</v>
      </c>
      <c r="AE517" s="707"/>
      <c r="AF517" s="770"/>
      <c r="AG517" s="706"/>
      <c r="AH517" s="769">
        <v>0.7337677827498762</v>
      </c>
      <c r="AI517" s="748"/>
      <c r="AJ517" s="748"/>
      <c r="AK517" s="748"/>
      <c r="AL517" s="769">
        <v>0.7231266820766411</v>
      </c>
      <c r="AM517" s="706"/>
      <c r="AN517" s="706"/>
      <c r="AO517" s="706"/>
      <c r="AP517" s="768">
        <v>39.819407008086245</v>
      </c>
      <c r="AQ517" s="768">
        <v>716.74932614555246</v>
      </c>
      <c r="AR517" s="706"/>
      <c r="AS517" s="738"/>
      <c r="AT517" s="738"/>
      <c r="AU517" s="710">
        <v>0</v>
      </c>
      <c r="AV517" s="710">
        <v>0.40433243381997036</v>
      </c>
      <c r="AW517" s="710">
        <v>0.40433243381997036</v>
      </c>
      <c r="AX517" s="710">
        <v>0.40433243381997036</v>
      </c>
      <c r="AY517" s="710">
        <v>0.40433243381997036</v>
      </c>
      <c r="AZ517" s="710">
        <v>0.40433243381997036</v>
      </c>
      <c r="BA517" s="710">
        <v>0.40433243381997036</v>
      </c>
      <c r="BB517" s="710">
        <v>0.40433243381997036</v>
      </c>
      <c r="BC517" s="710">
        <v>0.40433243381997036</v>
      </c>
      <c r="BD517" s="710">
        <v>0.40433243381997036</v>
      </c>
      <c r="BE517" s="710">
        <v>0.40433243381997036</v>
      </c>
      <c r="BF517" s="710">
        <v>0.40433243381997036</v>
      </c>
      <c r="BG517" s="710">
        <v>0.40433243381997036</v>
      </c>
      <c r="BH517" s="710">
        <v>0.40433243381997036</v>
      </c>
      <c r="BI517" s="710">
        <v>0.40433243381997036</v>
      </c>
      <c r="BJ517" s="710">
        <v>0.40433243381997036</v>
      </c>
      <c r="BK517" s="710">
        <v>0.40433243381997036</v>
      </c>
      <c r="BL517" s="710">
        <v>0.40433243381997036</v>
      </c>
      <c r="BM517" s="710">
        <v>0.40433243381997036</v>
      </c>
      <c r="BN517" s="710">
        <v>0.40433243381997036</v>
      </c>
      <c r="BO517" s="710">
        <v>0.40433243381997036</v>
      </c>
      <c r="BP517" s="710">
        <v>0</v>
      </c>
      <c r="BQ517" s="710">
        <v>0</v>
      </c>
      <c r="BR517" s="710">
        <v>0</v>
      </c>
      <c r="BS517" s="767"/>
      <c r="BT517" s="767"/>
      <c r="BU517" s="707">
        <v>0</v>
      </c>
      <c r="BV517" s="707">
        <v>1408.487394843959</v>
      </c>
      <c r="BW517" s="707">
        <v>1408.487394843959</v>
      </c>
      <c r="BX517" s="707">
        <v>1408.487394843959</v>
      </c>
      <c r="BY517" s="707">
        <v>1408.487394843959</v>
      </c>
      <c r="BZ517" s="707">
        <v>1408.487394843959</v>
      </c>
      <c r="CA517" s="707">
        <v>1408.487394843959</v>
      </c>
      <c r="CB517" s="707">
        <v>1408.487394843959</v>
      </c>
      <c r="CC517" s="707">
        <v>1408.487394843959</v>
      </c>
      <c r="CD517" s="707">
        <v>1408.487394843959</v>
      </c>
      <c r="CE517" s="707">
        <v>1408.487394843959</v>
      </c>
      <c r="CF517" s="707">
        <v>1408.487394843959</v>
      </c>
      <c r="CG517" s="707">
        <v>1408.487394843959</v>
      </c>
      <c r="CH517" s="707">
        <v>1408.487394843959</v>
      </c>
      <c r="CI517" s="707">
        <v>1408.487394843959</v>
      </c>
      <c r="CJ517" s="707">
        <v>1408.487394843959</v>
      </c>
      <c r="CK517" s="707">
        <v>1408.487394843959</v>
      </c>
      <c r="CL517" s="707">
        <v>1408.487394843959</v>
      </c>
      <c r="CM517" s="707">
        <v>1408.487394843959</v>
      </c>
      <c r="CN517" s="707">
        <v>1408.487394843959</v>
      </c>
      <c r="CO517" s="707">
        <v>1408.487394843959</v>
      </c>
      <c r="CP517" s="707">
        <v>0</v>
      </c>
      <c r="CQ517" s="707">
        <v>0</v>
      </c>
      <c r="CR517" s="707">
        <v>0</v>
      </c>
    </row>
    <row r="518" spans="1:96" s="53" customFormat="1">
      <c r="A518" s="774" t="s">
        <v>3</v>
      </c>
      <c r="B518" s="772">
        <v>41933</v>
      </c>
      <c r="C518" s="771">
        <v>2014</v>
      </c>
      <c r="D518" s="773" t="s">
        <v>1</v>
      </c>
      <c r="E518" s="773" t="s">
        <v>12</v>
      </c>
      <c r="F518" s="773" t="s">
        <v>457</v>
      </c>
      <c r="G518" s="772" t="s">
        <v>656</v>
      </c>
      <c r="H518" s="772" t="s">
        <v>371</v>
      </c>
      <c r="I518" s="773" t="s">
        <v>5</v>
      </c>
      <c r="J518" s="773" t="s">
        <v>376</v>
      </c>
      <c r="K518" s="706"/>
      <c r="L518" s="772" t="s">
        <v>651</v>
      </c>
      <c r="M518" s="772" t="s">
        <v>813</v>
      </c>
      <c r="N518" s="771">
        <v>13</v>
      </c>
      <c r="O518" s="708">
        <v>1</v>
      </c>
      <c r="P518" s="769">
        <v>0.61496236566876838</v>
      </c>
      <c r="Q518" s="706"/>
      <c r="R518" s="706"/>
      <c r="S518" s="706"/>
      <c r="T518" s="706"/>
      <c r="U518" s="710">
        <v>17.765999999999998</v>
      </c>
      <c r="V518" s="707">
        <v>46085.004000000001</v>
      </c>
      <c r="W518" s="710">
        <v>16.629929774898365</v>
      </c>
      <c r="X518" s="707">
        <v>59252.939128212878</v>
      </c>
      <c r="Y518" s="707">
        <v>496512.87055757269</v>
      </c>
      <c r="Z518" s="707">
        <v>393237.04519686173</v>
      </c>
      <c r="AA518" s="707">
        <v>46928.190755341471</v>
      </c>
      <c r="AB518" s="710">
        <v>13.362019861236368</v>
      </c>
      <c r="AC518" s="769">
        <v>1.2857314524310961</v>
      </c>
      <c r="AD518" s="769">
        <v>0.93605368540461364</v>
      </c>
      <c r="AE518" s="707"/>
      <c r="AF518" s="770"/>
      <c r="AG518" s="706"/>
      <c r="AH518" s="769">
        <v>0.79199768730116782</v>
      </c>
      <c r="AI518" s="748"/>
      <c r="AJ518" s="748"/>
      <c r="AK518" s="748"/>
      <c r="AL518" s="769">
        <v>0.80349226016608544</v>
      </c>
      <c r="AM518" s="706"/>
      <c r="AN518" s="706"/>
      <c r="AO518" s="706"/>
      <c r="AP518" s="768">
        <v>26.289841269841268</v>
      </c>
      <c r="AQ518" s="768">
        <v>9937.56</v>
      </c>
      <c r="AR518" s="706"/>
      <c r="AS518" s="738"/>
      <c r="AT518" s="738"/>
      <c r="AU518" s="710">
        <v>0</v>
      </c>
      <c r="AV518" s="710">
        <v>13.362019861236368</v>
      </c>
      <c r="AW518" s="710">
        <v>8.2171393439789853</v>
      </c>
      <c r="AX518" s="710">
        <v>8.2171393439789853</v>
      </c>
      <c r="AY518" s="710">
        <v>8.2171393439789853</v>
      </c>
      <c r="AZ518" s="710">
        <v>8.2171393439789853</v>
      </c>
      <c r="BA518" s="710">
        <v>8.2171393439789853</v>
      </c>
      <c r="BB518" s="710">
        <v>8.2171393439789853</v>
      </c>
      <c r="BC518" s="710">
        <v>8.2171393439789853</v>
      </c>
      <c r="BD518" s="710">
        <v>8.2171393439789853</v>
      </c>
      <c r="BE518" s="710">
        <v>8.2171393439789853</v>
      </c>
      <c r="BF518" s="710">
        <v>8.2171393439789853</v>
      </c>
      <c r="BG518" s="710">
        <v>8.2171393439789853</v>
      </c>
      <c r="BH518" s="710">
        <v>8.2171393439789853</v>
      </c>
      <c r="BI518" s="710">
        <v>0</v>
      </c>
      <c r="BJ518" s="710">
        <v>0</v>
      </c>
      <c r="BK518" s="710">
        <v>0</v>
      </c>
      <c r="BL518" s="710">
        <v>0</v>
      </c>
      <c r="BM518" s="710">
        <v>0</v>
      </c>
      <c r="BN518" s="710">
        <v>0</v>
      </c>
      <c r="BO518" s="710">
        <v>0</v>
      </c>
      <c r="BP518" s="710">
        <v>0</v>
      </c>
      <c r="BQ518" s="710">
        <v>0</v>
      </c>
      <c r="BR518" s="710">
        <v>0</v>
      </c>
      <c r="BS518" s="767"/>
      <c r="BT518" s="767"/>
      <c r="BU518" s="707">
        <v>0</v>
      </c>
      <c r="BV518" s="707">
        <v>46928.190755341471</v>
      </c>
      <c r="BW518" s="707">
        <v>28859.071203460018</v>
      </c>
      <c r="BX518" s="707">
        <v>28859.071203460018</v>
      </c>
      <c r="BY518" s="707">
        <v>28859.071203460018</v>
      </c>
      <c r="BZ518" s="707">
        <v>28859.071203460018</v>
      </c>
      <c r="CA518" s="707">
        <v>28859.071203460018</v>
      </c>
      <c r="CB518" s="707">
        <v>28859.071203460018</v>
      </c>
      <c r="CC518" s="707">
        <v>28859.071203460018</v>
      </c>
      <c r="CD518" s="707">
        <v>28859.071203460018</v>
      </c>
      <c r="CE518" s="707">
        <v>28859.071203460018</v>
      </c>
      <c r="CF518" s="707">
        <v>28859.071203460018</v>
      </c>
      <c r="CG518" s="707">
        <v>28859.071203460018</v>
      </c>
      <c r="CH518" s="707">
        <v>28859.071203460018</v>
      </c>
      <c r="CI518" s="707">
        <v>0</v>
      </c>
      <c r="CJ518" s="707">
        <v>0</v>
      </c>
      <c r="CK518" s="707">
        <v>0</v>
      </c>
      <c r="CL518" s="707">
        <v>0</v>
      </c>
      <c r="CM518" s="707">
        <v>0</v>
      </c>
      <c r="CN518" s="707">
        <v>0</v>
      </c>
      <c r="CO518" s="707">
        <v>0</v>
      </c>
      <c r="CP518" s="707">
        <v>0</v>
      </c>
      <c r="CQ518" s="707">
        <v>0</v>
      </c>
      <c r="CR518" s="707">
        <v>0</v>
      </c>
    </row>
    <row r="519" spans="1:96" s="53" customFormat="1">
      <c r="A519" s="774" t="s">
        <v>3</v>
      </c>
      <c r="B519" s="772">
        <v>41971</v>
      </c>
      <c r="C519" s="771">
        <v>2014</v>
      </c>
      <c r="D519" s="773" t="s">
        <v>1</v>
      </c>
      <c r="E519" s="773" t="s">
        <v>12</v>
      </c>
      <c r="F519" s="773" t="s">
        <v>457</v>
      </c>
      <c r="G519" s="772" t="s">
        <v>656</v>
      </c>
      <c r="H519" s="772" t="s">
        <v>371</v>
      </c>
      <c r="I519" s="773" t="s">
        <v>5</v>
      </c>
      <c r="J519" s="773" t="s">
        <v>376</v>
      </c>
      <c r="K519" s="706"/>
      <c r="L519" s="772" t="s">
        <v>651</v>
      </c>
      <c r="M519" s="772" t="s">
        <v>813</v>
      </c>
      <c r="N519" s="771">
        <v>13</v>
      </c>
      <c r="O519" s="708">
        <v>1</v>
      </c>
      <c r="P519" s="769">
        <v>0.61496236566876838</v>
      </c>
      <c r="Q519" s="706"/>
      <c r="R519" s="706"/>
      <c r="S519" s="706"/>
      <c r="T519" s="706"/>
      <c r="U519" s="710">
        <v>17.484000000000002</v>
      </c>
      <c r="V519" s="707">
        <v>45353.495999999999</v>
      </c>
      <c r="W519" s="710">
        <v>16.36596263561427</v>
      </c>
      <c r="X519" s="707">
        <v>58312.416284907915</v>
      </c>
      <c r="Y519" s="707">
        <v>488631.71388205577</v>
      </c>
      <c r="Z519" s="707">
        <v>386995.1873365941</v>
      </c>
      <c r="AA519" s="707">
        <v>46183.298838590024</v>
      </c>
      <c r="AB519" s="710">
        <v>13.149924307883415</v>
      </c>
      <c r="AC519" s="769">
        <v>1.2857314524310963</v>
      </c>
      <c r="AD519" s="769">
        <v>0.93605368540461387</v>
      </c>
      <c r="AE519" s="707"/>
      <c r="AF519" s="770"/>
      <c r="AG519" s="706"/>
      <c r="AH519" s="769">
        <v>0.79199768730116782</v>
      </c>
      <c r="AI519" s="748"/>
      <c r="AJ519" s="748"/>
      <c r="AK519" s="748"/>
      <c r="AL519" s="769">
        <v>0.80349226016608544</v>
      </c>
      <c r="AM519" s="706"/>
      <c r="AN519" s="706"/>
      <c r="AO519" s="706"/>
      <c r="AP519" s="768">
        <v>26.277177419354839</v>
      </c>
      <c r="AQ519" s="768">
        <v>9775.11</v>
      </c>
      <c r="AR519" s="706"/>
      <c r="AS519" s="738"/>
      <c r="AT519" s="738"/>
      <c r="AU519" s="710">
        <v>0</v>
      </c>
      <c r="AV519" s="710">
        <v>13.149924307883415</v>
      </c>
      <c r="AW519" s="710">
        <v>8.0867085607412275</v>
      </c>
      <c r="AX519" s="710">
        <v>8.0867085607412275</v>
      </c>
      <c r="AY519" s="710">
        <v>8.0867085607412275</v>
      </c>
      <c r="AZ519" s="710">
        <v>8.0867085607412275</v>
      </c>
      <c r="BA519" s="710">
        <v>8.0867085607412275</v>
      </c>
      <c r="BB519" s="710">
        <v>8.0867085607412275</v>
      </c>
      <c r="BC519" s="710">
        <v>8.0867085607412275</v>
      </c>
      <c r="BD519" s="710">
        <v>8.0867085607412275</v>
      </c>
      <c r="BE519" s="710">
        <v>8.0867085607412275</v>
      </c>
      <c r="BF519" s="710">
        <v>8.0867085607412275</v>
      </c>
      <c r="BG519" s="710">
        <v>8.0867085607412275</v>
      </c>
      <c r="BH519" s="710">
        <v>8.0867085607412275</v>
      </c>
      <c r="BI519" s="710">
        <v>0</v>
      </c>
      <c r="BJ519" s="710">
        <v>0</v>
      </c>
      <c r="BK519" s="710">
        <v>0</v>
      </c>
      <c r="BL519" s="710">
        <v>0</v>
      </c>
      <c r="BM519" s="710">
        <v>0</v>
      </c>
      <c r="BN519" s="710">
        <v>0</v>
      </c>
      <c r="BO519" s="710">
        <v>0</v>
      </c>
      <c r="BP519" s="710">
        <v>0</v>
      </c>
      <c r="BQ519" s="710">
        <v>0</v>
      </c>
      <c r="BR519" s="710">
        <v>0</v>
      </c>
      <c r="BS519" s="767"/>
      <c r="BT519" s="767"/>
      <c r="BU519" s="707">
        <v>0</v>
      </c>
      <c r="BV519" s="707">
        <v>46183.298838590024</v>
      </c>
      <c r="BW519" s="707">
        <v>28400.990708167006</v>
      </c>
      <c r="BX519" s="707">
        <v>28400.990708167006</v>
      </c>
      <c r="BY519" s="707">
        <v>28400.990708167006</v>
      </c>
      <c r="BZ519" s="707">
        <v>28400.990708167006</v>
      </c>
      <c r="CA519" s="707">
        <v>28400.990708167006</v>
      </c>
      <c r="CB519" s="707">
        <v>28400.990708167006</v>
      </c>
      <c r="CC519" s="707">
        <v>28400.990708167006</v>
      </c>
      <c r="CD519" s="707">
        <v>28400.990708167006</v>
      </c>
      <c r="CE519" s="707">
        <v>28400.990708167006</v>
      </c>
      <c r="CF519" s="707">
        <v>28400.990708167006</v>
      </c>
      <c r="CG519" s="707">
        <v>28400.990708167006</v>
      </c>
      <c r="CH519" s="707">
        <v>28400.990708167006</v>
      </c>
      <c r="CI519" s="707">
        <v>0</v>
      </c>
      <c r="CJ519" s="707">
        <v>0</v>
      </c>
      <c r="CK519" s="707">
        <v>0</v>
      </c>
      <c r="CL519" s="707">
        <v>0</v>
      </c>
      <c r="CM519" s="707">
        <v>0</v>
      </c>
      <c r="CN519" s="707">
        <v>0</v>
      </c>
      <c r="CO519" s="707">
        <v>0</v>
      </c>
      <c r="CP519" s="707">
        <v>0</v>
      </c>
      <c r="CQ519" s="707">
        <v>0</v>
      </c>
      <c r="CR519" s="707">
        <v>0</v>
      </c>
    </row>
    <row r="520" spans="1:96" s="53" customFormat="1">
      <c r="A520" s="774" t="s">
        <v>3</v>
      </c>
      <c r="B520" s="772">
        <v>41946</v>
      </c>
      <c r="C520" s="771">
        <v>2014</v>
      </c>
      <c r="D520" s="773" t="s">
        <v>1</v>
      </c>
      <c r="E520" s="773" t="s">
        <v>12</v>
      </c>
      <c r="F520" s="773" t="s">
        <v>457</v>
      </c>
      <c r="G520" s="772" t="s">
        <v>656</v>
      </c>
      <c r="H520" s="772" t="s">
        <v>371</v>
      </c>
      <c r="I520" s="773" t="s">
        <v>5</v>
      </c>
      <c r="J520" s="773" t="s">
        <v>376</v>
      </c>
      <c r="K520" s="706"/>
      <c r="L520" s="772" t="s">
        <v>651</v>
      </c>
      <c r="M520" s="772" t="s">
        <v>813</v>
      </c>
      <c r="N520" s="771">
        <v>13</v>
      </c>
      <c r="O520" s="708">
        <v>1</v>
      </c>
      <c r="P520" s="769">
        <v>0.61496236566876838</v>
      </c>
      <c r="Q520" s="706"/>
      <c r="R520" s="706"/>
      <c r="S520" s="706"/>
      <c r="T520" s="706"/>
      <c r="U520" s="710">
        <v>17.484000000000002</v>
      </c>
      <c r="V520" s="707">
        <v>45353.495999999999</v>
      </c>
      <c r="W520" s="710">
        <v>16.36596263561427</v>
      </c>
      <c r="X520" s="707">
        <v>58312.416284907915</v>
      </c>
      <c r="Y520" s="707">
        <v>488631.71388205577</v>
      </c>
      <c r="Z520" s="707">
        <v>386995.1873365941</v>
      </c>
      <c r="AA520" s="707">
        <v>46183.298838590024</v>
      </c>
      <c r="AB520" s="710">
        <v>13.149924307883415</v>
      </c>
      <c r="AC520" s="769">
        <v>1.2857314524310963</v>
      </c>
      <c r="AD520" s="769">
        <v>0.93605368540461387</v>
      </c>
      <c r="AE520" s="707"/>
      <c r="AF520" s="770"/>
      <c r="AG520" s="706"/>
      <c r="AH520" s="769">
        <v>0.79199768730116782</v>
      </c>
      <c r="AI520" s="748"/>
      <c r="AJ520" s="748"/>
      <c r="AK520" s="748"/>
      <c r="AL520" s="769">
        <v>0.80349226016608544</v>
      </c>
      <c r="AM520" s="706"/>
      <c r="AN520" s="706"/>
      <c r="AO520" s="706"/>
      <c r="AP520" s="768">
        <v>26.277177419354839</v>
      </c>
      <c r="AQ520" s="768">
        <v>9775.11</v>
      </c>
      <c r="AR520" s="706"/>
      <c r="AS520" s="738"/>
      <c r="AT520" s="738"/>
      <c r="AU520" s="710">
        <v>0</v>
      </c>
      <c r="AV520" s="710">
        <v>13.149924307883415</v>
      </c>
      <c r="AW520" s="710">
        <v>8.0867085607412275</v>
      </c>
      <c r="AX520" s="710">
        <v>8.0867085607412275</v>
      </c>
      <c r="AY520" s="710">
        <v>8.0867085607412275</v>
      </c>
      <c r="AZ520" s="710">
        <v>8.0867085607412275</v>
      </c>
      <c r="BA520" s="710">
        <v>8.0867085607412275</v>
      </c>
      <c r="BB520" s="710">
        <v>8.0867085607412275</v>
      </c>
      <c r="BC520" s="710">
        <v>8.0867085607412275</v>
      </c>
      <c r="BD520" s="710">
        <v>8.0867085607412275</v>
      </c>
      <c r="BE520" s="710">
        <v>8.0867085607412275</v>
      </c>
      <c r="BF520" s="710">
        <v>8.0867085607412275</v>
      </c>
      <c r="BG520" s="710">
        <v>8.0867085607412275</v>
      </c>
      <c r="BH520" s="710">
        <v>8.0867085607412275</v>
      </c>
      <c r="BI520" s="710">
        <v>0</v>
      </c>
      <c r="BJ520" s="710">
        <v>0</v>
      </c>
      <c r="BK520" s="710">
        <v>0</v>
      </c>
      <c r="BL520" s="710">
        <v>0</v>
      </c>
      <c r="BM520" s="710">
        <v>0</v>
      </c>
      <c r="BN520" s="710">
        <v>0</v>
      </c>
      <c r="BO520" s="710">
        <v>0</v>
      </c>
      <c r="BP520" s="710">
        <v>0</v>
      </c>
      <c r="BQ520" s="710">
        <v>0</v>
      </c>
      <c r="BR520" s="710">
        <v>0</v>
      </c>
      <c r="BS520" s="767"/>
      <c r="BT520" s="767"/>
      <c r="BU520" s="707">
        <v>0</v>
      </c>
      <c r="BV520" s="707">
        <v>46183.298838590024</v>
      </c>
      <c r="BW520" s="707">
        <v>28400.990708167006</v>
      </c>
      <c r="BX520" s="707">
        <v>28400.990708167006</v>
      </c>
      <c r="BY520" s="707">
        <v>28400.990708167006</v>
      </c>
      <c r="BZ520" s="707">
        <v>28400.990708167006</v>
      </c>
      <c r="CA520" s="707">
        <v>28400.990708167006</v>
      </c>
      <c r="CB520" s="707">
        <v>28400.990708167006</v>
      </c>
      <c r="CC520" s="707">
        <v>28400.990708167006</v>
      </c>
      <c r="CD520" s="707">
        <v>28400.990708167006</v>
      </c>
      <c r="CE520" s="707">
        <v>28400.990708167006</v>
      </c>
      <c r="CF520" s="707">
        <v>28400.990708167006</v>
      </c>
      <c r="CG520" s="707">
        <v>28400.990708167006</v>
      </c>
      <c r="CH520" s="707">
        <v>28400.990708167006</v>
      </c>
      <c r="CI520" s="707">
        <v>0</v>
      </c>
      <c r="CJ520" s="707">
        <v>0</v>
      </c>
      <c r="CK520" s="707">
        <v>0</v>
      </c>
      <c r="CL520" s="707">
        <v>0</v>
      </c>
      <c r="CM520" s="707">
        <v>0</v>
      </c>
      <c r="CN520" s="707">
        <v>0</v>
      </c>
      <c r="CO520" s="707">
        <v>0</v>
      </c>
      <c r="CP520" s="707">
        <v>0</v>
      </c>
      <c r="CQ520" s="707">
        <v>0</v>
      </c>
      <c r="CR520" s="707">
        <v>0</v>
      </c>
    </row>
    <row r="521" spans="1:96" s="53" customFormat="1">
      <c r="A521" s="774" t="s">
        <v>3</v>
      </c>
      <c r="B521" s="772">
        <v>41912</v>
      </c>
      <c r="C521" s="771">
        <v>2014</v>
      </c>
      <c r="D521" s="773" t="s">
        <v>1</v>
      </c>
      <c r="E521" s="773" t="s">
        <v>12</v>
      </c>
      <c r="F521" s="773" t="s">
        <v>457</v>
      </c>
      <c r="G521" s="772" t="s">
        <v>656</v>
      </c>
      <c r="H521" s="772" t="s">
        <v>371</v>
      </c>
      <c r="I521" s="773" t="s">
        <v>5</v>
      </c>
      <c r="J521" s="773" t="s">
        <v>376</v>
      </c>
      <c r="K521" s="706"/>
      <c r="L521" s="772" t="s">
        <v>651</v>
      </c>
      <c r="M521" s="772" t="s">
        <v>812</v>
      </c>
      <c r="N521" s="771">
        <v>20</v>
      </c>
      <c r="O521" s="708" t="s">
        <v>7</v>
      </c>
      <c r="P521" s="769" t="s">
        <v>7</v>
      </c>
      <c r="Q521" s="706"/>
      <c r="R521" s="706"/>
      <c r="S521" s="706"/>
      <c r="T521" s="706"/>
      <c r="U521" s="710">
        <v>0.51</v>
      </c>
      <c r="V521" s="707">
        <v>1322.94</v>
      </c>
      <c r="W521" s="710">
        <v>0.46595389604813953</v>
      </c>
      <c r="X521" s="707">
        <v>1599.6062014396166</v>
      </c>
      <c r="Y521" s="707">
        <v>31992.124028792332</v>
      </c>
      <c r="Z521" s="707">
        <v>23474.789914065987</v>
      </c>
      <c r="AA521" s="707">
        <v>1173.7394957032993</v>
      </c>
      <c r="AB521" s="710">
        <v>0.33694369484997527</v>
      </c>
      <c r="AC521" s="769">
        <v>1.209129818011109</v>
      </c>
      <c r="AD521" s="769">
        <v>0.91363509029046963</v>
      </c>
      <c r="AE521" s="707"/>
      <c r="AF521" s="770"/>
      <c r="AG521" s="706"/>
      <c r="AH521" s="769">
        <v>0.7337677827498762</v>
      </c>
      <c r="AI521" s="748"/>
      <c r="AJ521" s="748"/>
      <c r="AK521" s="748"/>
      <c r="AL521" s="769">
        <v>0.7231266820766411</v>
      </c>
      <c r="AM521" s="706"/>
      <c r="AN521" s="706"/>
      <c r="AO521" s="706"/>
      <c r="AP521" s="768">
        <v>102.66666666666667</v>
      </c>
      <c r="AQ521" s="768">
        <v>1540</v>
      </c>
      <c r="AR521" s="706"/>
      <c r="AS521" s="738"/>
      <c r="AT521" s="738"/>
      <c r="AU521" s="710">
        <v>0</v>
      </c>
      <c r="AV521" s="710">
        <v>0.33694369484997527</v>
      </c>
      <c r="AW521" s="710">
        <v>0.33694369484997527</v>
      </c>
      <c r="AX521" s="710">
        <v>0.33694369484997527</v>
      </c>
      <c r="AY521" s="710">
        <v>0.33694369484997527</v>
      </c>
      <c r="AZ521" s="710">
        <v>0.33694369484997527</v>
      </c>
      <c r="BA521" s="710">
        <v>0.33694369484997527</v>
      </c>
      <c r="BB521" s="710">
        <v>0.33694369484997527</v>
      </c>
      <c r="BC521" s="710">
        <v>0.33694369484997527</v>
      </c>
      <c r="BD521" s="710">
        <v>0.33694369484997527</v>
      </c>
      <c r="BE521" s="710">
        <v>0.33694369484997527</v>
      </c>
      <c r="BF521" s="710">
        <v>0.33694369484997527</v>
      </c>
      <c r="BG521" s="710">
        <v>0.33694369484997527</v>
      </c>
      <c r="BH521" s="710">
        <v>0.33694369484997527</v>
      </c>
      <c r="BI521" s="710">
        <v>0.33694369484997527</v>
      </c>
      <c r="BJ521" s="710">
        <v>0.33694369484997527</v>
      </c>
      <c r="BK521" s="710">
        <v>0.33694369484997527</v>
      </c>
      <c r="BL521" s="710">
        <v>0.33694369484997527</v>
      </c>
      <c r="BM521" s="710">
        <v>0.33694369484997527</v>
      </c>
      <c r="BN521" s="710">
        <v>0.33694369484997527</v>
      </c>
      <c r="BO521" s="710">
        <v>0.33694369484997527</v>
      </c>
      <c r="BP521" s="710">
        <v>0</v>
      </c>
      <c r="BQ521" s="710">
        <v>0</v>
      </c>
      <c r="BR521" s="710">
        <v>0</v>
      </c>
      <c r="BS521" s="767"/>
      <c r="BT521" s="767"/>
      <c r="BU521" s="707">
        <v>0</v>
      </c>
      <c r="BV521" s="707">
        <v>1173.7394957032993</v>
      </c>
      <c r="BW521" s="707">
        <v>1173.7394957032993</v>
      </c>
      <c r="BX521" s="707">
        <v>1173.7394957032993</v>
      </c>
      <c r="BY521" s="707">
        <v>1173.7394957032993</v>
      </c>
      <c r="BZ521" s="707">
        <v>1173.7394957032993</v>
      </c>
      <c r="CA521" s="707">
        <v>1173.7394957032993</v>
      </c>
      <c r="CB521" s="707">
        <v>1173.7394957032993</v>
      </c>
      <c r="CC521" s="707">
        <v>1173.7394957032993</v>
      </c>
      <c r="CD521" s="707">
        <v>1173.7394957032993</v>
      </c>
      <c r="CE521" s="707">
        <v>1173.7394957032993</v>
      </c>
      <c r="CF521" s="707">
        <v>1173.7394957032993</v>
      </c>
      <c r="CG521" s="707">
        <v>1173.7394957032993</v>
      </c>
      <c r="CH521" s="707">
        <v>1173.7394957032993</v>
      </c>
      <c r="CI521" s="707">
        <v>1173.7394957032993</v>
      </c>
      <c r="CJ521" s="707">
        <v>1173.7394957032993</v>
      </c>
      <c r="CK521" s="707">
        <v>1173.7394957032993</v>
      </c>
      <c r="CL521" s="707">
        <v>1173.7394957032993</v>
      </c>
      <c r="CM521" s="707">
        <v>1173.7394957032993</v>
      </c>
      <c r="CN521" s="707">
        <v>1173.7394957032993</v>
      </c>
      <c r="CO521" s="707">
        <v>1173.7394957032993</v>
      </c>
      <c r="CP521" s="707">
        <v>0</v>
      </c>
      <c r="CQ521" s="707">
        <v>0</v>
      </c>
      <c r="CR521" s="707">
        <v>0</v>
      </c>
    </row>
    <row r="522" spans="1:96" s="53" customFormat="1">
      <c r="A522" s="774" t="s">
        <v>3</v>
      </c>
      <c r="B522" s="772">
        <v>41950</v>
      </c>
      <c r="C522" s="771">
        <v>2014</v>
      </c>
      <c r="D522" s="773" t="s">
        <v>1</v>
      </c>
      <c r="E522" s="773" t="s">
        <v>12</v>
      </c>
      <c r="F522" s="773" t="s">
        <v>457</v>
      </c>
      <c r="G522" s="772" t="s">
        <v>656</v>
      </c>
      <c r="H522" s="772" t="s">
        <v>371</v>
      </c>
      <c r="I522" s="773" t="s">
        <v>5</v>
      </c>
      <c r="J522" s="773" t="s">
        <v>376</v>
      </c>
      <c r="K522" s="706"/>
      <c r="L522" s="772" t="s">
        <v>651</v>
      </c>
      <c r="M522" s="772" t="s">
        <v>811</v>
      </c>
      <c r="N522" s="771">
        <v>20</v>
      </c>
      <c r="O522" s="708" t="s">
        <v>7</v>
      </c>
      <c r="P522" s="769" t="s">
        <v>7</v>
      </c>
      <c r="Q522" s="706"/>
      <c r="R522" s="706"/>
      <c r="S522" s="706"/>
      <c r="T522" s="706"/>
      <c r="U522" s="710">
        <v>1.53</v>
      </c>
      <c r="V522" s="707">
        <v>3968.82</v>
      </c>
      <c r="W522" s="710">
        <v>1.3978616881444186</v>
      </c>
      <c r="X522" s="707">
        <v>4798.8186043188507</v>
      </c>
      <c r="Y522" s="707">
        <v>95976.372086377014</v>
      </c>
      <c r="Z522" s="707">
        <v>70424.369742197974</v>
      </c>
      <c r="AA522" s="707">
        <v>3521.2184871098984</v>
      </c>
      <c r="AB522" s="710">
        <v>1.0108310845499258</v>
      </c>
      <c r="AC522" s="769">
        <v>1.2091298180111092</v>
      </c>
      <c r="AD522" s="769">
        <v>0.91363509029046963</v>
      </c>
      <c r="AE522" s="707"/>
      <c r="AF522" s="770"/>
      <c r="AG522" s="706"/>
      <c r="AH522" s="769">
        <v>0.7337677827498762</v>
      </c>
      <c r="AI522" s="748"/>
      <c r="AJ522" s="748"/>
      <c r="AK522" s="748"/>
      <c r="AL522" s="769">
        <v>0.7231266820766411</v>
      </c>
      <c r="AM522" s="706"/>
      <c r="AN522" s="706"/>
      <c r="AO522" s="706"/>
      <c r="AP522" s="768">
        <v>18.888888888888889</v>
      </c>
      <c r="AQ522" s="768">
        <v>850</v>
      </c>
      <c r="AR522" s="706"/>
      <c r="AS522" s="738"/>
      <c r="AT522" s="738"/>
      <c r="AU522" s="710">
        <v>0</v>
      </c>
      <c r="AV522" s="710">
        <v>1.0108310845499258</v>
      </c>
      <c r="AW522" s="710">
        <v>1.0108310845499258</v>
      </c>
      <c r="AX522" s="710">
        <v>1.0108310845499258</v>
      </c>
      <c r="AY522" s="710">
        <v>1.0108310845499258</v>
      </c>
      <c r="AZ522" s="710">
        <v>1.0108310845499258</v>
      </c>
      <c r="BA522" s="710">
        <v>1.0108310845499258</v>
      </c>
      <c r="BB522" s="710">
        <v>1.0108310845499258</v>
      </c>
      <c r="BC522" s="710">
        <v>1.0108310845499258</v>
      </c>
      <c r="BD522" s="710">
        <v>1.0108310845499258</v>
      </c>
      <c r="BE522" s="710">
        <v>1.0108310845499258</v>
      </c>
      <c r="BF522" s="710">
        <v>1.0108310845499258</v>
      </c>
      <c r="BG522" s="710">
        <v>1.0108310845499258</v>
      </c>
      <c r="BH522" s="710">
        <v>1.0108310845499258</v>
      </c>
      <c r="BI522" s="710">
        <v>1.0108310845499258</v>
      </c>
      <c r="BJ522" s="710">
        <v>1.0108310845499258</v>
      </c>
      <c r="BK522" s="710">
        <v>1.0108310845499258</v>
      </c>
      <c r="BL522" s="710">
        <v>1.0108310845499258</v>
      </c>
      <c r="BM522" s="710">
        <v>1.0108310845499258</v>
      </c>
      <c r="BN522" s="710">
        <v>1.0108310845499258</v>
      </c>
      <c r="BO522" s="710">
        <v>1.0108310845499258</v>
      </c>
      <c r="BP522" s="710">
        <v>0</v>
      </c>
      <c r="BQ522" s="710">
        <v>0</v>
      </c>
      <c r="BR522" s="710">
        <v>0</v>
      </c>
      <c r="BS522" s="767"/>
      <c r="BT522" s="767"/>
      <c r="BU522" s="707">
        <v>0</v>
      </c>
      <c r="BV522" s="707">
        <v>3521.2184871098984</v>
      </c>
      <c r="BW522" s="707">
        <v>3521.2184871098984</v>
      </c>
      <c r="BX522" s="707">
        <v>3521.2184871098984</v>
      </c>
      <c r="BY522" s="707">
        <v>3521.2184871098984</v>
      </c>
      <c r="BZ522" s="707">
        <v>3521.2184871098984</v>
      </c>
      <c r="CA522" s="707">
        <v>3521.2184871098984</v>
      </c>
      <c r="CB522" s="707">
        <v>3521.2184871098984</v>
      </c>
      <c r="CC522" s="707">
        <v>3521.2184871098984</v>
      </c>
      <c r="CD522" s="707">
        <v>3521.2184871098984</v>
      </c>
      <c r="CE522" s="707">
        <v>3521.2184871098984</v>
      </c>
      <c r="CF522" s="707">
        <v>3521.2184871098984</v>
      </c>
      <c r="CG522" s="707">
        <v>3521.2184871098984</v>
      </c>
      <c r="CH522" s="707">
        <v>3521.2184871098984</v>
      </c>
      <c r="CI522" s="707">
        <v>3521.2184871098984</v>
      </c>
      <c r="CJ522" s="707">
        <v>3521.2184871098984</v>
      </c>
      <c r="CK522" s="707">
        <v>3521.2184871098984</v>
      </c>
      <c r="CL522" s="707">
        <v>3521.2184871098984</v>
      </c>
      <c r="CM522" s="707">
        <v>3521.2184871098984</v>
      </c>
      <c r="CN522" s="707">
        <v>3521.2184871098984</v>
      </c>
      <c r="CO522" s="707">
        <v>3521.2184871098984</v>
      </c>
      <c r="CP522" s="707">
        <v>0</v>
      </c>
      <c r="CQ522" s="707">
        <v>0</v>
      </c>
      <c r="CR522" s="707">
        <v>0</v>
      </c>
    </row>
    <row r="523" spans="1:96" s="53" customFormat="1">
      <c r="A523" s="774" t="s">
        <v>3</v>
      </c>
      <c r="B523" s="772">
        <v>42004</v>
      </c>
      <c r="C523" s="771">
        <v>2014</v>
      </c>
      <c r="D523" s="773" t="s">
        <v>1</v>
      </c>
      <c r="E523" s="773" t="s">
        <v>12</v>
      </c>
      <c r="F523" s="773" t="s">
        <v>457</v>
      </c>
      <c r="G523" s="772" t="s">
        <v>656</v>
      </c>
      <c r="H523" s="772" t="s">
        <v>371</v>
      </c>
      <c r="I523" s="773" t="s">
        <v>5</v>
      </c>
      <c r="J523" s="773" t="s">
        <v>376</v>
      </c>
      <c r="K523" s="706"/>
      <c r="L523" s="772" t="s">
        <v>651</v>
      </c>
      <c r="M523" s="772" t="s">
        <v>810</v>
      </c>
      <c r="N523" s="771">
        <v>20</v>
      </c>
      <c r="O523" s="708" t="s">
        <v>7</v>
      </c>
      <c r="P523" s="769" t="s">
        <v>7</v>
      </c>
      <c r="Q523" s="706"/>
      <c r="R523" s="706"/>
      <c r="S523" s="706"/>
      <c r="T523" s="706"/>
      <c r="U523" s="710">
        <v>0.15</v>
      </c>
      <c r="V523" s="707">
        <v>389.1</v>
      </c>
      <c r="W523" s="710">
        <v>0.13704526354357044</v>
      </c>
      <c r="X523" s="707">
        <v>470.47241218812258</v>
      </c>
      <c r="Y523" s="707">
        <v>9409.448243762452</v>
      </c>
      <c r="Z523" s="707">
        <v>6904.3499747252908</v>
      </c>
      <c r="AA523" s="707">
        <v>345.21749873626453</v>
      </c>
      <c r="AB523" s="710">
        <v>9.9101086720580961E-2</v>
      </c>
      <c r="AC523" s="769">
        <v>1.2091298180111092</v>
      </c>
      <c r="AD523" s="769">
        <v>0.91363509029046963</v>
      </c>
      <c r="AE523" s="707"/>
      <c r="AF523" s="770"/>
      <c r="AG523" s="706"/>
      <c r="AH523" s="769">
        <v>0.7337677827498762</v>
      </c>
      <c r="AI523" s="748"/>
      <c r="AJ523" s="748"/>
      <c r="AK523" s="748"/>
      <c r="AL523" s="769">
        <v>0.7231266820766411</v>
      </c>
      <c r="AM523" s="706"/>
      <c r="AN523" s="706"/>
      <c r="AO523" s="706"/>
      <c r="AP523" s="768">
        <v>9.5647474393488068</v>
      </c>
      <c r="AQ523" s="768">
        <v>28.69424231804642</v>
      </c>
      <c r="AR523" s="706"/>
      <c r="AS523" s="738"/>
      <c r="AT523" s="738"/>
      <c r="AU523" s="710">
        <v>0</v>
      </c>
      <c r="AV523" s="710">
        <v>9.9101086720580961E-2</v>
      </c>
      <c r="AW523" s="710">
        <v>9.9101086720580961E-2</v>
      </c>
      <c r="AX523" s="710">
        <v>9.9101086720580961E-2</v>
      </c>
      <c r="AY523" s="710">
        <v>9.9101086720580961E-2</v>
      </c>
      <c r="AZ523" s="710">
        <v>9.9101086720580961E-2</v>
      </c>
      <c r="BA523" s="710">
        <v>9.9101086720580961E-2</v>
      </c>
      <c r="BB523" s="710">
        <v>9.9101086720580961E-2</v>
      </c>
      <c r="BC523" s="710">
        <v>9.9101086720580961E-2</v>
      </c>
      <c r="BD523" s="710">
        <v>9.9101086720580961E-2</v>
      </c>
      <c r="BE523" s="710">
        <v>9.9101086720580961E-2</v>
      </c>
      <c r="BF523" s="710">
        <v>9.9101086720580961E-2</v>
      </c>
      <c r="BG523" s="710">
        <v>9.9101086720580961E-2</v>
      </c>
      <c r="BH523" s="710">
        <v>9.9101086720580961E-2</v>
      </c>
      <c r="BI523" s="710">
        <v>9.9101086720580961E-2</v>
      </c>
      <c r="BJ523" s="710">
        <v>9.9101086720580961E-2</v>
      </c>
      <c r="BK523" s="710">
        <v>9.9101086720580961E-2</v>
      </c>
      <c r="BL523" s="710">
        <v>9.9101086720580961E-2</v>
      </c>
      <c r="BM523" s="710">
        <v>9.9101086720580961E-2</v>
      </c>
      <c r="BN523" s="710">
        <v>9.9101086720580961E-2</v>
      </c>
      <c r="BO523" s="710">
        <v>9.9101086720580961E-2</v>
      </c>
      <c r="BP523" s="710">
        <v>0</v>
      </c>
      <c r="BQ523" s="710">
        <v>0</v>
      </c>
      <c r="BR523" s="710">
        <v>0</v>
      </c>
      <c r="BS523" s="767"/>
      <c r="BT523" s="767"/>
      <c r="BU523" s="707">
        <v>0</v>
      </c>
      <c r="BV523" s="707">
        <v>345.21749873626453</v>
      </c>
      <c r="BW523" s="707">
        <v>345.21749873626453</v>
      </c>
      <c r="BX523" s="707">
        <v>345.21749873626453</v>
      </c>
      <c r="BY523" s="707">
        <v>345.21749873626453</v>
      </c>
      <c r="BZ523" s="707">
        <v>345.21749873626453</v>
      </c>
      <c r="CA523" s="707">
        <v>345.21749873626453</v>
      </c>
      <c r="CB523" s="707">
        <v>345.21749873626453</v>
      </c>
      <c r="CC523" s="707">
        <v>345.21749873626453</v>
      </c>
      <c r="CD523" s="707">
        <v>345.21749873626453</v>
      </c>
      <c r="CE523" s="707">
        <v>345.21749873626453</v>
      </c>
      <c r="CF523" s="707">
        <v>345.21749873626453</v>
      </c>
      <c r="CG523" s="707">
        <v>345.21749873626453</v>
      </c>
      <c r="CH523" s="707">
        <v>345.21749873626453</v>
      </c>
      <c r="CI523" s="707">
        <v>345.21749873626453</v>
      </c>
      <c r="CJ523" s="707">
        <v>345.21749873626453</v>
      </c>
      <c r="CK523" s="707">
        <v>345.21749873626453</v>
      </c>
      <c r="CL523" s="707">
        <v>345.21749873626453</v>
      </c>
      <c r="CM523" s="707">
        <v>345.21749873626453</v>
      </c>
      <c r="CN523" s="707">
        <v>345.21749873626453</v>
      </c>
      <c r="CO523" s="707">
        <v>345.21749873626453</v>
      </c>
      <c r="CP523" s="707">
        <v>0</v>
      </c>
      <c r="CQ523" s="707">
        <v>0</v>
      </c>
      <c r="CR523" s="707">
        <v>0</v>
      </c>
    </row>
    <row r="524" spans="1:96" s="53" customFormat="1">
      <c r="A524" s="774" t="s">
        <v>3</v>
      </c>
      <c r="B524" s="772">
        <v>42004</v>
      </c>
      <c r="C524" s="771">
        <v>2014</v>
      </c>
      <c r="D524" s="773" t="s">
        <v>1</v>
      </c>
      <c r="E524" s="773" t="s">
        <v>12</v>
      </c>
      <c r="F524" s="773" t="s">
        <v>457</v>
      </c>
      <c r="G524" s="772" t="s">
        <v>656</v>
      </c>
      <c r="H524" s="772" t="s">
        <v>371</v>
      </c>
      <c r="I524" s="773" t="s">
        <v>5</v>
      </c>
      <c r="J524" s="773" t="s">
        <v>376</v>
      </c>
      <c r="K524" s="706"/>
      <c r="L524" s="772" t="s">
        <v>651</v>
      </c>
      <c r="M524" s="772" t="s">
        <v>810</v>
      </c>
      <c r="N524" s="771">
        <v>20</v>
      </c>
      <c r="O524" s="708">
        <v>0</v>
      </c>
      <c r="P524" s="769">
        <v>1</v>
      </c>
      <c r="Q524" s="706"/>
      <c r="R524" s="706"/>
      <c r="S524" s="706"/>
      <c r="T524" s="706"/>
      <c r="U524" s="710">
        <v>6.96</v>
      </c>
      <c r="V524" s="707">
        <v>18444</v>
      </c>
      <c r="W524" s="710">
        <v>6.3589002284216685</v>
      </c>
      <c r="X524" s="707">
        <v>22301.190363396894</v>
      </c>
      <c r="Y524" s="707">
        <v>446023.80726793787</v>
      </c>
      <c r="Z524" s="707">
        <v>327277.90011265292</v>
      </c>
      <c r="AA524" s="707">
        <v>16363.895005632645</v>
      </c>
      <c r="AB524" s="710">
        <v>4.598290423834956</v>
      </c>
      <c r="AC524" s="769">
        <v>1.209129818011109</v>
      </c>
      <c r="AD524" s="769">
        <v>0.91363509029046963</v>
      </c>
      <c r="AE524" s="707"/>
      <c r="AF524" s="770"/>
      <c r="AG524" s="706"/>
      <c r="AH524" s="769">
        <v>0.7337677827498762</v>
      </c>
      <c r="AI524" s="748"/>
      <c r="AJ524" s="748"/>
      <c r="AK524" s="748"/>
      <c r="AL524" s="769">
        <v>0.7231266820766411</v>
      </c>
      <c r="AM524" s="706"/>
      <c r="AN524" s="706"/>
      <c r="AO524" s="706"/>
      <c r="AP524" s="768">
        <v>7.8169871131146751</v>
      </c>
      <c r="AQ524" s="768">
        <v>1360.1557576819534</v>
      </c>
      <c r="AR524" s="706"/>
      <c r="AS524" s="738"/>
      <c r="AT524" s="738"/>
      <c r="AU524" s="710">
        <v>0</v>
      </c>
      <c r="AV524" s="710">
        <v>4.598290423834956</v>
      </c>
      <c r="AW524" s="710">
        <v>4.598290423834956</v>
      </c>
      <c r="AX524" s="710">
        <v>4.598290423834956</v>
      </c>
      <c r="AY524" s="710">
        <v>4.598290423834956</v>
      </c>
      <c r="AZ524" s="710">
        <v>4.598290423834956</v>
      </c>
      <c r="BA524" s="710">
        <v>4.598290423834956</v>
      </c>
      <c r="BB524" s="710">
        <v>4.598290423834956</v>
      </c>
      <c r="BC524" s="710">
        <v>4.598290423834956</v>
      </c>
      <c r="BD524" s="710">
        <v>4.598290423834956</v>
      </c>
      <c r="BE524" s="710">
        <v>4.598290423834956</v>
      </c>
      <c r="BF524" s="710">
        <v>4.598290423834956</v>
      </c>
      <c r="BG524" s="710">
        <v>4.598290423834956</v>
      </c>
      <c r="BH524" s="710">
        <v>4.598290423834956</v>
      </c>
      <c r="BI524" s="710">
        <v>4.598290423834956</v>
      </c>
      <c r="BJ524" s="710">
        <v>4.598290423834956</v>
      </c>
      <c r="BK524" s="710">
        <v>4.598290423834956</v>
      </c>
      <c r="BL524" s="710">
        <v>4.598290423834956</v>
      </c>
      <c r="BM524" s="710">
        <v>4.598290423834956</v>
      </c>
      <c r="BN524" s="710">
        <v>4.598290423834956</v>
      </c>
      <c r="BO524" s="710">
        <v>4.598290423834956</v>
      </c>
      <c r="BP524" s="710">
        <v>0</v>
      </c>
      <c r="BQ524" s="710">
        <v>0</v>
      </c>
      <c r="BR524" s="710">
        <v>0</v>
      </c>
      <c r="BS524" s="767"/>
      <c r="BT524" s="767"/>
      <c r="BU524" s="707">
        <v>0</v>
      </c>
      <c r="BV524" s="707">
        <v>16363.895005632645</v>
      </c>
      <c r="BW524" s="707">
        <v>16363.895005632645</v>
      </c>
      <c r="BX524" s="707">
        <v>16363.895005632645</v>
      </c>
      <c r="BY524" s="707">
        <v>16363.895005632645</v>
      </c>
      <c r="BZ524" s="707">
        <v>16363.895005632645</v>
      </c>
      <c r="CA524" s="707">
        <v>16363.895005632645</v>
      </c>
      <c r="CB524" s="707">
        <v>16363.895005632645</v>
      </c>
      <c r="CC524" s="707">
        <v>16363.895005632645</v>
      </c>
      <c r="CD524" s="707">
        <v>16363.895005632645</v>
      </c>
      <c r="CE524" s="707">
        <v>16363.895005632645</v>
      </c>
      <c r="CF524" s="707">
        <v>16363.895005632645</v>
      </c>
      <c r="CG524" s="707">
        <v>16363.895005632645</v>
      </c>
      <c r="CH524" s="707">
        <v>16363.895005632645</v>
      </c>
      <c r="CI524" s="707">
        <v>16363.895005632645</v>
      </c>
      <c r="CJ524" s="707">
        <v>16363.895005632645</v>
      </c>
      <c r="CK524" s="707">
        <v>16363.895005632645</v>
      </c>
      <c r="CL524" s="707">
        <v>16363.895005632645</v>
      </c>
      <c r="CM524" s="707">
        <v>16363.895005632645</v>
      </c>
      <c r="CN524" s="707">
        <v>16363.895005632645</v>
      </c>
      <c r="CO524" s="707">
        <v>16363.895005632645</v>
      </c>
      <c r="CP524" s="707">
        <v>0</v>
      </c>
      <c r="CQ524" s="707">
        <v>0</v>
      </c>
      <c r="CR524" s="707">
        <v>0</v>
      </c>
    </row>
    <row r="525" spans="1:96" s="53" customFormat="1">
      <c r="A525" s="774" t="s">
        <v>3</v>
      </c>
      <c r="B525" s="772">
        <v>41878</v>
      </c>
      <c r="C525" s="771">
        <v>2014</v>
      </c>
      <c r="D525" s="773" t="s">
        <v>1</v>
      </c>
      <c r="E525" s="773" t="s">
        <v>12</v>
      </c>
      <c r="F525" s="773" t="s">
        <v>457</v>
      </c>
      <c r="G525" s="772" t="s">
        <v>656</v>
      </c>
      <c r="H525" s="772" t="s">
        <v>371</v>
      </c>
      <c r="I525" s="773" t="s">
        <v>5</v>
      </c>
      <c r="J525" s="773" t="s">
        <v>376</v>
      </c>
      <c r="K525" s="706"/>
      <c r="L525" s="772" t="s">
        <v>809</v>
      </c>
      <c r="M525" s="772" t="s">
        <v>808</v>
      </c>
      <c r="N525" s="771">
        <v>12</v>
      </c>
      <c r="O525" s="708" t="s">
        <v>7</v>
      </c>
      <c r="P525" s="769" t="s">
        <v>7</v>
      </c>
      <c r="Q525" s="706"/>
      <c r="R525" s="706"/>
      <c r="S525" s="706"/>
      <c r="T525" s="706"/>
      <c r="U525" s="710">
        <v>13.673999999999999</v>
      </c>
      <c r="V525" s="707">
        <v>65525.807999999997</v>
      </c>
      <c r="W525" s="710">
        <v>12.799598094222688</v>
      </c>
      <c r="X525" s="707">
        <v>84248.592291561145</v>
      </c>
      <c r="Y525" s="707">
        <v>1010983.1074987338</v>
      </c>
      <c r="Z525" s="707">
        <v>800696.28303954517</v>
      </c>
      <c r="AA525" s="707">
        <v>66724.690253295426</v>
      </c>
      <c r="AB525" s="710">
        <v>10.284378001944507</v>
      </c>
      <c r="AC525" s="769">
        <v>1.2857314524310963</v>
      </c>
      <c r="AD525" s="769">
        <v>0.93605368540461376</v>
      </c>
      <c r="AE525" s="707"/>
      <c r="AF525" s="770"/>
      <c r="AG525" s="706"/>
      <c r="AH525" s="769">
        <v>0.79199768730116782</v>
      </c>
      <c r="AI525" s="748"/>
      <c r="AJ525" s="748"/>
      <c r="AK525" s="748"/>
      <c r="AL525" s="769">
        <v>0.80349226016608544</v>
      </c>
      <c r="AM525" s="706"/>
      <c r="AN525" s="706"/>
      <c r="AO525" s="706"/>
      <c r="AP525" s="768">
        <v>127.90697674418605</v>
      </c>
      <c r="AQ525" s="768">
        <v>11000</v>
      </c>
      <c r="AR525" s="706"/>
      <c r="AS525" s="738"/>
      <c r="AT525" s="738"/>
      <c r="AU525" s="710">
        <v>0</v>
      </c>
      <c r="AV525" s="710">
        <v>10.284378001944507</v>
      </c>
      <c r="AW525" s="710">
        <v>10.284378001944507</v>
      </c>
      <c r="AX525" s="710">
        <v>10.284378001944507</v>
      </c>
      <c r="AY525" s="710">
        <v>10.284378001944507</v>
      </c>
      <c r="AZ525" s="710">
        <v>10.284378001944507</v>
      </c>
      <c r="BA525" s="710">
        <v>10.284378001944507</v>
      </c>
      <c r="BB525" s="710">
        <v>10.284378001944507</v>
      </c>
      <c r="BC525" s="710">
        <v>10.284378001944507</v>
      </c>
      <c r="BD525" s="710">
        <v>10.284378001944507</v>
      </c>
      <c r="BE525" s="710">
        <v>10.284378001944507</v>
      </c>
      <c r="BF525" s="710">
        <v>10.284378001944507</v>
      </c>
      <c r="BG525" s="710">
        <v>10.284378001944507</v>
      </c>
      <c r="BH525" s="710">
        <v>0</v>
      </c>
      <c r="BI525" s="710">
        <v>0</v>
      </c>
      <c r="BJ525" s="710">
        <v>0</v>
      </c>
      <c r="BK525" s="710">
        <v>0</v>
      </c>
      <c r="BL525" s="710">
        <v>0</v>
      </c>
      <c r="BM525" s="710">
        <v>0</v>
      </c>
      <c r="BN525" s="710">
        <v>0</v>
      </c>
      <c r="BO525" s="710">
        <v>0</v>
      </c>
      <c r="BP525" s="710">
        <v>0</v>
      </c>
      <c r="BQ525" s="710">
        <v>0</v>
      </c>
      <c r="BR525" s="710">
        <v>0</v>
      </c>
      <c r="BS525" s="767"/>
      <c r="BT525" s="767"/>
      <c r="BU525" s="707">
        <v>0</v>
      </c>
      <c r="BV525" s="707">
        <v>66724.690253295426</v>
      </c>
      <c r="BW525" s="707">
        <v>66724.690253295426</v>
      </c>
      <c r="BX525" s="707">
        <v>66724.690253295426</v>
      </c>
      <c r="BY525" s="707">
        <v>66724.690253295426</v>
      </c>
      <c r="BZ525" s="707">
        <v>66724.690253295426</v>
      </c>
      <c r="CA525" s="707">
        <v>66724.690253295426</v>
      </c>
      <c r="CB525" s="707">
        <v>66724.690253295426</v>
      </c>
      <c r="CC525" s="707">
        <v>66724.690253295426</v>
      </c>
      <c r="CD525" s="707">
        <v>66724.690253295426</v>
      </c>
      <c r="CE525" s="707">
        <v>66724.690253295426</v>
      </c>
      <c r="CF525" s="707">
        <v>66724.690253295426</v>
      </c>
      <c r="CG525" s="707">
        <v>66724.690253295426</v>
      </c>
      <c r="CH525" s="707">
        <v>0</v>
      </c>
      <c r="CI525" s="707">
        <v>0</v>
      </c>
      <c r="CJ525" s="707">
        <v>0</v>
      </c>
      <c r="CK525" s="707">
        <v>0</v>
      </c>
      <c r="CL525" s="707">
        <v>0</v>
      </c>
      <c r="CM525" s="707">
        <v>0</v>
      </c>
      <c r="CN525" s="707">
        <v>0</v>
      </c>
      <c r="CO525" s="707">
        <v>0</v>
      </c>
      <c r="CP525" s="707">
        <v>0</v>
      </c>
      <c r="CQ525" s="707">
        <v>0</v>
      </c>
      <c r="CR525" s="707">
        <v>0</v>
      </c>
    </row>
    <row r="526" spans="1:96" s="53" customFormat="1">
      <c r="A526" s="774" t="s">
        <v>3</v>
      </c>
      <c r="B526" s="772">
        <v>41926</v>
      </c>
      <c r="C526" s="771">
        <v>2014</v>
      </c>
      <c r="D526" s="773" t="s">
        <v>1</v>
      </c>
      <c r="E526" s="773" t="s">
        <v>12</v>
      </c>
      <c r="F526" s="773" t="s">
        <v>457</v>
      </c>
      <c r="G526" s="772" t="s">
        <v>665</v>
      </c>
      <c r="H526" s="772" t="s">
        <v>371</v>
      </c>
      <c r="I526" s="773" t="s">
        <v>5</v>
      </c>
      <c r="J526" s="773" t="s">
        <v>376</v>
      </c>
      <c r="K526" s="706"/>
      <c r="L526" s="772" t="s">
        <v>807</v>
      </c>
      <c r="M526" s="772" t="s">
        <v>806</v>
      </c>
      <c r="N526" s="771">
        <v>9.4946198835018958</v>
      </c>
      <c r="O526" s="708">
        <v>6.0000000000000009</v>
      </c>
      <c r="P526" s="769">
        <v>0.89342167347094836</v>
      </c>
      <c r="Q526" s="706"/>
      <c r="R526" s="706"/>
      <c r="S526" s="706"/>
      <c r="T526" s="706"/>
      <c r="U526" s="710">
        <v>1</v>
      </c>
      <c r="V526" s="707">
        <v>2577</v>
      </c>
      <c r="W526" s="710">
        <v>0.51308622260127146</v>
      </c>
      <c r="X526" s="707">
        <v>1735.1081028502697</v>
      </c>
      <c r="Y526" s="707">
        <v>15827.949598128664</v>
      </c>
      <c r="Z526" s="707">
        <v>10360.723969130551</v>
      </c>
      <c r="AA526" s="707">
        <v>1135.7741568976719</v>
      </c>
      <c r="AB526" s="710">
        <v>0.33000032998391154</v>
      </c>
      <c r="AC526" s="769">
        <v>0.67330543377969332</v>
      </c>
      <c r="AD526" s="769">
        <v>0.51308622260127146</v>
      </c>
      <c r="AE526" s="707"/>
      <c r="AF526" s="770"/>
      <c r="AG526" s="706"/>
      <c r="AH526" s="769">
        <v>0.65458408904432563</v>
      </c>
      <c r="AI526" s="748"/>
      <c r="AJ526" s="748"/>
      <c r="AK526" s="748"/>
      <c r="AL526" s="769">
        <v>0.64316739652617949</v>
      </c>
      <c r="AM526" s="706"/>
      <c r="AN526" s="706"/>
      <c r="AO526" s="706"/>
      <c r="AP526" s="768">
        <v>1487.5</v>
      </c>
      <c r="AQ526" s="768">
        <v>1487.5</v>
      </c>
      <c r="AR526" s="706"/>
      <c r="AS526" s="738"/>
      <c r="AT526" s="738"/>
      <c r="AU526" s="710">
        <v>0</v>
      </c>
      <c r="AV526" s="710">
        <v>0.33000032998391154</v>
      </c>
      <c r="AW526" s="710">
        <v>0.33000032998391154</v>
      </c>
      <c r="AX526" s="710">
        <v>0.33000032998391154</v>
      </c>
      <c r="AY526" s="710">
        <v>0.33000032998391154</v>
      </c>
      <c r="AZ526" s="710">
        <v>0.33000032998391154</v>
      </c>
      <c r="BA526" s="710">
        <v>0.33000032998391154</v>
      </c>
      <c r="BB526" s="710">
        <v>0.29482944706019143</v>
      </c>
      <c r="BC526" s="710">
        <v>0.29482944706019143</v>
      </c>
      <c r="BD526" s="710">
        <v>0.29482944706019143</v>
      </c>
      <c r="BE526" s="710">
        <v>0.14582850675784023</v>
      </c>
      <c r="BF526" s="710">
        <v>0</v>
      </c>
      <c r="BG526" s="710">
        <v>0</v>
      </c>
      <c r="BH526" s="710">
        <v>0</v>
      </c>
      <c r="BI526" s="710">
        <v>0</v>
      </c>
      <c r="BJ526" s="710">
        <v>0</v>
      </c>
      <c r="BK526" s="710">
        <v>0</v>
      </c>
      <c r="BL526" s="710">
        <v>0</v>
      </c>
      <c r="BM526" s="710">
        <v>0</v>
      </c>
      <c r="BN526" s="710">
        <v>0</v>
      </c>
      <c r="BO526" s="710">
        <v>0</v>
      </c>
      <c r="BP526" s="710">
        <v>0</v>
      </c>
      <c r="BQ526" s="710">
        <v>0</v>
      </c>
      <c r="BR526" s="710">
        <v>0</v>
      </c>
      <c r="BS526" s="767"/>
      <c r="BT526" s="767"/>
      <c r="BU526" s="707">
        <v>0</v>
      </c>
      <c r="BV526" s="707">
        <v>1135.7741568976719</v>
      </c>
      <c r="BW526" s="707">
        <v>1135.7741568976719</v>
      </c>
      <c r="BX526" s="707">
        <v>1135.7741568976719</v>
      </c>
      <c r="BY526" s="707">
        <v>1135.7741568976719</v>
      </c>
      <c r="BZ526" s="707">
        <v>1135.7741568976719</v>
      </c>
      <c r="CA526" s="707">
        <v>1135.7741568976719</v>
      </c>
      <c r="CB526" s="707">
        <v>1014.7252479405735</v>
      </c>
      <c r="CC526" s="707">
        <v>1014.7252479405735</v>
      </c>
      <c r="CD526" s="707">
        <v>1014.7252479405735</v>
      </c>
      <c r="CE526" s="707">
        <v>501.90328392279878</v>
      </c>
      <c r="CF526" s="707">
        <v>0</v>
      </c>
      <c r="CG526" s="707">
        <v>0</v>
      </c>
      <c r="CH526" s="707">
        <v>0</v>
      </c>
      <c r="CI526" s="707">
        <v>0</v>
      </c>
      <c r="CJ526" s="707">
        <v>0</v>
      </c>
      <c r="CK526" s="707">
        <v>0</v>
      </c>
      <c r="CL526" s="707">
        <v>0</v>
      </c>
      <c r="CM526" s="707">
        <v>0</v>
      </c>
      <c r="CN526" s="707">
        <v>0</v>
      </c>
      <c r="CO526" s="707">
        <v>0</v>
      </c>
      <c r="CP526" s="707">
        <v>0</v>
      </c>
      <c r="CQ526" s="707">
        <v>0</v>
      </c>
      <c r="CR526" s="707">
        <v>0</v>
      </c>
    </row>
    <row r="527" spans="1:96" s="53" customFormat="1">
      <c r="A527" s="774" t="s">
        <v>3</v>
      </c>
      <c r="B527" s="772">
        <v>41926</v>
      </c>
      <c r="C527" s="771">
        <v>2014</v>
      </c>
      <c r="D527" s="773" t="s">
        <v>1</v>
      </c>
      <c r="E527" s="773" t="s">
        <v>12</v>
      </c>
      <c r="F527" s="773" t="s">
        <v>457</v>
      </c>
      <c r="G527" s="772" t="s">
        <v>656</v>
      </c>
      <c r="H527" s="772" t="s">
        <v>371</v>
      </c>
      <c r="I527" s="773" t="s">
        <v>5</v>
      </c>
      <c r="J527" s="773" t="s">
        <v>376</v>
      </c>
      <c r="K527" s="706"/>
      <c r="L527" s="772" t="s">
        <v>807</v>
      </c>
      <c r="M527" s="772" t="s">
        <v>806</v>
      </c>
      <c r="N527" s="771">
        <v>20</v>
      </c>
      <c r="O527" s="708" t="s">
        <v>7</v>
      </c>
      <c r="P527" s="769" t="s">
        <v>7</v>
      </c>
      <c r="Q527" s="706"/>
      <c r="R527" s="706"/>
      <c r="S527" s="706"/>
      <c r="T527" s="706"/>
      <c r="U527" s="710">
        <v>3.6720000000000002</v>
      </c>
      <c r="V527" s="707">
        <v>9525.1679999999997</v>
      </c>
      <c r="W527" s="710">
        <v>3.3548680515466049</v>
      </c>
      <c r="X527" s="707">
        <v>11517.164650365239</v>
      </c>
      <c r="Y527" s="707">
        <v>230343.29300730478</v>
      </c>
      <c r="Z527" s="707">
        <v>169018.48738127507</v>
      </c>
      <c r="AA527" s="707">
        <v>8450.9243690637541</v>
      </c>
      <c r="AB527" s="710">
        <v>2.4259946029198223</v>
      </c>
      <c r="AC527" s="769">
        <v>1.209129818011109</v>
      </c>
      <c r="AD527" s="769">
        <v>0.91363509029046974</v>
      </c>
      <c r="AE527" s="707"/>
      <c r="AF527" s="770"/>
      <c r="AG527" s="706"/>
      <c r="AH527" s="769">
        <v>0.7337677827498762</v>
      </c>
      <c r="AI527" s="748"/>
      <c r="AJ527" s="748"/>
      <c r="AK527" s="748"/>
      <c r="AL527" s="769">
        <v>0.7231266820766411</v>
      </c>
      <c r="AM527" s="706"/>
      <c r="AN527" s="706"/>
      <c r="AO527" s="706"/>
      <c r="AP527" s="768">
        <v>25.56</v>
      </c>
      <c r="AQ527" s="768">
        <v>2760.48</v>
      </c>
      <c r="AR527" s="706"/>
      <c r="AS527" s="738"/>
      <c r="AT527" s="738"/>
      <c r="AU527" s="710">
        <v>0</v>
      </c>
      <c r="AV527" s="710">
        <v>2.4259946029198223</v>
      </c>
      <c r="AW527" s="710">
        <v>2.4259946029198223</v>
      </c>
      <c r="AX527" s="710">
        <v>2.4259946029198223</v>
      </c>
      <c r="AY527" s="710">
        <v>2.4259946029198223</v>
      </c>
      <c r="AZ527" s="710">
        <v>2.4259946029198223</v>
      </c>
      <c r="BA527" s="710">
        <v>2.4259946029198223</v>
      </c>
      <c r="BB527" s="710">
        <v>2.4259946029198223</v>
      </c>
      <c r="BC527" s="710">
        <v>2.4259946029198223</v>
      </c>
      <c r="BD527" s="710">
        <v>2.4259946029198223</v>
      </c>
      <c r="BE527" s="710">
        <v>2.4259946029198223</v>
      </c>
      <c r="BF527" s="710">
        <v>2.4259946029198223</v>
      </c>
      <c r="BG527" s="710">
        <v>2.4259946029198223</v>
      </c>
      <c r="BH527" s="710">
        <v>2.4259946029198223</v>
      </c>
      <c r="BI527" s="710">
        <v>2.4259946029198223</v>
      </c>
      <c r="BJ527" s="710">
        <v>2.4259946029198223</v>
      </c>
      <c r="BK527" s="710">
        <v>2.4259946029198223</v>
      </c>
      <c r="BL527" s="710">
        <v>2.4259946029198223</v>
      </c>
      <c r="BM527" s="710">
        <v>2.4259946029198223</v>
      </c>
      <c r="BN527" s="710">
        <v>2.4259946029198223</v>
      </c>
      <c r="BO527" s="710">
        <v>2.4259946029198223</v>
      </c>
      <c r="BP527" s="710">
        <v>0</v>
      </c>
      <c r="BQ527" s="710">
        <v>0</v>
      </c>
      <c r="BR527" s="710">
        <v>0</v>
      </c>
      <c r="BS527" s="767"/>
      <c r="BT527" s="767"/>
      <c r="BU527" s="707">
        <v>0</v>
      </c>
      <c r="BV527" s="707">
        <v>8450.9243690637541</v>
      </c>
      <c r="BW527" s="707">
        <v>8450.9243690637541</v>
      </c>
      <c r="BX527" s="707">
        <v>8450.9243690637541</v>
      </c>
      <c r="BY527" s="707">
        <v>8450.9243690637541</v>
      </c>
      <c r="BZ527" s="707">
        <v>8450.9243690637541</v>
      </c>
      <c r="CA527" s="707">
        <v>8450.9243690637541</v>
      </c>
      <c r="CB527" s="707">
        <v>8450.9243690637541</v>
      </c>
      <c r="CC527" s="707">
        <v>8450.9243690637541</v>
      </c>
      <c r="CD527" s="707">
        <v>8450.9243690637541</v>
      </c>
      <c r="CE527" s="707">
        <v>8450.9243690637541</v>
      </c>
      <c r="CF527" s="707">
        <v>8450.9243690637541</v>
      </c>
      <c r="CG527" s="707">
        <v>8450.9243690637541</v>
      </c>
      <c r="CH527" s="707">
        <v>8450.9243690637541</v>
      </c>
      <c r="CI527" s="707">
        <v>8450.9243690637541</v>
      </c>
      <c r="CJ527" s="707">
        <v>8450.9243690637541</v>
      </c>
      <c r="CK527" s="707">
        <v>8450.9243690637541</v>
      </c>
      <c r="CL527" s="707">
        <v>8450.9243690637541</v>
      </c>
      <c r="CM527" s="707">
        <v>8450.9243690637541</v>
      </c>
      <c r="CN527" s="707">
        <v>8450.9243690637541</v>
      </c>
      <c r="CO527" s="707">
        <v>8450.9243690637541</v>
      </c>
      <c r="CP527" s="707">
        <v>0</v>
      </c>
      <c r="CQ527" s="707">
        <v>0</v>
      </c>
      <c r="CR527" s="707">
        <v>0</v>
      </c>
    </row>
    <row r="528" spans="1:96" s="53" customFormat="1">
      <c r="A528" s="774" t="s">
        <v>3</v>
      </c>
      <c r="B528" s="772">
        <v>41994</v>
      </c>
      <c r="C528" s="771">
        <v>2014</v>
      </c>
      <c r="D528" s="773" t="s">
        <v>1</v>
      </c>
      <c r="E528" s="773" t="s">
        <v>12</v>
      </c>
      <c r="F528" s="773" t="s">
        <v>457</v>
      </c>
      <c r="G528" s="772" t="s">
        <v>656</v>
      </c>
      <c r="H528" s="772" t="s">
        <v>371</v>
      </c>
      <c r="I528" s="773" t="s">
        <v>5</v>
      </c>
      <c r="J528" s="773" t="s">
        <v>376</v>
      </c>
      <c r="K528" s="706"/>
      <c r="L528" s="772" t="s">
        <v>805</v>
      </c>
      <c r="M528" s="772" t="s">
        <v>804</v>
      </c>
      <c r="N528" s="771">
        <v>20</v>
      </c>
      <c r="O528" s="708" t="s">
        <v>7</v>
      </c>
      <c r="P528" s="769" t="s">
        <v>7</v>
      </c>
      <c r="Q528" s="706"/>
      <c r="R528" s="706"/>
      <c r="S528" s="706"/>
      <c r="T528" s="706"/>
      <c r="U528" s="710">
        <v>1.496</v>
      </c>
      <c r="V528" s="707">
        <v>3880.6239999999998</v>
      </c>
      <c r="W528" s="710">
        <v>1.3667980950745426</v>
      </c>
      <c r="X528" s="707">
        <v>4692.1781908895409</v>
      </c>
      <c r="Y528" s="707">
        <v>93843.563817790826</v>
      </c>
      <c r="Z528" s="707">
        <v>68859.383747926884</v>
      </c>
      <c r="AA528" s="707">
        <v>3442.9691873963438</v>
      </c>
      <c r="AB528" s="710">
        <v>0.98836817155992751</v>
      </c>
      <c r="AC528" s="769">
        <v>1.2091298180111087</v>
      </c>
      <c r="AD528" s="769">
        <v>0.91363509029046963</v>
      </c>
      <c r="AE528" s="707"/>
      <c r="AF528" s="770"/>
      <c r="AG528" s="706"/>
      <c r="AH528" s="769">
        <v>0.7337677827498762</v>
      </c>
      <c r="AI528" s="748"/>
      <c r="AJ528" s="748"/>
      <c r="AK528" s="748"/>
      <c r="AL528" s="769">
        <v>0.7231266820766411</v>
      </c>
      <c r="AM528" s="706"/>
      <c r="AN528" s="706"/>
      <c r="AO528" s="706"/>
      <c r="AP528" s="768">
        <v>31.494318181818183</v>
      </c>
      <c r="AQ528" s="768">
        <v>1385.75</v>
      </c>
      <c r="AR528" s="706"/>
      <c r="AS528" s="738"/>
      <c r="AT528" s="738"/>
      <c r="AU528" s="710">
        <v>0</v>
      </c>
      <c r="AV528" s="710">
        <v>0.98836817155992751</v>
      </c>
      <c r="AW528" s="710">
        <v>0.98836817155992751</v>
      </c>
      <c r="AX528" s="710">
        <v>0.98836817155992751</v>
      </c>
      <c r="AY528" s="710">
        <v>0.98836817155992751</v>
      </c>
      <c r="AZ528" s="710">
        <v>0.98836817155992751</v>
      </c>
      <c r="BA528" s="710">
        <v>0.98836817155992751</v>
      </c>
      <c r="BB528" s="710">
        <v>0.98836817155992751</v>
      </c>
      <c r="BC528" s="710">
        <v>0.98836817155992751</v>
      </c>
      <c r="BD528" s="710">
        <v>0.98836817155992751</v>
      </c>
      <c r="BE528" s="710">
        <v>0.98836817155992751</v>
      </c>
      <c r="BF528" s="710">
        <v>0.98836817155992751</v>
      </c>
      <c r="BG528" s="710">
        <v>0.98836817155992751</v>
      </c>
      <c r="BH528" s="710">
        <v>0.98836817155992751</v>
      </c>
      <c r="BI528" s="710">
        <v>0.98836817155992751</v>
      </c>
      <c r="BJ528" s="710">
        <v>0.98836817155992751</v>
      </c>
      <c r="BK528" s="710">
        <v>0.98836817155992751</v>
      </c>
      <c r="BL528" s="710">
        <v>0.98836817155992751</v>
      </c>
      <c r="BM528" s="710">
        <v>0.98836817155992751</v>
      </c>
      <c r="BN528" s="710">
        <v>0.98836817155992751</v>
      </c>
      <c r="BO528" s="710">
        <v>0.98836817155992751</v>
      </c>
      <c r="BP528" s="710">
        <v>0</v>
      </c>
      <c r="BQ528" s="710">
        <v>0</v>
      </c>
      <c r="BR528" s="710">
        <v>0</v>
      </c>
      <c r="BS528" s="767"/>
      <c r="BT528" s="767"/>
      <c r="BU528" s="707">
        <v>0</v>
      </c>
      <c r="BV528" s="707">
        <v>3442.9691873963438</v>
      </c>
      <c r="BW528" s="707">
        <v>3442.9691873963438</v>
      </c>
      <c r="BX528" s="707">
        <v>3442.9691873963438</v>
      </c>
      <c r="BY528" s="707">
        <v>3442.9691873963438</v>
      </c>
      <c r="BZ528" s="707">
        <v>3442.9691873963438</v>
      </c>
      <c r="CA528" s="707">
        <v>3442.9691873963438</v>
      </c>
      <c r="CB528" s="707">
        <v>3442.9691873963438</v>
      </c>
      <c r="CC528" s="707">
        <v>3442.9691873963438</v>
      </c>
      <c r="CD528" s="707">
        <v>3442.9691873963438</v>
      </c>
      <c r="CE528" s="707">
        <v>3442.9691873963438</v>
      </c>
      <c r="CF528" s="707">
        <v>3442.9691873963438</v>
      </c>
      <c r="CG528" s="707">
        <v>3442.9691873963438</v>
      </c>
      <c r="CH528" s="707">
        <v>3442.9691873963438</v>
      </c>
      <c r="CI528" s="707">
        <v>3442.9691873963438</v>
      </c>
      <c r="CJ528" s="707">
        <v>3442.9691873963438</v>
      </c>
      <c r="CK528" s="707">
        <v>3442.9691873963438</v>
      </c>
      <c r="CL528" s="707">
        <v>3442.9691873963438</v>
      </c>
      <c r="CM528" s="707">
        <v>3442.9691873963438</v>
      </c>
      <c r="CN528" s="707">
        <v>3442.9691873963438</v>
      </c>
      <c r="CO528" s="707">
        <v>3442.9691873963438</v>
      </c>
      <c r="CP528" s="707">
        <v>0</v>
      </c>
      <c r="CQ528" s="707">
        <v>0</v>
      </c>
      <c r="CR528" s="707">
        <v>0</v>
      </c>
    </row>
    <row r="529" spans="1:96" s="53" customFormat="1">
      <c r="A529" s="774" t="s">
        <v>3</v>
      </c>
      <c r="B529" s="772">
        <v>41978</v>
      </c>
      <c r="C529" s="771">
        <v>2014</v>
      </c>
      <c r="D529" s="773" t="s">
        <v>1</v>
      </c>
      <c r="E529" s="773" t="s">
        <v>12</v>
      </c>
      <c r="F529" s="773" t="s">
        <v>457</v>
      </c>
      <c r="G529" s="772" t="s">
        <v>656</v>
      </c>
      <c r="H529" s="772" t="s">
        <v>371</v>
      </c>
      <c r="I529" s="773" t="s">
        <v>5</v>
      </c>
      <c r="J529" s="773" t="s">
        <v>376</v>
      </c>
      <c r="K529" s="706"/>
      <c r="L529" s="772" t="s">
        <v>651</v>
      </c>
      <c r="M529" s="772" t="s">
        <v>803</v>
      </c>
      <c r="N529" s="771">
        <v>20</v>
      </c>
      <c r="O529" s="708" t="s">
        <v>7</v>
      </c>
      <c r="P529" s="769" t="s">
        <v>7</v>
      </c>
      <c r="Q529" s="706"/>
      <c r="R529" s="706"/>
      <c r="S529" s="706"/>
      <c r="T529" s="706"/>
      <c r="U529" s="710">
        <v>1.1220000000000001</v>
      </c>
      <c r="V529" s="707">
        <v>2910.4679999999998</v>
      </c>
      <c r="W529" s="710">
        <v>1.0250985713059069</v>
      </c>
      <c r="X529" s="707">
        <v>3519.1336431671562</v>
      </c>
      <c r="Y529" s="707">
        <v>70382.672863343119</v>
      </c>
      <c r="Z529" s="707">
        <v>51644.53781094517</v>
      </c>
      <c r="AA529" s="707">
        <v>2582.2268905472583</v>
      </c>
      <c r="AB529" s="710">
        <v>0.74127612866994552</v>
      </c>
      <c r="AC529" s="769">
        <v>1.209129818011109</v>
      </c>
      <c r="AD529" s="769">
        <v>0.91363509029046952</v>
      </c>
      <c r="AE529" s="707"/>
      <c r="AF529" s="770"/>
      <c r="AG529" s="706"/>
      <c r="AH529" s="769">
        <v>0.7337677827498762</v>
      </c>
      <c r="AI529" s="748"/>
      <c r="AJ529" s="748"/>
      <c r="AK529" s="748"/>
      <c r="AL529" s="769">
        <v>0.7231266820766411</v>
      </c>
      <c r="AM529" s="706"/>
      <c r="AN529" s="706"/>
      <c r="AO529" s="706"/>
      <c r="AP529" s="768">
        <v>26</v>
      </c>
      <c r="AQ529" s="768">
        <v>858</v>
      </c>
      <c r="AR529" s="706"/>
      <c r="AS529" s="738"/>
      <c r="AT529" s="738"/>
      <c r="AU529" s="710">
        <v>0</v>
      </c>
      <c r="AV529" s="710">
        <v>0.74127612866994552</v>
      </c>
      <c r="AW529" s="710">
        <v>0.74127612866994552</v>
      </c>
      <c r="AX529" s="710">
        <v>0.74127612866994552</v>
      </c>
      <c r="AY529" s="710">
        <v>0.74127612866994552</v>
      </c>
      <c r="AZ529" s="710">
        <v>0.74127612866994552</v>
      </c>
      <c r="BA529" s="710">
        <v>0.74127612866994552</v>
      </c>
      <c r="BB529" s="710">
        <v>0.74127612866994552</v>
      </c>
      <c r="BC529" s="710">
        <v>0.74127612866994552</v>
      </c>
      <c r="BD529" s="710">
        <v>0.74127612866994552</v>
      </c>
      <c r="BE529" s="710">
        <v>0.74127612866994552</v>
      </c>
      <c r="BF529" s="710">
        <v>0.74127612866994552</v>
      </c>
      <c r="BG529" s="710">
        <v>0.74127612866994552</v>
      </c>
      <c r="BH529" s="710">
        <v>0.74127612866994552</v>
      </c>
      <c r="BI529" s="710">
        <v>0.74127612866994552</v>
      </c>
      <c r="BJ529" s="710">
        <v>0.74127612866994552</v>
      </c>
      <c r="BK529" s="710">
        <v>0.74127612866994552</v>
      </c>
      <c r="BL529" s="710">
        <v>0.74127612866994552</v>
      </c>
      <c r="BM529" s="710">
        <v>0.74127612866994552</v>
      </c>
      <c r="BN529" s="710">
        <v>0.74127612866994552</v>
      </c>
      <c r="BO529" s="710">
        <v>0.74127612866994552</v>
      </c>
      <c r="BP529" s="710">
        <v>0</v>
      </c>
      <c r="BQ529" s="710">
        <v>0</v>
      </c>
      <c r="BR529" s="710">
        <v>0</v>
      </c>
      <c r="BS529" s="767"/>
      <c r="BT529" s="767"/>
      <c r="BU529" s="707">
        <v>0</v>
      </c>
      <c r="BV529" s="707">
        <v>2582.2268905472583</v>
      </c>
      <c r="BW529" s="707">
        <v>2582.2268905472583</v>
      </c>
      <c r="BX529" s="707">
        <v>2582.2268905472583</v>
      </c>
      <c r="BY529" s="707">
        <v>2582.2268905472583</v>
      </c>
      <c r="BZ529" s="707">
        <v>2582.2268905472583</v>
      </c>
      <c r="CA529" s="707">
        <v>2582.2268905472583</v>
      </c>
      <c r="CB529" s="707">
        <v>2582.2268905472583</v>
      </c>
      <c r="CC529" s="707">
        <v>2582.2268905472583</v>
      </c>
      <c r="CD529" s="707">
        <v>2582.2268905472583</v>
      </c>
      <c r="CE529" s="707">
        <v>2582.2268905472583</v>
      </c>
      <c r="CF529" s="707">
        <v>2582.2268905472583</v>
      </c>
      <c r="CG529" s="707">
        <v>2582.2268905472583</v>
      </c>
      <c r="CH529" s="707">
        <v>2582.2268905472583</v>
      </c>
      <c r="CI529" s="707">
        <v>2582.2268905472583</v>
      </c>
      <c r="CJ529" s="707">
        <v>2582.2268905472583</v>
      </c>
      <c r="CK529" s="707">
        <v>2582.2268905472583</v>
      </c>
      <c r="CL529" s="707">
        <v>2582.2268905472583</v>
      </c>
      <c r="CM529" s="707">
        <v>2582.2268905472583</v>
      </c>
      <c r="CN529" s="707">
        <v>2582.2268905472583</v>
      </c>
      <c r="CO529" s="707">
        <v>2582.2268905472583</v>
      </c>
      <c r="CP529" s="707">
        <v>0</v>
      </c>
      <c r="CQ529" s="707">
        <v>0</v>
      </c>
      <c r="CR529" s="707">
        <v>0</v>
      </c>
    </row>
    <row r="530" spans="1:96" s="53" customFormat="1">
      <c r="A530" s="774" t="s">
        <v>3</v>
      </c>
      <c r="B530" s="772">
        <v>41991</v>
      </c>
      <c r="C530" s="771">
        <v>2014</v>
      </c>
      <c r="D530" s="773" t="s">
        <v>1</v>
      </c>
      <c r="E530" s="773" t="s">
        <v>12</v>
      </c>
      <c r="F530" s="773" t="s">
        <v>457</v>
      </c>
      <c r="G530" s="772" t="s">
        <v>656</v>
      </c>
      <c r="H530" s="772" t="s">
        <v>792</v>
      </c>
      <c r="I530" s="773" t="s">
        <v>5</v>
      </c>
      <c r="J530" s="773" t="s">
        <v>376</v>
      </c>
      <c r="K530" s="706"/>
      <c r="L530" s="772" t="s">
        <v>651</v>
      </c>
      <c r="M530" s="772" t="s">
        <v>802</v>
      </c>
      <c r="N530" s="771">
        <v>15.464728900771432</v>
      </c>
      <c r="O530" s="708" t="s">
        <v>7</v>
      </c>
      <c r="P530" s="769" t="s">
        <v>7</v>
      </c>
      <c r="Q530" s="706"/>
      <c r="R530" s="706"/>
      <c r="S530" s="706"/>
      <c r="T530" s="706"/>
      <c r="U530" s="710">
        <v>0.91</v>
      </c>
      <c r="V530" s="707">
        <v>909</v>
      </c>
      <c r="W530" s="710">
        <v>0.98984087082664407</v>
      </c>
      <c r="X530" s="707">
        <v>669.12817066227319</v>
      </c>
      <c r="Y530" s="707">
        <v>10347.885759161176</v>
      </c>
      <c r="Z530" s="707">
        <v>7052.3003454793661</v>
      </c>
      <c r="AA530" s="707">
        <v>456.0248285456575</v>
      </c>
      <c r="AB530" s="710">
        <v>0.68518791371162391</v>
      </c>
      <c r="AC530" s="769">
        <v>0.73611459918841937</v>
      </c>
      <c r="AD530" s="769">
        <v>1.0877372206886198</v>
      </c>
      <c r="AE530" s="707"/>
      <c r="AF530" s="770"/>
      <c r="AG530" s="706"/>
      <c r="AH530" s="769">
        <v>0.68152089321587594</v>
      </c>
      <c r="AI530" s="748"/>
      <c r="AJ530" s="748"/>
      <c r="AK530" s="748"/>
      <c r="AL530" s="769">
        <v>0.69222026883917631</v>
      </c>
      <c r="AM530" s="706"/>
      <c r="AN530" s="706"/>
      <c r="AO530" s="706"/>
      <c r="AP530" s="768">
        <v>11910</v>
      </c>
      <c r="AQ530" s="768">
        <v>11910</v>
      </c>
      <c r="AR530" s="706"/>
      <c r="AS530" s="738"/>
      <c r="AT530" s="738"/>
      <c r="AU530" s="710">
        <v>0</v>
      </c>
      <c r="AV530" s="710">
        <v>0.68518791371162391</v>
      </c>
      <c r="AW530" s="710">
        <v>0.68518791371162391</v>
      </c>
      <c r="AX530" s="710">
        <v>0.68518791371162391</v>
      </c>
      <c r="AY530" s="710">
        <v>0.68518791371162391</v>
      </c>
      <c r="AZ530" s="710">
        <v>0.68518791371162391</v>
      </c>
      <c r="BA530" s="710">
        <v>0.68518791371162391</v>
      </c>
      <c r="BB530" s="710">
        <v>0.68518791371162391</v>
      </c>
      <c r="BC530" s="710">
        <v>0.68518791371162391</v>
      </c>
      <c r="BD530" s="710">
        <v>0.68518791371162391</v>
      </c>
      <c r="BE530" s="710">
        <v>0.68518791371162391</v>
      </c>
      <c r="BF530" s="710">
        <v>0.68518791371162391</v>
      </c>
      <c r="BG530" s="710">
        <v>0.68518791371162391</v>
      </c>
      <c r="BH530" s="710">
        <v>0.68518791371162391</v>
      </c>
      <c r="BI530" s="710">
        <v>0.68518791371162391</v>
      </c>
      <c r="BJ530" s="710">
        <v>0.68518791371162391</v>
      </c>
      <c r="BK530" s="710">
        <v>0.31842662596107357</v>
      </c>
      <c r="BL530" s="710">
        <v>0</v>
      </c>
      <c r="BM530" s="710">
        <v>0</v>
      </c>
      <c r="BN530" s="710">
        <v>0</v>
      </c>
      <c r="BO530" s="710">
        <v>0</v>
      </c>
      <c r="BP530" s="710">
        <v>0</v>
      </c>
      <c r="BQ530" s="710">
        <v>0</v>
      </c>
      <c r="BR530" s="710">
        <v>0</v>
      </c>
      <c r="BS530" s="767"/>
      <c r="BT530" s="767"/>
      <c r="BU530" s="707">
        <v>0</v>
      </c>
      <c r="BV530" s="707">
        <v>456.0248285456575</v>
      </c>
      <c r="BW530" s="707">
        <v>456.0248285456575</v>
      </c>
      <c r="BX530" s="707">
        <v>456.0248285456575</v>
      </c>
      <c r="BY530" s="707">
        <v>456.0248285456575</v>
      </c>
      <c r="BZ530" s="707">
        <v>456.0248285456575</v>
      </c>
      <c r="CA530" s="707">
        <v>456.0248285456575</v>
      </c>
      <c r="CB530" s="707">
        <v>456.0248285456575</v>
      </c>
      <c r="CC530" s="707">
        <v>456.0248285456575</v>
      </c>
      <c r="CD530" s="707">
        <v>456.0248285456575</v>
      </c>
      <c r="CE530" s="707">
        <v>456.0248285456575</v>
      </c>
      <c r="CF530" s="707">
        <v>456.0248285456575</v>
      </c>
      <c r="CG530" s="707">
        <v>456.0248285456575</v>
      </c>
      <c r="CH530" s="707">
        <v>456.0248285456575</v>
      </c>
      <c r="CI530" s="707">
        <v>456.0248285456575</v>
      </c>
      <c r="CJ530" s="707">
        <v>456.0248285456575</v>
      </c>
      <c r="CK530" s="707">
        <v>211.92791729450403</v>
      </c>
      <c r="CL530" s="707">
        <v>0</v>
      </c>
      <c r="CM530" s="707">
        <v>0</v>
      </c>
      <c r="CN530" s="707">
        <v>0</v>
      </c>
      <c r="CO530" s="707">
        <v>0</v>
      </c>
      <c r="CP530" s="707">
        <v>0</v>
      </c>
      <c r="CQ530" s="707">
        <v>0</v>
      </c>
      <c r="CR530" s="707">
        <v>0</v>
      </c>
    </row>
    <row r="531" spans="1:96" s="53" customFormat="1">
      <c r="A531" s="774" t="s">
        <v>3</v>
      </c>
      <c r="B531" s="772">
        <v>42004</v>
      </c>
      <c r="C531" s="771">
        <v>2014</v>
      </c>
      <c r="D531" s="773" t="s">
        <v>1</v>
      </c>
      <c r="E531" s="773" t="s">
        <v>12</v>
      </c>
      <c r="F531" s="773" t="s">
        <v>457</v>
      </c>
      <c r="G531" s="772" t="s">
        <v>656</v>
      </c>
      <c r="H531" s="772" t="s">
        <v>371</v>
      </c>
      <c r="I531" s="773" t="s">
        <v>5</v>
      </c>
      <c r="J531" s="773" t="s">
        <v>376</v>
      </c>
      <c r="K531" s="706"/>
      <c r="L531" s="772" t="s">
        <v>651</v>
      </c>
      <c r="M531" s="772" t="s">
        <v>801</v>
      </c>
      <c r="N531" s="771">
        <v>20</v>
      </c>
      <c r="O531" s="708">
        <v>0</v>
      </c>
      <c r="P531" s="769">
        <v>1</v>
      </c>
      <c r="Q531" s="706"/>
      <c r="R531" s="706"/>
      <c r="S531" s="706"/>
      <c r="T531" s="706"/>
      <c r="U531" s="710">
        <v>7.68</v>
      </c>
      <c r="V531" s="707">
        <v>20352</v>
      </c>
      <c r="W531" s="710">
        <v>7.0167174934308063</v>
      </c>
      <c r="X531" s="707">
        <v>24608.210056162094</v>
      </c>
      <c r="Y531" s="707">
        <v>492164.20112324186</v>
      </c>
      <c r="Z531" s="707">
        <v>361134.23460706533</v>
      </c>
      <c r="AA531" s="707">
        <v>18056.711730353265</v>
      </c>
      <c r="AB531" s="710">
        <v>5.073975640093745</v>
      </c>
      <c r="AC531" s="769">
        <v>1.2091298180111092</v>
      </c>
      <c r="AD531" s="769">
        <v>0.91363509029046963</v>
      </c>
      <c r="AE531" s="707"/>
      <c r="AF531" s="770"/>
      <c r="AG531" s="706"/>
      <c r="AH531" s="769">
        <v>0.7337677827498762</v>
      </c>
      <c r="AI531" s="748"/>
      <c r="AJ531" s="748"/>
      <c r="AK531" s="748"/>
      <c r="AL531" s="769">
        <v>0.7231266820766411</v>
      </c>
      <c r="AM531" s="706"/>
      <c r="AN531" s="706"/>
      <c r="AO531" s="706"/>
      <c r="AP531" s="768">
        <v>10</v>
      </c>
      <c r="AQ531" s="768">
        <v>1920</v>
      </c>
      <c r="AR531" s="706"/>
      <c r="AS531" s="738"/>
      <c r="AT531" s="738"/>
      <c r="AU531" s="710">
        <v>0</v>
      </c>
      <c r="AV531" s="710">
        <v>5.073975640093745</v>
      </c>
      <c r="AW531" s="710">
        <v>5.073975640093745</v>
      </c>
      <c r="AX531" s="710">
        <v>5.073975640093745</v>
      </c>
      <c r="AY531" s="710">
        <v>5.073975640093745</v>
      </c>
      <c r="AZ531" s="710">
        <v>5.073975640093745</v>
      </c>
      <c r="BA531" s="710">
        <v>5.073975640093745</v>
      </c>
      <c r="BB531" s="710">
        <v>5.073975640093745</v>
      </c>
      <c r="BC531" s="710">
        <v>5.073975640093745</v>
      </c>
      <c r="BD531" s="710">
        <v>5.073975640093745</v>
      </c>
      <c r="BE531" s="710">
        <v>5.073975640093745</v>
      </c>
      <c r="BF531" s="710">
        <v>5.073975640093745</v>
      </c>
      <c r="BG531" s="710">
        <v>5.073975640093745</v>
      </c>
      <c r="BH531" s="710">
        <v>5.073975640093745</v>
      </c>
      <c r="BI531" s="710">
        <v>5.073975640093745</v>
      </c>
      <c r="BJ531" s="710">
        <v>5.073975640093745</v>
      </c>
      <c r="BK531" s="710">
        <v>5.073975640093745</v>
      </c>
      <c r="BL531" s="710">
        <v>5.073975640093745</v>
      </c>
      <c r="BM531" s="710">
        <v>5.073975640093745</v>
      </c>
      <c r="BN531" s="710">
        <v>5.073975640093745</v>
      </c>
      <c r="BO531" s="710">
        <v>5.073975640093745</v>
      </c>
      <c r="BP531" s="710">
        <v>0</v>
      </c>
      <c r="BQ531" s="710">
        <v>0</v>
      </c>
      <c r="BR531" s="710">
        <v>0</v>
      </c>
      <c r="BS531" s="767"/>
      <c r="BT531" s="767"/>
      <c r="BU531" s="707">
        <v>0</v>
      </c>
      <c r="BV531" s="707">
        <v>18056.711730353265</v>
      </c>
      <c r="BW531" s="707">
        <v>18056.711730353265</v>
      </c>
      <c r="BX531" s="707">
        <v>18056.711730353265</v>
      </c>
      <c r="BY531" s="707">
        <v>18056.711730353265</v>
      </c>
      <c r="BZ531" s="707">
        <v>18056.711730353265</v>
      </c>
      <c r="CA531" s="707">
        <v>18056.711730353265</v>
      </c>
      <c r="CB531" s="707">
        <v>18056.711730353265</v>
      </c>
      <c r="CC531" s="707">
        <v>18056.711730353265</v>
      </c>
      <c r="CD531" s="707">
        <v>18056.711730353265</v>
      </c>
      <c r="CE531" s="707">
        <v>18056.711730353265</v>
      </c>
      <c r="CF531" s="707">
        <v>18056.711730353265</v>
      </c>
      <c r="CG531" s="707">
        <v>18056.711730353265</v>
      </c>
      <c r="CH531" s="707">
        <v>18056.711730353265</v>
      </c>
      <c r="CI531" s="707">
        <v>18056.711730353265</v>
      </c>
      <c r="CJ531" s="707">
        <v>18056.711730353265</v>
      </c>
      <c r="CK531" s="707">
        <v>18056.711730353265</v>
      </c>
      <c r="CL531" s="707">
        <v>18056.711730353265</v>
      </c>
      <c r="CM531" s="707">
        <v>18056.711730353265</v>
      </c>
      <c r="CN531" s="707">
        <v>18056.711730353265</v>
      </c>
      <c r="CO531" s="707">
        <v>18056.711730353265</v>
      </c>
      <c r="CP531" s="707">
        <v>0</v>
      </c>
      <c r="CQ531" s="707">
        <v>0</v>
      </c>
      <c r="CR531" s="707">
        <v>0</v>
      </c>
    </row>
    <row r="532" spans="1:96" s="53" customFormat="1">
      <c r="A532" s="774" t="s">
        <v>3</v>
      </c>
      <c r="B532" s="772">
        <v>42004</v>
      </c>
      <c r="C532" s="771">
        <v>2014</v>
      </c>
      <c r="D532" s="773" t="s">
        <v>1</v>
      </c>
      <c r="E532" s="773" t="s">
        <v>12</v>
      </c>
      <c r="F532" s="773" t="s">
        <v>457</v>
      </c>
      <c r="G532" s="772" t="s">
        <v>656</v>
      </c>
      <c r="H532" s="772" t="s">
        <v>371</v>
      </c>
      <c r="I532" s="773" t="s">
        <v>5</v>
      </c>
      <c r="J532" s="773" t="s">
        <v>376</v>
      </c>
      <c r="K532" s="706"/>
      <c r="L532" s="772" t="s">
        <v>800</v>
      </c>
      <c r="M532" s="772" t="s">
        <v>799</v>
      </c>
      <c r="N532" s="771">
        <v>12</v>
      </c>
      <c r="O532" s="708">
        <v>0</v>
      </c>
      <c r="P532" s="769">
        <v>1</v>
      </c>
      <c r="Q532" s="706"/>
      <c r="R532" s="706"/>
      <c r="S532" s="706"/>
      <c r="T532" s="706"/>
      <c r="U532" s="710">
        <v>0</v>
      </c>
      <c r="V532" s="707">
        <v>2520</v>
      </c>
      <c r="W532" s="710">
        <v>0</v>
      </c>
      <c r="X532" s="707">
        <v>3047.0071413879946</v>
      </c>
      <c r="Y532" s="707">
        <v>36564.085696655937</v>
      </c>
      <c r="Z532" s="707">
        <v>26829.548089911688</v>
      </c>
      <c r="AA532" s="707">
        <v>2235.7956741593075</v>
      </c>
      <c r="AB532" s="710">
        <v>0</v>
      </c>
      <c r="AC532" s="769">
        <v>1.209129818011109</v>
      </c>
      <c r="AD532" s="769">
        <v>0</v>
      </c>
      <c r="AE532" s="707"/>
      <c r="AF532" s="770"/>
      <c r="AG532" s="706"/>
      <c r="AH532" s="769">
        <v>0.7337677827498762</v>
      </c>
      <c r="AI532" s="748"/>
      <c r="AJ532" s="748"/>
      <c r="AK532" s="748"/>
      <c r="AL532" s="769">
        <v>0.7231266820766411</v>
      </c>
      <c r="AM532" s="706"/>
      <c r="AN532" s="706"/>
      <c r="AO532" s="706"/>
      <c r="AP532" s="768">
        <v>586.76</v>
      </c>
      <c r="AQ532" s="768">
        <v>1760.28</v>
      </c>
      <c r="AR532" s="706"/>
      <c r="AS532" s="738"/>
      <c r="AT532" s="738"/>
      <c r="AU532" s="710">
        <v>0</v>
      </c>
      <c r="AV532" s="710">
        <v>0</v>
      </c>
      <c r="AW532" s="710">
        <v>0</v>
      </c>
      <c r="AX532" s="710">
        <v>0</v>
      </c>
      <c r="AY532" s="710">
        <v>0</v>
      </c>
      <c r="AZ532" s="710">
        <v>0</v>
      </c>
      <c r="BA532" s="710">
        <v>0</v>
      </c>
      <c r="BB532" s="710">
        <v>0</v>
      </c>
      <c r="BC532" s="710">
        <v>0</v>
      </c>
      <c r="BD532" s="710">
        <v>0</v>
      </c>
      <c r="BE532" s="710">
        <v>0</v>
      </c>
      <c r="BF532" s="710">
        <v>0</v>
      </c>
      <c r="BG532" s="710">
        <v>0</v>
      </c>
      <c r="BH532" s="710">
        <v>0</v>
      </c>
      <c r="BI532" s="710">
        <v>0</v>
      </c>
      <c r="BJ532" s="710">
        <v>0</v>
      </c>
      <c r="BK532" s="710">
        <v>0</v>
      </c>
      <c r="BL532" s="710">
        <v>0</v>
      </c>
      <c r="BM532" s="710">
        <v>0</v>
      </c>
      <c r="BN532" s="710">
        <v>0</v>
      </c>
      <c r="BO532" s="710">
        <v>0</v>
      </c>
      <c r="BP532" s="710">
        <v>0</v>
      </c>
      <c r="BQ532" s="710">
        <v>0</v>
      </c>
      <c r="BR532" s="710">
        <v>0</v>
      </c>
      <c r="BS532" s="767"/>
      <c r="BT532" s="767"/>
      <c r="BU532" s="707">
        <v>0</v>
      </c>
      <c r="BV532" s="707">
        <v>2235.7956741593075</v>
      </c>
      <c r="BW532" s="707">
        <v>2235.7956741593075</v>
      </c>
      <c r="BX532" s="707">
        <v>2235.7956741593075</v>
      </c>
      <c r="BY532" s="707">
        <v>2235.7956741593075</v>
      </c>
      <c r="BZ532" s="707">
        <v>2235.7956741593075</v>
      </c>
      <c r="CA532" s="707">
        <v>2235.7956741593075</v>
      </c>
      <c r="CB532" s="707">
        <v>2235.7956741593075</v>
      </c>
      <c r="CC532" s="707">
        <v>2235.7956741593075</v>
      </c>
      <c r="CD532" s="707">
        <v>2235.7956741593075</v>
      </c>
      <c r="CE532" s="707">
        <v>2235.7956741593075</v>
      </c>
      <c r="CF532" s="707">
        <v>2235.7956741593075</v>
      </c>
      <c r="CG532" s="707">
        <v>2235.7956741593075</v>
      </c>
      <c r="CH532" s="707">
        <v>0</v>
      </c>
      <c r="CI532" s="707">
        <v>0</v>
      </c>
      <c r="CJ532" s="707">
        <v>0</v>
      </c>
      <c r="CK532" s="707">
        <v>0</v>
      </c>
      <c r="CL532" s="707">
        <v>0</v>
      </c>
      <c r="CM532" s="707">
        <v>0</v>
      </c>
      <c r="CN532" s="707">
        <v>0</v>
      </c>
      <c r="CO532" s="707">
        <v>0</v>
      </c>
      <c r="CP532" s="707">
        <v>0</v>
      </c>
      <c r="CQ532" s="707">
        <v>0</v>
      </c>
      <c r="CR532" s="707">
        <v>0</v>
      </c>
    </row>
    <row r="533" spans="1:96" s="53" customFormat="1">
      <c r="A533" s="774" t="s">
        <v>3</v>
      </c>
      <c r="B533" s="772">
        <v>41729</v>
      </c>
      <c r="C533" s="771">
        <v>2014</v>
      </c>
      <c r="D533" s="773" t="s">
        <v>1</v>
      </c>
      <c r="E533" s="773" t="s">
        <v>12</v>
      </c>
      <c r="F533" s="773" t="s">
        <v>457</v>
      </c>
      <c r="G533" s="772" t="s">
        <v>665</v>
      </c>
      <c r="H533" s="772" t="s">
        <v>371</v>
      </c>
      <c r="I533" s="773" t="s">
        <v>5</v>
      </c>
      <c r="J533" s="773" t="s">
        <v>376</v>
      </c>
      <c r="K533" s="706"/>
      <c r="L533" s="772" t="s">
        <v>651</v>
      </c>
      <c r="M533" s="772" t="s">
        <v>798</v>
      </c>
      <c r="N533" s="771">
        <v>9.4946198835018958</v>
      </c>
      <c r="O533" s="708">
        <v>6.0000000000000009</v>
      </c>
      <c r="P533" s="769">
        <v>0.89342167347094836</v>
      </c>
      <c r="Q533" s="706"/>
      <c r="R533" s="706"/>
      <c r="S533" s="706"/>
      <c r="T533" s="706"/>
      <c r="U533" s="710">
        <v>0.1</v>
      </c>
      <c r="V533" s="707">
        <v>64</v>
      </c>
      <c r="W533" s="710">
        <v>5.1308622260127147E-2</v>
      </c>
      <c r="X533" s="707">
        <v>43.091547761900372</v>
      </c>
      <c r="Y533" s="707">
        <v>393.08838738076611</v>
      </c>
      <c r="Z533" s="707">
        <v>257.30940396754181</v>
      </c>
      <c r="AA533" s="707">
        <v>28.207041537233604</v>
      </c>
      <c r="AB533" s="710">
        <v>3.300003299839116E-2</v>
      </c>
      <c r="AC533" s="769">
        <v>0.67330543377969332</v>
      </c>
      <c r="AD533" s="769">
        <v>0.51308622260127146</v>
      </c>
      <c r="AE533" s="707"/>
      <c r="AF533" s="770"/>
      <c r="AG533" s="706"/>
      <c r="AH533" s="769">
        <v>0.65458408904432563</v>
      </c>
      <c r="AI533" s="748"/>
      <c r="AJ533" s="748"/>
      <c r="AK533" s="748"/>
      <c r="AL533" s="769">
        <v>0.64316739652617949</v>
      </c>
      <c r="AM533" s="706"/>
      <c r="AN533" s="706"/>
      <c r="AO533" s="706"/>
      <c r="AP533" s="768">
        <v>209.59794286819081</v>
      </c>
      <c r="AQ533" s="768">
        <v>209.59794286819081</v>
      </c>
      <c r="AR533" s="706"/>
      <c r="AS533" s="738"/>
      <c r="AT533" s="738"/>
      <c r="AU533" s="710">
        <v>0</v>
      </c>
      <c r="AV533" s="710">
        <v>3.300003299839116E-2</v>
      </c>
      <c r="AW533" s="710">
        <v>3.300003299839116E-2</v>
      </c>
      <c r="AX533" s="710">
        <v>3.300003299839116E-2</v>
      </c>
      <c r="AY533" s="710">
        <v>3.300003299839116E-2</v>
      </c>
      <c r="AZ533" s="710">
        <v>3.300003299839116E-2</v>
      </c>
      <c r="BA533" s="710">
        <v>3.300003299839116E-2</v>
      </c>
      <c r="BB533" s="710">
        <v>2.9482944706019146E-2</v>
      </c>
      <c r="BC533" s="710">
        <v>2.9482944706019146E-2</v>
      </c>
      <c r="BD533" s="710">
        <v>2.9482944706019146E-2</v>
      </c>
      <c r="BE533" s="710">
        <v>1.4582850675784026E-2</v>
      </c>
      <c r="BF533" s="710">
        <v>0</v>
      </c>
      <c r="BG533" s="710">
        <v>0</v>
      </c>
      <c r="BH533" s="710">
        <v>0</v>
      </c>
      <c r="BI533" s="710">
        <v>0</v>
      </c>
      <c r="BJ533" s="710">
        <v>0</v>
      </c>
      <c r="BK533" s="710">
        <v>0</v>
      </c>
      <c r="BL533" s="710">
        <v>0</v>
      </c>
      <c r="BM533" s="710">
        <v>0</v>
      </c>
      <c r="BN533" s="710">
        <v>0</v>
      </c>
      <c r="BO533" s="710">
        <v>0</v>
      </c>
      <c r="BP533" s="710">
        <v>0</v>
      </c>
      <c r="BQ533" s="710">
        <v>0</v>
      </c>
      <c r="BR533" s="710">
        <v>0</v>
      </c>
      <c r="BS533" s="767"/>
      <c r="BT533" s="767"/>
      <c r="BU533" s="707">
        <v>0</v>
      </c>
      <c r="BV533" s="707">
        <v>28.207041537233604</v>
      </c>
      <c r="BW533" s="707">
        <v>28.207041537233604</v>
      </c>
      <c r="BX533" s="707">
        <v>28.207041537233604</v>
      </c>
      <c r="BY533" s="707">
        <v>28.207041537233604</v>
      </c>
      <c r="BZ533" s="707">
        <v>28.207041537233604</v>
      </c>
      <c r="CA533" s="707">
        <v>28.207041537233604</v>
      </c>
      <c r="CB533" s="707">
        <v>25.200782253859799</v>
      </c>
      <c r="CC533" s="707">
        <v>25.200782253859799</v>
      </c>
      <c r="CD533" s="707">
        <v>25.200782253859799</v>
      </c>
      <c r="CE533" s="707">
        <v>12.464807982560776</v>
      </c>
      <c r="CF533" s="707">
        <v>0</v>
      </c>
      <c r="CG533" s="707">
        <v>0</v>
      </c>
      <c r="CH533" s="707">
        <v>0</v>
      </c>
      <c r="CI533" s="707">
        <v>0</v>
      </c>
      <c r="CJ533" s="707">
        <v>0</v>
      </c>
      <c r="CK533" s="707">
        <v>0</v>
      </c>
      <c r="CL533" s="707">
        <v>0</v>
      </c>
      <c r="CM533" s="707">
        <v>0</v>
      </c>
      <c r="CN533" s="707">
        <v>0</v>
      </c>
      <c r="CO533" s="707">
        <v>0</v>
      </c>
      <c r="CP533" s="707">
        <v>0</v>
      </c>
      <c r="CQ533" s="707">
        <v>0</v>
      </c>
      <c r="CR533" s="707">
        <v>0</v>
      </c>
    </row>
    <row r="534" spans="1:96" s="53" customFormat="1">
      <c r="A534" s="774" t="s">
        <v>3</v>
      </c>
      <c r="B534" s="772">
        <v>41729</v>
      </c>
      <c r="C534" s="771">
        <v>2014</v>
      </c>
      <c r="D534" s="773" t="s">
        <v>1</v>
      </c>
      <c r="E534" s="773" t="s">
        <v>12</v>
      </c>
      <c r="F534" s="773" t="s">
        <v>457</v>
      </c>
      <c r="G534" s="772" t="s">
        <v>665</v>
      </c>
      <c r="H534" s="772" t="s">
        <v>371</v>
      </c>
      <c r="I534" s="773" t="s">
        <v>5</v>
      </c>
      <c r="J534" s="773" t="s">
        <v>376</v>
      </c>
      <c r="K534" s="706"/>
      <c r="L534" s="772" t="s">
        <v>651</v>
      </c>
      <c r="M534" s="772" t="s">
        <v>798</v>
      </c>
      <c r="N534" s="771">
        <v>9.4946198835018958</v>
      </c>
      <c r="O534" s="708">
        <v>6.0000000000000009</v>
      </c>
      <c r="P534" s="769">
        <v>0.89342167347094836</v>
      </c>
      <c r="Q534" s="706"/>
      <c r="R534" s="706"/>
      <c r="S534" s="706"/>
      <c r="T534" s="706"/>
      <c r="U534" s="710">
        <v>0.4</v>
      </c>
      <c r="V534" s="707">
        <v>741</v>
      </c>
      <c r="W534" s="710">
        <v>0.20523448904050859</v>
      </c>
      <c r="X534" s="707">
        <v>498.91932643075279</v>
      </c>
      <c r="Y534" s="707">
        <v>4551.2264851429336</v>
      </c>
      <c r="Z534" s="707">
        <v>2979.1604428116948</v>
      </c>
      <c r="AA534" s="707">
        <v>326.58465279828283</v>
      </c>
      <c r="AB534" s="710">
        <v>0.13200013199356464</v>
      </c>
      <c r="AC534" s="769">
        <v>0.67330543377969332</v>
      </c>
      <c r="AD534" s="769">
        <v>0.51308622260127146</v>
      </c>
      <c r="AE534" s="707"/>
      <c r="AF534" s="770"/>
      <c r="AG534" s="706"/>
      <c r="AH534" s="769">
        <v>0.65458408904432563</v>
      </c>
      <c r="AI534" s="748"/>
      <c r="AJ534" s="748"/>
      <c r="AK534" s="748"/>
      <c r="AL534" s="769">
        <v>0.64316739652617949</v>
      </c>
      <c r="AM534" s="706"/>
      <c r="AN534" s="706"/>
      <c r="AO534" s="706"/>
      <c r="AP534" s="768">
        <v>2426.7511822707716</v>
      </c>
      <c r="AQ534" s="768">
        <v>2426.7511822707716</v>
      </c>
      <c r="AR534" s="706"/>
      <c r="AS534" s="738"/>
      <c r="AT534" s="738"/>
      <c r="AU534" s="710">
        <v>0</v>
      </c>
      <c r="AV534" s="710">
        <v>0.13200013199356464</v>
      </c>
      <c r="AW534" s="710">
        <v>0.13200013199356464</v>
      </c>
      <c r="AX534" s="710">
        <v>0.13200013199356464</v>
      </c>
      <c r="AY534" s="710">
        <v>0.13200013199356464</v>
      </c>
      <c r="AZ534" s="710">
        <v>0.13200013199356464</v>
      </c>
      <c r="BA534" s="710">
        <v>0.13200013199356464</v>
      </c>
      <c r="BB534" s="710">
        <v>0.11793177882407659</v>
      </c>
      <c r="BC534" s="710">
        <v>0.11793177882407659</v>
      </c>
      <c r="BD534" s="710">
        <v>0.11793177882407659</v>
      </c>
      <c r="BE534" s="710">
        <v>5.8331402703136102E-2</v>
      </c>
      <c r="BF534" s="710">
        <v>0</v>
      </c>
      <c r="BG534" s="710">
        <v>0</v>
      </c>
      <c r="BH534" s="710">
        <v>0</v>
      </c>
      <c r="BI534" s="710">
        <v>0</v>
      </c>
      <c r="BJ534" s="710">
        <v>0</v>
      </c>
      <c r="BK534" s="710">
        <v>0</v>
      </c>
      <c r="BL534" s="710">
        <v>0</v>
      </c>
      <c r="BM534" s="710">
        <v>0</v>
      </c>
      <c r="BN534" s="710">
        <v>0</v>
      </c>
      <c r="BO534" s="710">
        <v>0</v>
      </c>
      <c r="BP534" s="710">
        <v>0</v>
      </c>
      <c r="BQ534" s="710">
        <v>0</v>
      </c>
      <c r="BR534" s="710">
        <v>0</v>
      </c>
      <c r="BS534" s="767"/>
      <c r="BT534" s="767"/>
      <c r="BU534" s="707">
        <v>0</v>
      </c>
      <c r="BV534" s="707">
        <v>326.58465279828283</v>
      </c>
      <c r="BW534" s="707">
        <v>326.58465279828283</v>
      </c>
      <c r="BX534" s="707">
        <v>326.58465279828283</v>
      </c>
      <c r="BY534" s="707">
        <v>326.58465279828283</v>
      </c>
      <c r="BZ534" s="707">
        <v>326.58465279828283</v>
      </c>
      <c r="CA534" s="707">
        <v>326.58465279828283</v>
      </c>
      <c r="CB534" s="707">
        <v>291.77780703297049</v>
      </c>
      <c r="CC534" s="707">
        <v>291.77780703297049</v>
      </c>
      <c r="CD534" s="707">
        <v>291.77780703297049</v>
      </c>
      <c r="CE534" s="707">
        <v>144.31910492308648</v>
      </c>
      <c r="CF534" s="707">
        <v>0</v>
      </c>
      <c r="CG534" s="707">
        <v>0</v>
      </c>
      <c r="CH534" s="707">
        <v>0</v>
      </c>
      <c r="CI534" s="707">
        <v>0</v>
      </c>
      <c r="CJ534" s="707">
        <v>0</v>
      </c>
      <c r="CK534" s="707">
        <v>0</v>
      </c>
      <c r="CL534" s="707">
        <v>0</v>
      </c>
      <c r="CM534" s="707">
        <v>0</v>
      </c>
      <c r="CN534" s="707">
        <v>0</v>
      </c>
      <c r="CO534" s="707">
        <v>0</v>
      </c>
      <c r="CP534" s="707">
        <v>0</v>
      </c>
      <c r="CQ534" s="707">
        <v>0</v>
      </c>
      <c r="CR534" s="707">
        <v>0</v>
      </c>
    </row>
    <row r="535" spans="1:96" s="53" customFormat="1">
      <c r="A535" s="774" t="s">
        <v>3</v>
      </c>
      <c r="B535" s="772">
        <v>41729</v>
      </c>
      <c r="C535" s="771">
        <v>2014</v>
      </c>
      <c r="D535" s="773" t="s">
        <v>1</v>
      </c>
      <c r="E535" s="773" t="s">
        <v>12</v>
      </c>
      <c r="F535" s="773" t="s">
        <v>457</v>
      </c>
      <c r="G535" s="772" t="s">
        <v>665</v>
      </c>
      <c r="H535" s="772" t="s">
        <v>371</v>
      </c>
      <c r="I535" s="773" t="s">
        <v>5</v>
      </c>
      <c r="J535" s="773" t="s">
        <v>376</v>
      </c>
      <c r="K535" s="706"/>
      <c r="L535" s="772" t="s">
        <v>651</v>
      </c>
      <c r="M535" s="772" t="s">
        <v>798</v>
      </c>
      <c r="N535" s="771">
        <v>9.4946198835018958</v>
      </c>
      <c r="O535" s="708">
        <v>6.0000000000000009</v>
      </c>
      <c r="P535" s="769">
        <v>0.89342167347094836</v>
      </c>
      <c r="Q535" s="706"/>
      <c r="R535" s="706"/>
      <c r="S535" s="706"/>
      <c r="T535" s="706"/>
      <c r="U535" s="710">
        <v>0.4</v>
      </c>
      <c r="V535" s="707">
        <v>888</v>
      </c>
      <c r="W535" s="710">
        <v>0.20523448904050859</v>
      </c>
      <c r="X535" s="707">
        <v>597.89522519636762</v>
      </c>
      <c r="Y535" s="707">
        <v>5454.1013749081303</v>
      </c>
      <c r="Z535" s="707">
        <v>3570.1679800496422</v>
      </c>
      <c r="AA535" s="707">
        <v>391.37270132911624</v>
      </c>
      <c r="AB535" s="710">
        <v>0.13200013199356464</v>
      </c>
      <c r="AC535" s="769">
        <v>0.67330543377969332</v>
      </c>
      <c r="AD535" s="769">
        <v>0.51308622260127146</v>
      </c>
      <c r="AE535" s="707"/>
      <c r="AF535" s="770"/>
      <c r="AG535" s="706"/>
      <c r="AH535" s="769">
        <v>0.65458408904432563</v>
      </c>
      <c r="AI535" s="748"/>
      <c r="AJ535" s="748"/>
      <c r="AK535" s="748"/>
      <c r="AL535" s="769">
        <v>0.64316739652617949</v>
      </c>
      <c r="AM535" s="706"/>
      <c r="AN535" s="706"/>
      <c r="AO535" s="706"/>
      <c r="AP535" s="768">
        <v>2908.1714572961478</v>
      </c>
      <c r="AQ535" s="768">
        <v>2908.1714572961478</v>
      </c>
      <c r="AR535" s="706"/>
      <c r="AS535" s="738"/>
      <c r="AT535" s="738"/>
      <c r="AU535" s="710">
        <v>0</v>
      </c>
      <c r="AV535" s="710">
        <v>0.13200013199356464</v>
      </c>
      <c r="AW535" s="710">
        <v>0.13200013199356464</v>
      </c>
      <c r="AX535" s="710">
        <v>0.13200013199356464</v>
      </c>
      <c r="AY535" s="710">
        <v>0.13200013199356464</v>
      </c>
      <c r="AZ535" s="710">
        <v>0.13200013199356464</v>
      </c>
      <c r="BA535" s="710">
        <v>0.13200013199356464</v>
      </c>
      <c r="BB535" s="710">
        <v>0.11793177882407659</v>
      </c>
      <c r="BC535" s="710">
        <v>0.11793177882407659</v>
      </c>
      <c r="BD535" s="710">
        <v>0.11793177882407659</v>
      </c>
      <c r="BE535" s="710">
        <v>5.8331402703136102E-2</v>
      </c>
      <c r="BF535" s="710">
        <v>0</v>
      </c>
      <c r="BG535" s="710">
        <v>0</v>
      </c>
      <c r="BH535" s="710">
        <v>0</v>
      </c>
      <c r="BI535" s="710">
        <v>0</v>
      </c>
      <c r="BJ535" s="710">
        <v>0</v>
      </c>
      <c r="BK535" s="710">
        <v>0</v>
      </c>
      <c r="BL535" s="710">
        <v>0</v>
      </c>
      <c r="BM535" s="710">
        <v>0</v>
      </c>
      <c r="BN535" s="710">
        <v>0</v>
      </c>
      <c r="BO535" s="710">
        <v>0</v>
      </c>
      <c r="BP535" s="710">
        <v>0</v>
      </c>
      <c r="BQ535" s="710">
        <v>0</v>
      </c>
      <c r="BR535" s="710">
        <v>0</v>
      </c>
      <c r="BS535" s="767"/>
      <c r="BT535" s="767"/>
      <c r="BU535" s="707">
        <v>0</v>
      </c>
      <c r="BV535" s="707">
        <v>391.37270132911624</v>
      </c>
      <c r="BW535" s="707">
        <v>391.37270132911624</v>
      </c>
      <c r="BX535" s="707">
        <v>391.37270132911624</v>
      </c>
      <c r="BY535" s="707">
        <v>391.37270132911624</v>
      </c>
      <c r="BZ535" s="707">
        <v>391.37270132911624</v>
      </c>
      <c r="CA535" s="707">
        <v>391.37270132911624</v>
      </c>
      <c r="CB535" s="707">
        <v>349.66085377230468</v>
      </c>
      <c r="CC535" s="707">
        <v>349.66085377230468</v>
      </c>
      <c r="CD535" s="707">
        <v>349.66085377230468</v>
      </c>
      <c r="CE535" s="707">
        <v>172.94921075803074</v>
      </c>
      <c r="CF535" s="707">
        <v>0</v>
      </c>
      <c r="CG535" s="707">
        <v>0</v>
      </c>
      <c r="CH535" s="707">
        <v>0</v>
      </c>
      <c r="CI535" s="707">
        <v>0</v>
      </c>
      <c r="CJ535" s="707">
        <v>0</v>
      </c>
      <c r="CK535" s="707">
        <v>0</v>
      </c>
      <c r="CL535" s="707">
        <v>0</v>
      </c>
      <c r="CM535" s="707">
        <v>0</v>
      </c>
      <c r="CN535" s="707">
        <v>0</v>
      </c>
      <c r="CO535" s="707">
        <v>0</v>
      </c>
      <c r="CP535" s="707">
        <v>0</v>
      </c>
      <c r="CQ535" s="707">
        <v>0</v>
      </c>
      <c r="CR535" s="707">
        <v>0</v>
      </c>
    </row>
    <row r="536" spans="1:96" s="53" customFormat="1">
      <c r="A536" s="774" t="s">
        <v>3</v>
      </c>
      <c r="B536" s="772">
        <v>41729</v>
      </c>
      <c r="C536" s="771">
        <v>2014</v>
      </c>
      <c r="D536" s="773" t="s">
        <v>1</v>
      </c>
      <c r="E536" s="773" t="s">
        <v>12</v>
      </c>
      <c r="F536" s="773" t="s">
        <v>457</v>
      </c>
      <c r="G536" s="772" t="s">
        <v>665</v>
      </c>
      <c r="H536" s="772" t="s">
        <v>371</v>
      </c>
      <c r="I536" s="773" t="s">
        <v>5</v>
      </c>
      <c r="J536" s="773" t="s">
        <v>376</v>
      </c>
      <c r="K536" s="706"/>
      <c r="L536" s="772" t="s">
        <v>651</v>
      </c>
      <c r="M536" s="772" t="s">
        <v>798</v>
      </c>
      <c r="N536" s="771">
        <v>9.4946198835018958</v>
      </c>
      <c r="O536" s="708">
        <v>6.0000000000000009</v>
      </c>
      <c r="P536" s="769">
        <v>0.89342167347094836</v>
      </c>
      <c r="Q536" s="706"/>
      <c r="R536" s="706"/>
      <c r="S536" s="706"/>
      <c r="T536" s="706"/>
      <c r="U536" s="710">
        <v>0.5</v>
      </c>
      <c r="V536" s="707">
        <v>1076</v>
      </c>
      <c r="W536" s="710">
        <v>0.25654311130063573</v>
      </c>
      <c r="X536" s="707">
        <v>724.47664674695</v>
      </c>
      <c r="Y536" s="707">
        <v>6608.7985128391301</v>
      </c>
      <c r="Z536" s="707">
        <v>4326.014354204297</v>
      </c>
      <c r="AA536" s="707">
        <v>474.23088584473999</v>
      </c>
      <c r="AB536" s="710">
        <v>0.16500016499195577</v>
      </c>
      <c r="AC536" s="769">
        <v>0.67330543377969332</v>
      </c>
      <c r="AD536" s="769">
        <v>0.51308622260127146</v>
      </c>
      <c r="AE536" s="707"/>
      <c r="AF536" s="770"/>
      <c r="AG536" s="706"/>
      <c r="AH536" s="769">
        <v>0.65458408904432563</v>
      </c>
      <c r="AI536" s="748"/>
      <c r="AJ536" s="748"/>
      <c r="AK536" s="748"/>
      <c r="AL536" s="769">
        <v>0.64316739652617949</v>
      </c>
      <c r="AM536" s="706"/>
      <c r="AN536" s="706"/>
      <c r="AO536" s="706"/>
      <c r="AP536" s="768">
        <v>3523.8654144714578</v>
      </c>
      <c r="AQ536" s="768">
        <v>3523.8654144714578</v>
      </c>
      <c r="AR536" s="706"/>
      <c r="AS536" s="738"/>
      <c r="AT536" s="738"/>
      <c r="AU536" s="710">
        <v>0</v>
      </c>
      <c r="AV536" s="710">
        <v>0.16500016499195577</v>
      </c>
      <c r="AW536" s="710">
        <v>0.16500016499195577</v>
      </c>
      <c r="AX536" s="710">
        <v>0.16500016499195577</v>
      </c>
      <c r="AY536" s="710">
        <v>0.16500016499195577</v>
      </c>
      <c r="AZ536" s="710">
        <v>0.16500016499195577</v>
      </c>
      <c r="BA536" s="710">
        <v>0.16500016499195577</v>
      </c>
      <c r="BB536" s="710">
        <v>0.14741472353009571</v>
      </c>
      <c r="BC536" s="710">
        <v>0.14741472353009571</v>
      </c>
      <c r="BD536" s="710">
        <v>0.14741472353009571</v>
      </c>
      <c r="BE536" s="710">
        <v>7.2914253378920116E-2</v>
      </c>
      <c r="BF536" s="710">
        <v>0</v>
      </c>
      <c r="BG536" s="710">
        <v>0</v>
      </c>
      <c r="BH536" s="710">
        <v>0</v>
      </c>
      <c r="BI536" s="710">
        <v>0</v>
      </c>
      <c r="BJ536" s="710">
        <v>0</v>
      </c>
      <c r="BK536" s="710">
        <v>0</v>
      </c>
      <c r="BL536" s="710">
        <v>0</v>
      </c>
      <c r="BM536" s="710">
        <v>0</v>
      </c>
      <c r="BN536" s="710">
        <v>0</v>
      </c>
      <c r="BO536" s="710">
        <v>0</v>
      </c>
      <c r="BP536" s="710">
        <v>0</v>
      </c>
      <c r="BQ536" s="710">
        <v>0</v>
      </c>
      <c r="BR536" s="710">
        <v>0</v>
      </c>
      <c r="BS536" s="767"/>
      <c r="BT536" s="767"/>
      <c r="BU536" s="707">
        <v>0</v>
      </c>
      <c r="BV536" s="707">
        <v>474.23088584473999</v>
      </c>
      <c r="BW536" s="707">
        <v>474.23088584473999</v>
      </c>
      <c r="BX536" s="707">
        <v>474.23088584473999</v>
      </c>
      <c r="BY536" s="707">
        <v>474.23088584473999</v>
      </c>
      <c r="BZ536" s="707">
        <v>474.23088584473999</v>
      </c>
      <c r="CA536" s="707">
        <v>474.23088584473999</v>
      </c>
      <c r="CB536" s="707">
        <v>423.68815164301787</v>
      </c>
      <c r="CC536" s="707">
        <v>423.68815164301787</v>
      </c>
      <c r="CD536" s="707">
        <v>423.68815164301787</v>
      </c>
      <c r="CE536" s="707">
        <v>209.56458420680306</v>
      </c>
      <c r="CF536" s="707">
        <v>0</v>
      </c>
      <c r="CG536" s="707">
        <v>0</v>
      </c>
      <c r="CH536" s="707">
        <v>0</v>
      </c>
      <c r="CI536" s="707">
        <v>0</v>
      </c>
      <c r="CJ536" s="707">
        <v>0</v>
      </c>
      <c r="CK536" s="707">
        <v>0</v>
      </c>
      <c r="CL536" s="707">
        <v>0</v>
      </c>
      <c r="CM536" s="707">
        <v>0</v>
      </c>
      <c r="CN536" s="707">
        <v>0</v>
      </c>
      <c r="CO536" s="707">
        <v>0</v>
      </c>
      <c r="CP536" s="707">
        <v>0</v>
      </c>
      <c r="CQ536" s="707">
        <v>0</v>
      </c>
      <c r="CR536" s="707">
        <v>0</v>
      </c>
    </row>
    <row r="537" spans="1:96" s="53" customFormat="1">
      <c r="A537" s="774" t="s">
        <v>3</v>
      </c>
      <c r="B537" s="772">
        <v>41729</v>
      </c>
      <c r="C537" s="771">
        <v>2014</v>
      </c>
      <c r="D537" s="773" t="s">
        <v>1</v>
      </c>
      <c r="E537" s="773" t="s">
        <v>12</v>
      </c>
      <c r="F537" s="773" t="s">
        <v>457</v>
      </c>
      <c r="G537" s="772" t="s">
        <v>665</v>
      </c>
      <c r="H537" s="772" t="s">
        <v>371</v>
      </c>
      <c r="I537" s="773" t="s">
        <v>5</v>
      </c>
      <c r="J537" s="773" t="s">
        <v>376</v>
      </c>
      <c r="K537" s="706"/>
      <c r="L537" s="772" t="s">
        <v>651</v>
      </c>
      <c r="M537" s="772" t="s">
        <v>798</v>
      </c>
      <c r="N537" s="771">
        <v>9.4946198835018958</v>
      </c>
      <c r="O537" s="708">
        <v>6.0000000000000009</v>
      </c>
      <c r="P537" s="769">
        <v>0.89342167347094836</v>
      </c>
      <c r="Q537" s="706"/>
      <c r="R537" s="706"/>
      <c r="S537" s="706"/>
      <c r="T537" s="706"/>
      <c r="U537" s="710">
        <v>0.9</v>
      </c>
      <c r="V537" s="707">
        <v>1781</v>
      </c>
      <c r="W537" s="710">
        <v>0.46177760034114435</v>
      </c>
      <c r="X537" s="707">
        <v>1199.1569775616338</v>
      </c>
      <c r="Y537" s="707">
        <v>10938.912780080384</v>
      </c>
      <c r="Z537" s="707">
        <v>7160.4382572842487</v>
      </c>
      <c r="AA537" s="707">
        <v>784.94907777832884</v>
      </c>
      <c r="AB537" s="710">
        <v>0.29700029698552044</v>
      </c>
      <c r="AC537" s="769">
        <v>0.67330543377969332</v>
      </c>
      <c r="AD537" s="769">
        <v>0.51308622260127146</v>
      </c>
      <c r="AE537" s="707"/>
      <c r="AF537" s="770"/>
      <c r="AG537" s="706"/>
      <c r="AH537" s="769">
        <v>0.65458408904432563</v>
      </c>
      <c r="AI537" s="748"/>
      <c r="AJ537" s="748"/>
      <c r="AK537" s="748"/>
      <c r="AL537" s="769">
        <v>0.64316739652617949</v>
      </c>
      <c r="AM537" s="706"/>
      <c r="AN537" s="706"/>
      <c r="AO537" s="706"/>
      <c r="AP537" s="768">
        <v>5832.7177538788728</v>
      </c>
      <c r="AQ537" s="768">
        <v>5832.7177538788728</v>
      </c>
      <c r="AR537" s="706"/>
      <c r="AS537" s="738"/>
      <c r="AT537" s="738"/>
      <c r="AU537" s="710">
        <v>0</v>
      </c>
      <c r="AV537" s="710">
        <v>0.29700029698552044</v>
      </c>
      <c r="AW537" s="710">
        <v>0.29700029698552044</v>
      </c>
      <c r="AX537" s="710">
        <v>0.29700029698552044</v>
      </c>
      <c r="AY537" s="710">
        <v>0.29700029698552044</v>
      </c>
      <c r="AZ537" s="710">
        <v>0.29700029698552044</v>
      </c>
      <c r="BA537" s="710">
        <v>0.29700029698552044</v>
      </c>
      <c r="BB537" s="710">
        <v>0.26534650235417234</v>
      </c>
      <c r="BC537" s="710">
        <v>0.26534650235417234</v>
      </c>
      <c r="BD537" s="710">
        <v>0.26534650235417234</v>
      </c>
      <c r="BE537" s="710">
        <v>0.13124565608205624</v>
      </c>
      <c r="BF537" s="710">
        <v>0</v>
      </c>
      <c r="BG537" s="710">
        <v>0</v>
      </c>
      <c r="BH537" s="710">
        <v>0</v>
      </c>
      <c r="BI537" s="710">
        <v>0</v>
      </c>
      <c r="BJ537" s="710">
        <v>0</v>
      </c>
      <c r="BK537" s="710">
        <v>0</v>
      </c>
      <c r="BL537" s="710">
        <v>0</v>
      </c>
      <c r="BM537" s="710">
        <v>0</v>
      </c>
      <c r="BN537" s="710">
        <v>0</v>
      </c>
      <c r="BO537" s="710">
        <v>0</v>
      </c>
      <c r="BP537" s="710">
        <v>0</v>
      </c>
      <c r="BQ537" s="710">
        <v>0</v>
      </c>
      <c r="BR537" s="710">
        <v>0</v>
      </c>
      <c r="BS537" s="767"/>
      <c r="BT537" s="767"/>
      <c r="BU537" s="707">
        <v>0</v>
      </c>
      <c r="BV537" s="707">
        <v>784.94907777832884</v>
      </c>
      <c r="BW537" s="707">
        <v>784.94907777832884</v>
      </c>
      <c r="BX537" s="707">
        <v>784.94907777832884</v>
      </c>
      <c r="BY537" s="707">
        <v>784.94907777832884</v>
      </c>
      <c r="BZ537" s="707">
        <v>784.94907777832884</v>
      </c>
      <c r="CA537" s="707">
        <v>784.94907777832884</v>
      </c>
      <c r="CB537" s="707">
        <v>701.29051865819213</v>
      </c>
      <c r="CC537" s="707">
        <v>701.29051865819213</v>
      </c>
      <c r="CD537" s="707">
        <v>701.29051865819213</v>
      </c>
      <c r="CE537" s="707">
        <v>346.87223463969906</v>
      </c>
      <c r="CF537" s="707">
        <v>0</v>
      </c>
      <c r="CG537" s="707">
        <v>0</v>
      </c>
      <c r="CH537" s="707">
        <v>0</v>
      </c>
      <c r="CI537" s="707">
        <v>0</v>
      </c>
      <c r="CJ537" s="707">
        <v>0</v>
      </c>
      <c r="CK537" s="707">
        <v>0</v>
      </c>
      <c r="CL537" s="707">
        <v>0</v>
      </c>
      <c r="CM537" s="707">
        <v>0</v>
      </c>
      <c r="CN537" s="707">
        <v>0</v>
      </c>
      <c r="CO537" s="707">
        <v>0</v>
      </c>
      <c r="CP537" s="707">
        <v>0</v>
      </c>
      <c r="CQ537" s="707">
        <v>0</v>
      </c>
      <c r="CR537" s="707">
        <v>0</v>
      </c>
    </row>
    <row r="538" spans="1:96" s="53" customFormat="1">
      <c r="A538" s="774" t="s">
        <v>3</v>
      </c>
      <c r="B538" s="772">
        <v>41729</v>
      </c>
      <c r="C538" s="771">
        <v>2014</v>
      </c>
      <c r="D538" s="773" t="s">
        <v>1</v>
      </c>
      <c r="E538" s="773" t="s">
        <v>12</v>
      </c>
      <c r="F538" s="773" t="s">
        <v>457</v>
      </c>
      <c r="G538" s="772" t="s">
        <v>665</v>
      </c>
      <c r="H538" s="772" t="s">
        <v>371</v>
      </c>
      <c r="I538" s="773" t="s">
        <v>5</v>
      </c>
      <c r="J538" s="773" t="s">
        <v>376</v>
      </c>
      <c r="K538" s="706"/>
      <c r="L538" s="772" t="s">
        <v>651</v>
      </c>
      <c r="M538" s="772" t="s">
        <v>798</v>
      </c>
      <c r="N538" s="771">
        <v>9.4946198835018958</v>
      </c>
      <c r="O538" s="708">
        <v>6.0000000000000009</v>
      </c>
      <c r="P538" s="769">
        <v>0.89342167347094836</v>
      </c>
      <c r="Q538" s="706"/>
      <c r="R538" s="706"/>
      <c r="S538" s="706"/>
      <c r="T538" s="706"/>
      <c r="U538" s="710">
        <v>1.4</v>
      </c>
      <c r="V538" s="707">
        <v>3126</v>
      </c>
      <c r="W538" s="710">
        <v>0.71832071164178002</v>
      </c>
      <c r="X538" s="707">
        <v>2104.7527859953211</v>
      </c>
      <c r="Y538" s="707">
        <v>19199.910921129296</v>
      </c>
      <c r="Z538" s="707">
        <v>12567.95620003962</v>
      </c>
      <c r="AA538" s="707">
        <v>1377.7376850842538</v>
      </c>
      <c r="AB538" s="710">
        <v>0.46200046197747618</v>
      </c>
      <c r="AC538" s="769">
        <v>0.67330543377969321</v>
      </c>
      <c r="AD538" s="769">
        <v>0.51308622260127146</v>
      </c>
      <c r="AE538" s="707"/>
      <c r="AF538" s="770"/>
      <c r="AG538" s="706"/>
      <c r="AH538" s="769">
        <v>0.65458408904432563</v>
      </c>
      <c r="AI538" s="748"/>
      <c r="AJ538" s="748"/>
      <c r="AK538" s="748"/>
      <c r="AL538" s="769">
        <v>0.64316739652617949</v>
      </c>
      <c r="AM538" s="706"/>
      <c r="AN538" s="706"/>
      <c r="AO538" s="706"/>
      <c r="AP538" s="768">
        <v>10237.549521968196</v>
      </c>
      <c r="AQ538" s="768">
        <v>10237.549521968196</v>
      </c>
      <c r="AR538" s="706"/>
      <c r="AS538" s="738"/>
      <c r="AT538" s="738"/>
      <c r="AU538" s="710">
        <v>0</v>
      </c>
      <c r="AV538" s="710">
        <v>0.46200046197747618</v>
      </c>
      <c r="AW538" s="710">
        <v>0.46200046197747618</v>
      </c>
      <c r="AX538" s="710">
        <v>0.46200046197747618</v>
      </c>
      <c r="AY538" s="710">
        <v>0.46200046197747618</v>
      </c>
      <c r="AZ538" s="710">
        <v>0.46200046197747618</v>
      </c>
      <c r="BA538" s="710">
        <v>0.46200046197747618</v>
      </c>
      <c r="BB538" s="710">
        <v>0.412761225884268</v>
      </c>
      <c r="BC538" s="710">
        <v>0.412761225884268</v>
      </c>
      <c r="BD538" s="710">
        <v>0.412761225884268</v>
      </c>
      <c r="BE538" s="710">
        <v>0.20415990946097634</v>
      </c>
      <c r="BF538" s="710">
        <v>0</v>
      </c>
      <c r="BG538" s="710">
        <v>0</v>
      </c>
      <c r="BH538" s="710">
        <v>0</v>
      </c>
      <c r="BI538" s="710">
        <v>0</v>
      </c>
      <c r="BJ538" s="710">
        <v>0</v>
      </c>
      <c r="BK538" s="710">
        <v>0</v>
      </c>
      <c r="BL538" s="710">
        <v>0</v>
      </c>
      <c r="BM538" s="710">
        <v>0</v>
      </c>
      <c r="BN538" s="710">
        <v>0</v>
      </c>
      <c r="BO538" s="710">
        <v>0</v>
      </c>
      <c r="BP538" s="710">
        <v>0</v>
      </c>
      <c r="BQ538" s="710">
        <v>0</v>
      </c>
      <c r="BR538" s="710">
        <v>0</v>
      </c>
      <c r="BS538" s="767"/>
      <c r="BT538" s="767"/>
      <c r="BU538" s="707">
        <v>0</v>
      </c>
      <c r="BV538" s="707">
        <v>1377.7376850842538</v>
      </c>
      <c r="BW538" s="707">
        <v>1377.7376850842538</v>
      </c>
      <c r="BX538" s="707">
        <v>1377.7376850842538</v>
      </c>
      <c r="BY538" s="707">
        <v>1377.7376850842538</v>
      </c>
      <c r="BZ538" s="707">
        <v>1377.7376850842538</v>
      </c>
      <c r="CA538" s="707">
        <v>1377.7376850842538</v>
      </c>
      <c r="CB538" s="707">
        <v>1230.9007082119645</v>
      </c>
      <c r="CC538" s="707">
        <v>1230.9007082119645</v>
      </c>
      <c r="CD538" s="707">
        <v>1230.9007082119645</v>
      </c>
      <c r="CE538" s="707">
        <v>608.82796489820294</v>
      </c>
      <c r="CF538" s="707">
        <v>0</v>
      </c>
      <c r="CG538" s="707">
        <v>0</v>
      </c>
      <c r="CH538" s="707">
        <v>0</v>
      </c>
      <c r="CI538" s="707">
        <v>0</v>
      </c>
      <c r="CJ538" s="707">
        <v>0</v>
      </c>
      <c r="CK538" s="707">
        <v>0</v>
      </c>
      <c r="CL538" s="707">
        <v>0</v>
      </c>
      <c r="CM538" s="707">
        <v>0</v>
      </c>
      <c r="CN538" s="707">
        <v>0</v>
      </c>
      <c r="CO538" s="707">
        <v>0</v>
      </c>
      <c r="CP538" s="707">
        <v>0</v>
      </c>
      <c r="CQ538" s="707">
        <v>0</v>
      </c>
      <c r="CR538" s="707">
        <v>0</v>
      </c>
    </row>
    <row r="539" spans="1:96" s="53" customFormat="1">
      <c r="A539" s="774" t="s">
        <v>3</v>
      </c>
      <c r="B539" s="772">
        <v>41729</v>
      </c>
      <c r="C539" s="771">
        <v>2014</v>
      </c>
      <c r="D539" s="773" t="s">
        <v>1</v>
      </c>
      <c r="E539" s="773" t="s">
        <v>12</v>
      </c>
      <c r="F539" s="773" t="s">
        <v>457</v>
      </c>
      <c r="G539" s="772" t="s">
        <v>665</v>
      </c>
      <c r="H539" s="772" t="s">
        <v>371</v>
      </c>
      <c r="I539" s="773" t="s">
        <v>5</v>
      </c>
      <c r="J539" s="773" t="s">
        <v>376</v>
      </c>
      <c r="K539" s="706"/>
      <c r="L539" s="772" t="s">
        <v>651</v>
      </c>
      <c r="M539" s="772" t="s">
        <v>798</v>
      </c>
      <c r="N539" s="771">
        <v>9.4946198835018958</v>
      </c>
      <c r="O539" s="708">
        <v>6.0000000000000009</v>
      </c>
      <c r="P539" s="769">
        <v>0.89342167347094836</v>
      </c>
      <c r="Q539" s="706"/>
      <c r="R539" s="706"/>
      <c r="S539" s="706"/>
      <c r="T539" s="706"/>
      <c r="U539" s="710">
        <v>5.2</v>
      </c>
      <c r="V539" s="707">
        <v>13013</v>
      </c>
      <c r="W539" s="710">
        <v>2.6680483575266121</v>
      </c>
      <c r="X539" s="707">
        <v>8761.7236097751484</v>
      </c>
      <c r="Y539" s="707">
        <v>79925.924765404838</v>
      </c>
      <c r="Z539" s="707">
        <v>52318.238653587832</v>
      </c>
      <c r="AA539" s="707">
        <v>5735.2848675628256</v>
      </c>
      <c r="AB539" s="710">
        <v>1.7160017159163403</v>
      </c>
      <c r="AC539" s="769">
        <v>0.67330543377969321</v>
      </c>
      <c r="AD539" s="769">
        <v>0.51308622260127157</v>
      </c>
      <c r="AE539" s="707"/>
      <c r="AF539" s="770"/>
      <c r="AG539" s="706"/>
      <c r="AH539" s="769">
        <v>0.65458408904432563</v>
      </c>
      <c r="AI539" s="748"/>
      <c r="AJ539" s="748"/>
      <c r="AK539" s="748"/>
      <c r="AL539" s="769">
        <v>0.64316739652617949</v>
      </c>
      <c r="AM539" s="706"/>
      <c r="AN539" s="706"/>
      <c r="AO539" s="706"/>
      <c r="AP539" s="768">
        <v>42617.156727246358</v>
      </c>
      <c r="AQ539" s="768">
        <v>42617.156727246358</v>
      </c>
      <c r="AR539" s="706"/>
      <c r="AS539" s="738"/>
      <c r="AT539" s="738"/>
      <c r="AU539" s="710">
        <v>0</v>
      </c>
      <c r="AV539" s="710">
        <v>1.7160017159163403</v>
      </c>
      <c r="AW539" s="710">
        <v>1.7160017159163403</v>
      </c>
      <c r="AX539" s="710">
        <v>1.7160017159163403</v>
      </c>
      <c r="AY539" s="710">
        <v>1.7160017159163403</v>
      </c>
      <c r="AZ539" s="710">
        <v>1.7160017159163403</v>
      </c>
      <c r="BA539" s="710">
        <v>1.7160017159163403</v>
      </c>
      <c r="BB539" s="710">
        <v>1.5331131247129957</v>
      </c>
      <c r="BC539" s="710">
        <v>1.5331131247129957</v>
      </c>
      <c r="BD539" s="710">
        <v>1.5331131247129957</v>
      </c>
      <c r="BE539" s="710">
        <v>0.75830823514076928</v>
      </c>
      <c r="BF539" s="710">
        <v>0</v>
      </c>
      <c r="BG539" s="710">
        <v>0</v>
      </c>
      <c r="BH539" s="710">
        <v>0</v>
      </c>
      <c r="BI539" s="710">
        <v>0</v>
      </c>
      <c r="BJ539" s="710">
        <v>0</v>
      </c>
      <c r="BK539" s="710">
        <v>0</v>
      </c>
      <c r="BL539" s="710">
        <v>0</v>
      </c>
      <c r="BM539" s="710">
        <v>0</v>
      </c>
      <c r="BN539" s="710">
        <v>0</v>
      </c>
      <c r="BO539" s="710">
        <v>0</v>
      </c>
      <c r="BP539" s="710">
        <v>0</v>
      </c>
      <c r="BQ539" s="710">
        <v>0</v>
      </c>
      <c r="BR539" s="710">
        <v>0</v>
      </c>
      <c r="BS539" s="767"/>
      <c r="BT539" s="767"/>
      <c r="BU539" s="707">
        <v>0</v>
      </c>
      <c r="BV539" s="707">
        <v>5735.2848675628256</v>
      </c>
      <c r="BW539" s="707">
        <v>5735.2848675628256</v>
      </c>
      <c r="BX539" s="707">
        <v>5735.2848675628256</v>
      </c>
      <c r="BY539" s="707">
        <v>5735.2848675628256</v>
      </c>
      <c r="BZ539" s="707">
        <v>5735.2848675628256</v>
      </c>
      <c r="CA539" s="707">
        <v>5735.2848675628256</v>
      </c>
      <c r="CB539" s="707">
        <v>5124.0278042105865</v>
      </c>
      <c r="CC539" s="707">
        <v>5124.0278042105865</v>
      </c>
      <c r="CD539" s="707">
        <v>5124.0278042105865</v>
      </c>
      <c r="CE539" s="707">
        <v>2534.4460355791148</v>
      </c>
      <c r="CF539" s="707">
        <v>0</v>
      </c>
      <c r="CG539" s="707">
        <v>0</v>
      </c>
      <c r="CH539" s="707">
        <v>0</v>
      </c>
      <c r="CI539" s="707">
        <v>0</v>
      </c>
      <c r="CJ539" s="707">
        <v>0</v>
      </c>
      <c r="CK539" s="707">
        <v>0</v>
      </c>
      <c r="CL539" s="707">
        <v>0</v>
      </c>
      <c r="CM539" s="707">
        <v>0</v>
      </c>
      <c r="CN539" s="707">
        <v>0</v>
      </c>
      <c r="CO539" s="707">
        <v>0</v>
      </c>
      <c r="CP539" s="707">
        <v>0</v>
      </c>
      <c r="CQ539" s="707">
        <v>0</v>
      </c>
      <c r="CR539" s="707">
        <v>0</v>
      </c>
    </row>
    <row r="540" spans="1:96" s="53" customFormat="1">
      <c r="A540" s="774" t="s">
        <v>3</v>
      </c>
      <c r="B540" s="772">
        <v>41729</v>
      </c>
      <c r="C540" s="771">
        <v>2014</v>
      </c>
      <c r="D540" s="773" t="s">
        <v>1</v>
      </c>
      <c r="E540" s="773" t="s">
        <v>12</v>
      </c>
      <c r="F540" s="773" t="s">
        <v>457</v>
      </c>
      <c r="G540" s="772" t="s">
        <v>656</v>
      </c>
      <c r="H540" s="772" t="s">
        <v>371</v>
      </c>
      <c r="I540" s="773" t="s">
        <v>5</v>
      </c>
      <c r="J540" s="773" t="s">
        <v>376</v>
      </c>
      <c r="K540" s="706"/>
      <c r="L540" s="772" t="s">
        <v>651</v>
      </c>
      <c r="M540" s="772" t="s">
        <v>798</v>
      </c>
      <c r="N540" s="771">
        <v>12</v>
      </c>
      <c r="O540" s="708">
        <v>3</v>
      </c>
      <c r="P540" s="769">
        <v>0.19047619047619047</v>
      </c>
      <c r="Q540" s="706"/>
      <c r="R540" s="706"/>
      <c r="S540" s="706"/>
      <c r="T540" s="706"/>
      <c r="U540" s="710">
        <v>4.2000000000000003E-2</v>
      </c>
      <c r="V540" s="707">
        <v>108.94799999999999</v>
      </c>
      <c r="W540" s="710">
        <v>3.8372673792199725E-2</v>
      </c>
      <c r="X540" s="707">
        <v>131.73227541267431</v>
      </c>
      <c r="Y540" s="707">
        <v>621.02358408832174</v>
      </c>
      <c r="Z540" s="707">
        <v>455.68709833186915</v>
      </c>
      <c r="AA540" s="707">
        <v>96.660899646154064</v>
      </c>
      <c r="AB540" s="710">
        <v>2.774830428176267E-2</v>
      </c>
      <c r="AC540" s="769">
        <v>1.2091298180111092</v>
      </c>
      <c r="AD540" s="769">
        <v>0.91363509029046963</v>
      </c>
      <c r="AE540" s="707"/>
      <c r="AF540" s="770"/>
      <c r="AG540" s="706"/>
      <c r="AH540" s="769">
        <v>0.7337677827498762</v>
      </c>
      <c r="AI540" s="748"/>
      <c r="AJ540" s="748"/>
      <c r="AK540" s="748"/>
      <c r="AL540" s="769">
        <v>0.7231266820766411</v>
      </c>
      <c r="AM540" s="706"/>
      <c r="AN540" s="706"/>
      <c r="AO540" s="706"/>
      <c r="AP540" s="768">
        <v>94.578791777188314</v>
      </c>
      <c r="AQ540" s="768">
        <v>189.15758355437663</v>
      </c>
      <c r="AR540" s="706"/>
      <c r="AS540" s="738"/>
      <c r="AT540" s="738"/>
      <c r="AU540" s="710">
        <v>0</v>
      </c>
      <c r="AV540" s="710">
        <v>2.774830428176267E-2</v>
      </c>
      <c r="AW540" s="710">
        <v>2.774830428176267E-2</v>
      </c>
      <c r="AX540" s="710">
        <v>2.774830428176267E-2</v>
      </c>
      <c r="AY540" s="710">
        <v>5.285391291764318E-3</v>
      </c>
      <c r="AZ540" s="710">
        <v>5.285391291764318E-3</v>
      </c>
      <c r="BA540" s="710">
        <v>5.285391291764318E-3</v>
      </c>
      <c r="BB540" s="710">
        <v>5.285391291764318E-3</v>
      </c>
      <c r="BC540" s="710">
        <v>5.285391291764318E-3</v>
      </c>
      <c r="BD540" s="710">
        <v>5.285391291764318E-3</v>
      </c>
      <c r="BE540" s="710">
        <v>5.285391291764318E-3</v>
      </c>
      <c r="BF540" s="710">
        <v>5.285391291764318E-3</v>
      </c>
      <c r="BG540" s="710">
        <v>5.285391291764318E-3</v>
      </c>
      <c r="BH540" s="710">
        <v>0</v>
      </c>
      <c r="BI540" s="710">
        <v>0</v>
      </c>
      <c r="BJ540" s="710">
        <v>0</v>
      </c>
      <c r="BK540" s="710">
        <v>0</v>
      </c>
      <c r="BL540" s="710">
        <v>0</v>
      </c>
      <c r="BM540" s="710">
        <v>0</v>
      </c>
      <c r="BN540" s="710">
        <v>0</v>
      </c>
      <c r="BO540" s="710">
        <v>0</v>
      </c>
      <c r="BP540" s="710">
        <v>0</v>
      </c>
      <c r="BQ540" s="710">
        <v>0</v>
      </c>
      <c r="BR540" s="710">
        <v>0</v>
      </c>
      <c r="BS540" s="767"/>
      <c r="BT540" s="767"/>
      <c r="BU540" s="707">
        <v>0</v>
      </c>
      <c r="BV540" s="707">
        <v>96.660899646154064</v>
      </c>
      <c r="BW540" s="707">
        <v>96.660899646154064</v>
      </c>
      <c r="BX540" s="707">
        <v>96.660899646154064</v>
      </c>
      <c r="BY540" s="707">
        <v>18.411599932600772</v>
      </c>
      <c r="BZ540" s="707">
        <v>18.411599932600772</v>
      </c>
      <c r="CA540" s="707">
        <v>18.411599932600772</v>
      </c>
      <c r="CB540" s="707">
        <v>18.411599932600772</v>
      </c>
      <c r="CC540" s="707">
        <v>18.411599932600772</v>
      </c>
      <c r="CD540" s="707">
        <v>18.411599932600772</v>
      </c>
      <c r="CE540" s="707">
        <v>18.411599932600772</v>
      </c>
      <c r="CF540" s="707">
        <v>18.411599932600772</v>
      </c>
      <c r="CG540" s="707">
        <v>18.411599932600772</v>
      </c>
      <c r="CH540" s="707">
        <v>0</v>
      </c>
      <c r="CI540" s="707">
        <v>0</v>
      </c>
      <c r="CJ540" s="707">
        <v>0</v>
      </c>
      <c r="CK540" s="707">
        <v>0</v>
      </c>
      <c r="CL540" s="707">
        <v>0</v>
      </c>
      <c r="CM540" s="707">
        <v>0</v>
      </c>
      <c r="CN540" s="707">
        <v>0</v>
      </c>
      <c r="CO540" s="707">
        <v>0</v>
      </c>
      <c r="CP540" s="707">
        <v>0</v>
      </c>
      <c r="CQ540" s="707">
        <v>0</v>
      </c>
      <c r="CR540" s="707">
        <v>0</v>
      </c>
    </row>
    <row r="541" spans="1:96" s="53" customFormat="1">
      <c r="A541" s="774" t="s">
        <v>3</v>
      </c>
      <c r="B541" s="772">
        <v>41729</v>
      </c>
      <c r="C541" s="771">
        <v>2014</v>
      </c>
      <c r="D541" s="773" t="s">
        <v>1</v>
      </c>
      <c r="E541" s="773" t="s">
        <v>12</v>
      </c>
      <c r="F541" s="773" t="s">
        <v>457</v>
      </c>
      <c r="G541" s="772" t="s">
        <v>656</v>
      </c>
      <c r="H541" s="772" t="s">
        <v>371</v>
      </c>
      <c r="I541" s="773" t="s">
        <v>5</v>
      </c>
      <c r="J541" s="773" t="s">
        <v>376</v>
      </c>
      <c r="K541" s="706"/>
      <c r="L541" s="772" t="s">
        <v>651</v>
      </c>
      <c r="M541" s="772" t="s">
        <v>798</v>
      </c>
      <c r="N541" s="771">
        <v>3</v>
      </c>
      <c r="O541" s="708" t="s">
        <v>7</v>
      </c>
      <c r="P541" s="769" t="s">
        <v>7</v>
      </c>
      <c r="Q541" s="706"/>
      <c r="R541" s="706"/>
      <c r="S541" s="706"/>
      <c r="T541" s="706"/>
      <c r="U541" s="710">
        <v>0.14099999999999999</v>
      </c>
      <c r="V541" s="707">
        <v>365.75400000000002</v>
      </c>
      <c r="W541" s="710">
        <v>0.12882254773095619</v>
      </c>
      <c r="X541" s="707">
        <v>442.24406745683518</v>
      </c>
      <c r="Y541" s="707">
        <v>1326.7322023705055</v>
      </c>
      <c r="Z541" s="707">
        <v>973.51334643626592</v>
      </c>
      <c r="AA541" s="707">
        <v>324.50444881208864</v>
      </c>
      <c r="AB541" s="710">
        <v>9.3155021517346087E-2</v>
      </c>
      <c r="AC541" s="769">
        <v>1.209129818011109</v>
      </c>
      <c r="AD541" s="769">
        <v>0.91363509029046952</v>
      </c>
      <c r="AE541" s="707"/>
      <c r="AF541" s="770"/>
      <c r="AG541" s="706"/>
      <c r="AH541" s="769">
        <v>0.7337677827498762</v>
      </c>
      <c r="AI541" s="748"/>
      <c r="AJ541" s="748"/>
      <c r="AK541" s="748"/>
      <c r="AL541" s="769">
        <v>0.7231266820766411</v>
      </c>
      <c r="AM541" s="706"/>
      <c r="AN541" s="706"/>
      <c r="AO541" s="706"/>
      <c r="AP541" s="768">
        <v>211.67634350132627</v>
      </c>
      <c r="AQ541" s="768">
        <v>635.02903050397879</v>
      </c>
      <c r="AR541" s="706"/>
      <c r="AS541" s="738"/>
      <c r="AT541" s="738"/>
      <c r="AU541" s="710">
        <v>0</v>
      </c>
      <c r="AV541" s="710">
        <v>9.3155021517346087E-2</v>
      </c>
      <c r="AW541" s="710">
        <v>9.3155021517346087E-2</v>
      </c>
      <c r="AX541" s="710">
        <v>9.3155021517346087E-2</v>
      </c>
      <c r="AY541" s="710">
        <v>0</v>
      </c>
      <c r="AZ541" s="710">
        <v>0</v>
      </c>
      <c r="BA541" s="710">
        <v>0</v>
      </c>
      <c r="BB541" s="710">
        <v>0</v>
      </c>
      <c r="BC541" s="710">
        <v>0</v>
      </c>
      <c r="BD541" s="710">
        <v>0</v>
      </c>
      <c r="BE541" s="710">
        <v>0</v>
      </c>
      <c r="BF541" s="710">
        <v>0</v>
      </c>
      <c r="BG541" s="710">
        <v>0</v>
      </c>
      <c r="BH541" s="710">
        <v>0</v>
      </c>
      <c r="BI541" s="710">
        <v>0</v>
      </c>
      <c r="BJ541" s="710">
        <v>0</v>
      </c>
      <c r="BK541" s="710">
        <v>0</v>
      </c>
      <c r="BL541" s="710">
        <v>0</v>
      </c>
      <c r="BM541" s="710">
        <v>0</v>
      </c>
      <c r="BN541" s="710">
        <v>0</v>
      </c>
      <c r="BO541" s="710">
        <v>0</v>
      </c>
      <c r="BP541" s="710">
        <v>0</v>
      </c>
      <c r="BQ541" s="710">
        <v>0</v>
      </c>
      <c r="BR541" s="710">
        <v>0</v>
      </c>
      <c r="BS541" s="767"/>
      <c r="BT541" s="767"/>
      <c r="BU541" s="707">
        <v>0</v>
      </c>
      <c r="BV541" s="707">
        <v>324.50444881208864</v>
      </c>
      <c r="BW541" s="707">
        <v>324.50444881208864</v>
      </c>
      <c r="BX541" s="707">
        <v>324.50444881208864</v>
      </c>
      <c r="BY541" s="707">
        <v>0</v>
      </c>
      <c r="BZ541" s="707">
        <v>0</v>
      </c>
      <c r="CA541" s="707">
        <v>0</v>
      </c>
      <c r="CB541" s="707">
        <v>0</v>
      </c>
      <c r="CC541" s="707">
        <v>0</v>
      </c>
      <c r="CD541" s="707">
        <v>0</v>
      </c>
      <c r="CE541" s="707">
        <v>0</v>
      </c>
      <c r="CF541" s="707">
        <v>0</v>
      </c>
      <c r="CG541" s="707">
        <v>0</v>
      </c>
      <c r="CH541" s="707">
        <v>0</v>
      </c>
      <c r="CI541" s="707">
        <v>0</v>
      </c>
      <c r="CJ541" s="707">
        <v>0</v>
      </c>
      <c r="CK541" s="707">
        <v>0</v>
      </c>
      <c r="CL541" s="707">
        <v>0</v>
      </c>
      <c r="CM541" s="707">
        <v>0</v>
      </c>
      <c r="CN541" s="707">
        <v>0</v>
      </c>
      <c r="CO541" s="707">
        <v>0</v>
      </c>
      <c r="CP541" s="707">
        <v>0</v>
      </c>
      <c r="CQ541" s="707">
        <v>0</v>
      </c>
      <c r="CR541" s="707">
        <v>0</v>
      </c>
    </row>
    <row r="542" spans="1:96" s="53" customFormat="1">
      <c r="A542" s="774" t="s">
        <v>3</v>
      </c>
      <c r="B542" s="772">
        <v>41729</v>
      </c>
      <c r="C542" s="771">
        <v>2014</v>
      </c>
      <c r="D542" s="773" t="s">
        <v>1</v>
      </c>
      <c r="E542" s="773" t="s">
        <v>12</v>
      </c>
      <c r="F542" s="773" t="s">
        <v>457</v>
      </c>
      <c r="G542" s="772" t="s">
        <v>656</v>
      </c>
      <c r="H542" s="772" t="s">
        <v>371</v>
      </c>
      <c r="I542" s="773" t="s">
        <v>5</v>
      </c>
      <c r="J542" s="773" t="s">
        <v>376</v>
      </c>
      <c r="K542" s="706"/>
      <c r="L542" s="772" t="s">
        <v>651</v>
      </c>
      <c r="M542" s="772" t="s">
        <v>798</v>
      </c>
      <c r="N542" s="771">
        <v>12</v>
      </c>
      <c r="O542" s="708">
        <v>3</v>
      </c>
      <c r="P542" s="769">
        <v>0.18604651162790717</v>
      </c>
      <c r="Q542" s="706"/>
      <c r="R542" s="706"/>
      <c r="S542" s="706"/>
      <c r="T542" s="706"/>
      <c r="U542" s="710">
        <v>0.215</v>
      </c>
      <c r="V542" s="707">
        <v>557.71</v>
      </c>
      <c r="W542" s="710">
        <v>0.19643154441245095</v>
      </c>
      <c r="X542" s="707">
        <v>674.3437908029756</v>
      </c>
      <c r="Y542" s="707">
        <v>3152.1651616604222</v>
      </c>
      <c r="Z542" s="707">
        <v>2312.9572415329731</v>
      </c>
      <c r="AA542" s="707">
        <v>494.81174818864577</v>
      </c>
      <c r="AB542" s="710">
        <v>0.14204489096616602</v>
      </c>
      <c r="AC542" s="769">
        <v>1.209129818011109</v>
      </c>
      <c r="AD542" s="769">
        <v>0.91363509029046952</v>
      </c>
      <c r="AE542" s="707"/>
      <c r="AF542" s="770"/>
      <c r="AG542" s="706"/>
      <c r="AH542" s="769">
        <v>0.7337677827498762</v>
      </c>
      <c r="AI542" s="748"/>
      <c r="AJ542" s="748"/>
      <c r="AK542" s="748"/>
      <c r="AL542" s="769">
        <v>0.7231266820766411</v>
      </c>
      <c r="AM542" s="706"/>
      <c r="AN542" s="706"/>
      <c r="AO542" s="706"/>
      <c r="AP542" s="768">
        <v>193.6613355437666</v>
      </c>
      <c r="AQ542" s="768">
        <v>968.30667771883293</v>
      </c>
      <c r="AR542" s="706"/>
      <c r="AS542" s="738"/>
      <c r="AT542" s="738"/>
      <c r="AU542" s="710">
        <v>0</v>
      </c>
      <c r="AV542" s="710">
        <v>0.14204489096616602</v>
      </c>
      <c r="AW542" s="710">
        <v>0.14204489096616602</v>
      </c>
      <c r="AX542" s="710">
        <v>0.14204489096616602</v>
      </c>
      <c r="AY542" s="710">
        <v>2.6426956458821611E-2</v>
      </c>
      <c r="AZ542" s="710">
        <v>2.6426956458821611E-2</v>
      </c>
      <c r="BA542" s="710">
        <v>2.6426956458821611E-2</v>
      </c>
      <c r="BB542" s="710">
        <v>2.6426956458821611E-2</v>
      </c>
      <c r="BC542" s="710">
        <v>2.6426956458821611E-2</v>
      </c>
      <c r="BD542" s="710">
        <v>2.6426956458821611E-2</v>
      </c>
      <c r="BE542" s="710">
        <v>2.6426956458821611E-2</v>
      </c>
      <c r="BF542" s="710">
        <v>2.6426956458821611E-2</v>
      </c>
      <c r="BG542" s="710">
        <v>2.6426956458821611E-2</v>
      </c>
      <c r="BH542" s="710">
        <v>0</v>
      </c>
      <c r="BI542" s="710">
        <v>0</v>
      </c>
      <c r="BJ542" s="710">
        <v>0</v>
      </c>
      <c r="BK542" s="710">
        <v>0</v>
      </c>
      <c r="BL542" s="710">
        <v>0</v>
      </c>
      <c r="BM542" s="710">
        <v>0</v>
      </c>
      <c r="BN542" s="710">
        <v>0</v>
      </c>
      <c r="BO542" s="710">
        <v>0</v>
      </c>
      <c r="BP542" s="710">
        <v>0</v>
      </c>
      <c r="BQ542" s="710">
        <v>0</v>
      </c>
      <c r="BR542" s="710">
        <v>0</v>
      </c>
      <c r="BS542" s="767"/>
      <c r="BT542" s="767"/>
      <c r="BU542" s="707">
        <v>0</v>
      </c>
      <c r="BV542" s="707">
        <v>494.81174818864577</v>
      </c>
      <c r="BW542" s="707">
        <v>494.81174818864577</v>
      </c>
      <c r="BX542" s="707">
        <v>494.81174818864577</v>
      </c>
      <c r="BY542" s="707">
        <v>92.057999663003955</v>
      </c>
      <c r="BZ542" s="707">
        <v>92.057999663003955</v>
      </c>
      <c r="CA542" s="707">
        <v>92.057999663003955</v>
      </c>
      <c r="CB542" s="707">
        <v>92.057999663003955</v>
      </c>
      <c r="CC542" s="707">
        <v>92.057999663003955</v>
      </c>
      <c r="CD542" s="707">
        <v>92.057999663003955</v>
      </c>
      <c r="CE542" s="707">
        <v>92.057999663003955</v>
      </c>
      <c r="CF542" s="707">
        <v>92.057999663003955</v>
      </c>
      <c r="CG542" s="707">
        <v>92.057999663003955</v>
      </c>
      <c r="CH542" s="707">
        <v>0</v>
      </c>
      <c r="CI542" s="707">
        <v>0</v>
      </c>
      <c r="CJ542" s="707">
        <v>0</v>
      </c>
      <c r="CK542" s="707">
        <v>0</v>
      </c>
      <c r="CL542" s="707">
        <v>0</v>
      </c>
      <c r="CM542" s="707">
        <v>0</v>
      </c>
      <c r="CN542" s="707">
        <v>0</v>
      </c>
      <c r="CO542" s="707">
        <v>0</v>
      </c>
      <c r="CP542" s="707">
        <v>0</v>
      </c>
      <c r="CQ542" s="707">
        <v>0</v>
      </c>
      <c r="CR542" s="707">
        <v>0</v>
      </c>
    </row>
    <row r="543" spans="1:96" s="53" customFormat="1">
      <c r="A543" s="774" t="s">
        <v>3</v>
      </c>
      <c r="B543" s="772">
        <v>41729</v>
      </c>
      <c r="C543" s="771">
        <v>2014</v>
      </c>
      <c r="D543" s="773" t="s">
        <v>1</v>
      </c>
      <c r="E543" s="773" t="s">
        <v>12</v>
      </c>
      <c r="F543" s="773" t="s">
        <v>457</v>
      </c>
      <c r="G543" s="772" t="s">
        <v>656</v>
      </c>
      <c r="H543" s="772" t="s">
        <v>371</v>
      </c>
      <c r="I543" s="773" t="s">
        <v>5</v>
      </c>
      <c r="J543" s="773" t="s">
        <v>376</v>
      </c>
      <c r="K543" s="706"/>
      <c r="L543" s="772" t="s">
        <v>651</v>
      </c>
      <c r="M543" s="772" t="s">
        <v>798</v>
      </c>
      <c r="N543" s="771">
        <v>12</v>
      </c>
      <c r="O543" s="708" t="s">
        <v>7</v>
      </c>
      <c r="P543" s="769" t="s">
        <v>7</v>
      </c>
      <c r="Q543" s="706"/>
      <c r="R543" s="706"/>
      <c r="S543" s="706"/>
      <c r="T543" s="706"/>
      <c r="U543" s="710">
        <v>0.99199999999999999</v>
      </c>
      <c r="V543" s="707">
        <v>2573.248</v>
      </c>
      <c r="W543" s="710">
        <v>0.90632600956814591</v>
      </c>
      <c r="X543" s="707">
        <v>3111.3908859374501</v>
      </c>
      <c r="Y543" s="707">
        <v>37336.690631249403</v>
      </c>
      <c r="Z543" s="707">
        <v>27396.460699709947</v>
      </c>
      <c r="AA543" s="707">
        <v>2283.0383916424958</v>
      </c>
      <c r="AB543" s="710">
        <v>0.65538852017877547</v>
      </c>
      <c r="AC543" s="769">
        <v>1.209129818011109</v>
      </c>
      <c r="AD543" s="769">
        <v>0.91363509029046963</v>
      </c>
      <c r="AE543" s="707"/>
      <c r="AF543" s="770"/>
      <c r="AG543" s="706"/>
      <c r="AH543" s="769">
        <v>0.7337677827498762</v>
      </c>
      <c r="AI543" s="748"/>
      <c r="AJ543" s="748"/>
      <c r="AK543" s="748"/>
      <c r="AL543" s="769">
        <v>0.7231266820766411</v>
      </c>
      <c r="AM543" s="706"/>
      <c r="AN543" s="706"/>
      <c r="AO543" s="706"/>
      <c r="AP543" s="768">
        <v>144.12006366047746</v>
      </c>
      <c r="AQ543" s="768">
        <v>4467.7219734748014</v>
      </c>
      <c r="AR543" s="706"/>
      <c r="AS543" s="738"/>
      <c r="AT543" s="738"/>
      <c r="AU543" s="710">
        <v>0</v>
      </c>
      <c r="AV543" s="710">
        <v>0.65538852017877547</v>
      </c>
      <c r="AW543" s="710">
        <v>0.65538852017877547</v>
      </c>
      <c r="AX543" s="710">
        <v>0.65538852017877547</v>
      </c>
      <c r="AY543" s="710">
        <v>0.65538852017877547</v>
      </c>
      <c r="AZ543" s="710">
        <v>0.65538852017877547</v>
      </c>
      <c r="BA543" s="710">
        <v>0.65538852017877547</v>
      </c>
      <c r="BB543" s="710">
        <v>0.65538852017877547</v>
      </c>
      <c r="BC543" s="710">
        <v>0.65538852017877547</v>
      </c>
      <c r="BD543" s="710">
        <v>0.65538852017877547</v>
      </c>
      <c r="BE543" s="710">
        <v>0.65538852017877547</v>
      </c>
      <c r="BF543" s="710">
        <v>0.65538852017877547</v>
      </c>
      <c r="BG543" s="710">
        <v>0.65538852017877547</v>
      </c>
      <c r="BH543" s="710">
        <v>0</v>
      </c>
      <c r="BI543" s="710">
        <v>0</v>
      </c>
      <c r="BJ543" s="710">
        <v>0</v>
      </c>
      <c r="BK543" s="710">
        <v>0</v>
      </c>
      <c r="BL543" s="710">
        <v>0</v>
      </c>
      <c r="BM543" s="710">
        <v>0</v>
      </c>
      <c r="BN543" s="710">
        <v>0</v>
      </c>
      <c r="BO543" s="710">
        <v>0</v>
      </c>
      <c r="BP543" s="710">
        <v>0</v>
      </c>
      <c r="BQ543" s="710">
        <v>0</v>
      </c>
      <c r="BR543" s="710">
        <v>0</v>
      </c>
      <c r="BS543" s="767"/>
      <c r="BT543" s="767"/>
      <c r="BU543" s="707">
        <v>0</v>
      </c>
      <c r="BV543" s="707">
        <v>2283.0383916424958</v>
      </c>
      <c r="BW543" s="707">
        <v>2283.0383916424958</v>
      </c>
      <c r="BX543" s="707">
        <v>2283.0383916424958</v>
      </c>
      <c r="BY543" s="707">
        <v>2283.0383916424958</v>
      </c>
      <c r="BZ543" s="707">
        <v>2283.0383916424958</v>
      </c>
      <c r="CA543" s="707">
        <v>2283.0383916424958</v>
      </c>
      <c r="CB543" s="707">
        <v>2283.0383916424958</v>
      </c>
      <c r="CC543" s="707">
        <v>2283.0383916424958</v>
      </c>
      <c r="CD543" s="707">
        <v>2283.0383916424958</v>
      </c>
      <c r="CE543" s="707">
        <v>2283.0383916424958</v>
      </c>
      <c r="CF543" s="707">
        <v>2283.0383916424958</v>
      </c>
      <c r="CG543" s="707">
        <v>2283.0383916424958</v>
      </c>
      <c r="CH543" s="707">
        <v>0</v>
      </c>
      <c r="CI543" s="707">
        <v>0</v>
      </c>
      <c r="CJ543" s="707">
        <v>0</v>
      </c>
      <c r="CK543" s="707">
        <v>0</v>
      </c>
      <c r="CL543" s="707">
        <v>0</v>
      </c>
      <c r="CM543" s="707">
        <v>0</v>
      </c>
      <c r="CN543" s="707">
        <v>0</v>
      </c>
      <c r="CO543" s="707">
        <v>0</v>
      </c>
      <c r="CP543" s="707">
        <v>0</v>
      </c>
      <c r="CQ543" s="707">
        <v>0</v>
      </c>
      <c r="CR543" s="707">
        <v>0</v>
      </c>
    </row>
    <row r="544" spans="1:96" s="53" customFormat="1">
      <c r="A544" s="774" t="s">
        <v>3</v>
      </c>
      <c r="B544" s="772">
        <v>41729</v>
      </c>
      <c r="C544" s="771">
        <v>2014</v>
      </c>
      <c r="D544" s="773" t="s">
        <v>1</v>
      </c>
      <c r="E544" s="773" t="s">
        <v>12</v>
      </c>
      <c r="F544" s="773" t="s">
        <v>457</v>
      </c>
      <c r="G544" s="772" t="s">
        <v>656</v>
      </c>
      <c r="H544" s="772" t="s">
        <v>371</v>
      </c>
      <c r="I544" s="773" t="s">
        <v>5</v>
      </c>
      <c r="J544" s="773" t="s">
        <v>376</v>
      </c>
      <c r="K544" s="706"/>
      <c r="L544" s="772" t="s">
        <v>651</v>
      </c>
      <c r="M544" s="772" t="s">
        <v>798</v>
      </c>
      <c r="N544" s="771">
        <v>12</v>
      </c>
      <c r="O544" s="708">
        <v>3</v>
      </c>
      <c r="P544" s="769">
        <v>0.2333333333333335</v>
      </c>
      <c r="Q544" s="706"/>
      <c r="R544" s="706"/>
      <c r="S544" s="706"/>
      <c r="T544" s="706"/>
      <c r="U544" s="710">
        <v>6.15</v>
      </c>
      <c r="V544" s="707">
        <v>15953.1</v>
      </c>
      <c r="W544" s="710">
        <v>5.6188558052863886</v>
      </c>
      <c r="X544" s="707">
        <v>19289.368899713023</v>
      </c>
      <c r="Y544" s="707">
        <v>98375.781388536445</v>
      </c>
      <c r="Z544" s="707">
        <v>72184.978985752925</v>
      </c>
      <c r="AA544" s="707">
        <v>14153.917448186843</v>
      </c>
      <c r="AB544" s="710">
        <v>4.0631445555438193</v>
      </c>
      <c r="AC544" s="769">
        <v>1.209129818011109</v>
      </c>
      <c r="AD544" s="769">
        <v>0.91363509029046963</v>
      </c>
      <c r="AE544" s="707"/>
      <c r="AF544" s="770"/>
      <c r="AG544" s="706"/>
      <c r="AH544" s="769">
        <v>0.7337677827498762</v>
      </c>
      <c r="AI544" s="748"/>
      <c r="AJ544" s="748"/>
      <c r="AK544" s="748"/>
      <c r="AL544" s="769">
        <v>0.7231266820766411</v>
      </c>
      <c r="AM544" s="706"/>
      <c r="AN544" s="706"/>
      <c r="AO544" s="706"/>
      <c r="AP544" s="768">
        <v>135.1125596816976</v>
      </c>
      <c r="AQ544" s="768">
        <v>27698.07473474801</v>
      </c>
      <c r="AR544" s="706"/>
      <c r="AS544" s="738"/>
      <c r="AT544" s="738"/>
      <c r="AU544" s="710">
        <v>0</v>
      </c>
      <c r="AV544" s="710">
        <v>4.0631445555438193</v>
      </c>
      <c r="AW544" s="710">
        <v>4.0631445555438193</v>
      </c>
      <c r="AX544" s="710">
        <v>4.0631445555438193</v>
      </c>
      <c r="AY544" s="710">
        <v>0.94806706296022514</v>
      </c>
      <c r="AZ544" s="710">
        <v>0.94806706296022514</v>
      </c>
      <c r="BA544" s="710">
        <v>0.94806706296022514</v>
      </c>
      <c r="BB544" s="710">
        <v>0.94806706296022514</v>
      </c>
      <c r="BC544" s="710">
        <v>0.94806706296022514</v>
      </c>
      <c r="BD544" s="710">
        <v>0.94806706296022514</v>
      </c>
      <c r="BE544" s="710">
        <v>0.94806706296022514</v>
      </c>
      <c r="BF544" s="710">
        <v>0.94806706296022514</v>
      </c>
      <c r="BG544" s="710">
        <v>0.94806706296022514</v>
      </c>
      <c r="BH544" s="710">
        <v>0</v>
      </c>
      <c r="BI544" s="710">
        <v>0</v>
      </c>
      <c r="BJ544" s="710">
        <v>0</v>
      </c>
      <c r="BK544" s="710">
        <v>0</v>
      </c>
      <c r="BL544" s="710">
        <v>0</v>
      </c>
      <c r="BM544" s="710">
        <v>0</v>
      </c>
      <c r="BN544" s="710">
        <v>0</v>
      </c>
      <c r="BO544" s="710">
        <v>0</v>
      </c>
      <c r="BP544" s="710">
        <v>0</v>
      </c>
      <c r="BQ544" s="710">
        <v>0</v>
      </c>
      <c r="BR544" s="710">
        <v>0</v>
      </c>
      <c r="BS544" s="767"/>
      <c r="BT544" s="767"/>
      <c r="BU544" s="707">
        <v>0</v>
      </c>
      <c r="BV544" s="707">
        <v>14153.917448186843</v>
      </c>
      <c r="BW544" s="707">
        <v>14153.917448186843</v>
      </c>
      <c r="BX544" s="707">
        <v>14153.917448186843</v>
      </c>
      <c r="BY544" s="707">
        <v>3302.5807379102657</v>
      </c>
      <c r="BZ544" s="707">
        <v>3302.5807379102657</v>
      </c>
      <c r="CA544" s="707">
        <v>3302.5807379102657</v>
      </c>
      <c r="CB544" s="707">
        <v>3302.5807379102657</v>
      </c>
      <c r="CC544" s="707">
        <v>3302.5807379102657</v>
      </c>
      <c r="CD544" s="707">
        <v>3302.5807379102657</v>
      </c>
      <c r="CE544" s="707">
        <v>3302.5807379102657</v>
      </c>
      <c r="CF544" s="707">
        <v>3302.5807379102657</v>
      </c>
      <c r="CG544" s="707">
        <v>3302.5807379102657</v>
      </c>
      <c r="CH544" s="707">
        <v>0</v>
      </c>
      <c r="CI544" s="707">
        <v>0</v>
      </c>
      <c r="CJ544" s="707">
        <v>0</v>
      </c>
      <c r="CK544" s="707">
        <v>0</v>
      </c>
      <c r="CL544" s="707">
        <v>0</v>
      </c>
      <c r="CM544" s="707">
        <v>0</v>
      </c>
      <c r="CN544" s="707">
        <v>0</v>
      </c>
      <c r="CO544" s="707">
        <v>0</v>
      </c>
      <c r="CP544" s="707">
        <v>0</v>
      </c>
      <c r="CQ544" s="707">
        <v>0</v>
      </c>
      <c r="CR544" s="707">
        <v>0</v>
      </c>
    </row>
    <row r="545" spans="1:96" s="53" customFormat="1">
      <c r="A545" s="774" t="s">
        <v>3</v>
      </c>
      <c r="B545" s="772">
        <v>41684</v>
      </c>
      <c r="C545" s="771">
        <v>2014</v>
      </c>
      <c r="D545" s="773" t="s">
        <v>1</v>
      </c>
      <c r="E545" s="773" t="s">
        <v>12</v>
      </c>
      <c r="F545" s="773" t="s">
        <v>457</v>
      </c>
      <c r="G545" s="772" t="s">
        <v>665</v>
      </c>
      <c r="H545" s="772" t="s">
        <v>371</v>
      </c>
      <c r="I545" s="773" t="s">
        <v>5</v>
      </c>
      <c r="J545" s="773" t="s">
        <v>376</v>
      </c>
      <c r="K545" s="706"/>
      <c r="L545" s="772" t="s">
        <v>651</v>
      </c>
      <c r="M545" s="772" t="s">
        <v>798</v>
      </c>
      <c r="N545" s="771">
        <v>9.4946198835018958</v>
      </c>
      <c r="O545" s="708">
        <v>6.0000000000000009</v>
      </c>
      <c r="P545" s="769">
        <v>0.89342167347094836</v>
      </c>
      <c r="Q545" s="706"/>
      <c r="R545" s="706"/>
      <c r="S545" s="706"/>
      <c r="T545" s="706"/>
      <c r="U545" s="710">
        <v>0.3</v>
      </c>
      <c r="V545" s="707">
        <v>762</v>
      </c>
      <c r="W545" s="710">
        <v>0.15392586678038142</v>
      </c>
      <c r="X545" s="707">
        <v>513.05874054012634</v>
      </c>
      <c r="Y545" s="707">
        <v>4680.2086122522469</v>
      </c>
      <c r="Z545" s="707">
        <v>3063.5900909885445</v>
      </c>
      <c r="AA545" s="707">
        <v>335.8400883026876</v>
      </c>
      <c r="AB545" s="710">
        <v>9.9000098995173452E-2</v>
      </c>
      <c r="AC545" s="769">
        <v>0.67330543377969332</v>
      </c>
      <c r="AD545" s="769">
        <v>0.51308622260127146</v>
      </c>
      <c r="AE545" s="707"/>
      <c r="AF545" s="770"/>
      <c r="AG545" s="706"/>
      <c r="AH545" s="769">
        <v>0.65458408904432563</v>
      </c>
      <c r="AI545" s="748"/>
      <c r="AJ545" s="748"/>
      <c r="AK545" s="748"/>
      <c r="AL545" s="769">
        <v>0.64316739652617949</v>
      </c>
      <c r="AM545" s="706"/>
      <c r="AN545" s="706"/>
      <c r="AO545" s="706"/>
      <c r="AP545" s="768">
        <v>1862.2231093117407</v>
      </c>
      <c r="AQ545" s="768">
        <v>1862.2231093117407</v>
      </c>
      <c r="AR545" s="706"/>
      <c r="AS545" s="738"/>
      <c r="AT545" s="738"/>
      <c r="AU545" s="710">
        <v>0</v>
      </c>
      <c r="AV545" s="710">
        <v>9.9000098995173452E-2</v>
      </c>
      <c r="AW545" s="710">
        <v>9.9000098995173452E-2</v>
      </c>
      <c r="AX545" s="710">
        <v>9.9000098995173452E-2</v>
      </c>
      <c r="AY545" s="710">
        <v>9.9000098995173452E-2</v>
      </c>
      <c r="AZ545" s="710">
        <v>9.9000098995173452E-2</v>
      </c>
      <c r="BA545" s="710">
        <v>9.9000098995173452E-2</v>
      </c>
      <c r="BB545" s="710">
        <v>8.8448834118057415E-2</v>
      </c>
      <c r="BC545" s="710">
        <v>8.8448834118057415E-2</v>
      </c>
      <c r="BD545" s="710">
        <v>8.8448834118057415E-2</v>
      </c>
      <c r="BE545" s="710">
        <v>4.3748552027352061E-2</v>
      </c>
      <c r="BF545" s="710">
        <v>0</v>
      </c>
      <c r="BG545" s="710">
        <v>0</v>
      </c>
      <c r="BH545" s="710">
        <v>0</v>
      </c>
      <c r="BI545" s="710">
        <v>0</v>
      </c>
      <c r="BJ545" s="710">
        <v>0</v>
      </c>
      <c r="BK545" s="710">
        <v>0</v>
      </c>
      <c r="BL545" s="710">
        <v>0</v>
      </c>
      <c r="BM545" s="710">
        <v>0</v>
      </c>
      <c r="BN545" s="710">
        <v>0</v>
      </c>
      <c r="BO545" s="710">
        <v>0</v>
      </c>
      <c r="BP545" s="710">
        <v>0</v>
      </c>
      <c r="BQ545" s="710">
        <v>0</v>
      </c>
      <c r="BR545" s="710">
        <v>0</v>
      </c>
      <c r="BS545" s="767"/>
      <c r="BT545" s="767"/>
      <c r="BU545" s="707">
        <v>0</v>
      </c>
      <c r="BV545" s="707">
        <v>335.8400883026876</v>
      </c>
      <c r="BW545" s="707">
        <v>335.8400883026876</v>
      </c>
      <c r="BX545" s="707">
        <v>335.8400883026876</v>
      </c>
      <c r="BY545" s="707">
        <v>335.8400883026876</v>
      </c>
      <c r="BZ545" s="707">
        <v>335.8400883026876</v>
      </c>
      <c r="CA545" s="707">
        <v>335.8400883026876</v>
      </c>
      <c r="CB545" s="707">
        <v>300.04681371001823</v>
      </c>
      <c r="CC545" s="707">
        <v>300.04681371001823</v>
      </c>
      <c r="CD545" s="707">
        <v>300.04681371001823</v>
      </c>
      <c r="CE545" s="707">
        <v>148.40912004236424</v>
      </c>
      <c r="CF545" s="707">
        <v>0</v>
      </c>
      <c r="CG545" s="707">
        <v>0</v>
      </c>
      <c r="CH545" s="707">
        <v>0</v>
      </c>
      <c r="CI545" s="707">
        <v>0</v>
      </c>
      <c r="CJ545" s="707">
        <v>0</v>
      </c>
      <c r="CK545" s="707">
        <v>0</v>
      </c>
      <c r="CL545" s="707">
        <v>0</v>
      </c>
      <c r="CM545" s="707">
        <v>0</v>
      </c>
      <c r="CN545" s="707">
        <v>0</v>
      </c>
      <c r="CO545" s="707">
        <v>0</v>
      </c>
      <c r="CP545" s="707">
        <v>0</v>
      </c>
      <c r="CQ545" s="707">
        <v>0</v>
      </c>
      <c r="CR545" s="707">
        <v>0</v>
      </c>
    </row>
    <row r="546" spans="1:96" s="53" customFormat="1">
      <c r="A546" s="774" t="s">
        <v>3</v>
      </c>
      <c r="B546" s="772">
        <v>41684</v>
      </c>
      <c r="C546" s="771">
        <v>2014</v>
      </c>
      <c r="D546" s="773" t="s">
        <v>1</v>
      </c>
      <c r="E546" s="773" t="s">
        <v>12</v>
      </c>
      <c r="F546" s="773" t="s">
        <v>457</v>
      </c>
      <c r="G546" s="772" t="s">
        <v>665</v>
      </c>
      <c r="H546" s="772" t="s">
        <v>371</v>
      </c>
      <c r="I546" s="773" t="s">
        <v>5</v>
      </c>
      <c r="J546" s="773" t="s">
        <v>376</v>
      </c>
      <c r="K546" s="706"/>
      <c r="L546" s="772" t="s">
        <v>651</v>
      </c>
      <c r="M546" s="772" t="s">
        <v>798</v>
      </c>
      <c r="N546" s="771">
        <v>9.4946198835018958</v>
      </c>
      <c r="O546" s="708">
        <v>6.0000000000000009</v>
      </c>
      <c r="P546" s="769">
        <v>0.89342167347094836</v>
      </c>
      <c r="Q546" s="706"/>
      <c r="R546" s="706"/>
      <c r="S546" s="706"/>
      <c r="T546" s="706"/>
      <c r="U546" s="710">
        <v>4.2</v>
      </c>
      <c r="V546" s="707">
        <v>10353</v>
      </c>
      <c r="W546" s="710">
        <v>2.1549621349253401</v>
      </c>
      <c r="X546" s="707">
        <v>6970.7311559211657</v>
      </c>
      <c r="Y546" s="707">
        <v>63588.188664891757</v>
      </c>
      <c r="Z546" s="707">
        <v>41623.816551186886</v>
      </c>
      <c r="AA546" s="707">
        <v>4562.9297036715552</v>
      </c>
      <c r="AB546" s="710">
        <v>1.3860013859324285</v>
      </c>
      <c r="AC546" s="769">
        <v>0.67330543377969343</v>
      </c>
      <c r="AD546" s="769">
        <v>0.51308622260127146</v>
      </c>
      <c r="AE546" s="707"/>
      <c r="AF546" s="770"/>
      <c r="AG546" s="706"/>
      <c r="AH546" s="769">
        <v>0.65458408904432563</v>
      </c>
      <c r="AI546" s="748"/>
      <c r="AJ546" s="748"/>
      <c r="AK546" s="748"/>
      <c r="AL546" s="769">
        <v>0.64316739652617949</v>
      </c>
      <c r="AM546" s="706"/>
      <c r="AN546" s="706"/>
      <c r="AO546" s="706"/>
      <c r="AP546" s="768">
        <v>25301.306890688258</v>
      </c>
      <c r="AQ546" s="768">
        <v>25301.306890688258</v>
      </c>
      <c r="AR546" s="706"/>
      <c r="AS546" s="738"/>
      <c r="AT546" s="738"/>
      <c r="AU546" s="710">
        <v>0</v>
      </c>
      <c r="AV546" s="710">
        <v>1.3860013859324285</v>
      </c>
      <c r="AW546" s="710">
        <v>1.3860013859324285</v>
      </c>
      <c r="AX546" s="710">
        <v>1.3860013859324285</v>
      </c>
      <c r="AY546" s="710">
        <v>1.3860013859324285</v>
      </c>
      <c r="AZ546" s="710">
        <v>1.3860013859324285</v>
      </c>
      <c r="BA546" s="710">
        <v>1.3860013859324285</v>
      </c>
      <c r="BB546" s="710">
        <v>1.2382836776528041</v>
      </c>
      <c r="BC546" s="710">
        <v>1.2382836776528041</v>
      </c>
      <c r="BD546" s="710">
        <v>1.2382836776528041</v>
      </c>
      <c r="BE546" s="710">
        <v>0.61247972838292897</v>
      </c>
      <c r="BF546" s="710">
        <v>0</v>
      </c>
      <c r="BG546" s="710">
        <v>0</v>
      </c>
      <c r="BH546" s="710">
        <v>0</v>
      </c>
      <c r="BI546" s="710">
        <v>0</v>
      </c>
      <c r="BJ546" s="710">
        <v>0</v>
      </c>
      <c r="BK546" s="710">
        <v>0</v>
      </c>
      <c r="BL546" s="710">
        <v>0</v>
      </c>
      <c r="BM546" s="710">
        <v>0</v>
      </c>
      <c r="BN546" s="710">
        <v>0</v>
      </c>
      <c r="BO546" s="710">
        <v>0</v>
      </c>
      <c r="BP546" s="710">
        <v>0</v>
      </c>
      <c r="BQ546" s="710">
        <v>0</v>
      </c>
      <c r="BR546" s="710">
        <v>0</v>
      </c>
      <c r="BS546" s="767"/>
      <c r="BT546" s="767"/>
      <c r="BU546" s="707">
        <v>0</v>
      </c>
      <c r="BV546" s="707">
        <v>4562.9297036715552</v>
      </c>
      <c r="BW546" s="707">
        <v>4562.9297036715552</v>
      </c>
      <c r="BX546" s="707">
        <v>4562.9297036715552</v>
      </c>
      <c r="BY546" s="707">
        <v>4562.9297036715552</v>
      </c>
      <c r="BZ546" s="707">
        <v>4562.9297036715552</v>
      </c>
      <c r="CA546" s="707">
        <v>4562.9297036715552</v>
      </c>
      <c r="CB546" s="707">
        <v>4076.6202917845394</v>
      </c>
      <c r="CC546" s="707">
        <v>4076.6202917845394</v>
      </c>
      <c r="CD546" s="707">
        <v>4076.6202917845394</v>
      </c>
      <c r="CE546" s="707">
        <v>2016.3774538039331</v>
      </c>
      <c r="CF546" s="707">
        <v>0</v>
      </c>
      <c r="CG546" s="707">
        <v>0</v>
      </c>
      <c r="CH546" s="707">
        <v>0</v>
      </c>
      <c r="CI546" s="707">
        <v>0</v>
      </c>
      <c r="CJ546" s="707">
        <v>0</v>
      </c>
      <c r="CK546" s="707">
        <v>0</v>
      </c>
      <c r="CL546" s="707">
        <v>0</v>
      </c>
      <c r="CM546" s="707">
        <v>0</v>
      </c>
      <c r="CN546" s="707">
        <v>0</v>
      </c>
      <c r="CO546" s="707">
        <v>0</v>
      </c>
      <c r="CP546" s="707">
        <v>0</v>
      </c>
      <c r="CQ546" s="707">
        <v>0</v>
      </c>
      <c r="CR546" s="707">
        <v>0</v>
      </c>
    </row>
    <row r="547" spans="1:96" s="53" customFormat="1">
      <c r="A547" s="774" t="s">
        <v>3</v>
      </c>
      <c r="B547" s="772">
        <v>41684</v>
      </c>
      <c r="C547" s="771">
        <v>2014</v>
      </c>
      <c r="D547" s="773" t="s">
        <v>1</v>
      </c>
      <c r="E547" s="773" t="s">
        <v>12</v>
      </c>
      <c r="F547" s="773" t="s">
        <v>457</v>
      </c>
      <c r="G547" s="772" t="s">
        <v>656</v>
      </c>
      <c r="H547" s="772" t="s">
        <v>371</v>
      </c>
      <c r="I547" s="773" t="s">
        <v>5</v>
      </c>
      <c r="J547" s="773" t="s">
        <v>376</v>
      </c>
      <c r="K547" s="706"/>
      <c r="L547" s="772" t="s">
        <v>651</v>
      </c>
      <c r="M547" s="772" t="s">
        <v>798</v>
      </c>
      <c r="N547" s="771">
        <v>12</v>
      </c>
      <c r="O547" s="708">
        <v>3</v>
      </c>
      <c r="P547" s="769">
        <v>0.19047619047619047</v>
      </c>
      <c r="Q547" s="706"/>
      <c r="R547" s="706"/>
      <c r="S547" s="706"/>
      <c r="T547" s="706"/>
      <c r="U547" s="710">
        <v>2.1000000000000001E-2</v>
      </c>
      <c r="V547" s="707">
        <v>54.473999999999997</v>
      </c>
      <c r="W547" s="710">
        <v>1.9186336896099863E-2</v>
      </c>
      <c r="X547" s="707">
        <v>65.866137706337156</v>
      </c>
      <c r="Y547" s="707">
        <v>310.51179204416087</v>
      </c>
      <c r="Z547" s="707">
        <v>227.84354916593458</v>
      </c>
      <c r="AA547" s="707">
        <v>48.330449823077032</v>
      </c>
      <c r="AB547" s="710">
        <v>1.3874152140881335E-2</v>
      </c>
      <c r="AC547" s="769">
        <v>1.2091298180111092</v>
      </c>
      <c r="AD547" s="769">
        <v>0.91363509029046963</v>
      </c>
      <c r="AE547" s="707"/>
      <c r="AF547" s="770"/>
      <c r="AG547" s="706"/>
      <c r="AH547" s="769">
        <v>0.7337677827498762</v>
      </c>
      <c r="AI547" s="748"/>
      <c r="AJ547" s="748"/>
      <c r="AK547" s="748"/>
      <c r="AL547" s="769">
        <v>0.7231266820766411</v>
      </c>
      <c r="AM547" s="706"/>
      <c r="AN547" s="706"/>
      <c r="AO547" s="706"/>
      <c r="AP547" s="768">
        <v>110.78622641509433</v>
      </c>
      <c r="AQ547" s="768">
        <v>110.78622641509433</v>
      </c>
      <c r="AR547" s="706"/>
      <c r="AS547" s="738"/>
      <c r="AT547" s="738"/>
      <c r="AU547" s="710">
        <v>0</v>
      </c>
      <c r="AV547" s="710">
        <v>1.3874152140881335E-2</v>
      </c>
      <c r="AW547" s="710">
        <v>1.3874152140881335E-2</v>
      </c>
      <c r="AX547" s="710">
        <v>1.3874152140881335E-2</v>
      </c>
      <c r="AY547" s="710">
        <v>2.642695645882159E-3</v>
      </c>
      <c r="AZ547" s="710">
        <v>2.642695645882159E-3</v>
      </c>
      <c r="BA547" s="710">
        <v>2.642695645882159E-3</v>
      </c>
      <c r="BB547" s="710">
        <v>2.642695645882159E-3</v>
      </c>
      <c r="BC547" s="710">
        <v>2.642695645882159E-3</v>
      </c>
      <c r="BD547" s="710">
        <v>2.642695645882159E-3</v>
      </c>
      <c r="BE547" s="710">
        <v>2.642695645882159E-3</v>
      </c>
      <c r="BF547" s="710">
        <v>2.642695645882159E-3</v>
      </c>
      <c r="BG547" s="710">
        <v>2.642695645882159E-3</v>
      </c>
      <c r="BH547" s="710">
        <v>0</v>
      </c>
      <c r="BI547" s="710">
        <v>0</v>
      </c>
      <c r="BJ547" s="710">
        <v>0</v>
      </c>
      <c r="BK547" s="710">
        <v>0</v>
      </c>
      <c r="BL547" s="710">
        <v>0</v>
      </c>
      <c r="BM547" s="710">
        <v>0</v>
      </c>
      <c r="BN547" s="710">
        <v>0</v>
      </c>
      <c r="BO547" s="710">
        <v>0</v>
      </c>
      <c r="BP547" s="710">
        <v>0</v>
      </c>
      <c r="BQ547" s="710">
        <v>0</v>
      </c>
      <c r="BR547" s="710">
        <v>0</v>
      </c>
      <c r="BS547" s="767"/>
      <c r="BT547" s="767"/>
      <c r="BU547" s="707">
        <v>0</v>
      </c>
      <c r="BV547" s="707">
        <v>48.330449823077032</v>
      </c>
      <c r="BW547" s="707">
        <v>48.330449823077032</v>
      </c>
      <c r="BX547" s="707">
        <v>48.330449823077032</v>
      </c>
      <c r="BY547" s="707">
        <v>9.2057999663003862</v>
      </c>
      <c r="BZ547" s="707">
        <v>9.2057999663003862</v>
      </c>
      <c r="CA547" s="707">
        <v>9.2057999663003862</v>
      </c>
      <c r="CB547" s="707">
        <v>9.2057999663003862</v>
      </c>
      <c r="CC547" s="707">
        <v>9.2057999663003862</v>
      </c>
      <c r="CD547" s="707">
        <v>9.2057999663003862</v>
      </c>
      <c r="CE547" s="707">
        <v>9.2057999663003862</v>
      </c>
      <c r="CF547" s="707">
        <v>9.2057999663003862</v>
      </c>
      <c r="CG547" s="707">
        <v>9.2057999663003862</v>
      </c>
      <c r="CH547" s="707">
        <v>0</v>
      </c>
      <c r="CI547" s="707">
        <v>0</v>
      </c>
      <c r="CJ547" s="707">
        <v>0</v>
      </c>
      <c r="CK547" s="707">
        <v>0</v>
      </c>
      <c r="CL547" s="707">
        <v>0</v>
      </c>
      <c r="CM547" s="707">
        <v>0</v>
      </c>
      <c r="CN547" s="707">
        <v>0</v>
      </c>
      <c r="CO547" s="707">
        <v>0</v>
      </c>
      <c r="CP547" s="707">
        <v>0</v>
      </c>
      <c r="CQ547" s="707">
        <v>0</v>
      </c>
      <c r="CR547" s="707">
        <v>0</v>
      </c>
    </row>
    <row r="548" spans="1:96" s="53" customFormat="1">
      <c r="A548" s="774" t="s">
        <v>3</v>
      </c>
      <c r="B548" s="772">
        <v>41684</v>
      </c>
      <c r="C548" s="771">
        <v>2014</v>
      </c>
      <c r="D548" s="773" t="s">
        <v>1</v>
      </c>
      <c r="E548" s="773" t="s">
        <v>12</v>
      </c>
      <c r="F548" s="773" t="s">
        <v>457</v>
      </c>
      <c r="G548" s="772" t="s">
        <v>656</v>
      </c>
      <c r="H548" s="772" t="s">
        <v>371</v>
      </c>
      <c r="I548" s="773" t="s">
        <v>5</v>
      </c>
      <c r="J548" s="773" t="s">
        <v>376</v>
      </c>
      <c r="K548" s="706"/>
      <c r="L548" s="772" t="s">
        <v>651</v>
      </c>
      <c r="M548" s="772" t="s">
        <v>798</v>
      </c>
      <c r="N548" s="771">
        <v>12</v>
      </c>
      <c r="O548" s="708">
        <v>3</v>
      </c>
      <c r="P548" s="769">
        <v>0.18604651162790717</v>
      </c>
      <c r="Q548" s="706"/>
      <c r="R548" s="706"/>
      <c r="S548" s="706"/>
      <c r="T548" s="706"/>
      <c r="U548" s="710">
        <v>0.129</v>
      </c>
      <c r="V548" s="707">
        <v>334.62599999999998</v>
      </c>
      <c r="W548" s="710">
        <v>0.11785892664747058</v>
      </c>
      <c r="X548" s="707">
        <v>404.60627448178531</v>
      </c>
      <c r="Y548" s="707">
        <v>1891.299096996253</v>
      </c>
      <c r="Z548" s="707">
        <v>1387.7743449197835</v>
      </c>
      <c r="AA548" s="707">
        <v>296.88704891318741</v>
      </c>
      <c r="AB548" s="710">
        <v>8.5226934579699626E-2</v>
      </c>
      <c r="AC548" s="769">
        <v>1.209129818011109</v>
      </c>
      <c r="AD548" s="769">
        <v>0.91363509029046963</v>
      </c>
      <c r="AE548" s="707"/>
      <c r="AF548" s="770"/>
      <c r="AG548" s="706"/>
      <c r="AH548" s="769">
        <v>0.7337677827498762</v>
      </c>
      <c r="AI548" s="748"/>
      <c r="AJ548" s="748"/>
      <c r="AK548" s="748"/>
      <c r="AL548" s="769">
        <v>0.7231266820766411</v>
      </c>
      <c r="AM548" s="706"/>
      <c r="AN548" s="706"/>
      <c r="AO548" s="706"/>
      <c r="AP548" s="768">
        <v>226.84798742138364</v>
      </c>
      <c r="AQ548" s="768">
        <v>680.54396226415088</v>
      </c>
      <c r="AR548" s="706"/>
      <c r="AS548" s="738"/>
      <c r="AT548" s="738"/>
      <c r="AU548" s="710">
        <v>0</v>
      </c>
      <c r="AV548" s="710">
        <v>8.5226934579699626E-2</v>
      </c>
      <c r="AW548" s="710">
        <v>8.5226934579699626E-2</v>
      </c>
      <c r="AX548" s="710">
        <v>8.5226934579699626E-2</v>
      </c>
      <c r="AY548" s="710">
        <v>1.5856173875292971E-2</v>
      </c>
      <c r="AZ548" s="710">
        <v>1.5856173875292971E-2</v>
      </c>
      <c r="BA548" s="710">
        <v>1.5856173875292971E-2</v>
      </c>
      <c r="BB548" s="710">
        <v>1.5856173875292971E-2</v>
      </c>
      <c r="BC548" s="710">
        <v>1.5856173875292971E-2</v>
      </c>
      <c r="BD548" s="710">
        <v>1.5856173875292971E-2</v>
      </c>
      <c r="BE548" s="710">
        <v>1.5856173875292971E-2</v>
      </c>
      <c r="BF548" s="710">
        <v>1.5856173875292971E-2</v>
      </c>
      <c r="BG548" s="710">
        <v>1.5856173875292971E-2</v>
      </c>
      <c r="BH548" s="710">
        <v>0</v>
      </c>
      <c r="BI548" s="710">
        <v>0</v>
      </c>
      <c r="BJ548" s="710">
        <v>0</v>
      </c>
      <c r="BK548" s="710">
        <v>0</v>
      </c>
      <c r="BL548" s="710">
        <v>0</v>
      </c>
      <c r="BM548" s="710">
        <v>0</v>
      </c>
      <c r="BN548" s="710">
        <v>0</v>
      </c>
      <c r="BO548" s="710">
        <v>0</v>
      </c>
      <c r="BP548" s="710">
        <v>0</v>
      </c>
      <c r="BQ548" s="710">
        <v>0</v>
      </c>
      <c r="BR548" s="710">
        <v>0</v>
      </c>
      <c r="BS548" s="767"/>
      <c r="BT548" s="767"/>
      <c r="BU548" s="707">
        <v>0</v>
      </c>
      <c r="BV548" s="707">
        <v>296.88704891318741</v>
      </c>
      <c r="BW548" s="707">
        <v>296.88704891318741</v>
      </c>
      <c r="BX548" s="707">
        <v>296.88704891318741</v>
      </c>
      <c r="BY548" s="707">
        <v>55.234799797802367</v>
      </c>
      <c r="BZ548" s="707">
        <v>55.234799797802367</v>
      </c>
      <c r="CA548" s="707">
        <v>55.234799797802367</v>
      </c>
      <c r="CB548" s="707">
        <v>55.234799797802367</v>
      </c>
      <c r="CC548" s="707">
        <v>55.234799797802367</v>
      </c>
      <c r="CD548" s="707">
        <v>55.234799797802367</v>
      </c>
      <c r="CE548" s="707">
        <v>55.234799797802367</v>
      </c>
      <c r="CF548" s="707">
        <v>55.234799797802367</v>
      </c>
      <c r="CG548" s="707">
        <v>55.234799797802367</v>
      </c>
      <c r="CH548" s="707">
        <v>0</v>
      </c>
      <c r="CI548" s="707">
        <v>0</v>
      </c>
      <c r="CJ548" s="707">
        <v>0</v>
      </c>
      <c r="CK548" s="707">
        <v>0</v>
      </c>
      <c r="CL548" s="707">
        <v>0</v>
      </c>
      <c r="CM548" s="707">
        <v>0</v>
      </c>
      <c r="CN548" s="707">
        <v>0</v>
      </c>
      <c r="CO548" s="707">
        <v>0</v>
      </c>
      <c r="CP548" s="707">
        <v>0</v>
      </c>
      <c r="CQ548" s="707">
        <v>0</v>
      </c>
      <c r="CR548" s="707">
        <v>0</v>
      </c>
    </row>
    <row r="549" spans="1:96" s="53" customFormat="1">
      <c r="A549" s="774" t="s">
        <v>3</v>
      </c>
      <c r="B549" s="772">
        <v>41684</v>
      </c>
      <c r="C549" s="771">
        <v>2014</v>
      </c>
      <c r="D549" s="773" t="s">
        <v>1</v>
      </c>
      <c r="E549" s="773" t="s">
        <v>12</v>
      </c>
      <c r="F549" s="773" t="s">
        <v>457</v>
      </c>
      <c r="G549" s="772" t="s">
        <v>656</v>
      </c>
      <c r="H549" s="772" t="s">
        <v>371</v>
      </c>
      <c r="I549" s="773" t="s">
        <v>5</v>
      </c>
      <c r="J549" s="773" t="s">
        <v>376</v>
      </c>
      <c r="K549" s="706"/>
      <c r="L549" s="772" t="s">
        <v>651</v>
      </c>
      <c r="M549" s="772" t="s">
        <v>798</v>
      </c>
      <c r="N549" s="771">
        <v>3</v>
      </c>
      <c r="O549" s="708" t="s">
        <v>7</v>
      </c>
      <c r="P549" s="769" t="s">
        <v>7</v>
      </c>
      <c r="Q549" s="706"/>
      <c r="R549" s="706"/>
      <c r="S549" s="706"/>
      <c r="T549" s="706"/>
      <c r="U549" s="710">
        <v>0.28199999999999997</v>
      </c>
      <c r="V549" s="707">
        <v>731.50800000000004</v>
      </c>
      <c r="W549" s="710">
        <v>0.25764509546191239</v>
      </c>
      <c r="X549" s="707">
        <v>884.48813491367036</v>
      </c>
      <c r="Y549" s="707">
        <v>2653.4644047410111</v>
      </c>
      <c r="Z549" s="707">
        <v>1947.0266928725318</v>
      </c>
      <c r="AA549" s="707">
        <v>649.00889762417728</v>
      </c>
      <c r="AB549" s="710">
        <v>0.18631004303469217</v>
      </c>
      <c r="AC549" s="769">
        <v>1.209129818011109</v>
      </c>
      <c r="AD549" s="769">
        <v>0.91363509029046952</v>
      </c>
      <c r="AE549" s="707"/>
      <c r="AF549" s="770"/>
      <c r="AG549" s="706"/>
      <c r="AH549" s="769">
        <v>0.7337677827498762</v>
      </c>
      <c r="AI549" s="748"/>
      <c r="AJ549" s="748"/>
      <c r="AK549" s="748"/>
      <c r="AL549" s="769">
        <v>0.7231266820766411</v>
      </c>
      <c r="AM549" s="706"/>
      <c r="AN549" s="706"/>
      <c r="AO549" s="706"/>
      <c r="AP549" s="768">
        <v>247.95012578616351</v>
      </c>
      <c r="AQ549" s="768">
        <v>1487.700754716981</v>
      </c>
      <c r="AR549" s="706"/>
      <c r="AS549" s="738"/>
      <c r="AT549" s="738"/>
      <c r="AU549" s="710">
        <v>0</v>
      </c>
      <c r="AV549" s="710">
        <v>0.18631004303469217</v>
      </c>
      <c r="AW549" s="710">
        <v>0.18631004303469217</v>
      </c>
      <c r="AX549" s="710">
        <v>0.18631004303469217</v>
      </c>
      <c r="AY549" s="710">
        <v>0</v>
      </c>
      <c r="AZ549" s="710">
        <v>0</v>
      </c>
      <c r="BA549" s="710">
        <v>0</v>
      </c>
      <c r="BB549" s="710">
        <v>0</v>
      </c>
      <c r="BC549" s="710">
        <v>0</v>
      </c>
      <c r="BD549" s="710">
        <v>0</v>
      </c>
      <c r="BE549" s="710">
        <v>0</v>
      </c>
      <c r="BF549" s="710">
        <v>0</v>
      </c>
      <c r="BG549" s="710">
        <v>0</v>
      </c>
      <c r="BH549" s="710">
        <v>0</v>
      </c>
      <c r="BI549" s="710">
        <v>0</v>
      </c>
      <c r="BJ549" s="710">
        <v>0</v>
      </c>
      <c r="BK549" s="710">
        <v>0</v>
      </c>
      <c r="BL549" s="710">
        <v>0</v>
      </c>
      <c r="BM549" s="710">
        <v>0</v>
      </c>
      <c r="BN549" s="710">
        <v>0</v>
      </c>
      <c r="BO549" s="710">
        <v>0</v>
      </c>
      <c r="BP549" s="710">
        <v>0</v>
      </c>
      <c r="BQ549" s="710">
        <v>0</v>
      </c>
      <c r="BR549" s="710">
        <v>0</v>
      </c>
      <c r="BS549" s="767"/>
      <c r="BT549" s="767"/>
      <c r="BU549" s="707">
        <v>0</v>
      </c>
      <c r="BV549" s="707">
        <v>649.00889762417728</v>
      </c>
      <c r="BW549" s="707">
        <v>649.00889762417728</v>
      </c>
      <c r="BX549" s="707">
        <v>649.00889762417728</v>
      </c>
      <c r="BY549" s="707">
        <v>0</v>
      </c>
      <c r="BZ549" s="707">
        <v>0</v>
      </c>
      <c r="CA549" s="707">
        <v>0</v>
      </c>
      <c r="CB549" s="707">
        <v>0</v>
      </c>
      <c r="CC549" s="707">
        <v>0</v>
      </c>
      <c r="CD549" s="707">
        <v>0</v>
      </c>
      <c r="CE549" s="707">
        <v>0</v>
      </c>
      <c r="CF549" s="707">
        <v>0</v>
      </c>
      <c r="CG549" s="707">
        <v>0</v>
      </c>
      <c r="CH549" s="707">
        <v>0</v>
      </c>
      <c r="CI549" s="707">
        <v>0</v>
      </c>
      <c r="CJ549" s="707">
        <v>0</v>
      </c>
      <c r="CK549" s="707">
        <v>0</v>
      </c>
      <c r="CL549" s="707">
        <v>0</v>
      </c>
      <c r="CM549" s="707">
        <v>0</v>
      </c>
      <c r="CN549" s="707">
        <v>0</v>
      </c>
      <c r="CO549" s="707">
        <v>0</v>
      </c>
      <c r="CP549" s="707">
        <v>0</v>
      </c>
      <c r="CQ549" s="707">
        <v>0</v>
      </c>
      <c r="CR549" s="707">
        <v>0</v>
      </c>
    </row>
    <row r="550" spans="1:96" s="53" customFormat="1">
      <c r="A550" s="774" t="s">
        <v>3</v>
      </c>
      <c r="B550" s="772">
        <v>41684</v>
      </c>
      <c r="C550" s="771">
        <v>2014</v>
      </c>
      <c r="D550" s="773" t="s">
        <v>1</v>
      </c>
      <c r="E550" s="773" t="s">
        <v>12</v>
      </c>
      <c r="F550" s="773" t="s">
        <v>457</v>
      </c>
      <c r="G550" s="772" t="s">
        <v>656</v>
      </c>
      <c r="H550" s="772" t="s">
        <v>371</v>
      </c>
      <c r="I550" s="773" t="s">
        <v>5</v>
      </c>
      <c r="J550" s="773" t="s">
        <v>376</v>
      </c>
      <c r="K550" s="706"/>
      <c r="L550" s="772" t="s">
        <v>651</v>
      </c>
      <c r="M550" s="772" t="s">
        <v>798</v>
      </c>
      <c r="N550" s="771">
        <v>12</v>
      </c>
      <c r="O550" s="708">
        <v>3</v>
      </c>
      <c r="P550" s="769">
        <v>0.2333333333333335</v>
      </c>
      <c r="Q550" s="706"/>
      <c r="R550" s="706"/>
      <c r="S550" s="706"/>
      <c r="T550" s="706"/>
      <c r="U550" s="710">
        <v>2.4300000000000002</v>
      </c>
      <c r="V550" s="707">
        <v>6303.42</v>
      </c>
      <c r="W550" s="710">
        <v>2.2201332694058413</v>
      </c>
      <c r="X550" s="707">
        <v>7621.653077447585</v>
      </c>
      <c r="Y550" s="707">
        <v>38870.430694982701</v>
      </c>
      <c r="Z550" s="707">
        <v>28521.869745590178</v>
      </c>
      <c r="AA550" s="707">
        <v>5592.5234795274846</v>
      </c>
      <c r="AB550" s="710">
        <v>1.6054376048734116</v>
      </c>
      <c r="AC550" s="769">
        <v>1.209129818011109</v>
      </c>
      <c r="AD550" s="769">
        <v>0.91363509029046963</v>
      </c>
      <c r="AE550" s="707"/>
      <c r="AF550" s="770"/>
      <c r="AG550" s="706"/>
      <c r="AH550" s="769">
        <v>0.7337677827498762</v>
      </c>
      <c r="AI550" s="748"/>
      <c r="AJ550" s="748"/>
      <c r="AK550" s="748"/>
      <c r="AL550" s="769">
        <v>0.7231266820766411</v>
      </c>
      <c r="AM550" s="706"/>
      <c r="AN550" s="706"/>
      <c r="AO550" s="706"/>
      <c r="AP550" s="768">
        <v>158.26603773584907</v>
      </c>
      <c r="AQ550" s="768">
        <v>12819.549056603773</v>
      </c>
      <c r="AR550" s="706"/>
      <c r="AS550" s="738"/>
      <c r="AT550" s="738"/>
      <c r="AU550" s="710">
        <v>0</v>
      </c>
      <c r="AV550" s="710">
        <v>1.6054376048734116</v>
      </c>
      <c r="AW550" s="710">
        <v>1.6054376048734116</v>
      </c>
      <c r="AX550" s="710">
        <v>1.6054376048734116</v>
      </c>
      <c r="AY550" s="710">
        <v>0.37460210780379632</v>
      </c>
      <c r="AZ550" s="710">
        <v>0.37460210780379632</v>
      </c>
      <c r="BA550" s="710">
        <v>0.37460210780379632</v>
      </c>
      <c r="BB550" s="710">
        <v>0.37460210780379632</v>
      </c>
      <c r="BC550" s="710">
        <v>0.37460210780379632</v>
      </c>
      <c r="BD550" s="710">
        <v>0.37460210780379632</v>
      </c>
      <c r="BE550" s="710">
        <v>0.37460210780379632</v>
      </c>
      <c r="BF550" s="710">
        <v>0.37460210780379632</v>
      </c>
      <c r="BG550" s="710">
        <v>0.37460210780379632</v>
      </c>
      <c r="BH550" s="710">
        <v>0</v>
      </c>
      <c r="BI550" s="710">
        <v>0</v>
      </c>
      <c r="BJ550" s="710">
        <v>0</v>
      </c>
      <c r="BK550" s="710">
        <v>0</v>
      </c>
      <c r="BL550" s="710">
        <v>0</v>
      </c>
      <c r="BM550" s="710">
        <v>0</v>
      </c>
      <c r="BN550" s="710">
        <v>0</v>
      </c>
      <c r="BO550" s="710">
        <v>0</v>
      </c>
      <c r="BP550" s="710">
        <v>0</v>
      </c>
      <c r="BQ550" s="710">
        <v>0</v>
      </c>
      <c r="BR550" s="710">
        <v>0</v>
      </c>
      <c r="BS550" s="767"/>
      <c r="BT550" s="767"/>
      <c r="BU550" s="707">
        <v>0</v>
      </c>
      <c r="BV550" s="707">
        <v>5592.5234795274846</v>
      </c>
      <c r="BW550" s="707">
        <v>5592.5234795274846</v>
      </c>
      <c r="BX550" s="707">
        <v>5592.5234795274846</v>
      </c>
      <c r="BY550" s="707">
        <v>1304.9221452230806</v>
      </c>
      <c r="BZ550" s="707">
        <v>1304.9221452230806</v>
      </c>
      <c r="CA550" s="707">
        <v>1304.9221452230806</v>
      </c>
      <c r="CB550" s="707">
        <v>1304.9221452230806</v>
      </c>
      <c r="CC550" s="707">
        <v>1304.9221452230806</v>
      </c>
      <c r="CD550" s="707">
        <v>1304.9221452230806</v>
      </c>
      <c r="CE550" s="707">
        <v>1304.9221452230806</v>
      </c>
      <c r="CF550" s="707">
        <v>1304.9221452230806</v>
      </c>
      <c r="CG550" s="707">
        <v>1304.9221452230806</v>
      </c>
      <c r="CH550" s="707">
        <v>0</v>
      </c>
      <c r="CI550" s="707">
        <v>0</v>
      </c>
      <c r="CJ550" s="707">
        <v>0</v>
      </c>
      <c r="CK550" s="707">
        <v>0</v>
      </c>
      <c r="CL550" s="707">
        <v>0</v>
      </c>
      <c r="CM550" s="707">
        <v>0</v>
      </c>
      <c r="CN550" s="707">
        <v>0</v>
      </c>
      <c r="CO550" s="707">
        <v>0</v>
      </c>
      <c r="CP550" s="707">
        <v>0</v>
      </c>
      <c r="CQ550" s="707">
        <v>0</v>
      </c>
      <c r="CR550" s="707">
        <v>0</v>
      </c>
    </row>
    <row r="551" spans="1:96" s="53" customFormat="1">
      <c r="A551" s="774" t="s">
        <v>3</v>
      </c>
      <c r="B551" s="772">
        <v>41759</v>
      </c>
      <c r="C551" s="771">
        <v>2014</v>
      </c>
      <c r="D551" s="773" t="s">
        <v>1</v>
      </c>
      <c r="E551" s="773" t="s">
        <v>12</v>
      </c>
      <c r="F551" s="773" t="s">
        <v>457</v>
      </c>
      <c r="G551" s="772" t="s">
        <v>665</v>
      </c>
      <c r="H551" s="772" t="s">
        <v>371</v>
      </c>
      <c r="I551" s="773" t="s">
        <v>5</v>
      </c>
      <c r="J551" s="773" t="s">
        <v>376</v>
      </c>
      <c r="K551" s="706"/>
      <c r="L551" s="772" t="s">
        <v>651</v>
      </c>
      <c r="M551" s="772" t="s">
        <v>797</v>
      </c>
      <c r="N551" s="771">
        <v>9.4946198835018958</v>
      </c>
      <c r="O551" s="708">
        <v>6.0000000000000009</v>
      </c>
      <c r="P551" s="769">
        <v>0.89342167347094836</v>
      </c>
      <c r="Q551" s="706"/>
      <c r="R551" s="706"/>
      <c r="S551" s="706"/>
      <c r="T551" s="706"/>
      <c r="U551" s="710">
        <v>0.8</v>
      </c>
      <c r="V551" s="707">
        <v>2430</v>
      </c>
      <c r="W551" s="710">
        <v>0.41046897808101718</v>
      </c>
      <c r="X551" s="707">
        <v>1636.1322040846549</v>
      </c>
      <c r="Y551" s="707">
        <v>14925.074708363465</v>
      </c>
      <c r="Z551" s="707">
        <v>9769.7164318926025</v>
      </c>
      <c r="AA551" s="707">
        <v>1070.9861083668384</v>
      </c>
      <c r="AB551" s="710">
        <v>0.26400026398712928</v>
      </c>
      <c r="AC551" s="769">
        <v>0.67330543377969332</v>
      </c>
      <c r="AD551" s="769">
        <v>0.51308622260127146</v>
      </c>
      <c r="AE551" s="707"/>
      <c r="AF551" s="770"/>
      <c r="AG551" s="706"/>
      <c r="AH551" s="769">
        <v>0.65458408904432563</v>
      </c>
      <c r="AI551" s="748"/>
      <c r="AJ551" s="748"/>
      <c r="AK551" s="748"/>
      <c r="AL551" s="769">
        <v>0.64316739652617949</v>
      </c>
      <c r="AM551" s="706"/>
      <c r="AN551" s="706"/>
      <c r="AO551" s="706"/>
      <c r="AP551" s="768">
        <v>5197.82</v>
      </c>
      <c r="AQ551" s="768">
        <v>5197.82</v>
      </c>
      <c r="AR551" s="706"/>
      <c r="AS551" s="738"/>
      <c r="AT551" s="738"/>
      <c r="AU551" s="710">
        <v>0</v>
      </c>
      <c r="AV551" s="710">
        <v>0.26400026398712928</v>
      </c>
      <c r="AW551" s="710">
        <v>0.26400026398712928</v>
      </c>
      <c r="AX551" s="710">
        <v>0.26400026398712928</v>
      </c>
      <c r="AY551" s="710">
        <v>0.26400026398712928</v>
      </c>
      <c r="AZ551" s="710">
        <v>0.26400026398712928</v>
      </c>
      <c r="BA551" s="710">
        <v>0.26400026398712928</v>
      </c>
      <c r="BB551" s="710">
        <v>0.23586355764815317</v>
      </c>
      <c r="BC551" s="710">
        <v>0.23586355764815317</v>
      </c>
      <c r="BD551" s="710">
        <v>0.23586355764815317</v>
      </c>
      <c r="BE551" s="710">
        <v>0.1166628054062722</v>
      </c>
      <c r="BF551" s="710">
        <v>0</v>
      </c>
      <c r="BG551" s="710">
        <v>0</v>
      </c>
      <c r="BH551" s="710">
        <v>0</v>
      </c>
      <c r="BI551" s="710">
        <v>0</v>
      </c>
      <c r="BJ551" s="710">
        <v>0</v>
      </c>
      <c r="BK551" s="710">
        <v>0</v>
      </c>
      <c r="BL551" s="710">
        <v>0</v>
      </c>
      <c r="BM551" s="710">
        <v>0</v>
      </c>
      <c r="BN551" s="710">
        <v>0</v>
      </c>
      <c r="BO551" s="710">
        <v>0</v>
      </c>
      <c r="BP551" s="710">
        <v>0</v>
      </c>
      <c r="BQ551" s="710">
        <v>0</v>
      </c>
      <c r="BR551" s="710">
        <v>0</v>
      </c>
      <c r="BS551" s="767"/>
      <c r="BT551" s="767"/>
      <c r="BU551" s="707">
        <v>0</v>
      </c>
      <c r="BV551" s="707">
        <v>1070.9861083668384</v>
      </c>
      <c r="BW551" s="707">
        <v>1070.9861083668384</v>
      </c>
      <c r="BX551" s="707">
        <v>1070.9861083668384</v>
      </c>
      <c r="BY551" s="707">
        <v>1070.9861083668384</v>
      </c>
      <c r="BZ551" s="707">
        <v>1070.9861083668384</v>
      </c>
      <c r="CA551" s="707">
        <v>1070.9861083668384</v>
      </c>
      <c r="CB551" s="707">
        <v>956.84220120123916</v>
      </c>
      <c r="CC551" s="707">
        <v>956.84220120123916</v>
      </c>
      <c r="CD551" s="707">
        <v>956.84220120123916</v>
      </c>
      <c r="CE551" s="707">
        <v>473.27317808785443</v>
      </c>
      <c r="CF551" s="707">
        <v>0</v>
      </c>
      <c r="CG551" s="707">
        <v>0</v>
      </c>
      <c r="CH551" s="707">
        <v>0</v>
      </c>
      <c r="CI551" s="707">
        <v>0</v>
      </c>
      <c r="CJ551" s="707">
        <v>0</v>
      </c>
      <c r="CK551" s="707">
        <v>0</v>
      </c>
      <c r="CL551" s="707">
        <v>0</v>
      </c>
      <c r="CM551" s="707">
        <v>0</v>
      </c>
      <c r="CN551" s="707">
        <v>0</v>
      </c>
      <c r="CO551" s="707">
        <v>0</v>
      </c>
      <c r="CP551" s="707">
        <v>0</v>
      </c>
      <c r="CQ551" s="707">
        <v>0</v>
      </c>
      <c r="CR551" s="707">
        <v>0</v>
      </c>
    </row>
    <row r="552" spans="1:96" s="53" customFormat="1">
      <c r="A552" s="774" t="s">
        <v>3</v>
      </c>
      <c r="B552" s="772">
        <v>42004</v>
      </c>
      <c r="C552" s="771">
        <v>2014</v>
      </c>
      <c r="D552" s="773" t="s">
        <v>1</v>
      </c>
      <c r="E552" s="773" t="s">
        <v>12</v>
      </c>
      <c r="F552" s="773" t="s">
        <v>457</v>
      </c>
      <c r="G552" s="772" t="s">
        <v>661</v>
      </c>
      <c r="H552" s="772" t="s">
        <v>377</v>
      </c>
      <c r="I552" s="773" t="s">
        <v>5</v>
      </c>
      <c r="J552" s="773" t="s">
        <v>376</v>
      </c>
      <c r="K552" s="706"/>
      <c r="L552" s="772" t="s">
        <v>651</v>
      </c>
      <c r="M552" s="772" t="s">
        <v>796</v>
      </c>
      <c r="N552" s="771">
        <v>15.785275384057615</v>
      </c>
      <c r="O552" s="708" t="s">
        <v>7</v>
      </c>
      <c r="P552" s="769" t="s">
        <v>7</v>
      </c>
      <c r="Q552" s="706"/>
      <c r="R552" s="706"/>
      <c r="S552" s="706"/>
      <c r="T552" s="706"/>
      <c r="U552" s="710">
        <v>0</v>
      </c>
      <c r="V552" s="707">
        <v>711889</v>
      </c>
      <c r="W552" s="710">
        <v>0</v>
      </c>
      <c r="X552" s="707">
        <v>699029.3052639619</v>
      </c>
      <c r="Y552" s="707">
        <v>11034370.085118113</v>
      </c>
      <c r="Z552" s="707">
        <v>7690754.5292183422</v>
      </c>
      <c r="AA552" s="707">
        <v>487210.66576929297</v>
      </c>
      <c r="AB552" s="710">
        <v>0</v>
      </c>
      <c r="AC552" s="769">
        <v>0.98193581480253511</v>
      </c>
      <c r="AD552" s="769">
        <v>0</v>
      </c>
      <c r="AE552" s="707"/>
      <c r="AF552" s="770"/>
      <c r="AG552" s="706"/>
      <c r="AH552" s="769">
        <v>0.69698174611623231</v>
      </c>
      <c r="AI552" s="748"/>
      <c r="AJ552" s="748"/>
      <c r="AK552" s="748"/>
      <c r="AL552" s="769">
        <v>0.7062173607922958</v>
      </c>
      <c r="AM552" s="706"/>
      <c r="AN552" s="706"/>
      <c r="AO552" s="706"/>
      <c r="AP552" s="768">
        <v>374952</v>
      </c>
      <c r="AQ552" s="768">
        <v>374952</v>
      </c>
      <c r="AR552" s="706"/>
      <c r="AS552" s="738"/>
      <c r="AT552" s="738"/>
      <c r="AU552" s="710">
        <v>0</v>
      </c>
      <c r="AV552" s="710">
        <v>0</v>
      </c>
      <c r="AW552" s="710">
        <v>0</v>
      </c>
      <c r="AX552" s="710">
        <v>0</v>
      </c>
      <c r="AY552" s="710">
        <v>0</v>
      </c>
      <c r="AZ552" s="710">
        <v>0</v>
      </c>
      <c r="BA552" s="710">
        <v>0</v>
      </c>
      <c r="BB552" s="710">
        <v>0</v>
      </c>
      <c r="BC552" s="710">
        <v>0</v>
      </c>
      <c r="BD552" s="710">
        <v>0</v>
      </c>
      <c r="BE552" s="710">
        <v>0</v>
      </c>
      <c r="BF552" s="710">
        <v>0</v>
      </c>
      <c r="BG552" s="710">
        <v>0</v>
      </c>
      <c r="BH552" s="710">
        <v>0</v>
      </c>
      <c r="BI552" s="710">
        <v>0</v>
      </c>
      <c r="BJ552" s="710">
        <v>0</v>
      </c>
      <c r="BK552" s="710">
        <v>0</v>
      </c>
      <c r="BL552" s="710">
        <v>0</v>
      </c>
      <c r="BM552" s="710">
        <v>0</v>
      </c>
      <c r="BN552" s="710">
        <v>0</v>
      </c>
      <c r="BO552" s="710">
        <v>0</v>
      </c>
      <c r="BP552" s="710">
        <v>0</v>
      </c>
      <c r="BQ552" s="710">
        <v>0</v>
      </c>
      <c r="BR552" s="710">
        <v>0</v>
      </c>
      <c r="BS552" s="767"/>
      <c r="BT552" s="767"/>
      <c r="BU552" s="707">
        <v>0</v>
      </c>
      <c r="BV552" s="707">
        <v>487210.66576929297</v>
      </c>
      <c r="BW552" s="707">
        <v>487210.66576929297</v>
      </c>
      <c r="BX552" s="707">
        <v>487210.66576929297</v>
      </c>
      <c r="BY552" s="707">
        <v>487210.66576929297</v>
      </c>
      <c r="BZ552" s="707">
        <v>487210.66576929297</v>
      </c>
      <c r="CA552" s="707">
        <v>487210.66576929297</v>
      </c>
      <c r="CB552" s="707">
        <v>487210.66576929297</v>
      </c>
      <c r="CC552" s="707">
        <v>487210.66576929297</v>
      </c>
      <c r="CD552" s="707">
        <v>487210.66576929297</v>
      </c>
      <c r="CE552" s="707">
        <v>487210.66576929297</v>
      </c>
      <c r="CF552" s="707">
        <v>487210.66576929297</v>
      </c>
      <c r="CG552" s="707">
        <v>487210.66576929297</v>
      </c>
      <c r="CH552" s="707">
        <v>487210.66576929297</v>
      </c>
      <c r="CI552" s="707">
        <v>487210.66576929297</v>
      </c>
      <c r="CJ552" s="707">
        <v>487210.66576929297</v>
      </c>
      <c r="CK552" s="707">
        <v>382594.54267894762</v>
      </c>
      <c r="CL552" s="707">
        <v>0</v>
      </c>
      <c r="CM552" s="707">
        <v>0</v>
      </c>
      <c r="CN552" s="707">
        <v>0</v>
      </c>
      <c r="CO552" s="707">
        <v>0</v>
      </c>
      <c r="CP552" s="707">
        <v>0</v>
      </c>
      <c r="CQ552" s="707">
        <v>0</v>
      </c>
      <c r="CR552" s="707">
        <v>0</v>
      </c>
    </row>
    <row r="553" spans="1:96" s="53" customFormat="1">
      <c r="A553" s="774" t="s">
        <v>3</v>
      </c>
      <c r="B553" s="772">
        <v>42002</v>
      </c>
      <c r="C553" s="771">
        <v>2014</v>
      </c>
      <c r="D553" s="773" t="s">
        <v>1</v>
      </c>
      <c r="E553" s="773" t="s">
        <v>12</v>
      </c>
      <c r="F553" s="773" t="s">
        <v>457</v>
      </c>
      <c r="G553" s="772" t="s">
        <v>656</v>
      </c>
      <c r="H553" s="772" t="s">
        <v>371</v>
      </c>
      <c r="I553" s="773" t="s">
        <v>5</v>
      </c>
      <c r="J553" s="773" t="s">
        <v>376</v>
      </c>
      <c r="K553" s="706"/>
      <c r="L553" s="772" t="s">
        <v>651</v>
      </c>
      <c r="M553" s="772" t="s">
        <v>795</v>
      </c>
      <c r="N553" s="771">
        <v>12</v>
      </c>
      <c r="O553" s="708">
        <v>3</v>
      </c>
      <c r="P553" s="769">
        <v>0.2333333333333335</v>
      </c>
      <c r="Q553" s="706"/>
      <c r="R553" s="706"/>
      <c r="S553" s="706"/>
      <c r="T553" s="706"/>
      <c r="U553" s="710">
        <v>3.84</v>
      </c>
      <c r="V553" s="707">
        <v>9960.9599999999991</v>
      </c>
      <c r="W553" s="710">
        <v>3.5083587467154032</v>
      </c>
      <c r="X553" s="707">
        <v>12044.093752015935</v>
      </c>
      <c r="Y553" s="707">
        <v>61424.87813528128</v>
      </c>
      <c r="Z553" s="707">
        <v>45071.596635006703</v>
      </c>
      <c r="AA553" s="707">
        <v>8837.5679676483705</v>
      </c>
      <c r="AB553" s="710">
        <v>2.5369878200468725</v>
      </c>
      <c r="AC553" s="769">
        <v>1.209129818011109</v>
      </c>
      <c r="AD553" s="769">
        <v>0.91363509029046963</v>
      </c>
      <c r="AE553" s="707"/>
      <c r="AF553" s="770"/>
      <c r="AG553" s="706"/>
      <c r="AH553" s="769">
        <v>0.7337677827498762</v>
      </c>
      <c r="AI553" s="748"/>
      <c r="AJ553" s="748"/>
      <c r="AK553" s="748"/>
      <c r="AL553" s="769">
        <v>0.7231266820766411</v>
      </c>
      <c r="AM553" s="706"/>
      <c r="AN553" s="706"/>
      <c r="AO553" s="706"/>
      <c r="AP553" s="768">
        <v>154.78548994974872</v>
      </c>
      <c r="AQ553" s="768">
        <v>19812.542713567836</v>
      </c>
      <c r="AR553" s="706"/>
      <c r="AS553" s="738"/>
      <c r="AT553" s="738"/>
      <c r="AU553" s="710">
        <v>0</v>
      </c>
      <c r="AV553" s="710">
        <v>2.5369878200468725</v>
      </c>
      <c r="AW553" s="710">
        <v>2.5369878200468725</v>
      </c>
      <c r="AX553" s="710">
        <v>2.5369878200468725</v>
      </c>
      <c r="AY553" s="710">
        <v>0.591963824677604</v>
      </c>
      <c r="AZ553" s="710">
        <v>0.591963824677604</v>
      </c>
      <c r="BA553" s="710">
        <v>0.591963824677604</v>
      </c>
      <c r="BB553" s="710">
        <v>0.591963824677604</v>
      </c>
      <c r="BC553" s="710">
        <v>0.591963824677604</v>
      </c>
      <c r="BD553" s="710">
        <v>0.591963824677604</v>
      </c>
      <c r="BE553" s="710">
        <v>0.591963824677604</v>
      </c>
      <c r="BF553" s="710">
        <v>0.591963824677604</v>
      </c>
      <c r="BG553" s="710">
        <v>0.591963824677604</v>
      </c>
      <c r="BH553" s="710">
        <v>0</v>
      </c>
      <c r="BI553" s="710">
        <v>0</v>
      </c>
      <c r="BJ553" s="710">
        <v>0</v>
      </c>
      <c r="BK553" s="710">
        <v>0</v>
      </c>
      <c r="BL553" s="710">
        <v>0</v>
      </c>
      <c r="BM553" s="710">
        <v>0</v>
      </c>
      <c r="BN553" s="710">
        <v>0</v>
      </c>
      <c r="BO553" s="710">
        <v>0</v>
      </c>
      <c r="BP553" s="710">
        <v>0</v>
      </c>
      <c r="BQ553" s="710">
        <v>0</v>
      </c>
      <c r="BR553" s="710">
        <v>0</v>
      </c>
      <c r="BS553" s="767"/>
      <c r="BT553" s="767"/>
      <c r="BU553" s="707">
        <v>0</v>
      </c>
      <c r="BV553" s="707">
        <v>8837.5679676483705</v>
      </c>
      <c r="BW553" s="707">
        <v>8837.5679676483705</v>
      </c>
      <c r="BX553" s="707">
        <v>8837.5679676483705</v>
      </c>
      <c r="BY553" s="707">
        <v>2062.0991924512878</v>
      </c>
      <c r="BZ553" s="707">
        <v>2062.0991924512878</v>
      </c>
      <c r="CA553" s="707">
        <v>2062.0991924512878</v>
      </c>
      <c r="CB553" s="707">
        <v>2062.0991924512878</v>
      </c>
      <c r="CC553" s="707">
        <v>2062.0991924512878</v>
      </c>
      <c r="CD553" s="707">
        <v>2062.0991924512878</v>
      </c>
      <c r="CE553" s="707">
        <v>2062.0991924512878</v>
      </c>
      <c r="CF553" s="707">
        <v>2062.0991924512878</v>
      </c>
      <c r="CG553" s="707">
        <v>2062.0991924512878</v>
      </c>
      <c r="CH553" s="707">
        <v>0</v>
      </c>
      <c r="CI553" s="707">
        <v>0</v>
      </c>
      <c r="CJ553" s="707">
        <v>0</v>
      </c>
      <c r="CK553" s="707">
        <v>0</v>
      </c>
      <c r="CL553" s="707">
        <v>0</v>
      </c>
      <c r="CM553" s="707">
        <v>0</v>
      </c>
      <c r="CN553" s="707">
        <v>0</v>
      </c>
      <c r="CO553" s="707">
        <v>0</v>
      </c>
      <c r="CP553" s="707">
        <v>0</v>
      </c>
      <c r="CQ553" s="707">
        <v>0</v>
      </c>
      <c r="CR553" s="707">
        <v>0</v>
      </c>
    </row>
    <row r="554" spans="1:96" s="53" customFormat="1">
      <c r="A554" s="774" t="s">
        <v>3</v>
      </c>
      <c r="B554" s="772">
        <v>42002</v>
      </c>
      <c r="C554" s="771">
        <v>2014</v>
      </c>
      <c r="D554" s="773" t="s">
        <v>1</v>
      </c>
      <c r="E554" s="773" t="s">
        <v>12</v>
      </c>
      <c r="F554" s="773" t="s">
        <v>457</v>
      </c>
      <c r="G554" s="772" t="s">
        <v>656</v>
      </c>
      <c r="H554" s="772" t="s">
        <v>371</v>
      </c>
      <c r="I554" s="773" t="s">
        <v>5</v>
      </c>
      <c r="J554" s="773" t="s">
        <v>376</v>
      </c>
      <c r="K554" s="706"/>
      <c r="L554" s="772" t="s">
        <v>651</v>
      </c>
      <c r="M554" s="772" t="s">
        <v>795</v>
      </c>
      <c r="N554" s="771">
        <v>12</v>
      </c>
      <c r="O554" s="708">
        <v>3</v>
      </c>
      <c r="P554" s="769">
        <v>0.19047619047619047</v>
      </c>
      <c r="Q554" s="706"/>
      <c r="R554" s="706"/>
      <c r="S554" s="706"/>
      <c r="T554" s="706"/>
      <c r="U554" s="710">
        <v>5.7119999999999997</v>
      </c>
      <c r="V554" s="707">
        <v>14816.928</v>
      </c>
      <c r="W554" s="710">
        <v>5.2186836357391622</v>
      </c>
      <c r="X554" s="707">
        <v>17915.589456123704</v>
      </c>
      <c r="Y554" s="707">
        <v>84459.20743601174</v>
      </c>
      <c r="Z554" s="707">
        <v>61973.4453731342</v>
      </c>
      <c r="AA554" s="707">
        <v>13145.882351876951</v>
      </c>
      <c r="AB554" s="710">
        <v>3.7737693823197227</v>
      </c>
      <c r="AC554" s="769">
        <v>1.209129818011109</v>
      </c>
      <c r="AD554" s="769">
        <v>0.91363509029046963</v>
      </c>
      <c r="AE554" s="707"/>
      <c r="AF554" s="770"/>
      <c r="AG554" s="706"/>
      <c r="AH554" s="769">
        <v>0.7337677827498762</v>
      </c>
      <c r="AI554" s="748"/>
      <c r="AJ554" s="748"/>
      <c r="AK554" s="748"/>
      <c r="AL554" s="769">
        <v>0.7231266820766411</v>
      </c>
      <c r="AM554" s="706"/>
      <c r="AN554" s="706"/>
      <c r="AO554" s="706"/>
      <c r="AP554" s="768">
        <v>108.34984296482412</v>
      </c>
      <c r="AQ554" s="768">
        <v>29471.157286432161</v>
      </c>
      <c r="AR554" s="706"/>
      <c r="AS554" s="738"/>
      <c r="AT554" s="738"/>
      <c r="AU554" s="710">
        <v>0</v>
      </c>
      <c r="AV554" s="710">
        <v>3.7737693823197227</v>
      </c>
      <c r="AW554" s="710">
        <v>3.7737693823197227</v>
      </c>
      <c r="AX554" s="710">
        <v>3.7737693823197227</v>
      </c>
      <c r="AY554" s="710">
        <v>0.71881321567994716</v>
      </c>
      <c r="AZ554" s="710">
        <v>0.71881321567994716</v>
      </c>
      <c r="BA554" s="710">
        <v>0.71881321567994716</v>
      </c>
      <c r="BB554" s="710">
        <v>0.71881321567994716</v>
      </c>
      <c r="BC554" s="710">
        <v>0.71881321567994716</v>
      </c>
      <c r="BD554" s="710">
        <v>0.71881321567994716</v>
      </c>
      <c r="BE554" s="710">
        <v>0.71881321567994716</v>
      </c>
      <c r="BF554" s="710">
        <v>0.71881321567994716</v>
      </c>
      <c r="BG554" s="710">
        <v>0.71881321567994716</v>
      </c>
      <c r="BH554" s="710">
        <v>0</v>
      </c>
      <c r="BI554" s="710">
        <v>0</v>
      </c>
      <c r="BJ554" s="710">
        <v>0</v>
      </c>
      <c r="BK554" s="710">
        <v>0</v>
      </c>
      <c r="BL554" s="710">
        <v>0</v>
      </c>
      <c r="BM554" s="710">
        <v>0</v>
      </c>
      <c r="BN554" s="710">
        <v>0</v>
      </c>
      <c r="BO554" s="710">
        <v>0</v>
      </c>
      <c r="BP554" s="710">
        <v>0</v>
      </c>
      <c r="BQ554" s="710">
        <v>0</v>
      </c>
      <c r="BR554" s="710">
        <v>0</v>
      </c>
      <c r="BS554" s="767"/>
      <c r="BT554" s="767"/>
      <c r="BU554" s="707">
        <v>0</v>
      </c>
      <c r="BV554" s="707">
        <v>13145.882351876951</v>
      </c>
      <c r="BW554" s="707">
        <v>13145.882351876951</v>
      </c>
      <c r="BX554" s="707">
        <v>13145.882351876951</v>
      </c>
      <c r="BY554" s="707">
        <v>2503.9775908337051</v>
      </c>
      <c r="BZ554" s="707">
        <v>2503.9775908337051</v>
      </c>
      <c r="CA554" s="707">
        <v>2503.9775908337051</v>
      </c>
      <c r="CB554" s="707">
        <v>2503.9775908337051</v>
      </c>
      <c r="CC554" s="707">
        <v>2503.9775908337051</v>
      </c>
      <c r="CD554" s="707">
        <v>2503.9775908337051</v>
      </c>
      <c r="CE554" s="707">
        <v>2503.9775908337051</v>
      </c>
      <c r="CF554" s="707">
        <v>2503.9775908337051</v>
      </c>
      <c r="CG554" s="707">
        <v>2503.9775908337051</v>
      </c>
      <c r="CH554" s="707">
        <v>0</v>
      </c>
      <c r="CI554" s="707">
        <v>0</v>
      </c>
      <c r="CJ554" s="707">
        <v>0</v>
      </c>
      <c r="CK554" s="707">
        <v>0</v>
      </c>
      <c r="CL554" s="707">
        <v>0</v>
      </c>
      <c r="CM554" s="707">
        <v>0</v>
      </c>
      <c r="CN554" s="707">
        <v>0</v>
      </c>
      <c r="CO554" s="707">
        <v>0</v>
      </c>
      <c r="CP554" s="707">
        <v>0</v>
      </c>
      <c r="CQ554" s="707">
        <v>0</v>
      </c>
      <c r="CR554" s="707">
        <v>0</v>
      </c>
    </row>
    <row r="555" spans="1:96" s="53" customFormat="1">
      <c r="A555" s="774" t="s">
        <v>3</v>
      </c>
      <c r="B555" s="772">
        <v>41997</v>
      </c>
      <c r="C555" s="771">
        <v>2014</v>
      </c>
      <c r="D555" s="773" t="s">
        <v>1</v>
      </c>
      <c r="E555" s="773" t="s">
        <v>12</v>
      </c>
      <c r="F555" s="773" t="s">
        <v>457</v>
      </c>
      <c r="G555" s="772" t="s">
        <v>656</v>
      </c>
      <c r="H555" s="772" t="s">
        <v>371</v>
      </c>
      <c r="I555" s="773" t="s">
        <v>5</v>
      </c>
      <c r="J555" s="773" t="s">
        <v>376</v>
      </c>
      <c r="K555" s="706"/>
      <c r="L555" s="772" t="s">
        <v>651</v>
      </c>
      <c r="M555" s="772" t="s">
        <v>794</v>
      </c>
      <c r="N555" s="771">
        <v>12</v>
      </c>
      <c r="O555" s="708" t="s">
        <v>7</v>
      </c>
      <c r="P555" s="769" t="s">
        <v>7</v>
      </c>
      <c r="Q555" s="706"/>
      <c r="R555" s="706"/>
      <c r="S555" s="706"/>
      <c r="T555" s="706"/>
      <c r="U555" s="710">
        <v>0.55200000000000005</v>
      </c>
      <c r="V555" s="707">
        <v>2649.6</v>
      </c>
      <c r="W555" s="710">
        <v>0.5043265698403393</v>
      </c>
      <c r="X555" s="707">
        <v>3203.7103658022343</v>
      </c>
      <c r="Y555" s="707">
        <v>38444.524389626808</v>
      </c>
      <c r="Z555" s="707">
        <v>28209.353420250001</v>
      </c>
      <c r="AA555" s="707">
        <v>2350.7794516875001</v>
      </c>
      <c r="AB555" s="710">
        <v>0.364691999131738</v>
      </c>
      <c r="AC555" s="769">
        <v>1.209129818011109</v>
      </c>
      <c r="AD555" s="769">
        <v>0.91363509029046963</v>
      </c>
      <c r="AE555" s="707"/>
      <c r="AF555" s="770"/>
      <c r="AG555" s="706"/>
      <c r="AH555" s="769">
        <v>0.7337677827498762</v>
      </c>
      <c r="AI555" s="748"/>
      <c r="AJ555" s="748"/>
      <c r="AK555" s="748"/>
      <c r="AL555" s="769">
        <v>0.7231266820766411</v>
      </c>
      <c r="AM555" s="706"/>
      <c r="AN555" s="706"/>
      <c r="AO555" s="706"/>
      <c r="AP555" s="768">
        <v>90</v>
      </c>
      <c r="AQ555" s="768">
        <v>1080</v>
      </c>
      <c r="AR555" s="706"/>
      <c r="AS555" s="738"/>
      <c r="AT555" s="738"/>
      <c r="AU555" s="710">
        <v>0</v>
      </c>
      <c r="AV555" s="710">
        <v>0.364691999131738</v>
      </c>
      <c r="AW555" s="710">
        <v>0.364691999131738</v>
      </c>
      <c r="AX555" s="710">
        <v>0.364691999131738</v>
      </c>
      <c r="AY555" s="710">
        <v>0.364691999131738</v>
      </c>
      <c r="AZ555" s="710">
        <v>0.364691999131738</v>
      </c>
      <c r="BA555" s="710">
        <v>0.364691999131738</v>
      </c>
      <c r="BB555" s="710">
        <v>0.364691999131738</v>
      </c>
      <c r="BC555" s="710">
        <v>0.364691999131738</v>
      </c>
      <c r="BD555" s="710">
        <v>0.364691999131738</v>
      </c>
      <c r="BE555" s="710">
        <v>0.364691999131738</v>
      </c>
      <c r="BF555" s="710">
        <v>0.364691999131738</v>
      </c>
      <c r="BG555" s="710">
        <v>0.364691999131738</v>
      </c>
      <c r="BH555" s="710">
        <v>0</v>
      </c>
      <c r="BI555" s="710">
        <v>0</v>
      </c>
      <c r="BJ555" s="710">
        <v>0</v>
      </c>
      <c r="BK555" s="710">
        <v>0</v>
      </c>
      <c r="BL555" s="710">
        <v>0</v>
      </c>
      <c r="BM555" s="710">
        <v>0</v>
      </c>
      <c r="BN555" s="710">
        <v>0</v>
      </c>
      <c r="BO555" s="710">
        <v>0</v>
      </c>
      <c r="BP555" s="710">
        <v>0</v>
      </c>
      <c r="BQ555" s="710">
        <v>0</v>
      </c>
      <c r="BR555" s="710">
        <v>0</v>
      </c>
      <c r="BS555" s="767"/>
      <c r="BT555" s="767"/>
      <c r="BU555" s="707">
        <v>0</v>
      </c>
      <c r="BV555" s="707">
        <v>2350.7794516875001</v>
      </c>
      <c r="BW555" s="707">
        <v>2350.7794516875001</v>
      </c>
      <c r="BX555" s="707">
        <v>2350.7794516875001</v>
      </c>
      <c r="BY555" s="707">
        <v>2350.7794516875001</v>
      </c>
      <c r="BZ555" s="707">
        <v>2350.7794516875001</v>
      </c>
      <c r="CA555" s="707">
        <v>2350.7794516875001</v>
      </c>
      <c r="CB555" s="707">
        <v>2350.7794516875001</v>
      </c>
      <c r="CC555" s="707">
        <v>2350.7794516875001</v>
      </c>
      <c r="CD555" s="707">
        <v>2350.7794516875001</v>
      </c>
      <c r="CE555" s="707">
        <v>2350.7794516875001</v>
      </c>
      <c r="CF555" s="707">
        <v>2350.7794516875001</v>
      </c>
      <c r="CG555" s="707">
        <v>2350.7794516875001</v>
      </c>
      <c r="CH555" s="707">
        <v>0</v>
      </c>
      <c r="CI555" s="707">
        <v>0</v>
      </c>
      <c r="CJ555" s="707">
        <v>0</v>
      </c>
      <c r="CK555" s="707">
        <v>0</v>
      </c>
      <c r="CL555" s="707">
        <v>0</v>
      </c>
      <c r="CM555" s="707">
        <v>0</v>
      </c>
      <c r="CN555" s="707">
        <v>0</v>
      </c>
      <c r="CO555" s="707">
        <v>0</v>
      </c>
      <c r="CP555" s="707">
        <v>0</v>
      </c>
      <c r="CQ555" s="707">
        <v>0</v>
      </c>
      <c r="CR555" s="707">
        <v>0</v>
      </c>
    </row>
    <row r="556" spans="1:96" s="53" customFormat="1">
      <c r="A556" s="774" t="s">
        <v>3</v>
      </c>
      <c r="B556" s="772">
        <v>41955</v>
      </c>
      <c r="C556" s="771">
        <v>2014</v>
      </c>
      <c r="D556" s="773" t="s">
        <v>1</v>
      </c>
      <c r="E556" s="773" t="s">
        <v>12</v>
      </c>
      <c r="F556" s="773" t="s">
        <v>457</v>
      </c>
      <c r="G556" s="772" t="s">
        <v>656</v>
      </c>
      <c r="H556" s="772" t="s">
        <v>371</v>
      </c>
      <c r="I556" s="773" t="s">
        <v>5</v>
      </c>
      <c r="J556" s="773" t="s">
        <v>376</v>
      </c>
      <c r="K556" s="706"/>
      <c r="L556" s="772" t="s">
        <v>651</v>
      </c>
      <c r="M556" s="772" t="s">
        <v>793</v>
      </c>
      <c r="N556" s="771">
        <v>20</v>
      </c>
      <c r="O556" s="708">
        <v>0</v>
      </c>
      <c r="P556" s="769">
        <v>1</v>
      </c>
      <c r="Q556" s="706"/>
      <c r="R556" s="706"/>
      <c r="S556" s="706"/>
      <c r="T556" s="706"/>
      <c r="U556" s="710">
        <v>5.6</v>
      </c>
      <c r="V556" s="707">
        <v>14840</v>
      </c>
      <c r="W556" s="710">
        <v>5.11635650562663</v>
      </c>
      <c r="X556" s="707">
        <v>17943.486499284856</v>
      </c>
      <c r="Y556" s="707">
        <v>358869.72998569714</v>
      </c>
      <c r="Z556" s="707">
        <v>263327.04606765177</v>
      </c>
      <c r="AA556" s="707">
        <v>13166.352303382588</v>
      </c>
      <c r="AB556" s="710">
        <v>3.6997739042350224</v>
      </c>
      <c r="AC556" s="769">
        <v>1.209129818011109</v>
      </c>
      <c r="AD556" s="769">
        <v>0.91363509029046974</v>
      </c>
      <c r="AE556" s="707"/>
      <c r="AF556" s="770"/>
      <c r="AG556" s="706"/>
      <c r="AH556" s="769">
        <v>0.7337677827498762</v>
      </c>
      <c r="AI556" s="748"/>
      <c r="AJ556" s="748"/>
      <c r="AK556" s="748"/>
      <c r="AL556" s="769">
        <v>0.7231266820766411</v>
      </c>
      <c r="AM556" s="706"/>
      <c r="AN556" s="706"/>
      <c r="AO556" s="706"/>
      <c r="AP556" s="768">
        <v>10.65</v>
      </c>
      <c r="AQ556" s="768">
        <v>1491</v>
      </c>
      <c r="AR556" s="706"/>
      <c r="AS556" s="738"/>
      <c r="AT556" s="738"/>
      <c r="AU556" s="710">
        <v>0</v>
      </c>
      <c r="AV556" s="710">
        <v>3.6997739042350224</v>
      </c>
      <c r="AW556" s="710">
        <v>3.6997739042350224</v>
      </c>
      <c r="AX556" s="710">
        <v>3.6997739042350224</v>
      </c>
      <c r="AY556" s="710">
        <v>3.6997739042350224</v>
      </c>
      <c r="AZ556" s="710">
        <v>3.6997739042350224</v>
      </c>
      <c r="BA556" s="710">
        <v>3.6997739042350224</v>
      </c>
      <c r="BB556" s="710">
        <v>3.6997739042350224</v>
      </c>
      <c r="BC556" s="710">
        <v>3.6997739042350224</v>
      </c>
      <c r="BD556" s="710">
        <v>3.6997739042350224</v>
      </c>
      <c r="BE556" s="710">
        <v>3.6997739042350224</v>
      </c>
      <c r="BF556" s="710">
        <v>3.6997739042350224</v>
      </c>
      <c r="BG556" s="710">
        <v>3.6997739042350224</v>
      </c>
      <c r="BH556" s="710">
        <v>3.6997739042350224</v>
      </c>
      <c r="BI556" s="710">
        <v>3.6997739042350224</v>
      </c>
      <c r="BJ556" s="710">
        <v>3.6997739042350224</v>
      </c>
      <c r="BK556" s="710">
        <v>3.6997739042350224</v>
      </c>
      <c r="BL556" s="710">
        <v>3.6997739042350224</v>
      </c>
      <c r="BM556" s="710">
        <v>3.6997739042350224</v>
      </c>
      <c r="BN556" s="710">
        <v>3.6997739042350224</v>
      </c>
      <c r="BO556" s="710">
        <v>3.6997739042350224</v>
      </c>
      <c r="BP556" s="710">
        <v>0</v>
      </c>
      <c r="BQ556" s="710">
        <v>0</v>
      </c>
      <c r="BR556" s="710">
        <v>0</v>
      </c>
      <c r="BS556" s="767"/>
      <c r="BT556" s="767"/>
      <c r="BU556" s="707">
        <v>0</v>
      </c>
      <c r="BV556" s="707">
        <v>13166.352303382588</v>
      </c>
      <c r="BW556" s="707">
        <v>13166.352303382588</v>
      </c>
      <c r="BX556" s="707">
        <v>13166.352303382588</v>
      </c>
      <c r="BY556" s="707">
        <v>13166.352303382588</v>
      </c>
      <c r="BZ556" s="707">
        <v>13166.352303382588</v>
      </c>
      <c r="CA556" s="707">
        <v>13166.352303382588</v>
      </c>
      <c r="CB556" s="707">
        <v>13166.352303382588</v>
      </c>
      <c r="CC556" s="707">
        <v>13166.352303382588</v>
      </c>
      <c r="CD556" s="707">
        <v>13166.352303382588</v>
      </c>
      <c r="CE556" s="707">
        <v>13166.352303382588</v>
      </c>
      <c r="CF556" s="707">
        <v>13166.352303382588</v>
      </c>
      <c r="CG556" s="707">
        <v>13166.352303382588</v>
      </c>
      <c r="CH556" s="707">
        <v>13166.352303382588</v>
      </c>
      <c r="CI556" s="707">
        <v>13166.352303382588</v>
      </c>
      <c r="CJ556" s="707">
        <v>13166.352303382588</v>
      </c>
      <c r="CK556" s="707">
        <v>13166.352303382588</v>
      </c>
      <c r="CL556" s="707">
        <v>13166.352303382588</v>
      </c>
      <c r="CM556" s="707">
        <v>13166.352303382588</v>
      </c>
      <c r="CN556" s="707">
        <v>13166.352303382588</v>
      </c>
      <c r="CO556" s="707">
        <v>13166.352303382588</v>
      </c>
      <c r="CP556" s="707">
        <v>0</v>
      </c>
      <c r="CQ556" s="707">
        <v>0</v>
      </c>
      <c r="CR556" s="707">
        <v>0</v>
      </c>
    </row>
    <row r="557" spans="1:96" s="53" customFormat="1">
      <c r="A557" s="774" t="s">
        <v>3</v>
      </c>
      <c r="B557" s="772">
        <v>41971</v>
      </c>
      <c r="C557" s="771">
        <v>2014</v>
      </c>
      <c r="D557" s="773" t="s">
        <v>1</v>
      </c>
      <c r="E557" s="773" t="s">
        <v>12</v>
      </c>
      <c r="F557" s="773" t="s">
        <v>457</v>
      </c>
      <c r="G557" s="772" t="s">
        <v>656</v>
      </c>
      <c r="H557" s="772" t="s">
        <v>792</v>
      </c>
      <c r="I557" s="773" t="s">
        <v>5</v>
      </c>
      <c r="J557" s="773" t="s">
        <v>376</v>
      </c>
      <c r="K557" s="706"/>
      <c r="L557" s="772" t="s">
        <v>651</v>
      </c>
      <c r="M557" s="772" t="s">
        <v>791</v>
      </c>
      <c r="N557" s="771">
        <v>15.464728900771432</v>
      </c>
      <c r="O557" s="708" t="s">
        <v>7</v>
      </c>
      <c r="P557" s="769" t="s">
        <v>7</v>
      </c>
      <c r="Q557" s="706"/>
      <c r="R557" s="706"/>
      <c r="S557" s="706"/>
      <c r="T557" s="706"/>
      <c r="U557" s="710">
        <v>1.3428</v>
      </c>
      <c r="V557" s="707">
        <v>5371</v>
      </c>
      <c r="W557" s="710">
        <v>1.4606135399406786</v>
      </c>
      <c r="X557" s="707">
        <v>3953.6715122410005</v>
      </c>
      <c r="Y557" s="707">
        <v>61142.458099510091</v>
      </c>
      <c r="Z557" s="707">
        <v>41669.862657392383</v>
      </c>
      <c r="AA557" s="707">
        <v>2694.5097405046495</v>
      </c>
      <c r="AB557" s="710">
        <v>1.0110662972878774</v>
      </c>
      <c r="AC557" s="769">
        <v>0.73611459918841937</v>
      </c>
      <c r="AD557" s="769">
        <v>1.0877372206886198</v>
      </c>
      <c r="AE557" s="707"/>
      <c r="AF557" s="770"/>
      <c r="AG557" s="706"/>
      <c r="AH557" s="769">
        <v>0.68152089321587594</v>
      </c>
      <c r="AI557" s="748"/>
      <c r="AJ557" s="748"/>
      <c r="AK557" s="748"/>
      <c r="AL557" s="769">
        <v>0.69222026883917631</v>
      </c>
      <c r="AM557" s="706"/>
      <c r="AN557" s="706"/>
      <c r="AO557" s="706"/>
      <c r="AP557" s="768">
        <v>3133.49</v>
      </c>
      <c r="AQ557" s="768">
        <v>3133.49</v>
      </c>
      <c r="AR557" s="706"/>
      <c r="AS557" s="738"/>
      <c r="AT557" s="738"/>
      <c r="AU557" s="710">
        <v>0</v>
      </c>
      <c r="AV557" s="710">
        <v>1.0110662972878774</v>
      </c>
      <c r="AW557" s="710">
        <v>1.0110662972878774</v>
      </c>
      <c r="AX557" s="710">
        <v>1.0110662972878774</v>
      </c>
      <c r="AY557" s="710">
        <v>1.0110662972878774</v>
      </c>
      <c r="AZ557" s="710">
        <v>1.0110662972878774</v>
      </c>
      <c r="BA557" s="710">
        <v>1.0110662972878774</v>
      </c>
      <c r="BB557" s="710">
        <v>1.0110662972878774</v>
      </c>
      <c r="BC557" s="710">
        <v>1.0110662972878774</v>
      </c>
      <c r="BD557" s="710">
        <v>1.0110662972878774</v>
      </c>
      <c r="BE557" s="710">
        <v>1.0110662972878774</v>
      </c>
      <c r="BF557" s="710">
        <v>1.0110662972878774</v>
      </c>
      <c r="BG557" s="710">
        <v>1.0110662972878774</v>
      </c>
      <c r="BH557" s="710">
        <v>1.0110662972878774</v>
      </c>
      <c r="BI557" s="710">
        <v>1.0110662972878774</v>
      </c>
      <c r="BJ557" s="710">
        <v>1.0110662972878774</v>
      </c>
      <c r="BK557" s="710">
        <v>0.46987172894563684</v>
      </c>
      <c r="BL557" s="710">
        <v>0</v>
      </c>
      <c r="BM557" s="710">
        <v>0</v>
      </c>
      <c r="BN557" s="710">
        <v>0</v>
      </c>
      <c r="BO557" s="710">
        <v>0</v>
      </c>
      <c r="BP557" s="710">
        <v>0</v>
      </c>
      <c r="BQ557" s="710">
        <v>0</v>
      </c>
      <c r="BR557" s="710">
        <v>0</v>
      </c>
      <c r="BS557" s="767"/>
      <c r="BT557" s="767"/>
      <c r="BU557" s="707">
        <v>0</v>
      </c>
      <c r="BV557" s="707">
        <v>2694.5097405046495</v>
      </c>
      <c r="BW557" s="707">
        <v>2694.5097405046495</v>
      </c>
      <c r="BX557" s="707">
        <v>2694.5097405046495</v>
      </c>
      <c r="BY557" s="707">
        <v>2694.5097405046495</v>
      </c>
      <c r="BZ557" s="707">
        <v>2694.5097405046495</v>
      </c>
      <c r="CA557" s="707">
        <v>2694.5097405046495</v>
      </c>
      <c r="CB557" s="707">
        <v>2694.5097405046495</v>
      </c>
      <c r="CC557" s="707">
        <v>2694.5097405046495</v>
      </c>
      <c r="CD557" s="707">
        <v>2694.5097405046495</v>
      </c>
      <c r="CE557" s="707">
        <v>2694.5097405046495</v>
      </c>
      <c r="CF557" s="707">
        <v>2694.5097405046495</v>
      </c>
      <c r="CG557" s="707">
        <v>2694.5097405046495</v>
      </c>
      <c r="CH557" s="707">
        <v>2694.5097405046495</v>
      </c>
      <c r="CI557" s="707">
        <v>2694.5097405046495</v>
      </c>
      <c r="CJ557" s="707">
        <v>2694.5097405046495</v>
      </c>
      <c r="CK557" s="707">
        <v>1252.2165498226414</v>
      </c>
      <c r="CL557" s="707">
        <v>0</v>
      </c>
      <c r="CM557" s="707">
        <v>0</v>
      </c>
      <c r="CN557" s="707">
        <v>0</v>
      </c>
      <c r="CO557" s="707">
        <v>0</v>
      </c>
      <c r="CP557" s="707">
        <v>0</v>
      </c>
      <c r="CQ557" s="707">
        <v>0</v>
      </c>
      <c r="CR557" s="707">
        <v>0</v>
      </c>
    </row>
    <row r="558" spans="1:96" s="53" customFormat="1">
      <c r="A558" s="774" t="s">
        <v>3</v>
      </c>
      <c r="B558" s="772">
        <v>41943</v>
      </c>
      <c r="C558" s="771">
        <v>2014</v>
      </c>
      <c r="D558" s="773" t="s">
        <v>1</v>
      </c>
      <c r="E558" s="773" t="s">
        <v>12</v>
      </c>
      <c r="F558" s="773" t="s">
        <v>457</v>
      </c>
      <c r="G558" s="772" t="s">
        <v>656</v>
      </c>
      <c r="H558" s="772" t="s">
        <v>371</v>
      </c>
      <c r="I558" s="773" t="s">
        <v>5</v>
      </c>
      <c r="J558" s="773" t="s">
        <v>376</v>
      </c>
      <c r="K558" s="706"/>
      <c r="L558" s="772" t="s">
        <v>651</v>
      </c>
      <c r="M558" s="772" t="s">
        <v>790</v>
      </c>
      <c r="N558" s="771">
        <v>12</v>
      </c>
      <c r="O558" s="708">
        <v>0</v>
      </c>
      <c r="P558" s="769">
        <v>1</v>
      </c>
      <c r="Q558" s="706"/>
      <c r="R558" s="706"/>
      <c r="S558" s="706"/>
      <c r="T558" s="706"/>
      <c r="U558" s="710">
        <v>0</v>
      </c>
      <c r="V558" s="707">
        <v>21024</v>
      </c>
      <c r="W558" s="710">
        <v>0</v>
      </c>
      <c r="X558" s="707">
        <v>25420.745293865555</v>
      </c>
      <c r="Y558" s="707">
        <v>305048.94352638663</v>
      </c>
      <c r="Z558" s="707">
        <v>223835.08692154894</v>
      </c>
      <c r="AA558" s="707">
        <v>18652.923910129077</v>
      </c>
      <c r="AB558" s="710">
        <v>0</v>
      </c>
      <c r="AC558" s="769">
        <v>1.209129818011109</v>
      </c>
      <c r="AD558" s="769">
        <v>0</v>
      </c>
      <c r="AE558" s="707"/>
      <c r="AF558" s="770"/>
      <c r="AG558" s="706"/>
      <c r="AH558" s="769">
        <v>0.7337677827498762</v>
      </c>
      <c r="AI558" s="748"/>
      <c r="AJ558" s="748"/>
      <c r="AK558" s="748"/>
      <c r="AL558" s="769">
        <v>0.7231266820766411</v>
      </c>
      <c r="AM558" s="706"/>
      <c r="AN558" s="706"/>
      <c r="AO558" s="706"/>
      <c r="AP558" s="768">
        <v>411.42421934501141</v>
      </c>
      <c r="AQ558" s="768">
        <v>14811.27189642041</v>
      </c>
      <c r="AR558" s="706"/>
      <c r="AS558" s="738"/>
      <c r="AT558" s="738"/>
      <c r="AU558" s="710">
        <v>0</v>
      </c>
      <c r="AV558" s="710">
        <v>0</v>
      </c>
      <c r="AW558" s="710">
        <v>0</v>
      </c>
      <c r="AX558" s="710">
        <v>0</v>
      </c>
      <c r="AY558" s="710">
        <v>0</v>
      </c>
      <c r="AZ558" s="710">
        <v>0</v>
      </c>
      <c r="BA558" s="710">
        <v>0</v>
      </c>
      <c r="BB558" s="710">
        <v>0</v>
      </c>
      <c r="BC558" s="710">
        <v>0</v>
      </c>
      <c r="BD558" s="710">
        <v>0</v>
      </c>
      <c r="BE558" s="710">
        <v>0</v>
      </c>
      <c r="BF558" s="710">
        <v>0</v>
      </c>
      <c r="BG558" s="710">
        <v>0</v>
      </c>
      <c r="BH558" s="710">
        <v>0</v>
      </c>
      <c r="BI558" s="710">
        <v>0</v>
      </c>
      <c r="BJ558" s="710">
        <v>0</v>
      </c>
      <c r="BK558" s="710">
        <v>0</v>
      </c>
      <c r="BL558" s="710">
        <v>0</v>
      </c>
      <c r="BM558" s="710">
        <v>0</v>
      </c>
      <c r="BN558" s="710">
        <v>0</v>
      </c>
      <c r="BO558" s="710">
        <v>0</v>
      </c>
      <c r="BP558" s="710">
        <v>0</v>
      </c>
      <c r="BQ558" s="710">
        <v>0</v>
      </c>
      <c r="BR558" s="710">
        <v>0</v>
      </c>
      <c r="BS558" s="767"/>
      <c r="BT558" s="767"/>
      <c r="BU558" s="707">
        <v>0</v>
      </c>
      <c r="BV558" s="707">
        <v>18652.923910129077</v>
      </c>
      <c r="BW558" s="707">
        <v>18652.923910129077</v>
      </c>
      <c r="BX558" s="707">
        <v>18652.923910129077</v>
      </c>
      <c r="BY558" s="707">
        <v>18652.923910129077</v>
      </c>
      <c r="BZ558" s="707">
        <v>18652.923910129077</v>
      </c>
      <c r="CA558" s="707">
        <v>18652.923910129077</v>
      </c>
      <c r="CB558" s="707">
        <v>18652.923910129077</v>
      </c>
      <c r="CC558" s="707">
        <v>18652.923910129077</v>
      </c>
      <c r="CD558" s="707">
        <v>18652.923910129077</v>
      </c>
      <c r="CE558" s="707">
        <v>18652.923910129077</v>
      </c>
      <c r="CF558" s="707">
        <v>18652.923910129077</v>
      </c>
      <c r="CG558" s="707">
        <v>18652.923910129077</v>
      </c>
      <c r="CH558" s="707">
        <v>0</v>
      </c>
      <c r="CI558" s="707">
        <v>0</v>
      </c>
      <c r="CJ558" s="707">
        <v>0</v>
      </c>
      <c r="CK558" s="707">
        <v>0</v>
      </c>
      <c r="CL558" s="707">
        <v>0</v>
      </c>
      <c r="CM558" s="707">
        <v>0</v>
      </c>
      <c r="CN558" s="707">
        <v>0</v>
      </c>
      <c r="CO558" s="707">
        <v>0</v>
      </c>
      <c r="CP558" s="707">
        <v>0</v>
      </c>
      <c r="CQ558" s="707">
        <v>0</v>
      </c>
      <c r="CR558" s="707">
        <v>0</v>
      </c>
    </row>
    <row r="559" spans="1:96" s="53" customFormat="1">
      <c r="A559" s="774" t="s">
        <v>3</v>
      </c>
      <c r="B559" s="772">
        <v>41943</v>
      </c>
      <c r="C559" s="771">
        <v>2014</v>
      </c>
      <c r="D559" s="773" t="s">
        <v>1</v>
      </c>
      <c r="E559" s="773" t="s">
        <v>12</v>
      </c>
      <c r="F559" s="773" t="s">
        <v>457</v>
      </c>
      <c r="G559" s="772" t="s">
        <v>656</v>
      </c>
      <c r="H559" s="772" t="s">
        <v>371</v>
      </c>
      <c r="I559" s="773" t="s">
        <v>5</v>
      </c>
      <c r="J559" s="773" t="s">
        <v>376</v>
      </c>
      <c r="K559" s="706"/>
      <c r="L559" s="772" t="s">
        <v>651</v>
      </c>
      <c r="M559" s="772" t="s">
        <v>790</v>
      </c>
      <c r="N559" s="771">
        <v>12</v>
      </c>
      <c r="O559" s="708">
        <v>0</v>
      </c>
      <c r="P559" s="769">
        <v>1</v>
      </c>
      <c r="Q559" s="706"/>
      <c r="R559" s="706"/>
      <c r="S559" s="706"/>
      <c r="T559" s="706"/>
      <c r="U559" s="710">
        <v>0</v>
      </c>
      <c r="V559" s="707">
        <v>42000</v>
      </c>
      <c r="W559" s="710">
        <v>0</v>
      </c>
      <c r="X559" s="707">
        <v>50783.452356466572</v>
      </c>
      <c r="Y559" s="707">
        <v>609401.42827759893</v>
      </c>
      <c r="Z559" s="707">
        <v>447159.13483186142</v>
      </c>
      <c r="AA559" s="707">
        <v>37263.261235988452</v>
      </c>
      <c r="AB559" s="710">
        <v>0</v>
      </c>
      <c r="AC559" s="769">
        <v>1.209129818011109</v>
      </c>
      <c r="AD559" s="769">
        <v>0</v>
      </c>
      <c r="AE559" s="707"/>
      <c r="AF559" s="770"/>
      <c r="AG559" s="706"/>
      <c r="AH559" s="769">
        <v>0.7337677827498762</v>
      </c>
      <c r="AI559" s="748"/>
      <c r="AJ559" s="748"/>
      <c r="AK559" s="748"/>
      <c r="AL559" s="769">
        <v>0.7231266820766411</v>
      </c>
      <c r="AM559" s="706"/>
      <c r="AN559" s="706"/>
      <c r="AO559" s="706"/>
      <c r="AP559" s="768">
        <v>591.77456207159184</v>
      </c>
      <c r="AQ559" s="768">
        <v>29588.72810357959</v>
      </c>
      <c r="AR559" s="706"/>
      <c r="AS559" s="738"/>
      <c r="AT559" s="738"/>
      <c r="AU559" s="710">
        <v>0</v>
      </c>
      <c r="AV559" s="710">
        <v>0</v>
      </c>
      <c r="AW559" s="710">
        <v>0</v>
      </c>
      <c r="AX559" s="710">
        <v>0</v>
      </c>
      <c r="AY559" s="710">
        <v>0</v>
      </c>
      <c r="AZ559" s="710">
        <v>0</v>
      </c>
      <c r="BA559" s="710">
        <v>0</v>
      </c>
      <c r="BB559" s="710">
        <v>0</v>
      </c>
      <c r="BC559" s="710">
        <v>0</v>
      </c>
      <c r="BD559" s="710">
        <v>0</v>
      </c>
      <c r="BE559" s="710">
        <v>0</v>
      </c>
      <c r="BF559" s="710">
        <v>0</v>
      </c>
      <c r="BG559" s="710">
        <v>0</v>
      </c>
      <c r="BH559" s="710">
        <v>0</v>
      </c>
      <c r="BI559" s="710">
        <v>0</v>
      </c>
      <c r="BJ559" s="710">
        <v>0</v>
      </c>
      <c r="BK559" s="710">
        <v>0</v>
      </c>
      <c r="BL559" s="710">
        <v>0</v>
      </c>
      <c r="BM559" s="710">
        <v>0</v>
      </c>
      <c r="BN559" s="710">
        <v>0</v>
      </c>
      <c r="BO559" s="710">
        <v>0</v>
      </c>
      <c r="BP559" s="710">
        <v>0</v>
      </c>
      <c r="BQ559" s="710">
        <v>0</v>
      </c>
      <c r="BR559" s="710">
        <v>0</v>
      </c>
      <c r="BS559" s="767"/>
      <c r="BT559" s="767"/>
      <c r="BU559" s="707">
        <v>0</v>
      </c>
      <c r="BV559" s="707">
        <v>37263.261235988452</v>
      </c>
      <c r="BW559" s="707">
        <v>37263.261235988452</v>
      </c>
      <c r="BX559" s="707">
        <v>37263.261235988452</v>
      </c>
      <c r="BY559" s="707">
        <v>37263.261235988452</v>
      </c>
      <c r="BZ559" s="707">
        <v>37263.261235988452</v>
      </c>
      <c r="CA559" s="707">
        <v>37263.261235988452</v>
      </c>
      <c r="CB559" s="707">
        <v>37263.261235988452</v>
      </c>
      <c r="CC559" s="707">
        <v>37263.261235988452</v>
      </c>
      <c r="CD559" s="707">
        <v>37263.261235988452</v>
      </c>
      <c r="CE559" s="707">
        <v>37263.261235988452</v>
      </c>
      <c r="CF559" s="707">
        <v>37263.261235988452</v>
      </c>
      <c r="CG559" s="707">
        <v>37263.261235988452</v>
      </c>
      <c r="CH559" s="707">
        <v>0</v>
      </c>
      <c r="CI559" s="707">
        <v>0</v>
      </c>
      <c r="CJ559" s="707">
        <v>0</v>
      </c>
      <c r="CK559" s="707">
        <v>0</v>
      </c>
      <c r="CL559" s="707">
        <v>0</v>
      </c>
      <c r="CM559" s="707">
        <v>0</v>
      </c>
      <c r="CN559" s="707">
        <v>0</v>
      </c>
      <c r="CO559" s="707">
        <v>0</v>
      </c>
      <c r="CP559" s="707">
        <v>0</v>
      </c>
      <c r="CQ559" s="707">
        <v>0</v>
      </c>
      <c r="CR559" s="707">
        <v>0</v>
      </c>
    </row>
    <row r="560" spans="1:96" s="53" customFormat="1">
      <c r="A560" s="721" t="s">
        <v>3</v>
      </c>
      <c r="B560" s="723">
        <v>41822</v>
      </c>
      <c r="C560" s="721">
        <v>2014</v>
      </c>
      <c r="D560" s="713" t="s">
        <v>1</v>
      </c>
      <c r="E560" s="713" t="s">
        <v>674</v>
      </c>
      <c r="F560" s="723" t="s">
        <v>123</v>
      </c>
      <c r="G560" s="713" t="s">
        <v>58</v>
      </c>
      <c r="H560" s="723" t="s">
        <v>770</v>
      </c>
      <c r="I560" s="713" t="s">
        <v>5</v>
      </c>
      <c r="J560" s="713" t="s">
        <v>376</v>
      </c>
      <c r="K560" s="766">
        <v>2</v>
      </c>
      <c r="L560" s="766" t="s">
        <v>671</v>
      </c>
      <c r="M560" s="765" t="s">
        <v>789</v>
      </c>
      <c r="N560" s="765">
        <v>3</v>
      </c>
      <c r="O560" s="765" t="s">
        <v>7</v>
      </c>
      <c r="P560" s="735">
        <v>1</v>
      </c>
      <c r="Q560" s="713" t="s">
        <v>58</v>
      </c>
      <c r="R560" s="713" t="s">
        <v>58</v>
      </c>
      <c r="S560" s="713" t="s">
        <v>58</v>
      </c>
      <c r="T560" s="713" t="s">
        <v>58</v>
      </c>
      <c r="U560" s="764">
        <v>0.14799999999999999</v>
      </c>
      <c r="V560" s="764">
        <v>469.75200000000001</v>
      </c>
      <c r="W560" s="764">
        <v>0.11607795684980196</v>
      </c>
      <c r="X560" s="764">
        <v>388.09829191440656</v>
      </c>
      <c r="Y560" s="764">
        <v>1164.2948757432196</v>
      </c>
      <c r="Z560" s="764">
        <v>1098.9433693272726</v>
      </c>
      <c r="AA560" s="764">
        <v>366.31445644242427</v>
      </c>
      <c r="AB560" s="764">
        <v>0.10964067428220543</v>
      </c>
      <c r="AC560" s="714">
        <v>0.82617698682369967</v>
      </c>
      <c r="AD560" s="714">
        <v>0.7843105192554185</v>
      </c>
      <c r="AE560" s="713" t="s">
        <v>58</v>
      </c>
      <c r="AF560" s="713" t="s">
        <v>58</v>
      </c>
      <c r="AG560" s="713" t="s">
        <v>58</v>
      </c>
      <c r="AH560" s="714">
        <v>0.94387031345969796</v>
      </c>
      <c r="AI560" s="713" t="s">
        <v>58</v>
      </c>
      <c r="AJ560" s="713" t="s">
        <v>58</v>
      </c>
      <c r="AK560" s="713" t="s">
        <v>58</v>
      </c>
      <c r="AL560" s="714">
        <v>0.94454345387965444</v>
      </c>
      <c r="AM560" s="713" t="s">
        <v>58</v>
      </c>
      <c r="AN560" s="713" t="s">
        <v>58</v>
      </c>
      <c r="AO560" s="713" t="s">
        <v>58</v>
      </c>
      <c r="AP560" s="747">
        <v>19</v>
      </c>
      <c r="AQ560" s="747">
        <v>38</v>
      </c>
      <c r="AR560" s="709"/>
      <c r="AS560" s="763">
        <v>0</v>
      </c>
      <c r="AT560" s="763">
        <v>0</v>
      </c>
      <c r="AU560" s="763">
        <v>0</v>
      </c>
      <c r="AV560" s="763">
        <v>0.10964067428220543</v>
      </c>
      <c r="AW560" s="763">
        <v>0.10964067428220543</v>
      </c>
      <c r="AX560" s="763">
        <v>0.10964067428220543</v>
      </c>
      <c r="AY560" s="763">
        <v>0</v>
      </c>
      <c r="AZ560" s="763">
        <v>0</v>
      </c>
      <c r="BA560" s="763">
        <v>0</v>
      </c>
      <c r="BB560" s="763">
        <v>0</v>
      </c>
      <c r="BC560" s="763">
        <v>0</v>
      </c>
      <c r="BD560" s="763">
        <v>0</v>
      </c>
      <c r="BE560" s="763">
        <v>0</v>
      </c>
      <c r="BF560" s="763">
        <v>0</v>
      </c>
      <c r="BG560" s="763">
        <v>0</v>
      </c>
      <c r="BH560" s="763">
        <v>0</v>
      </c>
      <c r="BI560" s="763">
        <v>0</v>
      </c>
      <c r="BJ560" s="763">
        <v>0</v>
      </c>
      <c r="BK560" s="763">
        <v>0</v>
      </c>
      <c r="BL560" s="763">
        <v>0</v>
      </c>
      <c r="BM560" s="763">
        <v>0</v>
      </c>
      <c r="BN560" s="763">
        <v>0</v>
      </c>
      <c r="BO560" s="763">
        <v>0</v>
      </c>
      <c r="BP560" s="763">
        <v>0</v>
      </c>
      <c r="BQ560" s="763">
        <v>0</v>
      </c>
      <c r="BR560" s="763">
        <v>0</v>
      </c>
      <c r="BS560" s="762">
        <v>0</v>
      </c>
      <c r="BT560" s="762">
        <v>0</v>
      </c>
      <c r="BU560" s="762">
        <v>0</v>
      </c>
      <c r="BV560" s="762">
        <v>366.31445644242427</v>
      </c>
      <c r="BW560" s="762">
        <v>366.31445644242427</v>
      </c>
      <c r="BX560" s="762">
        <v>366.31445644242427</v>
      </c>
      <c r="BY560" s="762">
        <v>0</v>
      </c>
      <c r="BZ560" s="762">
        <v>0</v>
      </c>
      <c r="CA560" s="762">
        <v>0</v>
      </c>
      <c r="CB560" s="762">
        <v>0</v>
      </c>
      <c r="CC560" s="762">
        <v>0</v>
      </c>
      <c r="CD560" s="762">
        <v>0</v>
      </c>
      <c r="CE560" s="762">
        <v>0</v>
      </c>
      <c r="CF560" s="762">
        <v>0</v>
      </c>
      <c r="CG560" s="762">
        <v>0</v>
      </c>
      <c r="CH560" s="762">
        <v>0</v>
      </c>
      <c r="CI560" s="762">
        <v>0</v>
      </c>
      <c r="CJ560" s="762">
        <v>0</v>
      </c>
      <c r="CK560" s="762">
        <v>0</v>
      </c>
      <c r="CL560" s="762">
        <v>0</v>
      </c>
      <c r="CM560" s="762">
        <v>0</v>
      </c>
      <c r="CN560" s="762">
        <v>0</v>
      </c>
      <c r="CO560" s="762">
        <v>0</v>
      </c>
      <c r="CP560" s="762">
        <v>0</v>
      </c>
      <c r="CQ560" s="762">
        <v>0</v>
      </c>
      <c r="CR560" s="762">
        <v>0</v>
      </c>
    </row>
    <row r="561" spans="1:96" s="53" customFormat="1">
      <c r="A561" s="721" t="s">
        <v>3</v>
      </c>
      <c r="B561" s="723">
        <v>41822</v>
      </c>
      <c r="C561" s="721">
        <v>2014</v>
      </c>
      <c r="D561" s="713" t="s">
        <v>1</v>
      </c>
      <c r="E561" s="713" t="s">
        <v>674</v>
      </c>
      <c r="F561" s="723" t="s">
        <v>123</v>
      </c>
      <c r="G561" s="713" t="s">
        <v>58</v>
      </c>
      <c r="H561" s="723" t="s">
        <v>697</v>
      </c>
      <c r="I561" s="713" t="s">
        <v>5</v>
      </c>
      <c r="J561" s="713" t="s">
        <v>376</v>
      </c>
      <c r="K561" s="766">
        <v>1</v>
      </c>
      <c r="L561" s="766" t="s">
        <v>671</v>
      </c>
      <c r="M561" s="765" t="s">
        <v>789</v>
      </c>
      <c r="N561" s="765">
        <v>0</v>
      </c>
      <c r="O561" s="765">
        <v>0</v>
      </c>
      <c r="P561" s="735">
        <v>0</v>
      </c>
      <c r="Q561" s="713" t="s">
        <v>58</v>
      </c>
      <c r="R561" s="713" t="s">
        <v>58</v>
      </c>
      <c r="S561" s="713" t="s">
        <v>58</v>
      </c>
      <c r="T561" s="713" t="s">
        <v>58</v>
      </c>
      <c r="U561" s="764">
        <v>0</v>
      </c>
      <c r="V561" s="764">
        <v>0</v>
      </c>
      <c r="W561" s="764">
        <v>0</v>
      </c>
      <c r="X561" s="764">
        <v>0</v>
      </c>
      <c r="Y561" s="764">
        <v>0</v>
      </c>
      <c r="Z561" s="764">
        <v>0</v>
      </c>
      <c r="AA561" s="764">
        <v>0</v>
      </c>
      <c r="AB561" s="764">
        <v>0</v>
      </c>
      <c r="AC561" s="714">
        <v>0.82617698682369967</v>
      </c>
      <c r="AD561" s="714">
        <v>0.7843105192554185</v>
      </c>
      <c r="AE561" s="713" t="s">
        <v>58</v>
      </c>
      <c r="AF561" s="713" t="s">
        <v>58</v>
      </c>
      <c r="AG561" s="713" t="s">
        <v>58</v>
      </c>
      <c r="AH561" s="714">
        <v>0.94387031345969796</v>
      </c>
      <c r="AI561" s="713" t="s">
        <v>58</v>
      </c>
      <c r="AJ561" s="713" t="s">
        <v>58</v>
      </c>
      <c r="AK561" s="713" t="s">
        <v>58</v>
      </c>
      <c r="AL561" s="714">
        <v>0.94454345387965444</v>
      </c>
      <c r="AM561" s="713" t="s">
        <v>58</v>
      </c>
      <c r="AN561" s="713" t="s">
        <v>58</v>
      </c>
      <c r="AO561" s="713" t="s">
        <v>58</v>
      </c>
      <c r="AP561" s="747">
        <v>26</v>
      </c>
      <c r="AQ561" s="747">
        <v>26</v>
      </c>
      <c r="AR561" s="709"/>
      <c r="AS561" s="763">
        <v>0</v>
      </c>
      <c r="AT561" s="763">
        <v>0</v>
      </c>
      <c r="AU561" s="763">
        <v>0</v>
      </c>
      <c r="AV561" s="763">
        <v>0</v>
      </c>
      <c r="AW561" s="763">
        <v>0</v>
      </c>
      <c r="AX561" s="763">
        <v>0</v>
      </c>
      <c r="AY561" s="763">
        <v>0</v>
      </c>
      <c r="AZ561" s="763">
        <v>0</v>
      </c>
      <c r="BA561" s="763">
        <v>0</v>
      </c>
      <c r="BB561" s="763">
        <v>0</v>
      </c>
      <c r="BC561" s="763">
        <v>0</v>
      </c>
      <c r="BD561" s="763">
        <v>0</v>
      </c>
      <c r="BE561" s="763">
        <v>0</v>
      </c>
      <c r="BF561" s="763">
        <v>0</v>
      </c>
      <c r="BG561" s="763">
        <v>0</v>
      </c>
      <c r="BH561" s="763">
        <v>0</v>
      </c>
      <c r="BI561" s="763">
        <v>0</v>
      </c>
      <c r="BJ561" s="763">
        <v>0</v>
      </c>
      <c r="BK561" s="763">
        <v>0</v>
      </c>
      <c r="BL561" s="763">
        <v>0</v>
      </c>
      <c r="BM561" s="763">
        <v>0</v>
      </c>
      <c r="BN561" s="763">
        <v>0</v>
      </c>
      <c r="BO561" s="763">
        <v>0</v>
      </c>
      <c r="BP561" s="763">
        <v>0</v>
      </c>
      <c r="BQ561" s="763">
        <v>0</v>
      </c>
      <c r="BR561" s="763">
        <v>0</v>
      </c>
      <c r="BS561" s="762">
        <v>0</v>
      </c>
      <c r="BT561" s="762">
        <v>0</v>
      </c>
      <c r="BU561" s="762">
        <v>0</v>
      </c>
      <c r="BV561" s="762">
        <v>0</v>
      </c>
      <c r="BW561" s="762">
        <v>0</v>
      </c>
      <c r="BX561" s="762">
        <v>0</v>
      </c>
      <c r="BY561" s="762">
        <v>0</v>
      </c>
      <c r="BZ561" s="762">
        <v>0</v>
      </c>
      <c r="CA561" s="762">
        <v>0</v>
      </c>
      <c r="CB561" s="762">
        <v>0</v>
      </c>
      <c r="CC561" s="762">
        <v>0</v>
      </c>
      <c r="CD561" s="762">
        <v>0</v>
      </c>
      <c r="CE561" s="762">
        <v>0</v>
      </c>
      <c r="CF561" s="762">
        <v>0</v>
      </c>
      <c r="CG561" s="762">
        <v>0</v>
      </c>
      <c r="CH561" s="762">
        <v>0</v>
      </c>
      <c r="CI561" s="762">
        <v>0</v>
      </c>
      <c r="CJ561" s="762">
        <v>0</v>
      </c>
      <c r="CK561" s="762">
        <v>0</v>
      </c>
      <c r="CL561" s="762">
        <v>0</v>
      </c>
      <c r="CM561" s="762">
        <v>0</v>
      </c>
      <c r="CN561" s="762">
        <v>0</v>
      </c>
      <c r="CO561" s="762">
        <v>0</v>
      </c>
      <c r="CP561" s="762">
        <v>0</v>
      </c>
      <c r="CQ561" s="762">
        <v>0</v>
      </c>
      <c r="CR561" s="762">
        <v>0</v>
      </c>
    </row>
    <row r="562" spans="1:96" s="53" customFormat="1">
      <c r="A562" s="721" t="s">
        <v>3</v>
      </c>
      <c r="B562" s="723">
        <v>41822</v>
      </c>
      <c r="C562" s="721">
        <v>2014</v>
      </c>
      <c r="D562" s="713" t="s">
        <v>1</v>
      </c>
      <c r="E562" s="713" t="s">
        <v>674</v>
      </c>
      <c r="F562" s="723" t="s">
        <v>123</v>
      </c>
      <c r="G562" s="713" t="s">
        <v>58</v>
      </c>
      <c r="H562" s="723" t="s">
        <v>715</v>
      </c>
      <c r="I562" s="713" t="s">
        <v>5</v>
      </c>
      <c r="J562" s="713" t="s">
        <v>376</v>
      </c>
      <c r="K562" s="766">
        <v>3</v>
      </c>
      <c r="L562" s="766" t="s">
        <v>671</v>
      </c>
      <c r="M562" s="765" t="s">
        <v>789</v>
      </c>
      <c r="N562" s="765">
        <v>3</v>
      </c>
      <c r="O562" s="765">
        <v>1</v>
      </c>
      <c r="P562" s="735">
        <v>0.66511083856317055</v>
      </c>
      <c r="Q562" s="713" t="s">
        <v>58</v>
      </c>
      <c r="R562" s="713" t="s">
        <v>58</v>
      </c>
      <c r="S562" s="713" t="s">
        <v>58</v>
      </c>
      <c r="T562" s="713" t="s">
        <v>58</v>
      </c>
      <c r="U562" s="764">
        <v>0.186</v>
      </c>
      <c r="V562" s="764">
        <v>590.36400000000003</v>
      </c>
      <c r="W562" s="764">
        <v>0.14588175658150787</v>
      </c>
      <c r="X562" s="764">
        <v>487.74515064918666</v>
      </c>
      <c r="Y562" s="764">
        <v>1136.5543229559876</v>
      </c>
      <c r="Z562" s="764">
        <v>1072.7598850724428</v>
      </c>
      <c r="AA562" s="764">
        <v>460.36816823169539</v>
      </c>
      <c r="AB562" s="764">
        <v>0.13779165821952846</v>
      </c>
      <c r="AC562" s="714">
        <v>0.82617698682369967</v>
      </c>
      <c r="AD562" s="714">
        <v>0.7843105192554185</v>
      </c>
      <c r="AE562" s="713" t="s">
        <v>58</v>
      </c>
      <c r="AF562" s="713" t="s">
        <v>58</v>
      </c>
      <c r="AG562" s="713" t="s">
        <v>58</v>
      </c>
      <c r="AH562" s="714">
        <v>0.94387031345969796</v>
      </c>
      <c r="AI562" s="713" t="s">
        <v>58</v>
      </c>
      <c r="AJ562" s="713" t="s">
        <v>58</v>
      </c>
      <c r="AK562" s="713" t="s">
        <v>58</v>
      </c>
      <c r="AL562" s="714">
        <v>0.94454345387965444</v>
      </c>
      <c r="AM562" s="713" t="s">
        <v>58</v>
      </c>
      <c r="AN562" s="713" t="s">
        <v>58</v>
      </c>
      <c r="AO562" s="713" t="s">
        <v>58</v>
      </c>
      <c r="AP562" s="747">
        <v>9</v>
      </c>
      <c r="AQ562" s="747">
        <v>27</v>
      </c>
      <c r="AR562" s="709"/>
      <c r="AS562" s="763">
        <v>0</v>
      </c>
      <c r="AT562" s="763">
        <v>0</v>
      </c>
      <c r="AU562" s="763">
        <v>0</v>
      </c>
      <c r="AV562" s="763">
        <v>0.13779165821952846</v>
      </c>
      <c r="AW562" s="763">
        <v>9.1646725345400373E-2</v>
      </c>
      <c r="AX562" s="763">
        <v>9.1646725345400373E-2</v>
      </c>
      <c r="AY562" s="763">
        <v>0</v>
      </c>
      <c r="AZ562" s="763">
        <v>0</v>
      </c>
      <c r="BA562" s="763">
        <v>0</v>
      </c>
      <c r="BB562" s="763">
        <v>0</v>
      </c>
      <c r="BC562" s="763">
        <v>0</v>
      </c>
      <c r="BD562" s="763">
        <v>0</v>
      </c>
      <c r="BE562" s="763">
        <v>0</v>
      </c>
      <c r="BF562" s="763">
        <v>0</v>
      </c>
      <c r="BG562" s="763">
        <v>0</v>
      </c>
      <c r="BH562" s="763">
        <v>0</v>
      </c>
      <c r="BI562" s="763">
        <v>0</v>
      </c>
      <c r="BJ562" s="763">
        <v>0</v>
      </c>
      <c r="BK562" s="763">
        <v>0</v>
      </c>
      <c r="BL562" s="763">
        <v>0</v>
      </c>
      <c r="BM562" s="763">
        <v>0</v>
      </c>
      <c r="BN562" s="763">
        <v>0</v>
      </c>
      <c r="BO562" s="763">
        <v>0</v>
      </c>
      <c r="BP562" s="763">
        <v>0</v>
      </c>
      <c r="BQ562" s="763">
        <v>0</v>
      </c>
      <c r="BR562" s="763">
        <v>0</v>
      </c>
      <c r="BS562" s="762">
        <v>0</v>
      </c>
      <c r="BT562" s="762">
        <v>0</v>
      </c>
      <c r="BU562" s="762">
        <v>0</v>
      </c>
      <c r="BV562" s="762">
        <v>460.36816823169539</v>
      </c>
      <c r="BW562" s="762">
        <v>306.19585842037367</v>
      </c>
      <c r="BX562" s="762">
        <v>306.19585842037367</v>
      </c>
      <c r="BY562" s="762">
        <v>0</v>
      </c>
      <c r="BZ562" s="762">
        <v>0</v>
      </c>
      <c r="CA562" s="762">
        <v>0</v>
      </c>
      <c r="CB562" s="762">
        <v>0</v>
      </c>
      <c r="CC562" s="762">
        <v>0</v>
      </c>
      <c r="CD562" s="762">
        <v>0</v>
      </c>
      <c r="CE562" s="762">
        <v>0</v>
      </c>
      <c r="CF562" s="762">
        <v>0</v>
      </c>
      <c r="CG562" s="762">
        <v>0</v>
      </c>
      <c r="CH562" s="762">
        <v>0</v>
      </c>
      <c r="CI562" s="762">
        <v>0</v>
      </c>
      <c r="CJ562" s="762">
        <v>0</v>
      </c>
      <c r="CK562" s="762">
        <v>0</v>
      </c>
      <c r="CL562" s="762">
        <v>0</v>
      </c>
      <c r="CM562" s="762">
        <v>0</v>
      </c>
      <c r="CN562" s="762">
        <v>0</v>
      </c>
      <c r="CO562" s="762">
        <v>0</v>
      </c>
      <c r="CP562" s="762">
        <v>0</v>
      </c>
      <c r="CQ562" s="762">
        <v>0</v>
      </c>
      <c r="CR562" s="762">
        <v>0</v>
      </c>
    </row>
    <row r="563" spans="1:96" s="53" customFormat="1">
      <c r="A563" s="721" t="s">
        <v>3</v>
      </c>
      <c r="B563" s="723">
        <v>41822</v>
      </c>
      <c r="C563" s="721">
        <v>2014</v>
      </c>
      <c r="D563" s="713" t="s">
        <v>1</v>
      </c>
      <c r="E563" s="713" t="s">
        <v>674</v>
      </c>
      <c r="F563" s="723" t="s">
        <v>123</v>
      </c>
      <c r="G563" s="713" t="s">
        <v>58</v>
      </c>
      <c r="H563" s="723" t="s">
        <v>715</v>
      </c>
      <c r="I563" s="713" t="s">
        <v>5</v>
      </c>
      <c r="J563" s="713" t="s">
        <v>376</v>
      </c>
      <c r="K563" s="766">
        <v>2</v>
      </c>
      <c r="L563" s="766" t="s">
        <v>671</v>
      </c>
      <c r="M563" s="765" t="s">
        <v>789</v>
      </c>
      <c r="N563" s="765">
        <v>3</v>
      </c>
      <c r="O563" s="765">
        <v>1</v>
      </c>
      <c r="P563" s="735">
        <v>0.66511083856317055</v>
      </c>
      <c r="Q563" s="713" t="s">
        <v>58</v>
      </c>
      <c r="R563" s="713" t="s">
        <v>58</v>
      </c>
      <c r="S563" s="713" t="s">
        <v>58</v>
      </c>
      <c r="T563" s="713" t="s">
        <v>58</v>
      </c>
      <c r="U563" s="764">
        <v>0.124</v>
      </c>
      <c r="V563" s="764">
        <v>393.57600000000002</v>
      </c>
      <c r="W563" s="764">
        <v>9.7254504387671914E-2</v>
      </c>
      <c r="X563" s="764">
        <v>325.16343376612446</v>
      </c>
      <c r="Y563" s="764">
        <v>757.70288197065838</v>
      </c>
      <c r="Z563" s="764">
        <v>715.17325671496189</v>
      </c>
      <c r="AA563" s="764">
        <v>306.91211215446361</v>
      </c>
      <c r="AB563" s="764">
        <v>9.1861105479685637E-2</v>
      </c>
      <c r="AC563" s="714">
        <v>0.82617698682369967</v>
      </c>
      <c r="AD563" s="714">
        <v>0.7843105192554185</v>
      </c>
      <c r="AE563" s="713" t="s">
        <v>58</v>
      </c>
      <c r="AF563" s="713" t="s">
        <v>58</v>
      </c>
      <c r="AG563" s="713" t="s">
        <v>58</v>
      </c>
      <c r="AH563" s="714">
        <v>0.94387031345969796</v>
      </c>
      <c r="AI563" s="713" t="s">
        <v>58</v>
      </c>
      <c r="AJ563" s="713" t="s">
        <v>58</v>
      </c>
      <c r="AK563" s="713" t="s">
        <v>58</v>
      </c>
      <c r="AL563" s="714">
        <v>0.94454345387965444</v>
      </c>
      <c r="AM563" s="713" t="s">
        <v>58</v>
      </c>
      <c r="AN563" s="713" t="s">
        <v>58</v>
      </c>
      <c r="AO563" s="713" t="s">
        <v>58</v>
      </c>
      <c r="AP563" s="747">
        <v>9</v>
      </c>
      <c r="AQ563" s="747">
        <v>18</v>
      </c>
      <c r="AR563" s="709"/>
      <c r="AS563" s="763">
        <v>0</v>
      </c>
      <c r="AT563" s="763">
        <v>0</v>
      </c>
      <c r="AU563" s="763">
        <v>0</v>
      </c>
      <c r="AV563" s="763">
        <v>9.1861105479685637E-2</v>
      </c>
      <c r="AW563" s="763">
        <v>6.1097816896933575E-2</v>
      </c>
      <c r="AX563" s="763">
        <v>6.1097816896933575E-2</v>
      </c>
      <c r="AY563" s="763">
        <v>0</v>
      </c>
      <c r="AZ563" s="763">
        <v>0</v>
      </c>
      <c r="BA563" s="763">
        <v>0</v>
      </c>
      <c r="BB563" s="763">
        <v>0</v>
      </c>
      <c r="BC563" s="763">
        <v>0</v>
      </c>
      <c r="BD563" s="763">
        <v>0</v>
      </c>
      <c r="BE563" s="763">
        <v>0</v>
      </c>
      <c r="BF563" s="763">
        <v>0</v>
      </c>
      <c r="BG563" s="763">
        <v>0</v>
      </c>
      <c r="BH563" s="763">
        <v>0</v>
      </c>
      <c r="BI563" s="763">
        <v>0</v>
      </c>
      <c r="BJ563" s="763">
        <v>0</v>
      </c>
      <c r="BK563" s="763">
        <v>0</v>
      </c>
      <c r="BL563" s="763">
        <v>0</v>
      </c>
      <c r="BM563" s="763">
        <v>0</v>
      </c>
      <c r="BN563" s="763">
        <v>0</v>
      </c>
      <c r="BO563" s="763">
        <v>0</v>
      </c>
      <c r="BP563" s="763">
        <v>0</v>
      </c>
      <c r="BQ563" s="763">
        <v>0</v>
      </c>
      <c r="BR563" s="763">
        <v>0</v>
      </c>
      <c r="BS563" s="762">
        <v>0</v>
      </c>
      <c r="BT563" s="762">
        <v>0</v>
      </c>
      <c r="BU563" s="762">
        <v>0</v>
      </c>
      <c r="BV563" s="762">
        <v>306.91211215446361</v>
      </c>
      <c r="BW563" s="762">
        <v>204.13057228024914</v>
      </c>
      <c r="BX563" s="762">
        <v>204.13057228024914</v>
      </c>
      <c r="BY563" s="762">
        <v>0</v>
      </c>
      <c r="BZ563" s="762">
        <v>0</v>
      </c>
      <c r="CA563" s="762">
        <v>0</v>
      </c>
      <c r="CB563" s="762">
        <v>0</v>
      </c>
      <c r="CC563" s="762">
        <v>0</v>
      </c>
      <c r="CD563" s="762">
        <v>0</v>
      </c>
      <c r="CE563" s="762">
        <v>0</v>
      </c>
      <c r="CF563" s="762">
        <v>0</v>
      </c>
      <c r="CG563" s="762">
        <v>0</v>
      </c>
      <c r="CH563" s="762">
        <v>0</v>
      </c>
      <c r="CI563" s="762">
        <v>0</v>
      </c>
      <c r="CJ563" s="762">
        <v>0</v>
      </c>
      <c r="CK563" s="762">
        <v>0</v>
      </c>
      <c r="CL563" s="762">
        <v>0</v>
      </c>
      <c r="CM563" s="762">
        <v>0</v>
      </c>
      <c r="CN563" s="762">
        <v>0</v>
      </c>
      <c r="CO563" s="762">
        <v>0</v>
      </c>
      <c r="CP563" s="762">
        <v>0</v>
      </c>
      <c r="CQ563" s="762">
        <v>0</v>
      </c>
      <c r="CR563" s="762">
        <v>0</v>
      </c>
    </row>
    <row r="564" spans="1:96" s="53" customFormat="1">
      <c r="A564" s="721" t="s">
        <v>3</v>
      </c>
      <c r="B564" s="723">
        <v>41822</v>
      </c>
      <c r="C564" s="721">
        <v>2014</v>
      </c>
      <c r="D564" s="713" t="s">
        <v>1</v>
      </c>
      <c r="E564" s="713" t="s">
        <v>674</v>
      </c>
      <c r="F564" s="723" t="s">
        <v>123</v>
      </c>
      <c r="G564" s="713" t="s">
        <v>58</v>
      </c>
      <c r="H564" s="723" t="s">
        <v>763</v>
      </c>
      <c r="I564" s="713" t="s">
        <v>5</v>
      </c>
      <c r="J564" s="713" t="s">
        <v>376</v>
      </c>
      <c r="K564" s="766">
        <v>8</v>
      </c>
      <c r="L564" s="766" t="s">
        <v>671</v>
      </c>
      <c r="M564" s="765" t="s">
        <v>789</v>
      </c>
      <c r="N564" s="765">
        <v>11</v>
      </c>
      <c r="O564" s="765">
        <v>2</v>
      </c>
      <c r="P564" s="735">
        <v>0.62478471265038082</v>
      </c>
      <c r="Q564" s="713" t="s">
        <v>58</v>
      </c>
      <c r="R564" s="713" t="s">
        <v>58</v>
      </c>
      <c r="S564" s="713" t="s">
        <v>58</v>
      </c>
      <c r="T564" s="713" t="s">
        <v>58</v>
      </c>
      <c r="U564" s="764">
        <v>0.32800000000000001</v>
      </c>
      <c r="V564" s="764">
        <v>1041.0719999999999</v>
      </c>
      <c r="W564" s="764">
        <v>0.25725385031577735</v>
      </c>
      <c r="X564" s="764">
        <v>860.10972802652248</v>
      </c>
      <c r="Y564" s="764">
        <v>6556.6701395086784</v>
      </c>
      <c r="Z564" s="764">
        <v>6188.6462998298975</v>
      </c>
      <c r="AA564" s="764">
        <v>811.83203860212939</v>
      </c>
      <c r="AB564" s="764">
        <v>0.24298744030110397</v>
      </c>
      <c r="AC564" s="714">
        <v>0.82617698682369967</v>
      </c>
      <c r="AD564" s="714">
        <v>0.7843105192554185</v>
      </c>
      <c r="AE564" s="713" t="s">
        <v>58</v>
      </c>
      <c r="AF564" s="713" t="s">
        <v>58</v>
      </c>
      <c r="AG564" s="713" t="s">
        <v>58</v>
      </c>
      <c r="AH564" s="714">
        <v>0.94387031345969796</v>
      </c>
      <c r="AI564" s="713" t="s">
        <v>58</v>
      </c>
      <c r="AJ564" s="713" t="s">
        <v>58</v>
      </c>
      <c r="AK564" s="713" t="s">
        <v>58</v>
      </c>
      <c r="AL564" s="714">
        <v>0.94454345387965444</v>
      </c>
      <c r="AM564" s="713" t="s">
        <v>58</v>
      </c>
      <c r="AN564" s="713" t="s">
        <v>58</v>
      </c>
      <c r="AO564" s="713" t="s">
        <v>58</v>
      </c>
      <c r="AP564" s="747">
        <v>41</v>
      </c>
      <c r="AQ564" s="747">
        <v>328</v>
      </c>
      <c r="AR564" s="709"/>
      <c r="AS564" s="763">
        <v>0</v>
      </c>
      <c r="AT564" s="763">
        <v>0</v>
      </c>
      <c r="AU564" s="763">
        <v>0</v>
      </c>
      <c r="AV564" s="763">
        <v>0.24298744030110397</v>
      </c>
      <c r="AW564" s="763">
        <v>0.24298744030110397</v>
      </c>
      <c r="AX564" s="763">
        <v>0.15181483806617682</v>
      </c>
      <c r="AY564" s="763">
        <v>0.15181483806617682</v>
      </c>
      <c r="AZ564" s="763">
        <v>0.15181483806617682</v>
      </c>
      <c r="BA564" s="763">
        <v>0.15181483806617682</v>
      </c>
      <c r="BB564" s="763">
        <v>0.15181483806617682</v>
      </c>
      <c r="BC564" s="763">
        <v>0.15181483806617682</v>
      </c>
      <c r="BD564" s="763">
        <v>0.15181483806617682</v>
      </c>
      <c r="BE564" s="763">
        <v>0.15181483806617682</v>
      </c>
      <c r="BF564" s="763">
        <v>0.15181483806617682</v>
      </c>
      <c r="BG564" s="763">
        <v>0</v>
      </c>
      <c r="BH564" s="763">
        <v>0</v>
      </c>
      <c r="BI564" s="763">
        <v>0</v>
      </c>
      <c r="BJ564" s="763">
        <v>0</v>
      </c>
      <c r="BK564" s="763">
        <v>0</v>
      </c>
      <c r="BL564" s="763">
        <v>0</v>
      </c>
      <c r="BM564" s="763">
        <v>0</v>
      </c>
      <c r="BN564" s="763">
        <v>0</v>
      </c>
      <c r="BO564" s="763">
        <v>0</v>
      </c>
      <c r="BP564" s="763">
        <v>0</v>
      </c>
      <c r="BQ564" s="763">
        <v>0</v>
      </c>
      <c r="BR564" s="763">
        <v>0</v>
      </c>
      <c r="BS564" s="762">
        <v>0</v>
      </c>
      <c r="BT564" s="762">
        <v>0</v>
      </c>
      <c r="BU564" s="762">
        <v>0</v>
      </c>
      <c r="BV564" s="762">
        <v>811.83203860212939</v>
      </c>
      <c r="BW564" s="762">
        <v>811.83203860212939</v>
      </c>
      <c r="BX564" s="762">
        <v>507.22024695840429</v>
      </c>
      <c r="BY564" s="762">
        <v>507.22024695840429</v>
      </c>
      <c r="BZ564" s="762">
        <v>507.22024695840429</v>
      </c>
      <c r="CA564" s="762">
        <v>507.22024695840429</v>
      </c>
      <c r="CB564" s="762">
        <v>507.22024695840429</v>
      </c>
      <c r="CC564" s="762">
        <v>507.22024695840429</v>
      </c>
      <c r="CD564" s="762">
        <v>507.22024695840429</v>
      </c>
      <c r="CE564" s="762">
        <v>507.22024695840429</v>
      </c>
      <c r="CF564" s="762">
        <v>507.22024695840429</v>
      </c>
      <c r="CG564" s="762">
        <v>0</v>
      </c>
      <c r="CH564" s="762">
        <v>0</v>
      </c>
      <c r="CI564" s="762">
        <v>0</v>
      </c>
      <c r="CJ564" s="762">
        <v>0</v>
      </c>
      <c r="CK564" s="762">
        <v>0</v>
      </c>
      <c r="CL564" s="762">
        <v>0</v>
      </c>
      <c r="CM564" s="762">
        <v>0</v>
      </c>
      <c r="CN564" s="762">
        <v>0</v>
      </c>
      <c r="CO564" s="762">
        <v>0</v>
      </c>
      <c r="CP564" s="762">
        <v>0</v>
      </c>
      <c r="CQ564" s="762">
        <v>0</v>
      </c>
      <c r="CR564" s="762">
        <v>0</v>
      </c>
    </row>
    <row r="565" spans="1:96" s="53" customFormat="1">
      <c r="A565" s="721" t="s">
        <v>3</v>
      </c>
      <c r="B565" s="723">
        <v>41792</v>
      </c>
      <c r="C565" s="721">
        <v>2014</v>
      </c>
      <c r="D565" s="713" t="s">
        <v>1</v>
      </c>
      <c r="E565" s="713" t="s">
        <v>674</v>
      </c>
      <c r="F565" s="723" t="s">
        <v>123</v>
      </c>
      <c r="G565" s="713" t="s">
        <v>58</v>
      </c>
      <c r="H565" s="723" t="s">
        <v>677</v>
      </c>
      <c r="I565" s="713" t="s">
        <v>5</v>
      </c>
      <c r="J565" s="713" t="s">
        <v>376</v>
      </c>
      <c r="K565" s="766">
        <v>1</v>
      </c>
      <c r="L565" s="766" t="s">
        <v>671</v>
      </c>
      <c r="M565" s="765" t="s">
        <v>757</v>
      </c>
      <c r="N565" s="765">
        <v>0</v>
      </c>
      <c r="O565" s="765">
        <v>0</v>
      </c>
      <c r="P565" s="735">
        <v>0</v>
      </c>
      <c r="Q565" s="713" t="s">
        <v>58</v>
      </c>
      <c r="R565" s="713" t="s">
        <v>58</v>
      </c>
      <c r="S565" s="713" t="s">
        <v>58</v>
      </c>
      <c r="T565" s="713" t="s">
        <v>58</v>
      </c>
      <c r="U565" s="764">
        <v>0</v>
      </c>
      <c r="V565" s="764">
        <v>0</v>
      </c>
      <c r="W565" s="764">
        <v>0</v>
      </c>
      <c r="X565" s="764">
        <v>0</v>
      </c>
      <c r="Y565" s="764">
        <v>0</v>
      </c>
      <c r="Z565" s="764">
        <v>0</v>
      </c>
      <c r="AA565" s="764">
        <v>0</v>
      </c>
      <c r="AB565" s="764">
        <v>0</v>
      </c>
      <c r="AC565" s="714">
        <v>0.82617698682369967</v>
      </c>
      <c r="AD565" s="714">
        <v>0.7843105192554185</v>
      </c>
      <c r="AE565" s="713" t="s">
        <v>58</v>
      </c>
      <c r="AF565" s="713" t="s">
        <v>58</v>
      </c>
      <c r="AG565" s="713" t="s">
        <v>58</v>
      </c>
      <c r="AH565" s="714">
        <v>0.94387031345969796</v>
      </c>
      <c r="AI565" s="713" t="s">
        <v>58</v>
      </c>
      <c r="AJ565" s="713" t="s">
        <v>58</v>
      </c>
      <c r="AK565" s="713" t="s">
        <v>58</v>
      </c>
      <c r="AL565" s="714">
        <v>0.94454345387965444</v>
      </c>
      <c r="AM565" s="713" t="s">
        <v>58</v>
      </c>
      <c r="AN565" s="713" t="s">
        <v>58</v>
      </c>
      <c r="AO565" s="713" t="s">
        <v>58</v>
      </c>
      <c r="AP565" s="747">
        <v>51</v>
      </c>
      <c r="AQ565" s="747">
        <v>51</v>
      </c>
      <c r="AR565" s="709"/>
      <c r="AS565" s="763">
        <v>0</v>
      </c>
      <c r="AT565" s="763">
        <v>0</v>
      </c>
      <c r="AU565" s="763">
        <v>0</v>
      </c>
      <c r="AV565" s="763">
        <v>0</v>
      </c>
      <c r="AW565" s="763">
        <v>0</v>
      </c>
      <c r="AX565" s="763">
        <v>0</v>
      </c>
      <c r="AY565" s="763">
        <v>0</v>
      </c>
      <c r="AZ565" s="763">
        <v>0</v>
      </c>
      <c r="BA565" s="763">
        <v>0</v>
      </c>
      <c r="BB565" s="763">
        <v>0</v>
      </c>
      <c r="BC565" s="763">
        <v>0</v>
      </c>
      <c r="BD565" s="763">
        <v>0</v>
      </c>
      <c r="BE565" s="763">
        <v>0</v>
      </c>
      <c r="BF565" s="763">
        <v>0</v>
      </c>
      <c r="BG565" s="763">
        <v>0</v>
      </c>
      <c r="BH565" s="763">
        <v>0</v>
      </c>
      <c r="BI565" s="763">
        <v>0</v>
      </c>
      <c r="BJ565" s="763">
        <v>0</v>
      </c>
      <c r="BK565" s="763">
        <v>0</v>
      </c>
      <c r="BL565" s="763">
        <v>0</v>
      </c>
      <c r="BM565" s="763">
        <v>0</v>
      </c>
      <c r="BN565" s="763">
        <v>0</v>
      </c>
      <c r="BO565" s="763">
        <v>0</v>
      </c>
      <c r="BP565" s="763">
        <v>0</v>
      </c>
      <c r="BQ565" s="763">
        <v>0</v>
      </c>
      <c r="BR565" s="763">
        <v>0</v>
      </c>
      <c r="BS565" s="762">
        <v>0</v>
      </c>
      <c r="BT565" s="762">
        <v>0</v>
      </c>
      <c r="BU565" s="762">
        <v>0</v>
      </c>
      <c r="BV565" s="762">
        <v>0</v>
      </c>
      <c r="BW565" s="762">
        <v>0</v>
      </c>
      <c r="BX565" s="762">
        <v>0</v>
      </c>
      <c r="BY565" s="762">
        <v>0</v>
      </c>
      <c r="BZ565" s="762">
        <v>0</v>
      </c>
      <c r="CA565" s="762">
        <v>0</v>
      </c>
      <c r="CB565" s="762">
        <v>0</v>
      </c>
      <c r="CC565" s="762">
        <v>0</v>
      </c>
      <c r="CD565" s="762">
        <v>0</v>
      </c>
      <c r="CE565" s="762">
        <v>0</v>
      </c>
      <c r="CF565" s="762">
        <v>0</v>
      </c>
      <c r="CG565" s="762">
        <v>0</v>
      </c>
      <c r="CH565" s="762">
        <v>0</v>
      </c>
      <c r="CI565" s="762">
        <v>0</v>
      </c>
      <c r="CJ565" s="762">
        <v>0</v>
      </c>
      <c r="CK565" s="762">
        <v>0</v>
      </c>
      <c r="CL565" s="762">
        <v>0</v>
      </c>
      <c r="CM565" s="762">
        <v>0</v>
      </c>
      <c r="CN565" s="762">
        <v>0</v>
      </c>
      <c r="CO565" s="762">
        <v>0</v>
      </c>
      <c r="CP565" s="762">
        <v>0</v>
      </c>
      <c r="CQ565" s="762">
        <v>0</v>
      </c>
      <c r="CR565" s="762">
        <v>0</v>
      </c>
    </row>
    <row r="566" spans="1:96" s="53" customFormat="1">
      <c r="A566" s="721" t="s">
        <v>3</v>
      </c>
      <c r="B566" s="723">
        <v>41792</v>
      </c>
      <c r="C566" s="721">
        <v>2014</v>
      </c>
      <c r="D566" s="713" t="s">
        <v>1</v>
      </c>
      <c r="E566" s="713" t="s">
        <v>674</v>
      </c>
      <c r="F566" s="723" t="s">
        <v>123</v>
      </c>
      <c r="G566" s="713" t="s">
        <v>58</v>
      </c>
      <c r="H566" s="723" t="s">
        <v>682</v>
      </c>
      <c r="I566" s="713" t="s">
        <v>5</v>
      </c>
      <c r="J566" s="713" t="s">
        <v>376</v>
      </c>
      <c r="K566" s="766">
        <v>4</v>
      </c>
      <c r="L566" s="766" t="s">
        <v>671</v>
      </c>
      <c r="M566" s="765" t="s">
        <v>757</v>
      </c>
      <c r="N566" s="765">
        <v>12</v>
      </c>
      <c r="O566" s="765">
        <v>3</v>
      </c>
      <c r="P566" s="735">
        <v>0.4</v>
      </c>
      <c r="Q566" s="713" t="s">
        <v>58</v>
      </c>
      <c r="R566" s="713" t="s">
        <v>58</v>
      </c>
      <c r="S566" s="713" t="s">
        <v>58</v>
      </c>
      <c r="T566" s="713" t="s">
        <v>58</v>
      </c>
      <c r="U566" s="764">
        <v>0.1</v>
      </c>
      <c r="V566" s="764">
        <v>341</v>
      </c>
      <c r="W566" s="764">
        <v>7.8431051925541853E-2</v>
      </c>
      <c r="X566" s="764">
        <v>281.7263525068816</v>
      </c>
      <c r="Y566" s="764">
        <v>1859.3939265454187</v>
      </c>
      <c r="Z566" s="764">
        <v>1755.0267282934831</v>
      </c>
      <c r="AA566" s="764">
        <v>265.91314065052768</v>
      </c>
      <c r="AB566" s="764">
        <v>7.4081536677165827E-2</v>
      </c>
      <c r="AC566" s="714">
        <v>0.82617698682369967</v>
      </c>
      <c r="AD566" s="714">
        <v>0.7843105192554185</v>
      </c>
      <c r="AE566" s="713" t="s">
        <v>58</v>
      </c>
      <c r="AF566" s="713" t="s">
        <v>58</v>
      </c>
      <c r="AG566" s="713" t="s">
        <v>58</v>
      </c>
      <c r="AH566" s="714">
        <v>0.94387031345969796</v>
      </c>
      <c r="AI566" s="713" t="s">
        <v>58</v>
      </c>
      <c r="AJ566" s="713" t="s">
        <v>58</v>
      </c>
      <c r="AK566" s="713" t="s">
        <v>58</v>
      </c>
      <c r="AL566" s="714">
        <v>0.94454345387965444</v>
      </c>
      <c r="AM566" s="713" t="s">
        <v>58</v>
      </c>
      <c r="AN566" s="713" t="s">
        <v>58</v>
      </c>
      <c r="AO566" s="713" t="s">
        <v>58</v>
      </c>
      <c r="AP566" s="747">
        <v>47</v>
      </c>
      <c r="AQ566" s="747">
        <v>188</v>
      </c>
      <c r="AR566" s="709"/>
      <c r="AS566" s="763">
        <v>0</v>
      </c>
      <c r="AT566" s="763">
        <v>0</v>
      </c>
      <c r="AU566" s="763">
        <v>0</v>
      </c>
      <c r="AV566" s="763">
        <v>7.4081536677165827E-2</v>
      </c>
      <c r="AW566" s="763">
        <v>7.4081536677165827E-2</v>
      </c>
      <c r="AX566" s="763">
        <v>7.4081536677165827E-2</v>
      </c>
      <c r="AY566" s="763">
        <v>2.9632614670866333E-2</v>
      </c>
      <c r="AZ566" s="763">
        <v>2.9632614670866333E-2</v>
      </c>
      <c r="BA566" s="763">
        <v>2.9632614670866333E-2</v>
      </c>
      <c r="BB566" s="763">
        <v>2.9632614670866333E-2</v>
      </c>
      <c r="BC566" s="763">
        <v>2.9632614670866333E-2</v>
      </c>
      <c r="BD566" s="763">
        <v>2.9632614670866333E-2</v>
      </c>
      <c r="BE566" s="763">
        <v>2.9632614670866333E-2</v>
      </c>
      <c r="BF566" s="763">
        <v>2.9632614670866333E-2</v>
      </c>
      <c r="BG566" s="763">
        <v>2.9632614670866333E-2</v>
      </c>
      <c r="BH566" s="763">
        <v>0</v>
      </c>
      <c r="BI566" s="763">
        <v>0</v>
      </c>
      <c r="BJ566" s="763">
        <v>0</v>
      </c>
      <c r="BK566" s="763">
        <v>0</v>
      </c>
      <c r="BL566" s="763">
        <v>0</v>
      </c>
      <c r="BM566" s="763">
        <v>0</v>
      </c>
      <c r="BN566" s="763">
        <v>0</v>
      </c>
      <c r="BO566" s="763">
        <v>0</v>
      </c>
      <c r="BP566" s="763">
        <v>0</v>
      </c>
      <c r="BQ566" s="763">
        <v>0</v>
      </c>
      <c r="BR566" s="763">
        <v>0</v>
      </c>
      <c r="BS566" s="762">
        <v>0</v>
      </c>
      <c r="BT566" s="762">
        <v>0</v>
      </c>
      <c r="BU566" s="762">
        <v>0</v>
      </c>
      <c r="BV566" s="762">
        <v>265.91314065052768</v>
      </c>
      <c r="BW566" s="762">
        <v>265.91314065052768</v>
      </c>
      <c r="BX566" s="762">
        <v>265.91314065052768</v>
      </c>
      <c r="BY566" s="762">
        <v>106.36525626021108</v>
      </c>
      <c r="BZ566" s="762">
        <v>106.36525626021108</v>
      </c>
      <c r="CA566" s="762">
        <v>106.36525626021108</v>
      </c>
      <c r="CB566" s="762">
        <v>106.36525626021108</v>
      </c>
      <c r="CC566" s="762">
        <v>106.36525626021108</v>
      </c>
      <c r="CD566" s="762">
        <v>106.36525626021108</v>
      </c>
      <c r="CE566" s="762">
        <v>106.36525626021108</v>
      </c>
      <c r="CF566" s="762">
        <v>106.36525626021108</v>
      </c>
      <c r="CG566" s="762">
        <v>106.36525626021108</v>
      </c>
      <c r="CH566" s="762">
        <v>0</v>
      </c>
      <c r="CI566" s="762">
        <v>0</v>
      </c>
      <c r="CJ566" s="762">
        <v>0</v>
      </c>
      <c r="CK566" s="762">
        <v>0</v>
      </c>
      <c r="CL566" s="762">
        <v>0</v>
      </c>
      <c r="CM566" s="762">
        <v>0</v>
      </c>
      <c r="CN566" s="762">
        <v>0</v>
      </c>
      <c r="CO566" s="762">
        <v>0</v>
      </c>
      <c r="CP566" s="762">
        <v>0</v>
      </c>
      <c r="CQ566" s="762">
        <v>0</v>
      </c>
      <c r="CR566" s="762">
        <v>0</v>
      </c>
    </row>
    <row r="567" spans="1:96" s="53" customFormat="1">
      <c r="A567" s="721" t="s">
        <v>3</v>
      </c>
      <c r="B567" s="723">
        <v>41792</v>
      </c>
      <c r="C567" s="721">
        <v>2014</v>
      </c>
      <c r="D567" s="713" t="s">
        <v>1</v>
      </c>
      <c r="E567" s="713" t="s">
        <v>674</v>
      </c>
      <c r="F567" s="723" t="s">
        <v>123</v>
      </c>
      <c r="G567" s="713" t="s">
        <v>58</v>
      </c>
      <c r="H567" s="723" t="s">
        <v>682</v>
      </c>
      <c r="I567" s="713" t="s">
        <v>5</v>
      </c>
      <c r="J567" s="713" t="s">
        <v>376</v>
      </c>
      <c r="K567" s="766">
        <v>1</v>
      </c>
      <c r="L567" s="766" t="s">
        <v>671</v>
      </c>
      <c r="M567" s="765" t="s">
        <v>757</v>
      </c>
      <c r="N567" s="765">
        <v>12</v>
      </c>
      <c r="O567" s="765">
        <v>3</v>
      </c>
      <c r="P567" s="735">
        <v>0.4</v>
      </c>
      <c r="Q567" s="713" t="s">
        <v>58</v>
      </c>
      <c r="R567" s="713" t="s">
        <v>58</v>
      </c>
      <c r="S567" s="713" t="s">
        <v>58</v>
      </c>
      <c r="T567" s="713" t="s">
        <v>58</v>
      </c>
      <c r="U567" s="764">
        <v>2.5000000000000001E-2</v>
      </c>
      <c r="V567" s="764">
        <v>85.25</v>
      </c>
      <c r="W567" s="764">
        <v>1.9607762981385463E-2</v>
      </c>
      <c r="X567" s="764">
        <v>70.431588126720399</v>
      </c>
      <c r="Y567" s="764">
        <v>464.84848163635468</v>
      </c>
      <c r="Z567" s="764">
        <v>438.75668207337077</v>
      </c>
      <c r="AA567" s="764">
        <v>66.47828516263192</v>
      </c>
      <c r="AB567" s="764">
        <v>1.8520384169291457E-2</v>
      </c>
      <c r="AC567" s="714">
        <v>0.82617698682369967</v>
      </c>
      <c r="AD567" s="714">
        <v>0.7843105192554185</v>
      </c>
      <c r="AE567" s="713" t="s">
        <v>58</v>
      </c>
      <c r="AF567" s="713" t="s">
        <v>58</v>
      </c>
      <c r="AG567" s="713" t="s">
        <v>58</v>
      </c>
      <c r="AH567" s="714">
        <v>0.94387031345969796</v>
      </c>
      <c r="AI567" s="713" t="s">
        <v>58</v>
      </c>
      <c r="AJ567" s="713" t="s">
        <v>58</v>
      </c>
      <c r="AK567" s="713" t="s">
        <v>58</v>
      </c>
      <c r="AL567" s="714">
        <v>0.94454345387965444</v>
      </c>
      <c r="AM567" s="713" t="s">
        <v>58</v>
      </c>
      <c r="AN567" s="713" t="s">
        <v>58</v>
      </c>
      <c r="AO567" s="713" t="s">
        <v>58</v>
      </c>
      <c r="AP567" s="747">
        <v>47</v>
      </c>
      <c r="AQ567" s="747">
        <v>47</v>
      </c>
      <c r="AR567" s="709"/>
      <c r="AS567" s="763">
        <v>0</v>
      </c>
      <c r="AT567" s="763">
        <v>0</v>
      </c>
      <c r="AU567" s="763">
        <v>0</v>
      </c>
      <c r="AV567" s="763">
        <v>1.8520384169291457E-2</v>
      </c>
      <c r="AW567" s="763">
        <v>1.8520384169291457E-2</v>
      </c>
      <c r="AX567" s="763">
        <v>1.8520384169291457E-2</v>
      </c>
      <c r="AY567" s="763">
        <v>7.4081536677165832E-3</v>
      </c>
      <c r="AZ567" s="763">
        <v>7.4081536677165832E-3</v>
      </c>
      <c r="BA567" s="763">
        <v>7.4081536677165832E-3</v>
      </c>
      <c r="BB567" s="763">
        <v>7.4081536677165832E-3</v>
      </c>
      <c r="BC567" s="763">
        <v>7.4081536677165832E-3</v>
      </c>
      <c r="BD567" s="763">
        <v>7.4081536677165832E-3</v>
      </c>
      <c r="BE567" s="763">
        <v>7.4081536677165832E-3</v>
      </c>
      <c r="BF567" s="763">
        <v>7.4081536677165832E-3</v>
      </c>
      <c r="BG567" s="763">
        <v>7.4081536677165832E-3</v>
      </c>
      <c r="BH567" s="763">
        <v>0</v>
      </c>
      <c r="BI567" s="763">
        <v>0</v>
      </c>
      <c r="BJ567" s="763">
        <v>0</v>
      </c>
      <c r="BK567" s="763">
        <v>0</v>
      </c>
      <c r="BL567" s="763">
        <v>0</v>
      </c>
      <c r="BM567" s="763">
        <v>0</v>
      </c>
      <c r="BN567" s="763">
        <v>0</v>
      </c>
      <c r="BO567" s="763">
        <v>0</v>
      </c>
      <c r="BP567" s="763">
        <v>0</v>
      </c>
      <c r="BQ567" s="763">
        <v>0</v>
      </c>
      <c r="BR567" s="763">
        <v>0</v>
      </c>
      <c r="BS567" s="762">
        <v>0</v>
      </c>
      <c r="BT567" s="762">
        <v>0</v>
      </c>
      <c r="BU567" s="762">
        <v>0</v>
      </c>
      <c r="BV567" s="762">
        <v>66.47828516263192</v>
      </c>
      <c r="BW567" s="762">
        <v>66.47828516263192</v>
      </c>
      <c r="BX567" s="762">
        <v>66.47828516263192</v>
      </c>
      <c r="BY567" s="762">
        <v>26.591314065052771</v>
      </c>
      <c r="BZ567" s="762">
        <v>26.591314065052771</v>
      </c>
      <c r="CA567" s="762">
        <v>26.591314065052771</v>
      </c>
      <c r="CB567" s="762">
        <v>26.591314065052771</v>
      </c>
      <c r="CC567" s="762">
        <v>26.591314065052771</v>
      </c>
      <c r="CD567" s="762">
        <v>26.591314065052771</v>
      </c>
      <c r="CE567" s="762">
        <v>26.591314065052771</v>
      </c>
      <c r="CF567" s="762">
        <v>26.591314065052771</v>
      </c>
      <c r="CG567" s="762">
        <v>26.591314065052771</v>
      </c>
      <c r="CH567" s="762">
        <v>0</v>
      </c>
      <c r="CI567" s="762">
        <v>0</v>
      </c>
      <c r="CJ567" s="762">
        <v>0</v>
      </c>
      <c r="CK567" s="762">
        <v>0</v>
      </c>
      <c r="CL567" s="762">
        <v>0</v>
      </c>
      <c r="CM567" s="762">
        <v>0</v>
      </c>
      <c r="CN567" s="762">
        <v>0</v>
      </c>
      <c r="CO567" s="762">
        <v>0</v>
      </c>
      <c r="CP567" s="762">
        <v>0</v>
      </c>
      <c r="CQ567" s="762">
        <v>0</v>
      </c>
      <c r="CR567" s="762">
        <v>0</v>
      </c>
    </row>
    <row r="568" spans="1:96" s="53" customFormat="1">
      <c r="A568" s="721" t="s">
        <v>3</v>
      </c>
      <c r="B568" s="723">
        <v>41792</v>
      </c>
      <c r="C568" s="721">
        <v>2014</v>
      </c>
      <c r="D568" s="713" t="s">
        <v>1</v>
      </c>
      <c r="E568" s="713" t="s">
        <v>674</v>
      </c>
      <c r="F568" s="723" t="s">
        <v>123</v>
      </c>
      <c r="G568" s="713" t="s">
        <v>58</v>
      </c>
      <c r="H568" s="723" t="s">
        <v>676</v>
      </c>
      <c r="I568" s="713" t="s">
        <v>5</v>
      </c>
      <c r="J568" s="713" t="s">
        <v>376</v>
      </c>
      <c r="K568" s="766">
        <v>6</v>
      </c>
      <c r="L568" s="766" t="s">
        <v>671</v>
      </c>
      <c r="M568" s="765" t="s">
        <v>757</v>
      </c>
      <c r="N568" s="765">
        <v>12</v>
      </c>
      <c r="O568" s="765">
        <v>3</v>
      </c>
      <c r="P568" s="735">
        <v>0.31578947368421051</v>
      </c>
      <c r="Q568" s="713" t="s">
        <v>58</v>
      </c>
      <c r="R568" s="713" t="s">
        <v>58</v>
      </c>
      <c r="S568" s="713" t="s">
        <v>58</v>
      </c>
      <c r="T568" s="713" t="s">
        <v>58</v>
      </c>
      <c r="U568" s="764">
        <v>0.22800000000000001</v>
      </c>
      <c r="V568" s="764">
        <v>777.48</v>
      </c>
      <c r="W568" s="764">
        <v>0.17882279839023546</v>
      </c>
      <c r="X568" s="764">
        <v>642.33608371569005</v>
      </c>
      <c r="Y568" s="764">
        <v>3752.5950153916629</v>
      </c>
      <c r="Z568" s="764">
        <v>3541.9630334650287</v>
      </c>
      <c r="AA568" s="764">
        <v>606.28196068320312</v>
      </c>
      <c r="AB568" s="764">
        <v>0.16890590362393812</v>
      </c>
      <c r="AC568" s="714">
        <v>0.82617698682369967</v>
      </c>
      <c r="AD568" s="714">
        <v>0.7843105192554185</v>
      </c>
      <c r="AE568" s="713" t="s">
        <v>58</v>
      </c>
      <c r="AF568" s="713" t="s">
        <v>58</v>
      </c>
      <c r="AG568" s="713" t="s">
        <v>58</v>
      </c>
      <c r="AH568" s="714">
        <v>0.94387031345969796</v>
      </c>
      <c r="AI568" s="713" t="s">
        <v>58</v>
      </c>
      <c r="AJ568" s="713" t="s">
        <v>58</v>
      </c>
      <c r="AK568" s="713" t="s">
        <v>58</v>
      </c>
      <c r="AL568" s="714">
        <v>0.94454345387965444</v>
      </c>
      <c r="AM568" s="713" t="s">
        <v>58</v>
      </c>
      <c r="AN568" s="713" t="s">
        <v>58</v>
      </c>
      <c r="AO568" s="713" t="s">
        <v>58</v>
      </c>
      <c r="AP568" s="747">
        <v>57</v>
      </c>
      <c r="AQ568" s="747">
        <v>342</v>
      </c>
      <c r="AR568" s="709"/>
      <c r="AS568" s="763">
        <v>0</v>
      </c>
      <c r="AT568" s="763">
        <v>0</v>
      </c>
      <c r="AU568" s="763">
        <v>0</v>
      </c>
      <c r="AV568" s="763">
        <v>0.16890590362393812</v>
      </c>
      <c r="AW568" s="763">
        <v>0.16890590362393812</v>
      </c>
      <c r="AX568" s="763">
        <v>0.16890590362393812</v>
      </c>
      <c r="AY568" s="763">
        <v>5.3338706407559403E-2</v>
      </c>
      <c r="AZ568" s="763">
        <v>5.3338706407559403E-2</v>
      </c>
      <c r="BA568" s="763">
        <v>5.3338706407559403E-2</v>
      </c>
      <c r="BB568" s="763">
        <v>5.3338706407559403E-2</v>
      </c>
      <c r="BC568" s="763">
        <v>5.3338706407559403E-2</v>
      </c>
      <c r="BD568" s="763">
        <v>5.3338706407559403E-2</v>
      </c>
      <c r="BE568" s="763">
        <v>5.3338706407559403E-2</v>
      </c>
      <c r="BF568" s="763">
        <v>5.3338706407559403E-2</v>
      </c>
      <c r="BG568" s="763">
        <v>5.3338706407559403E-2</v>
      </c>
      <c r="BH568" s="763">
        <v>0</v>
      </c>
      <c r="BI568" s="763">
        <v>0</v>
      </c>
      <c r="BJ568" s="763">
        <v>0</v>
      </c>
      <c r="BK568" s="763">
        <v>0</v>
      </c>
      <c r="BL568" s="763">
        <v>0</v>
      </c>
      <c r="BM568" s="763">
        <v>0</v>
      </c>
      <c r="BN568" s="763">
        <v>0</v>
      </c>
      <c r="BO568" s="763">
        <v>0</v>
      </c>
      <c r="BP568" s="763">
        <v>0</v>
      </c>
      <c r="BQ568" s="763">
        <v>0</v>
      </c>
      <c r="BR568" s="763">
        <v>0</v>
      </c>
      <c r="BS568" s="762">
        <v>0</v>
      </c>
      <c r="BT568" s="762">
        <v>0</v>
      </c>
      <c r="BU568" s="762">
        <v>0</v>
      </c>
      <c r="BV568" s="762">
        <v>606.28196068320312</v>
      </c>
      <c r="BW568" s="762">
        <v>606.28196068320312</v>
      </c>
      <c r="BX568" s="762">
        <v>606.28196068320312</v>
      </c>
      <c r="BY568" s="762">
        <v>191.45746126837992</v>
      </c>
      <c r="BZ568" s="762">
        <v>191.45746126837992</v>
      </c>
      <c r="CA568" s="762">
        <v>191.45746126837992</v>
      </c>
      <c r="CB568" s="762">
        <v>191.45746126837992</v>
      </c>
      <c r="CC568" s="762">
        <v>191.45746126837992</v>
      </c>
      <c r="CD568" s="762">
        <v>191.45746126837992</v>
      </c>
      <c r="CE568" s="762">
        <v>191.45746126837992</v>
      </c>
      <c r="CF568" s="762">
        <v>191.45746126837992</v>
      </c>
      <c r="CG568" s="762">
        <v>191.45746126837992</v>
      </c>
      <c r="CH568" s="762">
        <v>0</v>
      </c>
      <c r="CI568" s="762">
        <v>0</v>
      </c>
      <c r="CJ568" s="762">
        <v>0</v>
      </c>
      <c r="CK568" s="762">
        <v>0</v>
      </c>
      <c r="CL568" s="762">
        <v>0</v>
      </c>
      <c r="CM568" s="762">
        <v>0</v>
      </c>
      <c r="CN568" s="762">
        <v>0</v>
      </c>
      <c r="CO568" s="762">
        <v>0</v>
      </c>
      <c r="CP568" s="762">
        <v>0</v>
      </c>
      <c r="CQ568" s="762">
        <v>0</v>
      </c>
      <c r="CR568" s="762">
        <v>0</v>
      </c>
    </row>
    <row r="569" spans="1:96" s="53" customFormat="1">
      <c r="A569" s="721" t="s">
        <v>3</v>
      </c>
      <c r="B569" s="723">
        <v>41792</v>
      </c>
      <c r="C569" s="721">
        <v>2014</v>
      </c>
      <c r="D569" s="713" t="s">
        <v>1</v>
      </c>
      <c r="E569" s="713" t="s">
        <v>674</v>
      </c>
      <c r="F569" s="723" t="s">
        <v>123</v>
      </c>
      <c r="G569" s="713" t="s">
        <v>58</v>
      </c>
      <c r="H569" s="723" t="s">
        <v>676</v>
      </c>
      <c r="I569" s="713" t="s">
        <v>5</v>
      </c>
      <c r="J569" s="713" t="s">
        <v>376</v>
      </c>
      <c r="K569" s="766">
        <v>1</v>
      </c>
      <c r="L569" s="766" t="s">
        <v>671</v>
      </c>
      <c r="M569" s="765" t="s">
        <v>757</v>
      </c>
      <c r="N569" s="765">
        <v>12</v>
      </c>
      <c r="O569" s="765">
        <v>3</v>
      </c>
      <c r="P569" s="735">
        <v>0.31578947368421051</v>
      </c>
      <c r="Q569" s="713" t="s">
        <v>58</v>
      </c>
      <c r="R569" s="713" t="s">
        <v>58</v>
      </c>
      <c r="S569" s="713" t="s">
        <v>58</v>
      </c>
      <c r="T569" s="713" t="s">
        <v>58</v>
      </c>
      <c r="U569" s="764">
        <v>3.7999999999999999E-2</v>
      </c>
      <c r="V569" s="764">
        <v>129.58000000000001</v>
      </c>
      <c r="W569" s="764">
        <v>2.9803799731705907E-2</v>
      </c>
      <c r="X569" s="764">
        <v>107.05601395261502</v>
      </c>
      <c r="Y569" s="764">
        <v>625.43250256527722</v>
      </c>
      <c r="Z569" s="764">
        <v>590.32717224417161</v>
      </c>
      <c r="AA569" s="764">
        <v>101.04699344720053</v>
      </c>
      <c r="AB569" s="764">
        <v>2.8150983937323015E-2</v>
      </c>
      <c r="AC569" s="714">
        <v>0.82617698682369967</v>
      </c>
      <c r="AD569" s="714">
        <v>0.7843105192554185</v>
      </c>
      <c r="AE569" s="713" t="s">
        <v>58</v>
      </c>
      <c r="AF569" s="713" t="s">
        <v>58</v>
      </c>
      <c r="AG569" s="713" t="s">
        <v>58</v>
      </c>
      <c r="AH569" s="714">
        <v>0.94387031345969796</v>
      </c>
      <c r="AI569" s="713" t="s">
        <v>58</v>
      </c>
      <c r="AJ569" s="713" t="s">
        <v>58</v>
      </c>
      <c r="AK569" s="713" t="s">
        <v>58</v>
      </c>
      <c r="AL569" s="714">
        <v>0.94454345387965444</v>
      </c>
      <c r="AM569" s="713" t="s">
        <v>58</v>
      </c>
      <c r="AN569" s="713" t="s">
        <v>58</v>
      </c>
      <c r="AO569" s="713" t="s">
        <v>58</v>
      </c>
      <c r="AP569" s="747">
        <v>57</v>
      </c>
      <c r="AQ569" s="747">
        <v>57</v>
      </c>
      <c r="AR569" s="709"/>
      <c r="AS569" s="763">
        <v>0</v>
      </c>
      <c r="AT569" s="763">
        <v>0</v>
      </c>
      <c r="AU569" s="763">
        <v>0</v>
      </c>
      <c r="AV569" s="763">
        <v>2.8150983937323015E-2</v>
      </c>
      <c r="AW569" s="763">
        <v>2.8150983937323015E-2</v>
      </c>
      <c r="AX569" s="763">
        <v>2.8150983937323015E-2</v>
      </c>
      <c r="AY569" s="763">
        <v>8.8897844012598998E-3</v>
      </c>
      <c r="AZ569" s="763">
        <v>8.8897844012598998E-3</v>
      </c>
      <c r="BA569" s="763">
        <v>8.8897844012598998E-3</v>
      </c>
      <c r="BB569" s="763">
        <v>8.8897844012598998E-3</v>
      </c>
      <c r="BC569" s="763">
        <v>8.8897844012598998E-3</v>
      </c>
      <c r="BD569" s="763">
        <v>8.8897844012598998E-3</v>
      </c>
      <c r="BE569" s="763">
        <v>8.8897844012598998E-3</v>
      </c>
      <c r="BF569" s="763">
        <v>8.8897844012598998E-3</v>
      </c>
      <c r="BG569" s="763">
        <v>8.8897844012598998E-3</v>
      </c>
      <c r="BH569" s="763">
        <v>0</v>
      </c>
      <c r="BI569" s="763">
        <v>0</v>
      </c>
      <c r="BJ569" s="763">
        <v>0</v>
      </c>
      <c r="BK569" s="763">
        <v>0</v>
      </c>
      <c r="BL569" s="763">
        <v>0</v>
      </c>
      <c r="BM569" s="763">
        <v>0</v>
      </c>
      <c r="BN569" s="763">
        <v>0</v>
      </c>
      <c r="BO569" s="763">
        <v>0</v>
      </c>
      <c r="BP569" s="763">
        <v>0</v>
      </c>
      <c r="BQ569" s="763">
        <v>0</v>
      </c>
      <c r="BR569" s="763">
        <v>0</v>
      </c>
      <c r="BS569" s="762">
        <v>0</v>
      </c>
      <c r="BT569" s="762">
        <v>0</v>
      </c>
      <c r="BU569" s="762">
        <v>0</v>
      </c>
      <c r="BV569" s="762">
        <v>101.04699344720053</v>
      </c>
      <c r="BW569" s="762">
        <v>101.04699344720053</v>
      </c>
      <c r="BX569" s="762">
        <v>101.04699344720053</v>
      </c>
      <c r="BY569" s="762">
        <v>31.909576878063326</v>
      </c>
      <c r="BZ569" s="762">
        <v>31.909576878063326</v>
      </c>
      <c r="CA569" s="762">
        <v>31.909576878063326</v>
      </c>
      <c r="CB569" s="762">
        <v>31.909576878063326</v>
      </c>
      <c r="CC569" s="762">
        <v>31.909576878063326</v>
      </c>
      <c r="CD569" s="762">
        <v>31.909576878063326</v>
      </c>
      <c r="CE569" s="762">
        <v>31.909576878063326</v>
      </c>
      <c r="CF569" s="762">
        <v>31.909576878063326</v>
      </c>
      <c r="CG569" s="762">
        <v>31.909576878063326</v>
      </c>
      <c r="CH569" s="762">
        <v>0</v>
      </c>
      <c r="CI569" s="762">
        <v>0</v>
      </c>
      <c r="CJ569" s="762">
        <v>0</v>
      </c>
      <c r="CK569" s="762">
        <v>0</v>
      </c>
      <c r="CL569" s="762">
        <v>0</v>
      </c>
      <c r="CM569" s="762">
        <v>0</v>
      </c>
      <c r="CN569" s="762">
        <v>0</v>
      </c>
      <c r="CO569" s="762">
        <v>0</v>
      </c>
      <c r="CP569" s="762">
        <v>0</v>
      </c>
      <c r="CQ569" s="762">
        <v>0</v>
      </c>
      <c r="CR569" s="762">
        <v>0</v>
      </c>
    </row>
    <row r="570" spans="1:96" s="53" customFormat="1">
      <c r="A570" s="721" t="s">
        <v>3</v>
      </c>
      <c r="B570" s="723">
        <v>41792</v>
      </c>
      <c r="C570" s="721">
        <v>2014</v>
      </c>
      <c r="D570" s="713" t="s">
        <v>1</v>
      </c>
      <c r="E570" s="713" t="s">
        <v>674</v>
      </c>
      <c r="F570" s="723" t="s">
        <v>123</v>
      </c>
      <c r="G570" s="713" t="s">
        <v>58</v>
      </c>
      <c r="H570" s="723" t="s">
        <v>676</v>
      </c>
      <c r="I570" s="713" t="s">
        <v>5</v>
      </c>
      <c r="J570" s="713" t="s">
        <v>376</v>
      </c>
      <c r="K570" s="766">
        <v>1</v>
      </c>
      <c r="L570" s="766" t="s">
        <v>671</v>
      </c>
      <c r="M570" s="765" t="s">
        <v>757</v>
      </c>
      <c r="N570" s="765">
        <v>12</v>
      </c>
      <c r="O570" s="765">
        <v>3</v>
      </c>
      <c r="P570" s="735">
        <v>0.31578947368421051</v>
      </c>
      <c r="Q570" s="713" t="s">
        <v>58</v>
      </c>
      <c r="R570" s="713" t="s">
        <v>58</v>
      </c>
      <c r="S570" s="713" t="s">
        <v>58</v>
      </c>
      <c r="T570" s="713" t="s">
        <v>58</v>
      </c>
      <c r="U570" s="764">
        <v>3.7999999999999999E-2</v>
      </c>
      <c r="V570" s="764">
        <v>129.58000000000001</v>
      </c>
      <c r="W570" s="764">
        <v>2.9803799731705907E-2</v>
      </c>
      <c r="X570" s="764">
        <v>107.05601395261502</v>
      </c>
      <c r="Y570" s="764">
        <v>625.43250256527722</v>
      </c>
      <c r="Z570" s="764">
        <v>590.32717224417161</v>
      </c>
      <c r="AA570" s="764">
        <v>101.04699344720053</v>
      </c>
      <c r="AB570" s="764">
        <v>2.8150983937323015E-2</v>
      </c>
      <c r="AC570" s="714">
        <v>0.82617698682369967</v>
      </c>
      <c r="AD570" s="714">
        <v>0.7843105192554185</v>
      </c>
      <c r="AE570" s="713" t="s">
        <v>58</v>
      </c>
      <c r="AF570" s="713" t="s">
        <v>58</v>
      </c>
      <c r="AG570" s="713" t="s">
        <v>58</v>
      </c>
      <c r="AH570" s="714">
        <v>0.94387031345969796</v>
      </c>
      <c r="AI570" s="713" t="s">
        <v>58</v>
      </c>
      <c r="AJ570" s="713" t="s">
        <v>58</v>
      </c>
      <c r="AK570" s="713" t="s">
        <v>58</v>
      </c>
      <c r="AL570" s="714">
        <v>0.94454345387965444</v>
      </c>
      <c r="AM570" s="713" t="s">
        <v>58</v>
      </c>
      <c r="AN570" s="713" t="s">
        <v>58</v>
      </c>
      <c r="AO570" s="713" t="s">
        <v>58</v>
      </c>
      <c r="AP570" s="747">
        <v>57</v>
      </c>
      <c r="AQ570" s="747">
        <v>57</v>
      </c>
      <c r="AR570" s="709"/>
      <c r="AS570" s="763">
        <v>0</v>
      </c>
      <c r="AT570" s="763">
        <v>0</v>
      </c>
      <c r="AU570" s="763">
        <v>0</v>
      </c>
      <c r="AV570" s="763">
        <v>2.8150983937323015E-2</v>
      </c>
      <c r="AW570" s="763">
        <v>2.8150983937323015E-2</v>
      </c>
      <c r="AX570" s="763">
        <v>2.8150983937323015E-2</v>
      </c>
      <c r="AY570" s="763">
        <v>8.8897844012598998E-3</v>
      </c>
      <c r="AZ570" s="763">
        <v>8.8897844012598998E-3</v>
      </c>
      <c r="BA570" s="763">
        <v>8.8897844012598998E-3</v>
      </c>
      <c r="BB570" s="763">
        <v>8.8897844012598998E-3</v>
      </c>
      <c r="BC570" s="763">
        <v>8.8897844012598998E-3</v>
      </c>
      <c r="BD570" s="763">
        <v>8.8897844012598998E-3</v>
      </c>
      <c r="BE570" s="763">
        <v>8.8897844012598998E-3</v>
      </c>
      <c r="BF570" s="763">
        <v>8.8897844012598998E-3</v>
      </c>
      <c r="BG570" s="763">
        <v>8.8897844012598998E-3</v>
      </c>
      <c r="BH570" s="763">
        <v>0</v>
      </c>
      <c r="BI570" s="763">
        <v>0</v>
      </c>
      <c r="BJ570" s="763">
        <v>0</v>
      </c>
      <c r="BK570" s="763">
        <v>0</v>
      </c>
      <c r="BL570" s="763">
        <v>0</v>
      </c>
      <c r="BM570" s="763">
        <v>0</v>
      </c>
      <c r="BN570" s="763">
        <v>0</v>
      </c>
      <c r="BO570" s="763">
        <v>0</v>
      </c>
      <c r="BP570" s="763">
        <v>0</v>
      </c>
      <c r="BQ570" s="763">
        <v>0</v>
      </c>
      <c r="BR570" s="763">
        <v>0</v>
      </c>
      <c r="BS570" s="762">
        <v>0</v>
      </c>
      <c r="BT570" s="762">
        <v>0</v>
      </c>
      <c r="BU570" s="762">
        <v>0</v>
      </c>
      <c r="BV570" s="762">
        <v>101.04699344720053</v>
      </c>
      <c r="BW570" s="762">
        <v>101.04699344720053</v>
      </c>
      <c r="BX570" s="762">
        <v>101.04699344720053</v>
      </c>
      <c r="BY570" s="762">
        <v>31.909576878063326</v>
      </c>
      <c r="BZ570" s="762">
        <v>31.909576878063326</v>
      </c>
      <c r="CA570" s="762">
        <v>31.909576878063326</v>
      </c>
      <c r="CB570" s="762">
        <v>31.909576878063326</v>
      </c>
      <c r="CC570" s="762">
        <v>31.909576878063326</v>
      </c>
      <c r="CD570" s="762">
        <v>31.909576878063326</v>
      </c>
      <c r="CE570" s="762">
        <v>31.909576878063326</v>
      </c>
      <c r="CF570" s="762">
        <v>31.909576878063326</v>
      </c>
      <c r="CG570" s="762">
        <v>31.909576878063326</v>
      </c>
      <c r="CH570" s="762">
        <v>0</v>
      </c>
      <c r="CI570" s="762">
        <v>0</v>
      </c>
      <c r="CJ570" s="762">
        <v>0</v>
      </c>
      <c r="CK570" s="762">
        <v>0</v>
      </c>
      <c r="CL570" s="762">
        <v>0</v>
      </c>
      <c r="CM570" s="762">
        <v>0</v>
      </c>
      <c r="CN570" s="762">
        <v>0</v>
      </c>
      <c r="CO570" s="762">
        <v>0</v>
      </c>
      <c r="CP570" s="762">
        <v>0</v>
      </c>
      <c r="CQ570" s="762">
        <v>0</v>
      </c>
      <c r="CR570" s="762">
        <v>0</v>
      </c>
    </row>
    <row r="571" spans="1:96" s="53" customFormat="1">
      <c r="A571" s="721" t="s">
        <v>3</v>
      </c>
      <c r="B571" s="723">
        <v>41792</v>
      </c>
      <c r="C571" s="721">
        <v>2014</v>
      </c>
      <c r="D571" s="713" t="s">
        <v>1</v>
      </c>
      <c r="E571" s="713" t="s">
        <v>674</v>
      </c>
      <c r="F571" s="723" t="s">
        <v>123</v>
      </c>
      <c r="G571" s="713" t="s">
        <v>58</v>
      </c>
      <c r="H571" s="723" t="s">
        <v>788</v>
      </c>
      <c r="I571" s="713" t="s">
        <v>5</v>
      </c>
      <c r="J571" s="713" t="s">
        <v>376</v>
      </c>
      <c r="K571" s="766">
        <v>3</v>
      </c>
      <c r="L571" s="766" t="s">
        <v>671</v>
      </c>
      <c r="M571" s="765" t="s">
        <v>757</v>
      </c>
      <c r="N571" s="765">
        <v>12</v>
      </c>
      <c r="O571" s="765">
        <v>3</v>
      </c>
      <c r="P571" s="735">
        <v>0.33333333333333331</v>
      </c>
      <c r="Q571" s="713" t="s">
        <v>58</v>
      </c>
      <c r="R571" s="713" t="s">
        <v>58</v>
      </c>
      <c r="S571" s="713" t="s">
        <v>58</v>
      </c>
      <c r="T571" s="713" t="s">
        <v>58</v>
      </c>
      <c r="U571" s="764">
        <v>0.11700000000000001</v>
      </c>
      <c r="V571" s="764">
        <v>398.97</v>
      </c>
      <c r="W571" s="764">
        <v>9.1764330752883982E-2</v>
      </c>
      <c r="X571" s="764">
        <v>329.6198324330515</v>
      </c>
      <c r="Y571" s="764">
        <v>1977.7189945983091</v>
      </c>
      <c r="Z571" s="764">
        <v>1866.7102473667048</v>
      </c>
      <c r="AA571" s="764">
        <v>311.11837456111743</v>
      </c>
      <c r="AB571" s="764">
        <v>8.6675397912284027E-2</v>
      </c>
      <c r="AC571" s="714">
        <v>0.82617698682369967</v>
      </c>
      <c r="AD571" s="714">
        <v>0.7843105192554185</v>
      </c>
      <c r="AE571" s="713" t="s">
        <v>58</v>
      </c>
      <c r="AF571" s="713" t="s">
        <v>58</v>
      </c>
      <c r="AG571" s="713" t="s">
        <v>58</v>
      </c>
      <c r="AH571" s="714">
        <v>0.94387031345969796</v>
      </c>
      <c r="AI571" s="713" t="s">
        <v>58</v>
      </c>
      <c r="AJ571" s="713" t="s">
        <v>58</v>
      </c>
      <c r="AK571" s="713" t="s">
        <v>58</v>
      </c>
      <c r="AL571" s="714">
        <v>0.94454345387965444</v>
      </c>
      <c r="AM571" s="713" t="s">
        <v>58</v>
      </c>
      <c r="AN571" s="713" t="s">
        <v>58</v>
      </c>
      <c r="AO571" s="713" t="s">
        <v>58</v>
      </c>
      <c r="AP571" s="747">
        <v>57</v>
      </c>
      <c r="AQ571" s="747">
        <v>171</v>
      </c>
      <c r="AR571" s="709"/>
      <c r="AS571" s="763">
        <v>0</v>
      </c>
      <c r="AT571" s="763">
        <v>0</v>
      </c>
      <c r="AU571" s="763">
        <v>0</v>
      </c>
      <c r="AV571" s="763">
        <v>8.6675397912284027E-2</v>
      </c>
      <c r="AW571" s="763">
        <v>8.6675397912284027E-2</v>
      </c>
      <c r="AX571" s="763">
        <v>8.6675397912284027E-2</v>
      </c>
      <c r="AY571" s="763">
        <v>2.8891799304094676E-2</v>
      </c>
      <c r="AZ571" s="763">
        <v>2.8891799304094676E-2</v>
      </c>
      <c r="BA571" s="763">
        <v>2.8891799304094676E-2</v>
      </c>
      <c r="BB571" s="763">
        <v>2.8891799304094676E-2</v>
      </c>
      <c r="BC571" s="763">
        <v>2.8891799304094676E-2</v>
      </c>
      <c r="BD571" s="763">
        <v>2.8891799304094676E-2</v>
      </c>
      <c r="BE571" s="763">
        <v>2.8891799304094676E-2</v>
      </c>
      <c r="BF571" s="763">
        <v>2.8891799304094676E-2</v>
      </c>
      <c r="BG571" s="763">
        <v>2.8891799304094676E-2</v>
      </c>
      <c r="BH571" s="763">
        <v>0</v>
      </c>
      <c r="BI571" s="763">
        <v>0</v>
      </c>
      <c r="BJ571" s="763">
        <v>0</v>
      </c>
      <c r="BK571" s="763">
        <v>0</v>
      </c>
      <c r="BL571" s="763">
        <v>0</v>
      </c>
      <c r="BM571" s="763">
        <v>0</v>
      </c>
      <c r="BN571" s="763">
        <v>0</v>
      </c>
      <c r="BO571" s="763">
        <v>0</v>
      </c>
      <c r="BP571" s="763">
        <v>0</v>
      </c>
      <c r="BQ571" s="763">
        <v>0</v>
      </c>
      <c r="BR571" s="763">
        <v>0</v>
      </c>
      <c r="BS571" s="762">
        <v>0</v>
      </c>
      <c r="BT571" s="762">
        <v>0</v>
      </c>
      <c r="BU571" s="762">
        <v>0</v>
      </c>
      <c r="BV571" s="762">
        <v>311.11837456111743</v>
      </c>
      <c r="BW571" s="762">
        <v>311.11837456111743</v>
      </c>
      <c r="BX571" s="762">
        <v>311.11837456111743</v>
      </c>
      <c r="BY571" s="762">
        <v>103.7061248537058</v>
      </c>
      <c r="BZ571" s="762">
        <v>103.7061248537058</v>
      </c>
      <c r="CA571" s="762">
        <v>103.7061248537058</v>
      </c>
      <c r="CB571" s="762">
        <v>103.7061248537058</v>
      </c>
      <c r="CC571" s="762">
        <v>103.7061248537058</v>
      </c>
      <c r="CD571" s="762">
        <v>103.7061248537058</v>
      </c>
      <c r="CE571" s="762">
        <v>103.7061248537058</v>
      </c>
      <c r="CF571" s="762">
        <v>103.7061248537058</v>
      </c>
      <c r="CG571" s="762">
        <v>103.7061248537058</v>
      </c>
      <c r="CH571" s="762">
        <v>0</v>
      </c>
      <c r="CI571" s="762">
        <v>0</v>
      </c>
      <c r="CJ571" s="762">
        <v>0</v>
      </c>
      <c r="CK571" s="762">
        <v>0</v>
      </c>
      <c r="CL571" s="762">
        <v>0</v>
      </c>
      <c r="CM571" s="762">
        <v>0</v>
      </c>
      <c r="CN571" s="762">
        <v>0</v>
      </c>
      <c r="CO571" s="762">
        <v>0</v>
      </c>
      <c r="CP571" s="762">
        <v>0</v>
      </c>
      <c r="CQ571" s="762">
        <v>0</v>
      </c>
      <c r="CR571" s="762">
        <v>0</v>
      </c>
    </row>
    <row r="572" spans="1:96" s="53" customFormat="1">
      <c r="A572" s="721" t="s">
        <v>3</v>
      </c>
      <c r="B572" s="723">
        <v>41662</v>
      </c>
      <c r="C572" s="721">
        <v>2014</v>
      </c>
      <c r="D572" s="713" t="s">
        <v>1</v>
      </c>
      <c r="E572" s="713" t="s">
        <v>674</v>
      </c>
      <c r="F572" s="723" t="s">
        <v>123</v>
      </c>
      <c r="G572" s="713" t="s">
        <v>58</v>
      </c>
      <c r="H572" s="723" t="s">
        <v>677</v>
      </c>
      <c r="I572" s="713" t="s">
        <v>5</v>
      </c>
      <c r="J572" s="713" t="s">
        <v>376</v>
      </c>
      <c r="K572" s="766">
        <v>1</v>
      </c>
      <c r="L572" s="766" t="s">
        <v>671</v>
      </c>
      <c r="M572" s="765" t="s">
        <v>787</v>
      </c>
      <c r="N572" s="765">
        <v>0</v>
      </c>
      <c r="O572" s="765">
        <v>0</v>
      </c>
      <c r="P572" s="735">
        <v>0</v>
      </c>
      <c r="Q572" s="713" t="s">
        <v>58</v>
      </c>
      <c r="R572" s="713" t="s">
        <v>58</v>
      </c>
      <c r="S572" s="713" t="s">
        <v>58</v>
      </c>
      <c r="T572" s="713" t="s">
        <v>58</v>
      </c>
      <c r="U572" s="764">
        <v>0</v>
      </c>
      <c r="V572" s="764">
        <v>0</v>
      </c>
      <c r="W572" s="764">
        <v>0</v>
      </c>
      <c r="X572" s="764">
        <v>0</v>
      </c>
      <c r="Y572" s="764">
        <v>0</v>
      </c>
      <c r="Z572" s="764">
        <v>0</v>
      </c>
      <c r="AA572" s="764">
        <v>0</v>
      </c>
      <c r="AB572" s="764">
        <v>0</v>
      </c>
      <c r="AC572" s="714">
        <v>0.82617698682369967</v>
      </c>
      <c r="AD572" s="714">
        <v>0.7843105192554185</v>
      </c>
      <c r="AE572" s="713" t="s">
        <v>58</v>
      </c>
      <c r="AF572" s="713" t="s">
        <v>58</v>
      </c>
      <c r="AG572" s="713" t="s">
        <v>58</v>
      </c>
      <c r="AH572" s="714">
        <v>0.94387031345969796</v>
      </c>
      <c r="AI572" s="713" t="s">
        <v>58</v>
      </c>
      <c r="AJ572" s="713" t="s">
        <v>58</v>
      </c>
      <c r="AK572" s="713" t="s">
        <v>58</v>
      </c>
      <c r="AL572" s="714">
        <v>0.94454345387965444</v>
      </c>
      <c r="AM572" s="713" t="s">
        <v>58</v>
      </c>
      <c r="AN572" s="713" t="s">
        <v>58</v>
      </c>
      <c r="AO572" s="713" t="s">
        <v>58</v>
      </c>
      <c r="AP572" s="747">
        <v>51</v>
      </c>
      <c r="AQ572" s="747">
        <v>51</v>
      </c>
      <c r="AR572" s="709"/>
      <c r="AS572" s="763">
        <v>0</v>
      </c>
      <c r="AT572" s="763">
        <v>0</v>
      </c>
      <c r="AU572" s="763">
        <v>0</v>
      </c>
      <c r="AV572" s="763">
        <v>0</v>
      </c>
      <c r="AW572" s="763">
        <v>0</v>
      </c>
      <c r="AX572" s="763">
        <v>0</v>
      </c>
      <c r="AY572" s="763">
        <v>0</v>
      </c>
      <c r="AZ572" s="763">
        <v>0</v>
      </c>
      <c r="BA572" s="763">
        <v>0</v>
      </c>
      <c r="BB572" s="763">
        <v>0</v>
      </c>
      <c r="BC572" s="763">
        <v>0</v>
      </c>
      <c r="BD572" s="763">
        <v>0</v>
      </c>
      <c r="BE572" s="763">
        <v>0</v>
      </c>
      <c r="BF572" s="763">
        <v>0</v>
      </c>
      <c r="BG572" s="763">
        <v>0</v>
      </c>
      <c r="BH572" s="763">
        <v>0</v>
      </c>
      <c r="BI572" s="763">
        <v>0</v>
      </c>
      <c r="BJ572" s="763">
        <v>0</v>
      </c>
      <c r="BK572" s="763">
        <v>0</v>
      </c>
      <c r="BL572" s="763">
        <v>0</v>
      </c>
      <c r="BM572" s="763">
        <v>0</v>
      </c>
      <c r="BN572" s="763">
        <v>0</v>
      </c>
      <c r="BO572" s="763">
        <v>0</v>
      </c>
      <c r="BP572" s="763">
        <v>0</v>
      </c>
      <c r="BQ572" s="763">
        <v>0</v>
      </c>
      <c r="BR572" s="763">
        <v>0</v>
      </c>
      <c r="BS572" s="762">
        <v>0</v>
      </c>
      <c r="BT572" s="762">
        <v>0</v>
      </c>
      <c r="BU572" s="762">
        <v>0</v>
      </c>
      <c r="BV572" s="762">
        <v>0</v>
      </c>
      <c r="BW572" s="762">
        <v>0</v>
      </c>
      <c r="BX572" s="762">
        <v>0</v>
      </c>
      <c r="BY572" s="762">
        <v>0</v>
      </c>
      <c r="BZ572" s="762">
        <v>0</v>
      </c>
      <c r="CA572" s="762">
        <v>0</v>
      </c>
      <c r="CB572" s="762">
        <v>0</v>
      </c>
      <c r="CC572" s="762">
        <v>0</v>
      </c>
      <c r="CD572" s="762">
        <v>0</v>
      </c>
      <c r="CE572" s="762">
        <v>0</v>
      </c>
      <c r="CF572" s="762">
        <v>0</v>
      </c>
      <c r="CG572" s="762">
        <v>0</v>
      </c>
      <c r="CH572" s="762">
        <v>0</v>
      </c>
      <c r="CI572" s="762">
        <v>0</v>
      </c>
      <c r="CJ572" s="762">
        <v>0</v>
      </c>
      <c r="CK572" s="762">
        <v>0</v>
      </c>
      <c r="CL572" s="762">
        <v>0</v>
      </c>
      <c r="CM572" s="762">
        <v>0</v>
      </c>
      <c r="CN572" s="762">
        <v>0</v>
      </c>
      <c r="CO572" s="762">
        <v>0</v>
      </c>
      <c r="CP572" s="762">
        <v>0</v>
      </c>
      <c r="CQ572" s="762">
        <v>0</v>
      </c>
      <c r="CR572" s="762">
        <v>0</v>
      </c>
    </row>
    <row r="573" spans="1:96" s="53" customFormat="1">
      <c r="A573" s="721" t="s">
        <v>3</v>
      </c>
      <c r="B573" s="723">
        <v>41662</v>
      </c>
      <c r="C573" s="721">
        <v>2014</v>
      </c>
      <c r="D573" s="713" t="s">
        <v>1</v>
      </c>
      <c r="E573" s="713" t="s">
        <v>674</v>
      </c>
      <c r="F573" s="723" t="s">
        <v>123</v>
      </c>
      <c r="G573" s="713" t="s">
        <v>58</v>
      </c>
      <c r="H573" s="723" t="s">
        <v>675</v>
      </c>
      <c r="I573" s="713" t="s">
        <v>5</v>
      </c>
      <c r="J573" s="713" t="s">
        <v>376</v>
      </c>
      <c r="K573" s="766">
        <v>19</v>
      </c>
      <c r="L573" s="766" t="s">
        <v>671</v>
      </c>
      <c r="M573" s="765" t="s">
        <v>787</v>
      </c>
      <c r="N573" s="765">
        <v>12</v>
      </c>
      <c r="O573" s="765">
        <v>3</v>
      </c>
      <c r="P573" s="735">
        <v>0.36842105263157893</v>
      </c>
      <c r="Q573" s="713" t="s">
        <v>58</v>
      </c>
      <c r="R573" s="713" t="s">
        <v>58</v>
      </c>
      <c r="S573" s="713" t="s">
        <v>58</v>
      </c>
      <c r="T573" s="713" t="s">
        <v>58</v>
      </c>
      <c r="U573" s="764">
        <v>1.083</v>
      </c>
      <c r="V573" s="764">
        <v>3693.03</v>
      </c>
      <c r="W573" s="764">
        <v>0.84940829235361825</v>
      </c>
      <c r="X573" s="764">
        <v>3051.0963976495277</v>
      </c>
      <c r="Y573" s="764">
        <v>19270.0825114707</v>
      </c>
      <c r="Z573" s="764">
        <v>18188.458820496093</v>
      </c>
      <c r="AA573" s="764">
        <v>2879.8393132452152</v>
      </c>
      <c r="AB573" s="764">
        <v>0.80230304221370585</v>
      </c>
      <c r="AC573" s="714">
        <v>0.82617698682369967</v>
      </c>
      <c r="AD573" s="714">
        <v>0.7843105192554185</v>
      </c>
      <c r="AE573" s="713" t="s">
        <v>58</v>
      </c>
      <c r="AF573" s="713" t="s">
        <v>58</v>
      </c>
      <c r="AG573" s="713" t="s">
        <v>58</v>
      </c>
      <c r="AH573" s="714">
        <v>0.94387031345969796</v>
      </c>
      <c r="AI573" s="713" t="s">
        <v>58</v>
      </c>
      <c r="AJ573" s="713" t="s">
        <v>58</v>
      </c>
      <c r="AK573" s="713" t="s">
        <v>58</v>
      </c>
      <c r="AL573" s="714">
        <v>0.94454345387965444</v>
      </c>
      <c r="AM573" s="713" t="s">
        <v>58</v>
      </c>
      <c r="AN573" s="713" t="s">
        <v>58</v>
      </c>
      <c r="AO573" s="713" t="s">
        <v>58</v>
      </c>
      <c r="AP573" s="747">
        <v>73</v>
      </c>
      <c r="AQ573" s="747">
        <v>1387</v>
      </c>
      <c r="AR573" s="709"/>
      <c r="AS573" s="763">
        <v>0</v>
      </c>
      <c r="AT573" s="763">
        <v>0</v>
      </c>
      <c r="AU573" s="763">
        <v>0</v>
      </c>
      <c r="AV573" s="763">
        <v>0.80230304221370585</v>
      </c>
      <c r="AW573" s="763">
        <v>0.80230304221370585</v>
      </c>
      <c r="AX573" s="763">
        <v>0.80230304221370585</v>
      </c>
      <c r="AY573" s="763">
        <v>0.29558533134189163</v>
      </c>
      <c r="AZ573" s="763">
        <v>0.29558533134189163</v>
      </c>
      <c r="BA573" s="763">
        <v>0.29558533134189163</v>
      </c>
      <c r="BB573" s="763">
        <v>0.29558533134189163</v>
      </c>
      <c r="BC573" s="763">
        <v>0.29558533134189163</v>
      </c>
      <c r="BD573" s="763">
        <v>0.29558533134189163</v>
      </c>
      <c r="BE573" s="763">
        <v>0.29558533134189163</v>
      </c>
      <c r="BF573" s="763">
        <v>0.29558533134189163</v>
      </c>
      <c r="BG573" s="763">
        <v>0.29558533134189163</v>
      </c>
      <c r="BH573" s="763">
        <v>0</v>
      </c>
      <c r="BI573" s="763">
        <v>0</v>
      </c>
      <c r="BJ573" s="763">
        <v>0</v>
      </c>
      <c r="BK573" s="763">
        <v>0</v>
      </c>
      <c r="BL573" s="763">
        <v>0</v>
      </c>
      <c r="BM573" s="763">
        <v>0</v>
      </c>
      <c r="BN573" s="763">
        <v>0</v>
      </c>
      <c r="BO573" s="763">
        <v>0</v>
      </c>
      <c r="BP573" s="763">
        <v>0</v>
      </c>
      <c r="BQ573" s="763">
        <v>0</v>
      </c>
      <c r="BR573" s="763">
        <v>0</v>
      </c>
      <c r="BS573" s="762">
        <v>0</v>
      </c>
      <c r="BT573" s="762">
        <v>0</v>
      </c>
      <c r="BU573" s="762">
        <v>0</v>
      </c>
      <c r="BV573" s="762">
        <v>2879.8393132452152</v>
      </c>
      <c r="BW573" s="762">
        <v>2879.8393132452152</v>
      </c>
      <c r="BX573" s="762">
        <v>2879.8393132452152</v>
      </c>
      <c r="BY573" s="762">
        <v>1060.9934311956056</v>
      </c>
      <c r="BZ573" s="762">
        <v>1060.9934311956056</v>
      </c>
      <c r="CA573" s="762">
        <v>1060.9934311956056</v>
      </c>
      <c r="CB573" s="762">
        <v>1060.9934311956056</v>
      </c>
      <c r="CC573" s="762">
        <v>1060.9934311956056</v>
      </c>
      <c r="CD573" s="762">
        <v>1060.9934311956056</v>
      </c>
      <c r="CE573" s="762">
        <v>1060.9934311956056</v>
      </c>
      <c r="CF573" s="762">
        <v>1060.9934311956056</v>
      </c>
      <c r="CG573" s="762">
        <v>1060.9934311956056</v>
      </c>
      <c r="CH573" s="762">
        <v>0</v>
      </c>
      <c r="CI573" s="762">
        <v>0</v>
      </c>
      <c r="CJ573" s="762">
        <v>0</v>
      </c>
      <c r="CK573" s="762">
        <v>0</v>
      </c>
      <c r="CL573" s="762">
        <v>0</v>
      </c>
      <c r="CM573" s="762">
        <v>0</v>
      </c>
      <c r="CN573" s="762">
        <v>0</v>
      </c>
      <c r="CO573" s="762">
        <v>0</v>
      </c>
      <c r="CP573" s="762">
        <v>0</v>
      </c>
      <c r="CQ573" s="762">
        <v>0</v>
      </c>
      <c r="CR573" s="762">
        <v>0</v>
      </c>
    </row>
    <row r="574" spans="1:96" s="53" customFormat="1">
      <c r="A574" s="721" t="s">
        <v>3</v>
      </c>
      <c r="B574" s="723">
        <v>41823</v>
      </c>
      <c r="C574" s="721">
        <v>2014</v>
      </c>
      <c r="D574" s="713" t="s">
        <v>1</v>
      </c>
      <c r="E574" s="713" t="s">
        <v>674</v>
      </c>
      <c r="F574" s="723" t="s">
        <v>123</v>
      </c>
      <c r="G574" s="713" t="s">
        <v>58</v>
      </c>
      <c r="H574" s="723" t="s">
        <v>697</v>
      </c>
      <c r="I574" s="713" t="s">
        <v>5</v>
      </c>
      <c r="J574" s="713" t="s">
        <v>376</v>
      </c>
      <c r="K574" s="766">
        <v>1</v>
      </c>
      <c r="L574" s="766" t="s">
        <v>671</v>
      </c>
      <c r="M574" s="765" t="s">
        <v>786</v>
      </c>
      <c r="N574" s="765">
        <v>0</v>
      </c>
      <c r="O574" s="765">
        <v>0</v>
      </c>
      <c r="P574" s="735">
        <v>0</v>
      </c>
      <c r="Q574" s="713" t="s">
        <v>58</v>
      </c>
      <c r="R574" s="713" t="s">
        <v>58</v>
      </c>
      <c r="S574" s="713" t="s">
        <v>58</v>
      </c>
      <c r="T574" s="713" t="s">
        <v>58</v>
      </c>
      <c r="U574" s="764">
        <v>0</v>
      </c>
      <c r="V574" s="764">
        <v>0</v>
      </c>
      <c r="W574" s="764">
        <v>0</v>
      </c>
      <c r="X574" s="764">
        <v>0</v>
      </c>
      <c r="Y574" s="764">
        <v>0</v>
      </c>
      <c r="Z574" s="764">
        <v>0</v>
      </c>
      <c r="AA574" s="764">
        <v>0</v>
      </c>
      <c r="AB574" s="764">
        <v>0</v>
      </c>
      <c r="AC574" s="714">
        <v>0.82617698682369967</v>
      </c>
      <c r="AD574" s="714">
        <v>0.7843105192554185</v>
      </c>
      <c r="AE574" s="713" t="s">
        <v>58</v>
      </c>
      <c r="AF574" s="713" t="s">
        <v>58</v>
      </c>
      <c r="AG574" s="713" t="s">
        <v>58</v>
      </c>
      <c r="AH574" s="714">
        <v>0.94387031345969796</v>
      </c>
      <c r="AI574" s="713" t="s">
        <v>58</v>
      </c>
      <c r="AJ574" s="713" t="s">
        <v>58</v>
      </c>
      <c r="AK574" s="713" t="s">
        <v>58</v>
      </c>
      <c r="AL574" s="714">
        <v>0.94454345387965444</v>
      </c>
      <c r="AM574" s="713" t="s">
        <v>58</v>
      </c>
      <c r="AN574" s="713" t="s">
        <v>58</v>
      </c>
      <c r="AO574" s="713" t="s">
        <v>58</v>
      </c>
      <c r="AP574" s="747">
        <v>26</v>
      </c>
      <c r="AQ574" s="747">
        <v>26</v>
      </c>
      <c r="AR574" s="709"/>
      <c r="AS574" s="763">
        <v>0</v>
      </c>
      <c r="AT574" s="763">
        <v>0</v>
      </c>
      <c r="AU574" s="763">
        <v>0</v>
      </c>
      <c r="AV574" s="763">
        <v>0</v>
      </c>
      <c r="AW574" s="763">
        <v>0</v>
      </c>
      <c r="AX574" s="763">
        <v>0</v>
      </c>
      <c r="AY574" s="763">
        <v>0</v>
      </c>
      <c r="AZ574" s="763">
        <v>0</v>
      </c>
      <c r="BA574" s="763">
        <v>0</v>
      </c>
      <c r="BB574" s="763">
        <v>0</v>
      </c>
      <c r="BC574" s="763">
        <v>0</v>
      </c>
      <c r="BD574" s="763">
        <v>0</v>
      </c>
      <c r="BE574" s="763">
        <v>0</v>
      </c>
      <c r="BF574" s="763">
        <v>0</v>
      </c>
      <c r="BG574" s="763">
        <v>0</v>
      </c>
      <c r="BH574" s="763">
        <v>0</v>
      </c>
      <c r="BI574" s="763">
        <v>0</v>
      </c>
      <c r="BJ574" s="763">
        <v>0</v>
      </c>
      <c r="BK574" s="763">
        <v>0</v>
      </c>
      <c r="BL574" s="763">
        <v>0</v>
      </c>
      <c r="BM574" s="763">
        <v>0</v>
      </c>
      <c r="BN574" s="763">
        <v>0</v>
      </c>
      <c r="BO574" s="763">
        <v>0</v>
      </c>
      <c r="BP574" s="763">
        <v>0</v>
      </c>
      <c r="BQ574" s="763">
        <v>0</v>
      </c>
      <c r="BR574" s="763">
        <v>0</v>
      </c>
      <c r="BS574" s="762">
        <v>0</v>
      </c>
      <c r="BT574" s="762">
        <v>0</v>
      </c>
      <c r="BU574" s="762">
        <v>0</v>
      </c>
      <c r="BV574" s="762">
        <v>0</v>
      </c>
      <c r="BW574" s="762">
        <v>0</v>
      </c>
      <c r="BX574" s="762">
        <v>0</v>
      </c>
      <c r="BY574" s="762">
        <v>0</v>
      </c>
      <c r="BZ574" s="762">
        <v>0</v>
      </c>
      <c r="CA574" s="762">
        <v>0</v>
      </c>
      <c r="CB574" s="762">
        <v>0</v>
      </c>
      <c r="CC574" s="762">
        <v>0</v>
      </c>
      <c r="CD574" s="762">
        <v>0</v>
      </c>
      <c r="CE574" s="762">
        <v>0</v>
      </c>
      <c r="CF574" s="762">
        <v>0</v>
      </c>
      <c r="CG574" s="762">
        <v>0</v>
      </c>
      <c r="CH574" s="762">
        <v>0</v>
      </c>
      <c r="CI574" s="762">
        <v>0</v>
      </c>
      <c r="CJ574" s="762">
        <v>0</v>
      </c>
      <c r="CK574" s="762">
        <v>0</v>
      </c>
      <c r="CL574" s="762">
        <v>0</v>
      </c>
      <c r="CM574" s="762">
        <v>0</v>
      </c>
      <c r="CN574" s="762">
        <v>0</v>
      </c>
      <c r="CO574" s="762">
        <v>0</v>
      </c>
      <c r="CP574" s="762">
        <v>0</v>
      </c>
      <c r="CQ574" s="762">
        <v>0</v>
      </c>
      <c r="CR574" s="762">
        <v>0</v>
      </c>
    </row>
    <row r="575" spans="1:96" s="53" customFormat="1">
      <c r="A575" s="721" t="s">
        <v>3</v>
      </c>
      <c r="B575" s="723">
        <v>41823</v>
      </c>
      <c r="C575" s="721">
        <v>2014</v>
      </c>
      <c r="D575" s="713" t="s">
        <v>1</v>
      </c>
      <c r="E575" s="713" t="s">
        <v>674</v>
      </c>
      <c r="F575" s="723" t="s">
        <v>123</v>
      </c>
      <c r="G575" s="713" t="s">
        <v>58</v>
      </c>
      <c r="H575" s="723" t="s">
        <v>676</v>
      </c>
      <c r="I575" s="713" t="s">
        <v>5</v>
      </c>
      <c r="J575" s="713" t="s">
        <v>376</v>
      </c>
      <c r="K575" s="766">
        <v>1</v>
      </c>
      <c r="L575" s="766" t="s">
        <v>671</v>
      </c>
      <c r="M575" s="765" t="s">
        <v>786</v>
      </c>
      <c r="N575" s="765">
        <v>12</v>
      </c>
      <c r="O575" s="765">
        <v>3</v>
      </c>
      <c r="P575" s="735">
        <v>0.31578947368421051</v>
      </c>
      <c r="Q575" s="713" t="s">
        <v>58</v>
      </c>
      <c r="R575" s="713" t="s">
        <v>58</v>
      </c>
      <c r="S575" s="713" t="s">
        <v>58</v>
      </c>
      <c r="T575" s="713" t="s">
        <v>58</v>
      </c>
      <c r="U575" s="764">
        <v>3.7999999999999999E-2</v>
      </c>
      <c r="V575" s="764">
        <v>129.58000000000001</v>
      </c>
      <c r="W575" s="764">
        <v>2.9803799731705907E-2</v>
      </c>
      <c r="X575" s="764">
        <v>107.05601395261502</v>
      </c>
      <c r="Y575" s="764">
        <v>625.43250256527722</v>
      </c>
      <c r="Z575" s="764">
        <v>590.32717224417161</v>
      </c>
      <c r="AA575" s="764">
        <v>101.04699344720053</v>
      </c>
      <c r="AB575" s="764">
        <v>2.8150983937323015E-2</v>
      </c>
      <c r="AC575" s="714">
        <v>0.82617698682369967</v>
      </c>
      <c r="AD575" s="714">
        <v>0.7843105192554185</v>
      </c>
      <c r="AE575" s="713" t="s">
        <v>58</v>
      </c>
      <c r="AF575" s="713" t="s">
        <v>58</v>
      </c>
      <c r="AG575" s="713" t="s">
        <v>58</v>
      </c>
      <c r="AH575" s="714">
        <v>0.94387031345969796</v>
      </c>
      <c r="AI575" s="713" t="s">
        <v>58</v>
      </c>
      <c r="AJ575" s="713" t="s">
        <v>58</v>
      </c>
      <c r="AK575" s="713" t="s">
        <v>58</v>
      </c>
      <c r="AL575" s="714">
        <v>0.94454345387965444</v>
      </c>
      <c r="AM575" s="713" t="s">
        <v>58</v>
      </c>
      <c r="AN575" s="713" t="s">
        <v>58</v>
      </c>
      <c r="AO575" s="713" t="s">
        <v>58</v>
      </c>
      <c r="AP575" s="747">
        <v>57</v>
      </c>
      <c r="AQ575" s="747">
        <v>57</v>
      </c>
      <c r="AR575" s="709"/>
      <c r="AS575" s="763">
        <v>0</v>
      </c>
      <c r="AT575" s="763">
        <v>0</v>
      </c>
      <c r="AU575" s="763">
        <v>0</v>
      </c>
      <c r="AV575" s="763">
        <v>2.8150983937323015E-2</v>
      </c>
      <c r="AW575" s="763">
        <v>2.8150983937323015E-2</v>
      </c>
      <c r="AX575" s="763">
        <v>2.8150983937323015E-2</v>
      </c>
      <c r="AY575" s="763">
        <v>8.8897844012598998E-3</v>
      </c>
      <c r="AZ575" s="763">
        <v>8.8897844012598998E-3</v>
      </c>
      <c r="BA575" s="763">
        <v>8.8897844012598998E-3</v>
      </c>
      <c r="BB575" s="763">
        <v>8.8897844012598998E-3</v>
      </c>
      <c r="BC575" s="763">
        <v>8.8897844012598998E-3</v>
      </c>
      <c r="BD575" s="763">
        <v>8.8897844012598998E-3</v>
      </c>
      <c r="BE575" s="763">
        <v>8.8897844012598998E-3</v>
      </c>
      <c r="BF575" s="763">
        <v>8.8897844012598998E-3</v>
      </c>
      <c r="BG575" s="763">
        <v>8.8897844012598998E-3</v>
      </c>
      <c r="BH575" s="763">
        <v>0</v>
      </c>
      <c r="BI575" s="763">
        <v>0</v>
      </c>
      <c r="BJ575" s="763">
        <v>0</v>
      </c>
      <c r="BK575" s="763">
        <v>0</v>
      </c>
      <c r="BL575" s="763">
        <v>0</v>
      </c>
      <c r="BM575" s="763">
        <v>0</v>
      </c>
      <c r="BN575" s="763">
        <v>0</v>
      </c>
      <c r="BO575" s="763">
        <v>0</v>
      </c>
      <c r="BP575" s="763">
        <v>0</v>
      </c>
      <c r="BQ575" s="763">
        <v>0</v>
      </c>
      <c r="BR575" s="763">
        <v>0</v>
      </c>
      <c r="BS575" s="762">
        <v>0</v>
      </c>
      <c r="BT575" s="762">
        <v>0</v>
      </c>
      <c r="BU575" s="762">
        <v>0</v>
      </c>
      <c r="BV575" s="762">
        <v>101.04699344720053</v>
      </c>
      <c r="BW575" s="762">
        <v>101.04699344720053</v>
      </c>
      <c r="BX575" s="762">
        <v>101.04699344720053</v>
      </c>
      <c r="BY575" s="762">
        <v>31.909576878063326</v>
      </c>
      <c r="BZ575" s="762">
        <v>31.909576878063326</v>
      </c>
      <c r="CA575" s="762">
        <v>31.909576878063326</v>
      </c>
      <c r="CB575" s="762">
        <v>31.909576878063326</v>
      </c>
      <c r="CC575" s="762">
        <v>31.909576878063326</v>
      </c>
      <c r="CD575" s="762">
        <v>31.909576878063326</v>
      </c>
      <c r="CE575" s="762">
        <v>31.909576878063326</v>
      </c>
      <c r="CF575" s="762">
        <v>31.909576878063326</v>
      </c>
      <c r="CG575" s="762">
        <v>31.909576878063326</v>
      </c>
      <c r="CH575" s="762">
        <v>0</v>
      </c>
      <c r="CI575" s="762">
        <v>0</v>
      </c>
      <c r="CJ575" s="762">
        <v>0</v>
      </c>
      <c r="CK575" s="762">
        <v>0</v>
      </c>
      <c r="CL575" s="762">
        <v>0</v>
      </c>
      <c r="CM575" s="762">
        <v>0</v>
      </c>
      <c r="CN575" s="762">
        <v>0</v>
      </c>
      <c r="CO575" s="762">
        <v>0</v>
      </c>
      <c r="CP575" s="762">
        <v>0</v>
      </c>
      <c r="CQ575" s="762">
        <v>0</v>
      </c>
      <c r="CR575" s="762">
        <v>0</v>
      </c>
    </row>
    <row r="576" spans="1:96" s="53" customFormat="1">
      <c r="A576" s="721" t="s">
        <v>3</v>
      </c>
      <c r="B576" s="723">
        <v>41823</v>
      </c>
      <c r="C576" s="721">
        <v>2014</v>
      </c>
      <c r="D576" s="713" t="s">
        <v>1</v>
      </c>
      <c r="E576" s="713" t="s">
        <v>674</v>
      </c>
      <c r="F576" s="723" t="s">
        <v>123</v>
      </c>
      <c r="G576" s="713" t="s">
        <v>58</v>
      </c>
      <c r="H576" s="723" t="s">
        <v>763</v>
      </c>
      <c r="I576" s="713" t="s">
        <v>5</v>
      </c>
      <c r="J576" s="713" t="s">
        <v>376</v>
      </c>
      <c r="K576" s="766">
        <v>5</v>
      </c>
      <c r="L576" s="766" t="s">
        <v>671</v>
      </c>
      <c r="M576" s="765" t="s">
        <v>786</v>
      </c>
      <c r="N576" s="765">
        <v>11</v>
      </c>
      <c r="O576" s="765">
        <v>2</v>
      </c>
      <c r="P576" s="735">
        <v>0.62478471265038082</v>
      </c>
      <c r="Q576" s="713" t="s">
        <v>58</v>
      </c>
      <c r="R576" s="713" t="s">
        <v>58</v>
      </c>
      <c r="S576" s="713" t="s">
        <v>58</v>
      </c>
      <c r="T576" s="713" t="s">
        <v>58</v>
      </c>
      <c r="U576" s="764">
        <v>0.20499999999999999</v>
      </c>
      <c r="V576" s="764">
        <v>650.66999999999996</v>
      </c>
      <c r="W576" s="764">
        <v>0.16078365644736081</v>
      </c>
      <c r="X576" s="764">
        <v>537.56858001657668</v>
      </c>
      <c r="Y576" s="764">
        <v>4097.918837192924</v>
      </c>
      <c r="Z576" s="764">
        <v>3867.9039373936862</v>
      </c>
      <c r="AA576" s="764">
        <v>507.39502412633095</v>
      </c>
      <c r="AB576" s="764">
        <v>0.15186715018818994</v>
      </c>
      <c r="AC576" s="714">
        <v>0.82617698682369967</v>
      </c>
      <c r="AD576" s="714">
        <v>0.7843105192554185</v>
      </c>
      <c r="AE576" s="713" t="s">
        <v>58</v>
      </c>
      <c r="AF576" s="713" t="s">
        <v>58</v>
      </c>
      <c r="AG576" s="713" t="s">
        <v>58</v>
      </c>
      <c r="AH576" s="714">
        <v>0.94387031345969796</v>
      </c>
      <c r="AI576" s="713" t="s">
        <v>58</v>
      </c>
      <c r="AJ576" s="713" t="s">
        <v>58</v>
      </c>
      <c r="AK576" s="713" t="s">
        <v>58</v>
      </c>
      <c r="AL576" s="714">
        <v>0.94454345387965444</v>
      </c>
      <c r="AM576" s="713" t="s">
        <v>58</v>
      </c>
      <c r="AN576" s="713" t="s">
        <v>58</v>
      </c>
      <c r="AO576" s="713" t="s">
        <v>58</v>
      </c>
      <c r="AP576" s="747">
        <v>41</v>
      </c>
      <c r="AQ576" s="747">
        <v>205</v>
      </c>
      <c r="AR576" s="709"/>
      <c r="AS576" s="763">
        <v>0</v>
      </c>
      <c r="AT576" s="763">
        <v>0</v>
      </c>
      <c r="AU576" s="763">
        <v>0</v>
      </c>
      <c r="AV576" s="763">
        <v>0.15186715018818994</v>
      </c>
      <c r="AW576" s="763">
        <v>0.15186715018818994</v>
      </c>
      <c r="AX576" s="763">
        <v>9.4884273791360482E-2</v>
      </c>
      <c r="AY576" s="763">
        <v>9.4884273791360482E-2</v>
      </c>
      <c r="AZ576" s="763">
        <v>9.4884273791360482E-2</v>
      </c>
      <c r="BA576" s="763">
        <v>9.4884273791360482E-2</v>
      </c>
      <c r="BB576" s="763">
        <v>9.4884273791360482E-2</v>
      </c>
      <c r="BC576" s="763">
        <v>9.4884273791360482E-2</v>
      </c>
      <c r="BD576" s="763">
        <v>9.4884273791360482E-2</v>
      </c>
      <c r="BE576" s="763">
        <v>9.4884273791360482E-2</v>
      </c>
      <c r="BF576" s="763">
        <v>9.4884273791360482E-2</v>
      </c>
      <c r="BG576" s="763">
        <v>0</v>
      </c>
      <c r="BH576" s="763">
        <v>0</v>
      </c>
      <c r="BI576" s="763">
        <v>0</v>
      </c>
      <c r="BJ576" s="763">
        <v>0</v>
      </c>
      <c r="BK576" s="763">
        <v>0</v>
      </c>
      <c r="BL576" s="763">
        <v>0</v>
      </c>
      <c r="BM576" s="763">
        <v>0</v>
      </c>
      <c r="BN576" s="763">
        <v>0</v>
      </c>
      <c r="BO576" s="763">
        <v>0</v>
      </c>
      <c r="BP576" s="763">
        <v>0</v>
      </c>
      <c r="BQ576" s="763">
        <v>0</v>
      </c>
      <c r="BR576" s="763">
        <v>0</v>
      </c>
      <c r="BS576" s="762">
        <v>0</v>
      </c>
      <c r="BT576" s="762">
        <v>0</v>
      </c>
      <c r="BU576" s="762">
        <v>0</v>
      </c>
      <c r="BV576" s="762">
        <v>507.39502412633095</v>
      </c>
      <c r="BW576" s="762">
        <v>507.39502412633095</v>
      </c>
      <c r="BX576" s="762">
        <v>317.01265434900273</v>
      </c>
      <c r="BY576" s="762">
        <v>317.01265434900273</v>
      </c>
      <c r="BZ576" s="762">
        <v>317.01265434900273</v>
      </c>
      <c r="CA576" s="762">
        <v>317.01265434900273</v>
      </c>
      <c r="CB576" s="762">
        <v>317.01265434900273</v>
      </c>
      <c r="CC576" s="762">
        <v>317.01265434900273</v>
      </c>
      <c r="CD576" s="762">
        <v>317.01265434900273</v>
      </c>
      <c r="CE576" s="762">
        <v>317.01265434900273</v>
      </c>
      <c r="CF576" s="762">
        <v>317.01265434900273</v>
      </c>
      <c r="CG576" s="762">
        <v>0</v>
      </c>
      <c r="CH576" s="762">
        <v>0</v>
      </c>
      <c r="CI576" s="762">
        <v>0</v>
      </c>
      <c r="CJ576" s="762">
        <v>0</v>
      </c>
      <c r="CK576" s="762">
        <v>0</v>
      </c>
      <c r="CL576" s="762">
        <v>0</v>
      </c>
      <c r="CM576" s="762">
        <v>0</v>
      </c>
      <c r="CN576" s="762">
        <v>0</v>
      </c>
      <c r="CO576" s="762">
        <v>0</v>
      </c>
      <c r="CP576" s="762">
        <v>0</v>
      </c>
      <c r="CQ576" s="762">
        <v>0</v>
      </c>
      <c r="CR576" s="762">
        <v>0</v>
      </c>
    </row>
    <row r="577" spans="1:96" s="53" customFormat="1">
      <c r="A577" s="721" t="s">
        <v>3</v>
      </c>
      <c r="B577" s="723">
        <v>41823</v>
      </c>
      <c r="C577" s="721">
        <v>2014</v>
      </c>
      <c r="D577" s="713" t="s">
        <v>1</v>
      </c>
      <c r="E577" s="713" t="s">
        <v>674</v>
      </c>
      <c r="F577" s="723" t="s">
        <v>123</v>
      </c>
      <c r="G577" s="713" t="s">
        <v>58</v>
      </c>
      <c r="H577" s="723" t="s">
        <v>763</v>
      </c>
      <c r="I577" s="713" t="s">
        <v>5</v>
      </c>
      <c r="J577" s="713" t="s">
        <v>376</v>
      </c>
      <c r="K577" s="766">
        <v>4</v>
      </c>
      <c r="L577" s="766" t="s">
        <v>671</v>
      </c>
      <c r="M577" s="765" t="s">
        <v>786</v>
      </c>
      <c r="N577" s="765">
        <v>11</v>
      </c>
      <c r="O577" s="765">
        <v>2</v>
      </c>
      <c r="P577" s="735">
        <v>0.62478471265038082</v>
      </c>
      <c r="Q577" s="713" t="s">
        <v>58</v>
      </c>
      <c r="R577" s="713" t="s">
        <v>58</v>
      </c>
      <c r="S577" s="713" t="s">
        <v>58</v>
      </c>
      <c r="T577" s="713" t="s">
        <v>58</v>
      </c>
      <c r="U577" s="764">
        <v>0.16400000000000001</v>
      </c>
      <c r="V577" s="764">
        <v>520.53599999999994</v>
      </c>
      <c r="W577" s="764">
        <v>0.12862692515788868</v>
      </c>
      <c r="X577" s="764">
        <v>430.05486401326124</v>
      </c>
      <c r="Y577" s="764">
        <v>3278.3350697543392</v>
      </c>
      <c r="Z577" s="764">
        <v>3094.3231499149488</v>
      </c>
      <c r="AA577" s="764">
        <v>405.91601930106469</v>
      </c>
      <c r="AB577" s="764">
        <v>0.12149372015055199</v>
      </c>
      <c r="AC577" s="714">
        <v>0.82617698682369967</v>
      </c>
      <c r="AD577" s="714">
        <v>0.7843105192554185</v>
      </c>
      <c r="AE577" s="713" t="s">
        <v>58</v>
      </c>
      <c r="AF577" s="713" t="s">
        <v>58</v>
      </c>
      <c r="AG577" s="713" t="s">
        <v>58</v>
      </c>
      <c r="AH577" s="714">
        <v>0.94387031345969796</v>
      </c>
      <c r="AI577" s="713" t="s">
        <v>58</v>
      </c>
      <c r="AJ577" s="713" t="s">
        <v>58</v>
      </c>
      <c r="AK577" s="713" t="s">
        <v>58</v>
      </c>
      <c r="AL577" s="714">
        <v>0.94454345387965444</v>
      </c>
      <c r="AM577" s="713" t="s">
        <v>58</v>
      </c>
      <c r="AN577" s="713" t="s">
        <v>58</v>
      </c>
      <c r="AO577" s="713" t="s">
        <v>58</v>
      </c>
      <c r="AP577" s="747">
        <v>41</v>
      </c>
      <c r="AQ577" s="747">
        <v>164</v>
      </c>
      <c r="AR577" s="709"/>
      <c r="AS577" s="763">
        <v>0</v>
      </c>
      <c r="AT577" s="763">
        <v>0</v>
      </c>
      <c r="AU577" s="763">
        <v>0</v>
      </c>
      <c r="AV577" s="763">
        <v>0.12149372015055199</v>
      </c>
      <c r="AW577" s="763">
        <v>0.12149372015055199</v>
      </c>
      <c r="AX577" s="763">
        <v>7.5907419033088411E-2</v>
      </c>
      <c r="AY577" s="763">
        <v>7.5907419033088411E-2</v>
      </c>
      <c r="AZ577" s="763">
        <v>7.5907419033088411E-2</v>
      </c>
      <c r="BA577" s="763">
        <v>7.5907419033088411E-2</v>
      </c>
      <c r="BB577" s="763">
        <v>7.5907419033088411E-2</v>
      </c>
      <c r="BC577" s="763">
        <v>7.5907419033088411E-2</v>
      </c>
      <c r="BD577" s="763">
        <v>7.5907419033088411E-2</v>
      </c>
      <c r="BE577" s="763">
        <v>7.5907419033088411E-2</v>
      </c>
      <c r="BF577" s="763">
        <v>7.5907419033088411E-2</v>
      </c>
      <c r="BG577" s="763">
        <v>0</v>
      </c>
      <c r="BH577" s="763">
        <v>0</v>
      </c>
      <c r="BI577" s="763">
        <v>0</v>
      </c>
      <c r="BJ577" s="763">
        <v>0</v>
      </c>
      <c r="BK577" s="763">
        <v>0</v>
      </c>
      <c r="BL577" s="763">
        <v>0</v>
      </c>
      <c r="BM577" s="763">
        <v>0</v>
      </c>
      <c r="BN577" s="763">
        <v>0</v>
      </c>
      <c r="BO577" s="763">
        <v>0</v>
      </c>
      <c r="BP577" s="763">
        <v>0</v>
      </c>
      <c r="BQ577" s="763">
        <v>0</v>
      </c>
      <c r="BR577" s="763">
        <v>0</v>
      </c>
      <c r="BS577" s="762">
        <v>0</v>
      </c>
      <c r="BT577" s="762">
        <v>0</v>
      </c>
      <c r="BU577" s="762">
        <v>0</v>
      </c>
      <c r="BV577" s="762">
        <v>405.91601930106469</v>
      </c>
      <c r="BW577" s="762">
        <v>405.91601930106469</v>
      </c>
      <c r="BX577" s="762">
        <v>253.61012347920214</v>
      </c>
      <c r="BY577" s="762">
        <v>253.61012347920214</v>
      </c>
      <c r="BZ577" s="762">
        <v>253.61012347920214</v>
      </c>
      <c r="CA577" s="762">
        <v>253.61012347920214</v>
      </c>
      <c r="CB577" s="762">
        <v>253.61012347920214</v>
      </c>
      <c r="CC577" s="762">
        <v>253.61012347920214</v>
      </c>
      <c r="CD577" s="762">
        <v>253.61012347920214</v>
      </c>
      <c r="CE577" s="762">
        <v>253.61012347920214</v>
      </c>
      <c r="CF577" s="762">
        <v>253.61012347920214</v>
      </c>
      <c r="CG577" s="762">
        <v>0</v>
      </c>
      <c r="CH577" s="762">
        <v>0</v>
      </c>
      <c r="CI577" s="762">
        <v>0</v>
      </c>
      <c r="CJ577" s="762">
        <v>0</v>
      </c>
      <c r="CK577" s="762">
        <v>0</v>
      </c>
      <c r="CL577" s="762">
        <v>0</v>
      </c>
      <c r="CM577" s="762">
        <v>0</v>
      </c>
      <c r="CN577" s="762">
        <v>0</v>
      </c>
      <c r="CO577" s="762">
        <v>0</v>
      </c>
      <c r="CP577" s="762">
        <v>0</v>
      </c>
      <c r="CQ577" s="762">
        <v>0</v>
      </c>
      <c r="CR577" s="762">
        <v>0</v>
      </c>
    </row>
    <row r="578" spans="1:96" s="53" customFormat="1">
      <c r="A578" s="721" t="s">
        <v>3</v>
      </c>
      <c r="B578" s="723">
        <v>41792</v>
      </c>
      <c r="C578" s="721">
        <v>2014</v>
      </c>
      <c r="D578" s="713" t="s">
        <v>1</v>
      </c>
      <c r="E578" s="713" t="s">
        <v>674</v>
      </c>
      <c r="F578" s="723" t="s">
        <v>123</v>
      </c>
      <c r="G578" s="713" t="s">
        <v>58</v>
      </c>
      <c r="H578" s="723" t="s">
        <v>677</v>
      </c>
      <c r="I578" s="713" t="s">
        <v>5</v>
      </c>
      <c r="J578" s="713" t="s">
        <v>376</v>
      </c>
      <c r="K578" s="766">
        <v>1</v>
      </c>
      <c r="L578" s="766" t="s">
        <v>671</v>
      </c>
      <c r="M578" s="765" t="s">
        <v>784</v>
      </c>
      <c r="N578" s="765">
        <v>0</v>
      </c>
      <c r="O578" s="765">
        <v>0</v>
      </c>
      <c r="P578" s="735">
        <v>0</v>
      </c>
      <c r="Q578" s="713" t="s">
        <v>58</v>
      </c>
      <c r="R578" s="713" t="s">
        <v>58</v>
      </c>
      <c r="S578" s="713" t="s">
        <v>58</v>
      </c>
      <c r="T578" s="713" t="s">
        <v>58</v>
      </c>
      <c r="U578" s="764">
        <v>0</v>
      </c>
      <c r="V578" s="764">
        <v>0</v>
      </c>
      <c r="W578" s="764">
        <v>0</v>
      </c>
      <c r="X578" s="764">
        <v>0</v>
      </c>
      <c r="Y578" s="764">
        <v>0</v>
      </c>
      <c r="Z578" s="764">
        <v>0</v>
      </c>
      <c r="AA578" s="764">
        <v>0</v>
      </c>
      <c r="AB578" s="764">
        <v>0</v>
      </c>
      <c r="AC578" s="714">
        <v>0.82617698682369967</v>
      </c>
      <c r="AD578" s="714">
        <v>0.7843105192554185</v>
      </c>
      <c r="AE578" s="713" t="s">
        <v>58</v>
      </c>
      <c r="AF578" s="713" t="s">
        <v>58</v>
      </c>
      <c r="AG578" s="713" t="s">
        <v>58</v>
      </c>
      <c r="AH578" s="714">
        <v>0.94387031345969796</v>
      </c>
      <c r="AI578" s="713" t="s">
        <v>58</v>
      </c>
      <c r="AJ578" s="713" t="s">
        <v>58</v>
      </c>
      <c r="AK578" s="713" t="s">
        <v>58</v>
      </c>
      <c r="AL578" s="714">
        <v>0.94454345387965444</v>
      </c>
      <c r="AM578" s="713" t="s">
        <v>58</v>
      </c>
      <c r="AN578" s="713" t="s">
        <v>58</v>
      </c>
      <c r="AO578" s="713" t="s">
        <v>58</v>
      </c>
      <c r="AP578" s="747">
        <v>51</v>
      </c>
      <c r="AQ578" s="747">
        <v>51</v>
      </c>
      <c r="AR578" s="709"/>
      <c r="AS578" s="763">
        <v>0</v>
      </c>
      <c r="AT578" s="763">
        <v>0</v>
      </c>
      <c r="AU578" s="763">
        <v>0</v>
      </c>
      <c r="AV578" s="763">
        <v>0</v>
      </c>
      <c r="AW578" s="763">
        <v>0</v>
      </c>
      <c r="AX578" s="763">
        <v>0</v>
      </c>
      <c r="AY578" s="763">
        <v>0</v>
      </c>
      <c r="AZ578" s="763">
        <v>0</v>
      </c>
      <c r="BA578" s="763">
        <v>0</v>
      </c>
      <c r="BB578" s="763">
        <v>0</v>
      </c>
      <c r="BC578" s="763">
        <v>0</v>
      </c>
      <c r="BD578" s="763">
        <v>0</v>
      </c>
      <c r="BE578" s="763">
        <v>0</v>
      </c>
      <c r="BF578" s="763">
        <v>0</v>
      </c>
      <c r="BG578" s="763">
        <v>0</v>
      </c>
      <c r="BH578" s="763">
        <v>0</v>
      </c>
      <c r="BI578" s="763">
        <v>0</v>
      </c>
      <c r="BJ578" s="763">
        <v>0</v>
      </c>
      <c r="BK578" s="763">
        <v>0</v>
      </c>
      <c r="BL578" s="763">
        <v>0</v>
      </c>
      <c r="BM578" s="763">
        <v>0</v>
      </c>
      <c r="BN578" s="763">
        <v>0</v>
      </c>
      <c r="BO578" s="763">
        <v>0</v>
      </c>
      <c r="BP578" s="763">
        <v>0</v>
      </c>
      <c r="BQ578" s="763">
        <v>0</v>
      </c>
      <c r="BR578" s="763">
        <v>0</v>
      </c>
      <c r="BS578" s="762">
        <v>0</v>
      </c>
      <c r="BT578" s="762">
        <v>0</v>
      </c>
      <c r="BU578" s="762">
        <v>0</v>
      </c>
      <c r="BV578" s="762">
        <v>0</v>
      </c>
      <c r="BW578" s="762">
        <v>0</v>
      </c>
      <c r="BX578" s="762">
        <v>0</v>
      </c>
      <c r="BY578" s="762">
        <v>0</v>
      </c>
      <c r="BZ578" s="762">
        <v>0</v>
      </c>
      <c r="CA578" s="762">
        <v>0</v>
      </c>
      <c r="CB578" s="762">
        <v>0</v>
      </c>
      <c r="CC578" s="762">
        <v>0</v>
      </c>
      <c r="CD578" s="762">
        <v>0</v>
      </c>
      <c r="CE578" s="762">
        <v>0</v>
      </c>
      <c r="CF578" s="762">
        <v>0</v>
      </c>
      <c r="CG578" s="762">
        <v>0</v>
      </c>
      <c r="CH578" s="762">
        <v>0</v>
      </c>
      <c r="CI578" s="762">
        <v>0</v>
      </c>
      <c r="CJ578" s="762">
        <v>0</v>
      </c>
      <c r="CK578" s="762">
        <v>0</v>
      </c>
      <c r="CL578" s="762">
        <v>0</v>
      </c>
      <c r="CM578" s="762">
        <v>0</v>
      </c>
      <c r="CN578" s="762">
        <v>0</v>
      </c>
      <c r="CO578" s="762">
        <v>0</v>
      </c>
      <c r="CP578" s="762">
        <v>0</v>
      </c>
      <c r="CQ578" s="762">
        <v>0</v>
      </c>
      <c r="CR578" s="762">
        <v>0</v>
      </c>
    </row>
    <row r="579" spans="1:96" s="53" customFormat="1">
      <c r="A579" s="721" t="s">
        <v>3</v>
      </c>
      <c r="B579" s="723">
        <v>41792</v>
      </c>
      <c r="C579" s="721">
        <v>2014</v>
      </c>
      <c r="D579" s="713" t="s">
        <v>1</v>
      </c>
      <c r="E579" s="713" t="s">
        <v>674</v>
      </c>
      <c r="F579" s="723" t="s">
        <v>123</v>
      </c>
      <c r="G579" s="713" t="s">
        <v>58</v>
      </c>
      <c r="H579" s="723" t="s">
        <v>676</v>
      </c>
      <c r="I579" s="713" t="s">
        <v>5</v>
      </c>
      <c r="J579" s="713" t="s">
        <v>376</v>
      </c>
      <c r="K579" s="766">
        <v>2</v>
      </c>
      <c r="L579" s="766" t="s">
        <v>671</v>
      </c>
      <c r="M579" s="765" t="s">
        <v>784</v>
      </c>
      <c r="N579" s="765">
        <v>12</v>
      </c>
      <c r="O579" s="765">
        <v>3</v>
      </c>
      <c r="P579" s="735">
        <v>0.31578947368421051</v>
      </c>
      <c r="Q579" s="713" t="s">
        <v>58</v>
      </c>
      <c r="R579" s="713" t="s">
        <v>58</v>
      </c>
      <c r="S579" s="713" t="s">
        <v>58</v>
      </c>
      <c r="T579" s="713" t="s">
        <v>58</v>
      </c>
      <c r="U579" s="764">
        <v>7.5999999999999998E-2</v>
      </c>
      <c r="V579" s="764">
        <v>259.16000000000003</v>
      </c>
      <c r="W579" s="764">
        <v>5.9607599463411813E-2</v>
      </c>
      <c r="X579" s="764">
        <v>214.11202790523004</v>
      </c>
      <c r="Y579" s="764">
        <v>1250.8650051305544</v>
      </c>
      <c r="Z579" s="764">
        <v>1180.6543444883432</v>
      </c>
      <c r="AA579" s="764">
        <v>202.09398689440107</v>
      </c>
      <c r="AB579" s="764">
        <v>5.6301967874646031E-2</v>
      </c>
      <c r="AC579" s="714">
        <v>0.82617698682369967</v>
      </c>
      <c r="AD579" s="714">
        <v>0.7843105192554185</v>
      </c>
      <c r="AE579" s="713" t="s">
        <v>58</v>
      </c>
      <c r="AF579" s="713" t="s">
        <v>58</v>
      </c>
      <c r="AG579" s="713" t="s">
        <v>58</v>
      </c>
      <c r="AH579" s="714">
        <v>0.94387031345969796</v>
      </c>
      <c r="AI579" s="713" t="s">
        <v>58</v>
      </c>
      <c r="AJ579" s="713" t="s">
        <v>58</v>
      </c>
      <c r="AK579" s="713" t="s">
        <v>58</v>
      </c>
      <c r="AL579" s="714">
        <v>0.94454345387965444</v>
      </c>
      <c r="AM579" s="713" t="s">
        <v>58</v>
      </c>
      <c r="AN579" s="713" t="s">
        <v>58</v>
      </c>
      <c r="AO579" s="713" t="s">
        <v>58</v>
      </c>
      <c r="AP579" s="747">
        <v>57</v>
      </c>
      <c r="AQ579" s="747">
        <v>114</v>
      </c>
      <c r="AR579" s="709"/>
      <c r="AS579" s="763">
        <v>0</v>
      </c>
      <c r="AT579" s="763">
        <v>0</v>
      </c>
      <c r="AU579" s="763">
        <v>0</v>
      </c>
      <c r="AV579" s="763">
        <v>5.6301967874646031E-2</v>
      </c>
      <c r="AW579" s="763">
        <v>5.6301967874646031E-2</v>
      </c>
      <c r="AX579" s="763">
        <v>5.6301967874646031E-2</v>
      </c>
      <c r="AY579" s="763">
        <v>1.77795688025198E-2</v>
      </c>
      <c r="AZ579" s="763">
        <v>1.77795688025198E-2</v>
      </c>
      <c r="BA579" s="763">
        <v>1.77795688025198E-2</v>
      </c>
      <c r="BB579" s="763">
        <v>1.77795688025198E-2</v>
      </c>
      <c r="BC579" s="763">
        <v>1.77795688025198E-2</v>
      </c>
      <c r="BD579" s="763">
        <v>1.77795688025198E-2</v>
      </c>
      <c r="BE579" s="763">
        <v>1.77795688025198E-2</v>
      </c>
      <c r="BF579" s="763">
        <v>1.77795688025198E-2</v>
      </c>
      <c r="BG579" s="763">
        <v>1.77795688025198E-2</v>
      </c>
      <c r="BH579" s="763">
        <v>0</v>
      </c>
      <c r="BI579" s="763">
        <v>0</v>
      </c>
      <c r="BJ579" s="763">
        <v>0</v>
      </c>
      <c r="BK579" s="763">
        <v>0</v>
      </c>
      <c r="BL579" s="763">
        <v>0</v>
      </c>
      <c r="BM579" s="763">
        <v>0</v>
      </c>
      <c r="BN579" s="763">
        <v>0</v>
      </c>
      <c r="BO579" s="763">
        <v>0</v>
      </c>
      <c r="BP579" s="763">
        <v>0</v>
      </c>
      <c r="BQ579" s="763">
        <v>0</v>
      </c>
      <c r="BR579" s="763">
        <v>0</v>
      </c>
      <c r="BS579" s="762">
        <v>0</v>
      </c>
      <c r="BT579" s="762">
        <v>0</v>
      </c>
      <c r="BU579" s="762">
        <v>0</v>
      </c>
      <c r="BV579" s="762">
        <v>202.09398689440107</v>
      </c>
      <c r="BW579" s="762">
        <v>202.09398689440107</v>
      </c>
      <c r="BX579" s="762">
        <v>202.09398689440107</v>
      </c>
      <c r="BY579" s="762">
        <v>63.819153756126653</v>
      </c>
      <c r="BZ579" s="762">
        <v>63.819153756126653</v>
      </c>
      <c r="CA579" s="762">
        <v>63.819153756126653</v>
      </c>
      <c r="CB579" s="762">
        <v>63.819153756126653</v>
      </c>
      <c r="CC579" s="762">
        <v>63.819153756126653</v>
      </c>
      <c r="CD579" s="762">
        <v>63.819153756126653</v>
      </c>
      <c r="CE579" s="762">
        <v>63.819153756126653</v>
      </c>
      <c r="CF579" s="762">
        <v>63.819153756126653</v>
      </c>
      <c r="CG579" s="762">
        <v>63.819153756126653</v>
      </c>
      <c r="CH579" s="762">
        <v>0</v>
      </c>
      <c r="CI579" s="762">
        <v>0</v>
      </c>
      <c r="CJ579" s="762">
        <v>0</v>
      </c>
      <c r="CK579" s="762">
        <v>0</v>
      </c>
      <c r="CL579" s="762">
        <v>0</v>
      </c>
      <c r="CM579" s="762">
        <v>0</v>
      </c>
      <c r="CN579" s="762">
        <v>0</v>
      </c>
      <c r="CO579" s="762">
        <v>0</v>
      </c>
      <c r="CP579" s="762">
        <v>0</v>
      </c>
      <c r="CQ579" s="762">
        <v>0</v>
      </c>
      <c r="CR579" s="762">
        <v>0</v>
      </c>
    </row>
    <row r="580" spans="1:96" s="53" customFormat="1">
      <c r="A580" s="721" t="s">
        <v>3</v>
      </c>
      <c r="B580" s="723">
        <v>41792</v>
      </c>
      <c r="C580" s="721">
        <v>2014</v>
      </c>
      <c r="D580" s="713" t="s">
        <v>1</v>
      </c>
      <c r="E580" s="713" t="s">
        <v>674</v>
      </c>
      <c r="F580" s="723" t="s">
        <v>123</v>
      </c>
      <c r="G580" s="713" t="s">
        <v>58</v>
      </c>
      <c r="H580" s="723" t="s">
        <v>675</v>
      </c>
      <c r="I580" s="713" t="s">
        <v>5</v>
      </c>
      <c r="J580" s="713" t="s">
        <v>376</v>
      </c>
      <c r="K580" s="766">
        <v>2</v>
      </c>
      <c r="L580" s="766" t="s">
        <v>671</v>
      </c>
      <c r="M580" s="765" t="s">
        <v>784</v>
      </c>
      <c r="N580" s="765">
        <v>12</v>
      </c>
      <c r="O580" s="765">
        <v>3</v>
      </c>
      <c r="P580" s="735">
        <v>0.36842105263157893</v>
      </c>
      <c r="Q580" s="713" t="s">
        <v>58</v>
      </c>
      <c r="R580" s="713" t="s">
        <v>58</v>
      </c>
      <c r="S580" s="713" t="s">
        <v>58</v>
      </c>
      <c r="T580" s="713" t="s">
        <v>58</v>
      </c>
      <c r="U580" s="764">
        <v>0.114</v>
      </c>
      <c r="V580" s="764">
        <v>388.74</v>
      </c>
      <c r="W580" s="764">
        <v>8.941139919511773E-2</v>
      </c>
      <c r="X580" s="764">
        <v>321.16804185784503</v>
      </c>
      <c r="Y580" s="764">
        <v>2028.4297380495473</v>
      </c>
      <c r="Z580" s="764">
        <v>1914.5746126837992</v>
      </c>
      <c r="AA580" s="764">
        <v>303.14098034160156</v>
      </c>
      <c r="AB580" s="764">
        <v>8.445295181196906E-2</v>
      </c>
      <c r="AC580" s="714">
        <v>0.82617698682369967</v>
      </c>
      <c r="AD580" s="714">
        <v>0.7843105192554185</v>
      </c>
      <c r="AE580" s="713" t="s">
        <v>58</v>
      </c>
      <c r="AF580" s="713" t="s">
        <v>58</v>
      </c>
      <c r="AG580" s="713" t="s">
        <v>58</v>
      </c>
      <c r="AH580" s="714">
        <v>0.94387031345969796</v>
      </c>
      <c r="AI580" s="713" t="s">
        <v>58</v>
      </c>
      <c r="AJ580" s="713" t="s">
        <v>58</v>
      </c>
      <c r="AK580" s="713" t="s">
        <v>58</v>
      </c>
      <c r="AL580" s="714">
        <v>0.94454345387965444</v>
      </c>
      <c r="AM580" s="713" t="s">
        <v>58</v>
      </c>
      <c r="AN580" s="713" t="s">
        <v>58</v>
      </c>
      <c r="AO580" s="713" t="s">
        <v>58</v>
      </c>
      <c r="AP580" s="747">
        <v>73</v>
      </c>
      <c r="AQ580" s="747">
        <v>146</v>
      </c>
      <c r="AR580" s="709"/>
      <c r="AS580" s="763">
        <v>0</v>
      </c>
      <c r="AT580" s="763">
        <v>0</v>
      </c>
      <c r="AU580" s="763">
        <v>0</v>
      </c>
      <c r="AV580" s="763">
        <v>8.445295181196906E-2</v>
      </c>
      <c r="AW580" s="763">
        <v>8.445295181196906E-2</v>
      </c>
      <c r="AX580" s="763">
        <v>8.445295181196906E-2</v>
      </c>
      <c r="AY580" s="763">
        <v>3.111424540440965E-2</v>
      </c>
      <c r="AZ580" s="763">
        <v>3.111424540440965E-2</v>
      </c>
      <c r="BA580" s="763">
        <v>3.111424540440965E-2</v>
      </c>
      <c r="BB580" s="763">
        <v>3.111424540440965E-2</v>
      </c>
      <c r="BC580" s="763">
        <v>3.111424540440965E-2</v>
      </c>
      <c r="BD580" s="763">
        <v>3.111424540440965E-2</v>
      </c>
      <c r="BE580" s="763">
        <v>3.111424540440965E-2</v>
      </c>
      <c r="BF580" s="763">
        <v>3.111424540440965E-2</v>
      </c>
      <c r="BG580" s="763">
        <v>3.111424540440965E-2</v>
      </c>
      <c r="BH580" s="763">
        <v>0</v>
      </c>
      <c r="BI580" s="763">
        <v>0</v>
      </c>
      <c r="BJ580" s="763">
        <v>0</v>
      </c>
      <c r="BK580" s="763">
        <v>0</v>
      </c>
      <c r="BL580" s="763">
        <v>0</v>
      </c>
      <c r="BM580" s="763">
        <v>0</v>
      </c>
      <c r="BN580" s="763">
        <v>0</v>
      </c>
      <c r="BO580" s="763">
        <v>0</v>
      </c>
      <c r="BP580" s="763">
        <v>0</v>
      </c>
      <c r="BQ580" s="763">
        <v>0</v>
      </c>
      <c r="BR580" s="763">
        <v>0</v>
      </c>
      <c r="BS580" s="762">
        <v>0</v>
      </c>
      <c r="BT580" s="762">
        <v>0</v>
      </c>
      <c r="BU580" s="762">
        <v>0</v>
      </c>
      <c r="BV580" s="762">
        <v>303.14098034160156</v>
      </c>
      <c r="BW580" s="762">
        <v>303.14098034160156</v>
      </c>
      <c r="BX580" s="762">
        <v>303.14098034160156</v>
      </c>
      <c r="BY580" s="762">
        <v>111.68351907322162</v>
      </c>
      <c r="BZ580" s="762">
        <v>111.68351907322162</v>
      </c>
      <c r="CA580" s="762">
        <v>111.68351907322162</v>
      </c>
      <c r="CB580" s="762">
        <v>111.68351907322162</v>
      </c>
      <c r="CC580" s="762">
        <v>111.68351907322162</v>
      </c>
      <c r="CD580" s="762">
        <v>111.68351907322162</v>
      </c>
      <c r="CE580" s="762">
        <v>111.68351907322162</v>
      </c>
      <c r="CF580" s="762">
        <v>111.68351907322162</v>
      </c>
      <c r="CG580" s="762">
        <v>111.68351907322162</v>
      </c>
      <c r="CH580" s="762">
        <v>0</v>
      </c>
      <c r="CI580" s="762">
        <v>0</v>
      </c>
      <c r="CJ580" s="762">
        <v>0</v>
      </c>
      <c r="CK580" s="762">
        <v>0</v>
      </c>
      <c r="CL580" s="762">
        <v>0</v>
      </c>
      <c r="CM580" s="762">
        <v>0</v>
      </c>
      <c r="CN580" s="762">
        <v>0</v>
      </c>
      <c r="CO580" s="762">
        <v>0</v>
      </c>
      <c r="CP580" s="762">
        <v>0</v>
      </c>
      <c r="CQ580" s="762">
        <v>0</v>
      </c>
      <c r="CR580" s="762">
        <v>0</v>
      </c>
    </row>
    <row r="581" spans="1:96" s="53" customFormat="1">
      <c r="A581" s="721" t="s">
        <v>3</v>
      </c>
      <c r="B581" s="723">
        <v>41792</v>
      </c>
      <c r="C581" s="721">
        <v>2014</v>
      </c>
      <c r="D581" s="713" t="s">
        <v>1</v>
      </c>
      <c r="E581" s="713" t="s">
        <v>674</v>
      </c>
      <c r="F581" s="723" t="s">
        <v>123</v>
      </c>
      <c r="G581" s="713" t="s">
        <v>58</v>
      </c>
      <c r="H581" s="723" t="s">
        <v>785</v>
      </c>
      <c r="I581" s="713" t="s">
        <v>5</v>
      </c>
      <c r="J581" s="713" t="s">
        <v>376</v>
      </c>
      <c r="K581" s="766">
        <v>1</v>
      </c>
      <c r="L581" s="766" t="s">
        <v>671</v>
      </c>
      <c r="M581" s="765" t="s">
        <v>784</v>
      </c>
      <c r="N581" s="765">
        <v>12</v>
      </c>
      <c r="O581" s="765" t="s">
        <v>7</v>
      </c>
      <c r="P581" s="735">
        <v>1</v>
      </c>
      <c r="Q581" s="713" t="s">
        <v>58</v>
      </c>
      <c r="R581" s="713" t="s">
        <v>58</v>
      </c>
      <c r="S581" s="713" t="s">
        <v>58</v>
      </c>
      <c r="T581" s="713" t="s">
        <v>58</v>
      </c>
      <c r="U581" s="764">
        <v>0.11600000000000001</v>
      </c>
      <c r="V581" s="764">
        <v>395.56</v>
      </c>
      <c r="W581" s="764">
        <v>9.0980020233628556E-2</v>
      </c>
      <c r="X581" s="764">
        <v>326.80256890798262</v>
      </c>
      <c r="Y581" s="764">
        <v>3921.6308268957914</v>
      </c>
      <c r="Z581" s="764">
        <v>3701.5109178553453</v>
      </c>
      <c r="AA581" s="764">
        <v>308.45924315461212</v>
      </c>
      <c r="AB581" s="764">
        <v>8.5934582545512367E-2</v>
      </c>
      <c r="AC581" s="714">
        <v>0.82617698682369967</v>
      </c>
      <c r="AD581" s="714">
        <v>0.7843105192554185</v>
      </c>
      <c r="AE581" s="713" t="s">
        <v>58</v>
      </c>
      <c r="AF581" s="713" t="s">
        <v>58</v>
      </c>
      <c r="AG581" s="713" t="s">
        <v>58</v>
      </c>
      <c r="AH581" s="714">
        <v>0.94387031345969796</v>
      </c>
      <c r="AI581" s="713" t="s">
        <v>58</v>
      </c>
      <c r="AJ581" s="713" t="s">
        <v>58</v>
      </c>
      <c r="AK581" s="713" t="s">
        <v>58</v>
      </c>
      <c r="AL581" s="714">
        <v>0.94454345387965444</v>
      </c>
      <c r="AM581" s="713" t="s">
        <v>58</v>
      </c>
      <c r="AN581" s="713" t="s">
        <v>58</v>
      </c>
      <c r="AO581" s="713" t="s">
        <v>58</v>
      </c>
      <c r="AP581" s="747">
        <v>298</v>
      </c>
      <c r="AQ581" s="747">
        <v>298</v>
      </c>
      <c r="AR581" s="709"/>
      <c r="AS581" s="763">
        <v>0</v>
      </c>
      <c r="AT581" s="763">
        <v>0</v>
      </c>
      <c r="AU581" s="763">
        <v>0</v>
      </c>
      <c r="AV581" s="763">
        <v>8.5934582545512367E-2</v>
      </c>
      <c r="AW581" s="763">
        <v>8.5934582545512367E-2</v>
      </c>
      <c r="AX581" s="763">
        <v>8.5934582545512367E-2</v>
      </c>
      <c r="AY581" s="763">
        <v>8.5934582545512367E-2</v>
      </c>
      <c r="AZ581" s="763">
        <v>8.5934582545512367E-2</v>
      </c>
      <c r="BA581" s="763">
        <v>8.5934582545512367E-2</v>
      </c>
      <c r="BB581" s="763">
        <v>8.5934582545512367E-2</v>
      </c>
      <c r="BC581" s="763">
        <v>8.5934582545512367E-2</v>
      </c>
      <c r="BD581" s="763">
        <v>8.5934582545512367E-2</v>
      </c>
      <c r="BE581" s="763">
        <v>8.5934582545512367E-2</v>
      </c>
      <c r="BF581" s="763">
        <v>8.5934582545512367E-2</v>
      </c>
      <c r="BG581" s="763">
        <v>8.5934582545512367E-2</v>
      </c>
      <c r="BH581" s="763">
        <v>0</v>
      </c>
      <c r="BI581" s="763">
        <v>0</v>
      </c>
      <c r="BJ581" s="763">
        <v>0</v>
      </c>
      <c r="BK581" s="763">
        <v>0</v>
      </c>
      <c r="BL581" s="763">
        <v>0</v>
      </c>
      <c r="BM581" s="763">
        <v>0</v>
      </c>
      <c r="BN581" s="763">
        <v>0</v>
      </c>
      <c r="BO581" s="763">
        <v>0</v>
      </c>
      <c r="BP581" s="763">
        <v>0</v>
      </c>
      <c r="BQ581" s="763">
        <v>0</v>
      </c>
      <c r="BR581" s="763">
        <v>0</v>
      </c>
      <c r="BS581" s="762">
        <v>0</v>
      </c>
      <c r="BT581" s="762">
        <v>0</v>
      </c>
      <c r="BU581" s="762">
        <v>0</v>
      </c>
      <c r="BV581" s="762">
        <v>308.45924315461212</v>
      </c>
      <c r="BW581" s="762">
        <v>308.45924315461212</v>
      </c>
      <c r="BX581" s="762">
        <v>308.45924315461212</v>
      </c>
      <c r="BY581" s="762">
        <v>308.45924315461212</v>
      </c>
      <c r="BZ581" s="762">
        <v>308.45924315461212</v>
      </c>
      <c r="CA581" s="762">
        <v>308.45924315461212</v>
      </c>
      <c r="CB581" s="762">
        <v>308.45924315461212</v>
      </c>
      <c r="CC581" s="762">
        <v>308.45924315461212</v>
      </c>
      <c r="CD581" s="762">
        <v>308.45924315461212</v>
      </c>
      <c r="CE581" s="762">
        <v>308.45924315461212</v>
      </c>
      <c r="CF581" s="762">
        <v>308.45924315461212</v>
      </c>
      <c r="CG581" s="762">
        <v>308.45924315461212</v>
      </c>
      <c r="CH581" s="762">
        <v>0</v>
      </c>
      <c r="CI581" s="762">
        <v>0</v>
      </c>
      <c r="CJ581" s="762">
        <v>0</v>
      </c>
      <c r="CK581" s="762">
        <v>0</v>
      </c>
      <c r="CL581" s="762">
        <v>0</v>
      </c>
      <c r="CM581" s="762">
        <v>0</v>
      </c>
      <c r="CN581" s="762">
        <v>0</v>
      </c>
      <c r="CO581" s="762">
        <v>0</v>
      </c>
      <c r="CP581" s="762">
        <v>0</v>
      </c>
      <c r="CQ581" s="762">
        <v>0</v>
      </c>
      <c r="CR581" s="762">
        <v>0</v>
      </c>
    </row>
    <row r="582" spans="1:96" s="53" customFormat="1">
      <c r="A582" s="721" t="s">
        <v>3</v>
      </c>
      <c r="B582" s="723">
        <v>41653</v>
      </c>
      <c r="C582" s="721">
        <v>2014</v>
      </c>
      <c r="D582" s="713" t="s">
        <v>1</v>
      </c>
      <c r="E582" s="713" t="s">
        <v>674</v>
      </c>
      <c r="F582" s="723" t="s">
        <v>123</v>
      </c>
      <c r="G582" s="713" t="s">
        <v>58</v>
      </c>
      <c r="H582" s="723" t="s">
        <v>704</v>
      </c>
      <c r="I582" s="713" t="s">
        <v>5</v>
      </c>
      <c r="J582" s="713" t="s">
        <v>376</v>
      </c>
      <c r="K582" s="766">
        <v>1</v>
      </c>
      <c r="L582" s="766" t="s">
        <v>671</v>
      </c>
      <c r="M582" s="765" t="s">
        <v>782</v>
      </c>
      <c r="N582" s="765">
        <v>12</v>
      </c>
      <c r="O582" s="765">
        <v>3</v>
      </c>
      <c r="P582" s="735">
        <v>4.5454545454545456E-2</v>
      </c>
      <c r="Q582" s="713" t="s">
        <v>58</v>
      </c>
      <c r="R582" s="713" t="s">
        <v>58</v>
      </c>
      <c r="S582" s="713" t="s">
        <v>58</v>
      </c>
      <c r="T582" s="713" t="s">
        <v>58</v>
      </c>
      <c r="U582" s="764">
        <v>2.1999999999999999E-2</v>
      </c>
      <c r="V582" s="764">
        <v>75.02</v>
      </c>
      <c r="W582" s="764">
        <v>1.7254831423619207E-2</v>
      </c>
      <c r="X582" s="764">
        <v>61.97979755151394</v>
      </c>
      <c r="Y582" s="764">
        <v>211.29476438016115</v>
      </c>
      <c r="Z582" s="764">
        <v>199.43485548789573</v>
      </c>
      <c r="AA582" s="764">
        <v>58.500890943116083</v>
      </c>
      <c r="AB582" s="764">
        <v>1.6297938068976482E-2</v>
      </c>
      <c r="AC582" s="714">
        <v>0.82617698682369967</v>
      </c>
      <c r="AD582" s="714">
        <v>0.7843105192554185</v>
      </c>
      <c r="AE582" s="713" t="s">
        <v>58</v>
      </c>
      <c r="AF582" s="713" t="s">
        <v>58</v>
      </c>
      <c r="AG582" s="713" t="s">
        <v>58</v>
      </c>
      <c r="AH582" s="714">
        <v>0.94387031345969796</v>
      </c>
      <c r="AI582" s="713" t="s">
        <v>58</v>
      </c>
      <c r="AJ582" s="713" t="s">
        <v>58</v>
      </c>
      <c r="AK582" s="713" t="s">
        <v>58</v>
      </c>
      <c r="AL582" s="714">
        <v>0.94454345387965444</v>
      </c>
      <c r="AM582" s="713" t="s">
        <v>58</v>
      </c>
      <c r="AN582" s="713" t="s">
        <v>58</v>
      </c>
      <c r="AO582" s="713" t="s">
        <v>58</v>
      </c>
      <c r="AP582" s="747">
        <v>75</v>
      </c>
      <c r="AQ582" s="747">
        <v>75</v>
      </c>
      <c r="AR582" s="709"/>
      <c r="AS582" s="763">
        <v>0</v>
      </c>
      <c r="AT582" s="763">
        <v>0</v>
      </c>
      <c r="AU582" s="763">
        <v>0</v>
      </c>
      <c r="AV582" s="763">
        <v>1.6297938068976482E-2</v>
      </c>
      <c r="AW582" s="763">
        <v>1.6297938068976482E-2</v>
      </c>
      <c r="AX582" s="763">
        <v>1.6297938068976482E-2</v>
      </c>
      <c r="AY582" s="763">
        <v>7.4081536677165832E-4</v>
      </c>
      <c r="AZ582" s="763">
        <v>7.4081536677165832E-4</v>
      </c>
      <c r="BA582" s="763">
        <v>7.4081536677165832E-4</v>
      </c>
      <c r="BB582" s="763">
        <v>7.4081536677165832E-4</v>
      </c>
      <c r="BC582" s="763">
        <v>7.4081536677165832E-4</v>
      </c>
      <c r="BD582" s="763">
        <v>7.4081536677165832E-4</v>
      </c>
      <c r="BE582" s="763">
        <v>7.4081536677165832E-4</v>
      </c>
      <c r="BF582" s="763">
        <v>7.4081536677165832E-4</v>
      </c>
      <c r="BG582" s="763">
        <v>7.4081536677165832E-4</v>
      </c>
      <c r="BH582" s="763">
        <v>0</v>
      </c>
      <c r="BI582" s="763">
        <v>0</v>
      </c>
      <c r="BJ582" s="763">
        <v>0</v>
      </c>
      <c r="BK582" s="763">
        <v>0</v>
      </c>
      <c r="BL582" s="763">
        <v>0</v>
      </c>
      <c r="BM582" s="763">
        <v>0</v>
      </c>
      <c r="BN582" s="763">
        <v>0</v>
      </c>
      <c r="BO582" s="763">
        <v>0</v>
      </c>
      <c r="BP582" s="763">
        <v>0</v>
      </c>
      <c r="BQ582" s="763">
        <v>0</v>
      </c>
      <c r="BR582" s="763">
        <v>0</v>
      </c>
      <c r="BS582" s="762">
        <v>0</v>
      </c>
      <c r="BT582" s="762">
        <v>0</v>
      </c>
      <c r="BU582" s="762">
        <v>0</v>
      </c>
      <c r="BV582" s="762">
        <v>58.500890943116083</v>
      </c>
      <c r="BW582" s="762">
        <v>58.500890943116083</v>
      </c>
      <c r="BX582" s="762">
        <v>58.500890943116083</v>
      </c>
      <c r="BY582" s="762">
        <v>2.6591314065052765</v>
      </c>
      <c r="BZ582" s="762">
        <v>2.6591314065052765</v>
      </c>
      <c r="CA582" s="762">
        <v>2.6591314065052765</v>
      </c>
      <c r="CB582" s="762">
        <v>2.6591314065052765</v>
      </c>
      <c r="CC582" s="762">
        <v>2.6591314065052765</v>
      </c>
      <c r="CD582" s="762">
        <v>2.6591314065052765</v>
      </c>
      <c r="CE582" s="762">
        <v>2.6591314065052765</v>
      </c>
      <c r="CF582" s="762">
        <v>2.6591314065052765</v>
      </c>
      <c r="CG582" s="762">
        <v>2.6591314065052765</v>
      </c>
      <c r="CH582" s="762">
        <v>0</v>
      </c>
      <c r="CI582" s="762">
        <v>0</v>
      </c>
      <c r="CJ582" s="762">
        <v>0</v>
      </c>
      <c r="CK582" s="762">
        <v>0</v>
      </c>
      <c r="CL582" s="762">
        <v>0</v>
      </c>
      <c r="CM582" s="762">
        <v>0</v>
      </c>
      <c r="CN582" s="762">
        <v>0</v>
      </c>
      <c r="CO582" s="762">
        <v>0</v>
      </c>
      <c r="CP582" s="762">
        <v>0</v>
      </c>
      <c r="CQ582" s="762">
        <v>0</v>
      </c>
      <c r="CR582" s="762">
        <v>0</v>
      </c>
    </row>
    <row r="583" spans="1:96" s="53" customFormat="1">
      <c r="A583" s="721" t="s">
        <v>3</v>
      </c>
      <c r="B583" s="723">
        <v>41653</v>
      </c>
      <c r="C583" s="721">
        <v>2014</v>
      </c>
      <c r="D583" s="713" t="s">
        <v>1</v>
      </c>
      <c r="E583" s="713" t="s">
        <v>674</v>
      </c>
      <c r="F583" s="723" t="s">
        <v>123</v>
      </c>
      <c r="G583" s="713" t="s">
        <v>58</v>
      </c>
      <c r="H583" s="723" t="s">
        <v>783</v>
      </c>
      <c r="I583" s="713" t="s">
        <v>5</v>
      </c>
      <c r="J583" s="713" t="s">
        <v>376</v>
      </c>
      <c r="K583" s="766">
        <v>36</v>
      </c>
      <c r="L583" s="766" t="s">
        <v>671</v>
      </c>
      <c r="M583" s="765" t="s">
        <v>782</v>
      </c>
      <c r="N583" s="765">
        <v>3</v>
      </c>
      <c r="O583" s="765">
        <v>1</v>
      </c>
      <c r="P583" s="735">
        <v>0.4</v>
      </c>
      <c r="Q583" s="713" t="s">
        <v>58</v>
      </c>
      <c r="R583" s="713" t="s">
        <v>58</v>
      </c>
      <c r="S583" s="713" t="s">
        <v>58</v>
      </c>
      <c r="T583" s="713" t="s">
        <v>58</v>
      </c>
      <c r="U583" s="764">
        <v>4.32</v>
      </c>
      <c r="V583" s="764">
        <v>13711.68</v>
      </c>
      <c r="W583" s="764">
        <v>3.3882214431834088</v>
      </c>
      <c r="X583" s="764">
        <v>11328.274466690786</v>
      </c>
      <c r="Y583" s="764">
        <v>20390.894040043415</v>
      </c>
      <c r="Z583" s="764">
        <v>19246.359549299264</v>
      </c>
      <c r="AA583" s="764">
        <v>10692.421971832924</v>
      </c>
      <c r="AB583" s="764">
        <v>3.2003223844535644</v>
      </c>
      <c r="AC583" s="714">
        <v>0.82617698682369967</v>
      </c>
      <c r="AD583" s="714">
        <v>0.7843105192554185</v>
      </c>
      <c r="AE583" s="713" t="s">
        <v>58</v>
      </c>
      <c r="AF583" s="713" t="s">
        <v>58</v>
      </c>
      <c r="AG583" s="713" t="s">
        <v>58</v>
      </c>
      <c r="AH583" s="714">
        <v>0.94387031345969796</v>
      </c>
      <c r="AI583" s="713" t="s">
        <v>58</v>
      </c>
      <c r="AJ583" s="713" t="s">
        <v>58</v>
      </c>
      <c r="AK583" s="713" t="s">
        <v>58</v>
      </c>
      <c r="AL583" s="714">
        <v>0.94454345387965444</v>
      </c>
      <c r="AM583" s="713" t="s">
        <v>58</v>
      </c>
      <c r="AN583" s="713" t="s">
        <v>58</v>
      </c>
      <c r="AO583" s="713" t="s">
        <v>58</v>
      </c>
      <c r="AP583" s="747">
        <v>14.2</v>
      </c>
      <c r="AQ583" s="747">
        <v>511.2</v>
      </c>
      <c r="AR583" s="709"/>
      <c r="AS583" s="763">
        <v>0</v>
      </c>
      <c r="AT583" s="763">
        <v>0</v>
      </c>
      <c r="AU583" s="763">
        <v>0</v>
      </c>
      <c r="AV583" s="763">
        <v>3.2003223844535644</v>
      </c>
      <c r="AW583" s="763">
        <v>1.2801289537814258</v>
      </c>
      <c r="AX583" s="763">
        <v>1.2801289537814258</v>
      </c>
      <c r="AY583" s="763">
        <v>0</v>
      </c>
      <c r="AZ583" s="763">
        <v>0</v>
      </c>
      <c r="BA583" s="763">
        <v>0</v>
      </c>
      <c r="BB583" s="763">
        <v>0</v>
      </c>
      <c r="BC583" s="763">
        <v>0</v>
      </c>
      <c r="BD583" s="763">
        <v>0</v>
      </c>
      <c r="BE583" s="763">
        <v>0</v>
      </c>
      <c r="BF583" s="763">
        <v>0</v>
      </c>
      <c r="BG583" s="763">
        <v>0</v>
      </c>
      <c r="BH583" s="763">
        <v>0</v>
      </c>
      <c r="BI583" s="763">
        <v>0</v>
      </c>
      <c r="BJ583" s="763">
        <v>0</v>
      </c>
      <c r="BK583" s="763">
        <v>0</v>
      </c>
      <c r="BL583" s="763">
        <v>0</v>
      </c>
      <c r="BM583" s="763">
        <v>0</v>
      </c>
      <c r="BN583" s="763">
        <v>0</v>
      </c>
      <c r="BO583" s="763">
        <v>0</v>
      </c>
      <c r="BP583" s="763">
        <v>0</v>
      </c>
      <c r="BQ583" s="763">
        <v>0</v>
      </c>
      <c r="BR583" s="763">
        <v>0</v>
      </c>
      <c r="BS583" s="762">
        <v>0</v>
      </c>
      <c r="BT583" s="762">
        <v>0</v>
      </c>
      <c r="BU583" s="762">
        <v>0</v>
      </c>
      <c r="BV583" s="762">
        <v>10692.421971832924</v>
      </c>
      <c r="BW583" s="762">
        <v>4276.9687887331702</v>
      </c>
      <c r="BX583" s="762">
        <v>4276.9687887331702</v>
      </c>
      <c r="BY583" s="762">
        <v>0</v>
      </c>
      <c r="BZ583" s="762">
        <v>0</v>
      </c>
      <c r="CA583" s="762">
        <v>0</v>
      </c>
      <c r="CB583" s="762">
        <v>0</v>
      </c>
      <c r="CC583" s="762">
        <v>0</v>
      </c>
      <c r="CD583" s="762">
        <v>0</v>
      </c>
      <c r="CE583" s="762">
        <v>0</v>
      </c>
      <c r="CF583" s="762">
        <v>0</v>
      </c>
      <c r="CG583" s="762">
        <v>0</v>
      </c>
      <c r="CH583" s="762">
        <v>0</v>
      </c>
      <c r="CI583" s="762">
        <v>0</v>
      </c>
      <c r="CJ583" s="762">
        <v>0</v>
      </c>
      <c r="CK583" s="762">
        <v>0</v>
      </c>
      <c r="CL583" s="762">
        <v>0</v>
      </c>
      <c r="CM583" s="762">
        <v>0</v>
      </c>
      <c r="CN583" s="762">
        <v>0</v>
      </c>
      <c r="CO583" s="762">
        <v>0</v>
      </c>
      <c r="CP583" s="762">
        <v>0</v>
      </c>
      <c r="CQ583" s="762">
        <v>0</v>
      </c>
      <c r="CR583" s="762">
        <v>0</v>
      </c>
    </row>
    <row r="584" spans="1:96" s="53" customFormat="1">
      <c r="A584" s="721" t="s">
        <v>3</v>
      </c>
      <c r="B584" s="723">
        <v>41653</v>
      </c>
      <c r="C584" s="721">
        <v>2014</v>
      </c>
      <c r="D584" s="713" t="s">
        <v>1</v>
      </c>
      <c r="E584" s="713" t="s">
        <v>674</v>
      </c>
      <c r="F584" s="723" t="s">
        <v>123</v>
      </c>
      <c r="G584" s="713" t="s">
        <v>58</v>
      </c>
      <c r="H584" s="723" t="s">
        <v>690</v>
      </c>
      <c r="I584" s="713" t="s">
        <v>5</v>
      </c>
      <c r="J584" s="713" t="s">
        <v>376</v>
      </c>
      <c r="K584" s="766">
        <v>8</v>
      </c>
      <c r="L584" s="766" t="s">
        <v>671</v>
      </c>
      <c r="M584" s="765" t="s">
        <v>782</v>
      </c>
      <c r="N584" s="765">
        <v>3</v>
      </c>
      <c r="O584" s="765" t="s">
        <v>7</v>
      </c>
      <c r="P584" s="735">
        <v>1</v>
      </c>
      <c r="Q584" s="713" t="s">
        <v>58</v>
      </c>
      <c r="R584" s="713" t="s">
        <v>58</v>
      </c>
      <c r="S584" s="713" t="s">
        <v>58</v>
      </c>
      <c r="T584" s="713" t="s">
        <v>58</v>
      </c>
      <c r="U584" s="764">
        <v>0.36</v>
      </c>
      <c r="V584" s="764">
        <v>1142.6400000000001</v>
      </c>
      <c r="W584" s="764">
        <v>0.28235178693195068</v>
      </c>
      <c r="X584" s="764">
        <v>944.02287222423217</v>
      </c>
      <c r="Y584" s="764">
        <v>2832.0686166726964</v>
      </c>
      <c r="Z584" s="764">
        <v>2673.105492958231</v>
      </c>
      <c r="AA584" s="764">
        <v>891.03516431941046</v>
      </c>
      <c r="AB584" s="764">
        <v>0.26669353203779694</v>
      </c>
      <c r="AC584" s="714">
        <v>0.82617698682369967</v>
      </c>
      <c r="AD584" s="714">
        <v>0.7843105192554185</v>
      </c>
      <c r="AE584" s="713" t="s">
        <v>58</v>
      </c>
      <c r="AF584" s="713" t="s">
        <v>58</v>
      </c>
      <c r="AG584" s="713" t="s">
        <v>58</v>
      </c>
      <c r="AH584" s="714">
        <v>0.94387031345969796</v>
      </c>
      <c r="AI584" s="713" t="s">
        <v>58</v>
      </c>
      <c r="AJ584" s="713" t="s">
        <v>58</v>
      </c>
      <c r="AK584" s="713" t="s">
        <v>58</v>
      </c>
      <c r="AL584" s="714">
        <v>0.94454345387965444</v>
      </c>
      <c r="AM584" s="713" t="s">
        <v>58</v>
      </c>
      <c r="AN584" s="713" t="s">
        <v>58</v>
      </c>
      <c r="AO584" s="713" t="s">
        <v>58</v>
      </c>
      <c r="AP584" s="747">
        <v>4</v>
      </c>
      <c r="AQ584" s="747">
        <v>32</v>
      </c>
      <c r="AR584" s="709"/>
      <c r="AS584" s="763">
        <v>0</v>
      </c>
      <c r="AT584" s="763">
        <v>0</v>
      </c>
      <c r="AU584" s="763">
        <v>0</v>
      </c>
      <c r="AV584" s="763">
        <v>0.26669353203779694</v>
      </c>
      <c r="AW584" s="763">
        <v>0.26669353203779694</v>
      </c>
      <c r="AX584" s="763">
        <v>0.26669353203779694</v>
      </c>
      <c r="AY584" s="763">
        <v>0</v>
      </c>
      <c r="AZ584" s="763">
        <v>0</v>
      </c>
      <c r="BA584" s="763">
        <v>0</v>
      </c>
      <c r="BB584" s="763">
        <v>0</v>
      </c>
      <c r="BC584" s="763">
        <v>0</v>
      </c>
      <c r="BD584" s="763">
        <v>0</v>
      </c>
      <c r="BE584" s="763">
        <v>0</v>
      </c>
      <c r="BF584" s="763">
        <v>0</v>
      </c>
      <c r="BG584" s="763">
        <v>0</v>
      </c>
      <c r="BH584" s="763">
        <v>0</v>
      </c>
      <c r="BI584" s="763">
        <v>0</v>
      </c>
      <c r="BJ584" s="763">
        <v>0</v>
      </c>
      <c r="BK584" s="763">
        <v>0</v>
      </c>
      <c r="BL584" s="763">
        <v>0</v>
      </c>
      <c r="BM584" s="763">
        <v>0</v>
      </c>
      <c r="BN584" s="763">
        <v>0</v>
      </c>
      <c r="BO584" s="763">
        <v>0</v>
      </c>
      <c r="BP584" s="763">
        <v>0</v>
      </c>
      <c r="BQ584" s="763">
        <v>0</v>
      </c>
      <c r="BR584" s="763">
        <v>0</v>
      </c>
      <c r="BS584" s="762">
        <v>0</v>
      </c>
      <c r="BT584" s="762">
        <v>0</v>
      </c>
      <c r="BU584" s="762">
        <v>0</v>
      </c>
      <c r="BV584" s="762">
        <v>891.03516431941046</v>
      </c>
      <c r="BW584" s="762">
        <v>891.03516431941046</v>
      </c>
      <c r="BX584" s="762">
        <v>891.03516431941046</v>
      </c>
      <c r="BY584" s="762">
        <v>0</v>
      </c>
      <c r="BZ584" s="762">
        <v>0</v>
      </c>
      <c r="CA584" s="762">
        <v>0</v>
      </c>
      <c r="CB584" s="762">
        <v>0</v>
      </c>
      <c r="CC584" s="762">
        <v>0</v>
      </c>
      <c r="CD584" s="762">
        <v>0</v>
      </c>
      <c r="CE584" s="762">
        <v>0</v>
      </c>
      <c r="CF584" s="762">
        <v>0</v>
      </c>
      <c r="CG584" s="762">
        <v>0</v>
      </c>
      <c r="CH584" s="762">
        <v>0</v>
      </c>
      <c r="CI584" s="762">
        <v>0</v>
      </c>
      <c r="CJ584" s="762">
        <v>0</v>
      </c>
      <c r="CK584" s="762">
        <v>0</v>
      </c>
      <c r="CL584" s="762">
        <v>0</v>
      </c>
      <c r="CM584" s="762">
        <v>0</v>
      </c>
      <c r="CN584" s="762">
        <v>0</v>
      </c>
      <c r="CO584" s="762">
        <v>0</v>
      </c>
      <c r="CP584" s="762">
        <v>0</v>
      </c>
      <c r="CQ584" s="762">
        <v>0</v>
      </c>
      <c r="CR584" s="762">
        <v>0</v>
      </c>
    </row>
    <row r="585" spans="1:96" s="53" customFormat="1">
      <c r="A585" s="721" t="s">
        <v>3</v>
      </c>
      <c r="B585" s="723">
        <v>41653</v>
      </c>
      <c r="C585" s="721">
        <v>2014</v>
      </c>
      <c r="D585" s="713" t="s">
        <v>1</v>
      </c>
      <c r="E585" s="713" t="s">
        <v>674</v>
      </c>
      <c r="F585" s="723" t="s">
        <v>123</v>
      </c>
      <c r="G585" s="713" t="s">
        <v>58</v>
      </c>
      <c r="H585" s="723" t="s">
        <v>677</v>
      </c>
      <c r="I585" s="713" t="s">
        <v>5</v>
      </c>
      <c r="J585" s="713" t="s">
        <v>376</v>
      </c>
      <c r="K585" s="766">
        <v>1</v>
      </c>
      <c r="L585" s="766" t="s">
        <v>671</v>
      </c>
      <c r="M585" s="765" t="s">
        <v>782</v>
      </c>
      <c r="N585" s="765">
        <v>0</v>
      </c>
      <c r="O585" s="765">
        <v>0</v>
      </c>
      <c r="P585" s="735">
        <v>0</v>
      </c>
      <c r="Q585" s="713" t="s">
        <v>58</v>
      </c>
      <c r="R585" s="713" t="s">
        <v>58</v>
      </c>
      <c r="S585" s="713" t="s">
        <v>58</v>
      </c>
      <c r="T585" s="713" t="s">
        <v>58</v>
      </c>
      <c r="U585" s="764">
        <v>0</v>
      </c>
      <c r="V585" s="764">
        <v>0</v>
      </c>
      <c r="W585" s="764">
        <v>0</v>
      </c>
      <c r="X585" s="764">
        <v>0</v>
      </c>
      <c r="Y585" s="764">
        <v>0</v>
      </c>
      <c r="Z585" s="764">
        <v>0</v>
      </c>
      <c r="AA585" s="764">
        <v>0</v>
      </c>
      <c r="AB585" s="764">
        <v>0</v>
      </c>
      <c r="AC585" s="714">
        <v>0.82617698682369967</v>
      </c>
      <c r="AD585" s="714">
        <v>0.7843105192554185</v>
      </c>
      <c r="AE585" s="713" t="s">
        <v>58</v>
      </c>
      <c r="AF585" s="713" t="s">
        <v>58</v>
      </c>
      <c r="AG585" s="713" t="s">
        <v>58</v>
      </c>
      <c r="AH585" s="714">
        <v>0.94387031345969796</v>
      </c>
      <c r="AI585" s="713" t="s">
        <v>58</v>
      </c>
      <c r="AJ585" s="713" t="s">
        <v>58</v>
      </c>
      <c r="AK585" s="713" t="s">
        <v>58</v>
      </c>
      <c r="AL585" s="714">
        <v>0.94454345387965444</v>
      </c>
      <c r="AM585" s="713" t="s">
        <v>58</v>
      </c>
      <c r="AN585" s="713" t="s">
        <v>58</v>
      </c>
      <c r="AO585" s="713" t="s">
        <v>58</v>
      </c>
      <c r="AP585" s="747">
        <v>51</v>
      </c>
      <c r="AQ585" s="747">
        <v>51</v>
      </c>
      <c r="AR585" s="709"/>
      <c r="AS585" s="763">
        <v>0</v>
      </c>
      <c r="AT585" s="763">
        <v>0</v>
      </c>
      <c r="AU585" s="763">
        <v>0</v>
      </c>
      <c r="AV585" s="763">
        <v>0</v>
      </c>
      <c r="AW585" s="763">
        <v>0</v>
      </c>
      <c r="AX585" s="763">
        <v>0</v>
      </c>
      <c r="AY585" s="763">
        <v>0</v>
      </c>
      <c r="AZ585" s="763">
        <v>0</v>
      </c>
      <c r="BA585" s="763">
        <v>0</v>
      </c>
      <c r="BB585" s="763">
        <v>0</v>
      </c>
      <c r="BC585" s="763">
        <v>0</v>
      </c>
      <c r="BD585" s="763">
        <v>0</v>
      </c>
      <c r="BE585" s="763">
        <v>0</v>
      </c>
      <c r="BF585" s="763">
        <v>0</v>
      </c>
      <c r="BG585" s="763">
        <v>0</v>
      </c>
      <c r="BH585" s="763">
        <v>0</v>
      </c>
      <c r="BI585" s="763">
        <v>0</v>
      </c>
      <c r="BJ585" s="763">
        <v>0</v>
      </c>
      <c r="BK585" s="763">
        <v>0</v>
      </c>
      <c r="BL585" s="763">
        <v>0</v>
      </c>
      <c r="BM585" s="763">
        <v>0</v>
      </c>
      <c r="BN585" s="763">
        <v>0</v>
      </c>
      <c r="BO585" s="763">
        <v>0</v>
      </c>
      <c r="BP585" s="763">
        <v>0</v>
      </c>
      <c r="BQ585" s="763">
        <v>0</v>
      </c>
      <c r="BR585" s="763">
        <v>0</v>
      </c>
      <c r="BS585" s="762">
        <v>0</v>
      </c>
      <c r="BT585" s="762">
        <v>0</v>
      </c>
      <c r="BU585" s="762">
        <v>0</v>
      </c>
      <c r="BV585" s="762">
        <v>0</v>
      </c>
      <c r="BW585" s="762">
        <v>0</v>
      </c>
      <c r="BX585" s="762">
        <v>0</v>
      </c>
      <c r="BY585" s="762">
        <v>0</v>
      </c>
      <c r="BZ585" s="762">
        <v>0</v>
      </c>
      <c r="CA585" s="762">
        <v>0</v>
      </c>
      <c r="CB585" s="762">
        <v>0</v>
      </c>
      <c r="CC585" s="762">
        <v>0</v>
      </c>
      <c r="CD585" s="762">
        <v>0</v>
      </c>
      <c r="CE585" s="762">
        <v>0</v>
      </c>
      <c r="CF585" s="762">
        <v>0</v>
      </c>
      <c r="CG585" s="762">
        <v>0</v>
      </c>
      <c r="CH585" s="762">
        <v>0</v>
      </c>
      <c r="CI585" s="762">
        <v>0</v>
      </c>
      <c r="CJ585" s="762">
        <v>0</v>
      </c>
      <c r="CK585" s="762">
        <v>0</v>
      </c>
      <c r="CL585" s="762">
        <v>0</v>
      </c>
      <c r="CM585" s="762">
        <v>0</v>
      </c>
      <c r="CN585" s="762">
        <v>0</v>
      </c>
      <c r="CO585" s="762">
        <v>0</v>
      </c>
      <c r="CP585" s="762">
        <v>0</v>
      </c>
      <c r="CQ585" s="762">
        <v>0</v>
      </c>
      <c r="CR585" s="762">
        <v>0</v>
      </c>
    </row>
    <row r="586" spans="1:96" s="53" customFormat="1">
      <c r="A586" s="721" t="s">
        <v>3</v>
      </c>
      <c r="B586" s="723">
        <v>41653</v>
      </c>
      <c r="C586" s="721">
        <v>2014</v>
      </c>
      <c r="D586" s="713" t="s">
        <v>1</v>
      </c>
      <c r="E586" s="713" t="s">
        <v>674</v>
      </c>
      <c r="F586" s="723" t="s">
        <v>123</v>
      </c>
      <c r="G586" s="713" t="s">
        <v>58</v>
      </c>
      <c r="H586" s="723" t="s">
        <v>712</v>
      </c>
      <c r="I586" s="713" t="s">
        <v>5</v>
      </c>
      <c r="J586" s="713" t="s">
        <v>376</v>
      </c>
      <c r="K586" s="766">
        <v>1</v>
      </c>
      <c r="L586" s="766" t="s">
        <v>671</v>
      </c>
      <c r="M586" s="765" t="s">
        <v>782</v>
      </c>
      <c r="N586" s="765">
        <v>0</v>
      </c>
      <c r="O586" s="765">
        <v>0</v>
      </c>
      <c r="P586" s="735">
        <v>0</v>
      </c>
      <c r="Q586" s="713" t="s">
        <v>58</v>
      </c>
      <c r="R586" s="713" t="s">
        <v>58</v>
      </c>
      <c r="S586" s="713" t="s">
        <v>58</v>
      </c>
      <c r="T586" s="713" t="s">
        <v>58</v>
      </c>
      <c r="U586" s="764">
        <v>0</v>
      </c>
      <c r="V586" s="764">
        <v>0</v>
      </c>
      <c r="W586" s="764">
        <v>0</v>
      </c>
      <c r="X586" s="764">
        <v>0</v>
      </c>
      <c r="Y586" s="764">
        <v>0</v>
      </c>
      <c r="Z586" s="764">
        <v>0</v>
      </c>
      <c r="AA586" s="764">
        <v>0</v>
      </c>
      <c r="AB586" s="764">
        <v>0</v>
      </c>
      <c r="AC586" s="714">
        <v>0.82617698682369967</v>
      </c>
      <c r="AD586" s="714">
        <v>0.7843105192554185</v>
      </c>
      <c r="AE586" s="713" t="s">
        <v>58</v>
      </c>
      <c r="AF586" s="713" t="s">
        <v>58</v>
      </c>
      <c r="AG586" s="713" t="s">
        <v>58</v>
      </c>
      <c r="AH586" s="714">
        <v>0.94387031345969796</v>
      </c>
      <c r="AI586" s="713" t="s">
        <v>58</v>
      </c>
      <c r="AJ586" s="713" t="s">
        <v>58</v>
      </c>
      <c r="AK586" s="713" t="s">
        <v>58</v>
      </c>
      <c r="AL586" s="714">
        <v>0.94454345387965444</v>
      </c>
      <c r="AM586" s="713" t="s">
        <v>58</v>
      </c>
      <c r="AN586" s="713" t="s">
        <v>58</v>
      </c>
      <c r="AO586" s="713" t="s">
        <v>58</v>
      </c>
      <c r="AP586" s="747">
        <v>0</v>
      </c>
      <c r="AQ586" s="747">
        <v>0</v>
      </c>
      <c r="AR586" s="709"/>
      <c r="AS586" s="763">
        <v>0</v>
      </c>
      <c r="AT586" s="763">
        <v>0</v>
      </c>
      <c r="AU586" s="763">
        <v>0</v>
      </c>
      <c r="AV586" s="763">
        <v>0</v>
      </c>
      <c r="AW586" s="763">
        <v>0</v>
      </c>
      <c r="AX586" s="763">
        <v>0</v>
      </c>
      <c r="AY586" s="763">
        <v>0</v>
      </c>
      <c r="AZ586" s="763">
        <v>0</v>
      </c>
      <c r="BA586" s="763">
        <v>0</v>
      </c>
      <c r="BB586" s="763">
        <v>0</v>
      </c>
      <c r="BC586" s="763">
        <v>0</v>
      </c>
      <c r="BD586" s="763">
        <v>0</v>
      </c>
      <c r="BE586" s="763">
        <v>0</v>
      </c>
      <c r="BF586" s="763">
        <v>0</v>
      </c>
      <c r="BG586" s="763">
        <v>0</v>
      </c>
      <c r="BH586" s="763">
        <v>0</v>
      </c>
      <c r="BI586" s="763">
        <v>0</v>
      </c>
      <c r="BJ586" s="763">
        <v>0</v>
      </c>
      <c r="BK586" s="763">
        <v>0</v>
      </c>
      <c r="BL586" s="763">
        <v>0</v>
      </c>
      <c r="BM586" s="763">
        <v>0</v>
      </c>
      <c r="BN586" s="763">
        <v>0</v>
      </c>
      <c r="BO586" s="763">
        <v>0</v>
      </c>
      <c r="BP586" s="763">
        <v>0</v>
      </c>
      <c r="BQ586" s="763">
        <v>0</v>
      </c>
      <c r="BR586" s="763">
        <v>0</v>
      </c>
      <c r="BS586" s="762">
        <v>0</v>
      </c>
      <c r="BT586" s="762">
        <v>0</v>
      </c>
      <c r="BU586" s="762">
        <v>0</v>
      </c>
      <c r="BV586" s="762">
        <v>0</v>
      </c>
      <c r="BW586" s="762">
        <v>0</v>
      </c>
      <c r="BX586" s="762">
        <v>0</v>
      </c>
      <c r="BY586" s="762">
        <v>0</v>
      </c>
      <c r="BZ586" s="762">
        <v>0</v>
      </c>
      <c r="CA586" s="762">
        <v>0</v>
      </c>
      <c r="CB586" s="762">
        <v>0</v>
      </c>
      <c r="CC586" s="762">
        <v>0</v>
      </c>
      <c r="CD586" s="762">
        <v>0</v>
      </c>
      <c r="CE586" s="762">
        <v>0</v>
      </c>
      <c r="CF586" s="762">
        <v>0</v>
      </c>
      <c r="CG586" s="762">
        <v>0</v>
      </c>
      <c r="CH586" s="762">
        <v>0</v>
      </c>
      <c r="CI586" s="762">
        <v>0</v>
      </c>
      <c r="CJ586" s="762">
        <v>0</v>
      </c>
      <c r="CK586" s="762">
        <v>0</v>
      </c>
      <c r="CL586" s="762">
        <v>0</v>
      </c>
      <c r="CM586" s="762">
        <v>0</v>
      </c>
      <c r="CN586" s="762">
        <v>0</v>
      </c>
      <c r="CO586" s="762">
        <v>0</v>
      </c>
      <c r="CP586" s="762">
        <v>0</v>
      </c>
      <c r="CQ586" s="762">
        <v>0</v>
      </c>
      <c r="CR586" s="762">
        <v>0</v>
      </c>
    </row>
    <row r="587" spans="1:96" s="53" customFormat="1">
      <c r="A587" s="721" t="s">
        <v>3</v>
      </c>
      <c r="B587" s="723">
        <v>41653</v>
      </c>
      <c r="C587" s="721">
        <v>2014</v>
      </c>
      <c r="D587" s="713" t="s">
        <v>1</v>
      </c>
      <c r="E587" s="713" t="s">
        <v>674</v>
      </c>
      <c r="F587" s="723" t="s">
        <v>123</v>
      </c>
      <c r="G587" s="713" t="s">
        <v>58</v>
      </c>
      <c r="H587" s="723" t="s">
        <v>735</v>
      </c>
      <c r="I587" s="713" t="s">
        <v>5</v>
      </c>
      <c r="J587" s="713" t="s">
        <v>376</v>
      </c>
      <c r="K587" s="766">
        <v>7</v>
      </c>
      <c r="L587" s="766" t="s">
        <v>671</v>
      </c>
      <c r="M587" s="765" t="s">
        <v>782</v>
      </c>
      <c r="N587" s="765">
        <v>12</v>
      </c>
      <c r="O587" s="765">
        <v>3</v>
      </c>
      <c r="P587" s="735">
        <v>0.6097560975609756</v>
      </c>
      <c r="Q587" s="713" t="s">
        <v>58</v>
      </c>
      <c r="R587" s="713" t="s">
        <v>58</v>
      </c>
      <c r="S587" s="713" t="s">
        <v>58</v>
      </c>
      <c r="T587" s="713" t="s">
        <v>58</v>
      </c>
      <c r="U587" s="764">
        <v>0.28699999999999998</v>
      </c>
      <c r="V587" s="764">
        <v>978.67</v>
      </c>
      <c r="W587" s="764">
        <v>0.22509711902630514</v>
      </c>
      <c r="X587" s="764">
        <v>808.55463169475013</v>
      </c>
      <c r="Y587" s="764">
        <v>6862.8539470676351</v>
      </c>
      <c r="Z587" s="764">
        <v>6477.6441062468539</v>
      </c>
      <c r="AA587" s="764">
        <v>763.17071366701441</v>
      </c>
      <c r="AB587" s="764">
        <v>0.21261401026346594</v>
      </c>
      <c r="AC587" s="714">
        <v>0.82617698682369967</v>
      </c>
      <c r="AD587" s="714">
        <v>0.7843105192554185</v>
      </c>
      <c r="AE587" s="713" t="s">
        <v>58</v>
      </c>
      <c r="AF587" s="713" t="s">
        <v>58</v>
      </c>
      <c r="AG587" s="713" t="s">
        <v>58</v>
      </c>
      <c r="AH587" s="714">
        <v>0.94387031345969796</v>
      </c>
      <c r="AI587" s="713" t="s">
        <v>58</v>
      </c>
      <c r="AJ587" s="713" t="s">
        <v>58</v>
      </c>
      <c r="AK587" s="713" t="s">
        <v>58</v>
      </c>
      <c r="AL587" s="714">
        <v>0.94454345387965444</v>
      </c>
      <c r="AM587" s="713" t="s">
        <v>58</v>
      </c>
      <c r="AN587" s="713" t="s">
        <v>58</v>
      </c>
      <c r="AO587" s="713" t="s">
        <v>58</v>
      </c>
      <c r="AP587" s="747">
        <v>119</v>
      </c>
      <c r="AQ587" s="747">
        <v>833</v>
      </c>
      <c r="AR587" s="709"/>
      <c r="AS587" s="763">
        <v>0</v>
      </c>
      <c r="AT587" s="763">
        <v>0</v>
      </c>
      <c r="AU587" s="763">
        <v>0</v>
      </c>
      <c r="AV587" s="763">
        <v>0.21261401026346594</v>
      </c>
      <c r="AW587" s="763">
        <v>0.21261401026346594</v>
      </c>
      <c r="AX587" s="763">
        <v>0.21261401026346594</v>
      </c>
      <c r="AY587" s="763">
        <v>0.12964268918504021</v>
      </c>
      <c r="AZ587" s="763">
        <v>0.12964268918504021</v>
      </c>
      <c r="BA587" s="763">
        <v>0.12964268918504021</v>
      </c>
      <c r="BB587" s="763">
        <v>0.12964268918504021</v>
      </c>
      <c r="BC587" s="763">
        <v>0.12964268918504021</v>
      </c>
      <c r="BD587" s="763">
        <v>0.12964268918504021</v>
      </c>
      <c r="BE587" s="763">
        <v>0.12964268918504021</v>
      </c>
      <c r="BF587" s="763">
        <v>0.12964268918504021</v>
      </c>
      <c r="BG587" s="763">
        <v>0.12964268918504021</v>
      </c>
      <c r="BH587" s="763">
        <v>0</v>
      </c>
      <c r="BI587" s="763">
        <v>0</v>
      </c>
      <c r="BJ587" s="763">
        <v>0</v>
      </c>
      <c r="BK587" s="763">
        <v>0</v>
      </c>
      <c r="BL587" s="763">
        <v>0</v>
      </c>
      <c r="BM587" s="763">
        <v>0</v>
      </c>
      <c r="BN587" s="763">
        <v>0</v>
      </c>
      <c r="BO587" s="763">
        <v>0</v>
      </c>
      <c r="BP587" s="763">
        <v>0</v>
      </c>
      <c r="BQ587" s="763">
        <v>0</v>
      </c>
      <c r="BR587" s="763">
        <v>0</v>
      </c>
      <c r="BS587" s="762">
        <v>0</v>
      </c>
      <c r="BT587" s="762">
        <v>0</v>
      </c>
      <c r="BU587" s="762">
        <v>0</v>
      </c>
      <c r="BV587" s="762">
        <v>763.17071366701441</v>
      </c>
      <c r="BW587" s="762">
        <v>763.17071366701441</v>
      </c>
      <c r="BX587" s="762">
        <v>763.17071366701441</v>
      </c>
      <c r="BY587" s="762">
        <v>465.34799613842341</v>
      </c>
      <c r="BZ587" s="762">
        <v>465.34799613842341</v>
      </c>
      <c r="CA587" s="762">
        <v>465.34799613842341</v>
      </c>
      <c r="CB587" s="762">
        <v>465.34799613842341</v>
      </c>
      <c r="CC587" s="762">
        <v>465.34799613842341</v>
      </c>
      <c r="CD587" s="762">
        <v>465.34799613842341</v>
      </c>
      <c r="CE587" s="762">
        <v>465.34799613842341</v>
      </c>
      <c r="CF587" s="762">
        <v>465.34799613842341</v>
      </c>
      <c r="CG587" s="762">
        <v>465.34799613842341</v>
      </c>
      <c r="CH587" s="762">
        <v>0</v>
      </c>
      <c r="CI587" s="762">
        <v>0</v>
      </c>
      <c r="CJ587" s="762">
        <v>0</v>
      </c>
      <c r="CK587" s="762">
        <v>0</v>
      </c>
      <c r="CL587" s="762">
        <v>0</v>
      </c>
      <c r="CM587" s="762">
        <v>0</v>
      </c>
      <c r="CN587" s="762">
        <v>0</v>
      </c>
      <c r="CO587" s="762">
        <v>0</v>
      </c>
      <c r="CP587" s="762">
        <v>0</v>
      </c>
      <c r="CQ587" s="762">
        <v>0</v>
      </c>
      <c r="CR587" s="762">
        <v>0</v>
      </c>
    </row>
    <row r="588" spans="1:96" s="53" customFormat="1">
      <c r="A588" s="721" t="s">
        <v>3</v>
      </c>
      <c r="B588" s="723">
        <v>41653</v>
      </c>
      <c r="C588" s="721">
        <v>2014</v>
      </c>
      <c r="D588" s="713" t="s">
        <v>1</v>
      </c>
      <c r="E588" s="713" t="s">
        <v>674</v>
      </c>
      <c r="F588" s="723" t="s">
        <v>123</v>
      </c>
      <c r="G588" s="713" t="s">
        <v>58</v>
      </c>
      <c r="H588" s="723" t="s">
        <v>682</v>
      </c>
      <c r="I588" s="713" t="s">
        <v>5</v>
      </c>
      <c r="J588" s="713" t="s">
        <v>376</v>
      </c>
      <c r="K588" s="766">
        <v>8</v>
      </c>
      <c r="L588" s="766" t="s">
        <v>671</v>
      </c>
      <c r="M588" s="765" t="s">
        <v>782</v>
      </c>
      <c r="N588" s="765">
        <v>12</v>
      </c>
      <c r="O588" s="765">
        <v>3</v>
      </c>
      <c r="P588" s="735">
        <v>0.4</v>
      </c>
      <c r="Q588" s="713" t="s">
        <v>58</v>
      </c>
      <c r="R588" s="713" t="s">
        <v>58</v>
      </c>
      <c r="S588" s="713" t="s">
        <v>58</v>
      </c>
      <c r="T588" s="713" t="s">
        <v>58</v>
      </c>
      <c r="U588" s="764">
        <v>0.2</v>
      </c>
      <c r="V588" s="764">
        <v>682</v>
      </c>
      <c r="W588" s="764">
        <v>0.15686210385108371</v>
      </c>
      <c r="X588" s="764">
        <v>563.45270501376319</v>
      </c>
      <c r="Y588" s="764">
        <v>3718.7878530908374</v>
      </c>
      <c r="Z588" s="764">
        <v>3510.0534565869661</v>
      </c>
      <c r="AA588" s="764">
        <v>531.82628130105536</v>
      </c>
      <c r="AB588" s="764">
        <v>0.14816307335433165</v>
      </c>
      <c r="AC588" s="714">
        <v>0.82617698682369967</v>
      </c>
      <c r="AD588" s="714">
        <v>0.7843105192554185</v>
      </c>
      <c r="AE588" s="713" t="s">
        <v>58</v>
      </c>
      <c r="AF588" s="713" t="s">
        <v>58</v>
      </c>
      <c r="AG588" s="713" t="s">
        <v>58</v>
      </c>
      <c r="AH588" s="714">
        <v>0.94387031345969796</v>
      </c>
      <c r="AI588" s="713" t="s">
        <v>58</v>
      </c>
      <c r="AJ588" s="713" t="s">
        <v>58</v>
      </c>
      <c r="AK588" s="713" t="s">
        <v>58</v>
      </c>
      <c r="AL588" s="714">
        <v>0.94454345387965444</v>
      </c>
      <c r="AM588" s="713" t="s">
        <v>58</v>
      </c>
      <c r="AN588" s="713" t="s">
        <v>58</v>
      </c>
      <c r="AO588" s="713" t="s">
        <v>58</v>
      </c>
      <c r="AP588" s="747">
        <v>17</v>
      </c>
      <c r="AQ588" s="747">
        <v>136</v>
      </c>
      <c r="AR588" s="709"/>
      <c r="AS588" s="763">
        <v>0</v>
      </c>
      <c r="AT588" s="763">
        <v>0</v>
      </c>
      <c r="AU588" s="763">
        <v>0</v>
      </c>
      <c r="AV588" s="763">
        <v>0.14816307335433165</v>
      </c>
      <c r="AW588" s="763">
        <v>0.14816307335433165</v>
      </c>
      <c r="AX588" s="763">
        <v>0.14816307335433165</v>
      </c>
      <c r="AY588" s="763">
        <v>5.9265229341732666E-2</v>
      </c>
      <c r="AZ588" s="763">
        <v>5.9265229341732666E-2</v>
      </c>
      <c r="BA588" s="763">
        <v>5.9265229341732666E-2</v>
      </c>
      <c r="BB588" s="763">
        <v>5.9265229341732666E-2</v>
      </c>
      <c r="BC588" s="763">
        <v>5.9265229341732666E-2</v>
      </c>
      <c r="BD588" s="763">
        <v>5.9265229341732666E-2</v>
      </c>
      <c r="BE588" s="763">
        <v>5.9265229341732666E-2</v>
      </c>
      <c r="BF588" s="763">
        <v>5.9265229341732666E-2</v>
      </c>
      <c r="BG588" s="763">
        <v>5.9265229341732666E-2</v>
      </c>
      <c r="BH588" s="763">
        <v>0</v>
      </c>
      <c r="BI588" s="763">
        <v>0</v>
      </c>
      <c r="BJ588" s="763">
        <v>0</v>
      </c>
      <c r="BK588" s="763">
        <v>0</v>
      </c>
      <c r="BL588" s="763">
        <v>0</v>
      </c>
      <c r="BM588" s="763">
        <v>0</v>
      </c>
      <c r="BN588" s="763">
        <v>0</v>
      </c>
      <c r="BO588" s="763">
        <v>0</v>
      </c>
      <c r="BP588" s="763">
        <v>0</v>
      </c>
      <c r="BQ588" s="763">
        <v>0</v>
      </c>
      <c r="BR588" s="763">
        <v>0</v>
      </c>
      <c r="BS588" s="762">
        <v>0</v>
      </c>
      <c r="BT588" s="762">
        <v>0</v>
      </c>
      <c r="BU588" s="762">
        <v>0</v>
      </c>
      <c r="BV588" s="762">
        <v>531.82628130105536</v>
      </c>
      <c r="BW588" s="762">
        <v>531.82628130105536</v>
      </c>
      <c r="BX588" s="762">
        <v>531.82628130105536</v>
      </c>
      <c r="BY588" s="762">
        <v>212.73051252042217</v>
      </c>
      <c r="BZ588" s="762">
        <v>212.73051252042217</v>
      </c>
      <c r="CA588" s="762">
        <v>212.73051252042217</v>
      </c>
      <c r="CB588" s="762">
        <v>212.73051252042217</v>
      </c>
      <c r="CC588" s="762">
        <v>212.73051252042217</v>
      </c>
      <c r="CD588" s="762">
        <v>212.73051252042217</v>
      </c>
      <c r="CE588" s="762">
        <v>212.73051252042217</v>
      </c>
      <c r="CF588" s="762">
        <v>212.73051252042217</v>
      </c>
      <c r="CG588" s="762">
        <v>212.73051252042217</v>
      </c>
      <c r="CH588" s="762">
        <v>0</v>
      </c>
      <c r="CI588" s="762">
        <v>0</v>
      </c>
      <c r="CJ588" s="762">
        <v>0</v>
      </c>
      <c r="CK588" s="762">
        <v>0</v>
      </c>
      <c r="CL588" s="762">
        <v>0</v>
      </c>
      <c r="CM588" s="762">
        <v>0</v>
      </c>
      <c r="CN588" s="762">
        <v>0</v>
      </c>
      <c r="CO588" s="762">
        <v>0</v>
      </c>
      <c r="CP588" s="762">
        <v>0</v>
      </c>
      <c r="CQ588" s="762">
        <v>0</v>
      </c>
      <c r="CR588" s="762">
        <v>0</v>
      </c>
    </row>
    <row r="589" spans="1:96" s="53" customFormat="1">
      <c r="A589" s="721" t="s">
        <v>3</v>
      </c>
      <c r="B589" s="723">
        <v>41653</v>
      </c>
      <c r="C589" s="721">
        <v>2014</v>
      </c>
      <c r="D589" s="713" t="s">
        <v>1</v>
      </c>
      <c r="E589" s="713" t="s">
        <v>674</v>
      </c>
      <c r="F589" s="723" t="s">
        <v>123</v>
      </c>
      <c r="G589" s="713" t="s">
        <v>58</v>
      </c>
      <c r="H589" s="723" t="s">
        <v>676</v>
      </c>
      <c r="I589" s="713" t="s">
        <v>5</v>
      </c>
      <c r="J589" s="713" t="s">
        <v>376</v>
      </c>
      <c r="K589" s="766">
        <v>63</v>
      </c>
      <c r="L589" s="766" t="s">
        <v>671</v>
      </c>
      <c r="M589" s="765" t="s">
        <v>782</v>
      </c>
      <c r="N589" s="765">
        <v>12</v>
      </c>
      <c r="O589" s="765">
        <v>3</v>
      </c>
      <c r="P589" s="735">
        <v>0.31578947368421051</v>
      </c>
      <c r="Q589" s="713" t="s">
        <v>58</v>
      </c>
      <c r="R589" s="713" t="s">
        <v>58</v>
      </c>
      <c r="S589" s="713" t="s">
        <v>58</v>
      </c>
      <c r="T589" s="713" t="s">
        <v>58</v>
      </c>
      <c r="U589" s="764">
        <v>2.3940000000000001</v>
      </c>
      <c r="V589" s="764">
        <v>8163.54</v>
      </c>
      <c r="W589" s="764">
        <v>1.8776393830974722</v>
      </c>
      <c r="X589" s="764">
        <v>6744.5288790147451</v>
      </c>
      <c r="Y589" s="764">
        <v>39402.247661612455</v>
      </c>
      <c r="Z589" s="764">
        <v>37190.611851382797</v>
      </c>
      <c r="AA589" s="764">
        <v>6365.960587173633</v>
      </c>
      <c r="AB589" s="764">
        <v>1.7735119880513501</v>
      </c>
      <c r="AC589" s="714">
        <v>0.82617698682369967</v>
      </c>
      <c r="AD589" s="714">
        <v>0.7843105192554185</v>
      </c>
      <c r="AE589" s="713" t="s">
        <v>58</v>
      </c>
      <c r="AF589" s="713" t="s">
        <v>58</v>
      </c>
      <c r="AG589" s="713" t="s">
        <v>58</v>
      </c>
      <c r="AH589" s="714">
        <v>0.94387031345969796</v>
      </c>
      <c r="AI589" s="713" t="s">
        <v>58</v>
      </c>
      <c r="AJ589" s="713" t="s">
        <v>58</v>
      </c>
      <c r="AK589" s="713" t="s">
        <v>58</v>
      </c>
      <c r="AL589" s="714">
        <v>0.94454345387965444</v>
      </c>
      <c r="AM589" s="713" t="s">
        <v>58</v>
      </c>
      <c r="AN589" s="713" t="s">
        <v>58</v>
      </c>
      <c r="AO589" s="713" t="s">
        <v>58</v>
      </c>
      <c r="AP589" s="747">
        <v>17</v>
      </c>
      <c r="AQ589" s="747">
        <v>1071</v>
      </c>
      <c r="AR589" s="709"/>
      <c r="AS589" s="763">
        <v>0</v>
      </c>
      <c r="AT589" s="763">
        <v>0</v>
      </c>
      <c r="AU589" s="763">
        <v>0</v>
      </c>
      <c r="AV589" s="763">
        <v>1.7735119880513501</v>
      </c>
      <c r="AW589" s="763">
        <v>1.7735119880513501</v>
      </c>
      <c r="AX589" s="763">
        <v>1.7735119880513501</v>
      </c>
      <c r="AY589" s="763">
        <v>0.56005641727937372</v>
      </c>
      <c r="AZ589" s="763">
        <v>0.56005641727937372</v>
      </c>
      <c r="BA589" s="763">
        <v>0.56005641727937372</v>
      </c>
      <c r="BB589" s="763">
        <v>0.56005641727937372</v>
      </c>
      <c r="BC589" s="763">
        <v>0.56005641727937372</v>
      </c>
      <c r="BD589" s="763">
        <v>0.56005641727937372</v>
      </c>
      <c r="BE589" s="763">
        <v>0.56005641727937372</v>
      </c>
      <c r="BF589" s="763">
        <v>0.56005641727937372</v>
      </c>
      <c r="BG589" s="763">
        <v>0.56005641727937372</v>
      </c>
      <c r="BH589" s="763">
        <v>0</v>
      </c>
      <c r="BI589" s="763">
        <v>0</v>
      </c>
      <c r="BJ589" s="763">
        <v>0</v>
      </c>
      <c r="BK589" s="763">
        <v>0</v>
      </c>
      <c r="BL589" s="763">
        <v>0</v>
      </c>
      <c r="BM589" s="763">
        <v>0</v>
      </c>
      <c r="BN589" s="763">
        <v>0</v>
      </c>
      <c r="BO589" s="763">
        <v>0</v>
      </c>
      <c r="BP589" s="763">
        <v>0</v>
      </c>
      <c r="BQ589" s="763">
        <v>0</v>
      </c>
      <c r="BR589" s="763">
        <v>0</v>
      </c>
      <c r="BS589" s="762">
        <v>0</v>
      </c>
      <c r="BT589" s="762">
        <v>0</v>
      </c>
      <c r="BU589" s="762">
        <v>0</v>
      </c>
      <c r="BV589" s="762">
        <v>6365.960587173633</v>
      </c>
      <c r="BW589" s="762">
        <v>6365.960587173633</v>
      </c>
      <c r="BX589" s="762">
        <v>6365.960587173633</v>
      </c>
      <c r="BY589" s="762">
        <v>2010.3033433179892</v>
      </c>
      <c r="BZ589" s="762">
        <v>2010.3033433179892</v>
      </c>
      <c r="CA589" s="762">
        <v>2010.3033433179892</v>
      </c>
      <c r="CB589" s="762">
        <v>2010.3033433179892</v>
      </c>
      <c r="CC589" s="762">
        <v>2010.3033433179892</v>
      </c>
      <c r="CD589" s="762">
        <v>2010.3033433179892</v>
      </c>
      <c r="CE589" s="762">
        <v>2010.3033433179892</v>
      </c>
      <c r="CF589" s="762">
        <v>2010.3033433179892</v>
      </c>
      <c r="CG589" s="762">
        <v>2010.3033433179892</v>
      </c>
      <c r="CH589" s="762">
        <v>0</v>
      </c>
      <c r="CI589" s="762">
        <v>0</v>
      </c>
      <c r="CJ589" s="762">
        <v>0</v>
      </c>
      <c r="CK589" s="762">
        <v>0</v>
      </c>
      <c r="CL589" s="762">
        <v>0</v>
      </c>
      <c r="CM589" s="762">
        <v>0</v>
      </c>
      <c r="CN589" s="762">
        <v>0</v>
      </c>
      <c r="CO589" s="762">
        <v>0</v>
      </c>
      <c r="CP589" s="762">
        <v>0</v>
      </c>
      <c r="CQ589" s="762">
        <v>0</v>
      </c>
      <c r="CR589" s="762">
        <v>0</v>
      </c>
    </row>
    <row r="590" spans="1:96" s="53" customFormat="1">
      <c r="A590" s="721" t="s">
        <v>3</v>
      </c>
      <c r="B590" s="723">
        <v>41653</v>
      </c>
      <c r="C590" s="721">
        <v>2014</v>
      </c>
      <c r="D590" s="713" t="s">
        <v>1</v>
      </c>
      <c r="E590" s="713" t="s">
        <v>674</v>
      </c>
      <c r="F590" s="723" t="s">
        <v>123</v>
      </c>
      <c r="G590" s="713" t="s">
        <v>58</v>
      </c>
      <c r="H590" s="723" t="s">
        <v>676</v>
      </c>
      <c r="I590" s="713" t="s">
        <v>5</v>
      </c>
      <c r="J590" s="713" t="s">
        <v>376</v>
      </c>
      <c r="K590" s="766">
        <v>5</v>
      </c>
      <c r="L590" s="766" t="s">
        <v>671</v>
      </c>
      <c r="M590" s="765" t="s">
        <v>782</v>
      </c>
      <c r="N590" s="765">
        <v>12</v>
      </c>
      <c r="O590" s="765">
        <v>3</v>
      </c>
      <c r="P590" s="735">
        <v>0.31578947368421051</v>
      </c>
      <c r="Q590" s="713" t="s">
        <v>58</v>
      </c>
      <c r="R590" s="713" t="s">
        <v>58</v>
      </c>
      <c r="S590" s="713" t="s">
        <v>58</v>
      </c>
      <c r="T590" s="713" t="s">
        <v>58</v>
      </c>
      <c r="U590" s="764">
        <v>0.19</v>
      </c>
      <c r="V590" s="764">
        <v>647.9</v>
      </c>
      <c r="W590" s="764">
        <v>0.14901899865852955</v>
      </c>
      <c r="X590" s="764">
        <v>535.28006976307495</v>
      </c>
      <c r="Y590" s="764">
        <v>3127.162512826385</v>
      </c>
      <c r="Z590" s="764">
        <v>2951.6358612208569</v>
      </c>
      <c r="AA590" s="764">
        <v>505.23496723600255</v>
      </c>
      <c r="AB590" s="764">
        <v>0.1407549196866151</v>
      </c>
      <c r="AC590" s="714">
        <v>0.82617698682369967</v>
      </c>
      <c r="AD590" s="714">
        <v>0.7843105192554185</v>
      </c>
      <c r="AE590" s="713" t="s">
        <v>58</v>
      </c>
      <c r="AF590" s="713" t="s">
        <v>58</v>
      </c>
      <c r="AG590" s="713" t="s">
        <v>58</v>
      </c>
      <c r="AH590" s="714">
        <v>0.94387031345969796</v>
      </c>
      <c r="AI590" s="713" t="s">
        <v>58</v>
      </c>
      <c r="AJ590" s="713" t="s">
        <v>58</v>
      </c>
      <c r="AK590" s="713" t="s">
        <v>58</v>
      </c>
      <c r="AL590" s="714">
        <v>0.94454345387965444</v>
      </c>
      <c r="AM590" s="713" t="s">
        <v>58</v>
      </c>
      <c r="AN590" s="713" t="s">
        <v>58</v>
      </c>
      <c r="AO590" s="713" t="s">
        <v>58</v>
      </c>
      <c r="AP590" s="747">
        <v>17</v>
      </c>
      <c r="AQ590" s="747">
        <v>85</v>
      </c>
      <c r="AR590" s="709"/>
      <c r="AS590" s="763">
        <v>0</v>
      </c>
      <c r="AT590" s="763">
        <v>0</v>
      </c>
      <c r="AU590" s="763">
        <v>0</v>
      </c>
      <c r="AV590" s="763">
        <v>0.1407549196866151</v>
      </c>
      <c r="AW590" s="763">
        <v>0.1407549196866151</v>
      </c>
      <c r="AX590" s="763">
        <v>0.1407549196866151</v>
      </c>
      <c r="AY590" s="763">
        <v>4.4448922006299504E-2</v>
      </c>
      <c r="AZ590" s="763">
        <v>4.4448922006299504E-2</v>
      </c>
      <c r="BA590" s="763">
        <v>4.4448922006299504E-2</v>
      </c>
      <c r="BB590" s="763">
        <v>4.4448922006299504E-2</v>
      </c>
      <c r="BC590" s="763">
        <v>4.4448922006299504E-2</v>
      </c>
      <c r="BD590" s="763">
        <v>4.4448922006299504E-2</v>
      </c>
      <c r="BE590" s="763">
        <v>4.4448922006299504E-2</v>
      </c>
      <c r="BF590" s="763">
        <v>4.4448922006299504E-2</v>
      </c>
      <c r="BG590" s="763">
        <v>4.4448922006299504E-2</v>
      </c>
      <c r="BH590" s="763">
        <v>0</v>
      </c>
      <c r="BI590" s="763">
        <v>0</v>
      </c>
      <c r="BJ590" s="763">
        <v>0</v>
      </c>
      <c r="BK590" s="763">
        <v>0</v>
      </c>
      <c r="BL590" s="763">
        <v>0</v>
      </c>
      <c r="BM590" s="763">
        <v>0</v>
      </c>
      <c r="BN590" s="763">
        <v>0</v>
      </c>
      <c r="BO590" s="763">
        <v>0</v>
      </c>
      <c r="BP590" s="763">
        <v>0</v>
      </c>
      <c r="BQ590" s="763">
        <v>0</v>
      </c>
      <c r="BR590" s="763">
        <v>0</v>
      </c>
      <c r="BS590" s="762">
        <v>0</v>
      </c>
      <c r="BT590" s="762">
        <v>0</v>
      </c>
      <c r="BU590" s="762">
        <v>0</v>
      </c>
      <c r="BV590" s="762">
        <v>505.23496723600255</v>
      </c>
      <c r="BW590" s="762">
        <v>505.23496723600255</v>
      </c>
      <c r="BX590" s="762">
        <v>505.23496723600255</v>
      </c>
      <c r="BY590" s="762">
        <v>159.5478843903166</v>
      </c>
      <c r="BZ590" s="762">
        <v>159.5478843903166</v>
      </c>
      <c r="CA590" s="762">
        <v>159.5478843903166</v>
      </c>
      <c r="CB590" s="762">
        <v>159.5478843903166</v>
      </c>
      <c r="CC590" s="762">
        <v>159.5478843903166</v>
      </c>
      <c r="CD590" s="762">
        <v>159.5478843903166</v>
      </c>
      <c r="CE590" s="762">
        <v>159.5478843903166</v>
      </c>
      <c r="CF590" s="762">
        <v>159.5478843903166</v>
      </c>
      <c r="CG590" s="762">
        <v>159.5478843903166</v>
      </c>
      <c r="CH590" s="762">
        <v>0</v>
      </c>
      <c r="CI590" s="762">
        <v>0</v>
      </c>
      <c r="CJ590" s="762">
        <v>0</v>
      </c>
      <c r="CK590" s="762">
        <v>0</v>
      </c>
      <c r="CL590" s="762">
        <v>0</v>
      </c>
      <c r="CM590" s="762">
        <v>0</v>
      </c>
      <c r="CN590" s="762">
        <v>0</v>
      </c>
      <c r="CO590" s="762">
        <v>0</v>
      </c>
      <c r="CP590" s="762">
        <v>0</v>
      </c>
      <c r="CQ590" s="762">
        <v>0</v>
      </c>
      <c r="CR590" s="762">
        <v>0</v>
      </c>
    </row>
    <row r="591" spans="1:96" s="53" customFormat="1">
      <c r="A591" s="721" t="s">
        <v>3</v>
      </c>
      <c r="B591" s="723">
        <v>41656</v>
      </c>
      <c r="C591" s="721">
        <v>2014</v>
      </c>
      <c r="D591" s="713" t="s">
        <v>1</v>
      </c>
      <c r="E591" s="713" t="s">
        <v>674</v>
      </c>
      <c r="F591" s="723" t="s">
        <v>123</v>
      </c>
      <c r="G591" s="713" t="s">
        <v>58</v>
      </c>
      <c r="H591" s="723" t="s">
        <v>710</v>
      </c>
      <c r="I591" s="713" t="s">
        <v>5</v>
      </c>
      <c r="J591" s="713" t="s">
        <v>376</v>
      </c>
      <c r="K591" s="766">
        <v>1</v>
      </c>
      <c r="L591" s="766" t="s">
        <v>671</v>
      </c>
      <c r="M591" s="765" t="s">
        <v>781</v>
      </c>
      <c r="N591" s="765">
        <v>10</v>
      </c>
      <c r="O591" s="765" t="s">
        <v>7</v>
      </c>
      <c r="P591" s="735">
        <v>1</v>
      </c>
      <c r="Q591" s="713" t="s">
        <v>58</v>
      </c>
      <c r="R591" s="713" t="s">
        <v>58</v>
      </c>
      <c r="S591" s="713" t="s">
        <v>58</v>
      </c>
      <c r="T591" s="713" t="s">
        <v>58</v>
      </c>
      <c r="U591" s="764">
        <v>2.7E-2</v>
      </c>
      <c r="V591" s="764">
        <v>236.52</v>
      </c>
      <c r="W591" s="764">
        <v>2.1176384019896303E-2</v>
      </c>
      <c r="X591" s="764">
        <v>195.40738092354144</v>
      </c>
      <c r="Y591" s="764">
        <v>1954.0738092354145</v>
      </c>
      <c r="Z591" s="764">
        <v>1844.3922588464168</v>
      </c>
      <c r="AA591" s="764">
        <v>184.43922588464167</v>
      </c>
      <c r="AB591" s="764">
        <v>2.0002014902834774E-2</v>
      </c>
      <c r="AC591" s="714">
        <v>0.82617698682369967</v>
      </c>
      <c r="AD591" s="714">
        <v>0.7843105192554185</v>
      </c>
      <c r="AE591" s="713" t="s">
        <v>58</v>
      </c>
      <c r="AF591" s="713" t="s">
        <v>58</v>
      </c>
      <c r="AG591" s="713" t="s">
        <v>58</v>
      </c>
      <c r="AH591" s="714">
        <v>0.94387031345969796</v>
      </c>
      <c r="AI591" s="713" t="s">
        <v>58</v>
      </c>
      <c r="AJ591" s="713" t="s">
        <v>58</v>
      </c>
      <c r="AK591" s="713" t="s">
        <v>58</v>
      </c>
      <c r="AL591" s="714">
        <v>0.94454345387965444</v>
      </c>
      <c r="AM591" s="713" t="s">
        <v>58</v>
      </c>
      <c r="AN591" s="713" t="s">
        <v>58</v>
      </c>
      <c r="AO591" s="713" t="s">
        <v>58</v>
      </c>
      <c r="AP591" s="747">
        <v>29</v>
      </c>
      <c r="AQ591" s="747">
        <v>29</v>
      </c>
      <c r="AR591" s="709"/>
      <c r="AS591" s="763">
        <v>0</v>
      </c>
      <c r="AT591" s="763">
        <v>0</v>
      </c>
      <c r="AU591" s="763">
        <v>0</v>
      </c>
      <c r="AV591" s="763">
        <v>2.0002014902834774E-2</v>
      </c>
      <c r="AW591" s="763">
        <v>2.0002014902834774E-2</v>
      </c>
      <c r="AX591" s="763">
        <v>2.0002014902834774E-2</v>
      </c>
      <c r="AY591" s="763">
        <v>2.0002014902834774E-2</v>
      </c>
      <c r="AZ591" s="763">
        <v>2.0002014902834774E-2</v>
      </c>
      <c r="BA591" s="763">
        <v>2.0002014902834774E-2</v>
      </c>
      <c r="BB591" s="763">
        <v>2.0002014902834774E-2</v>
      </c>
      <c r="BC591" s="763">
        <v>2.0002014902834774E-2</v>
      </c>
      <c r="BD591" s="763">
        <v>2.0002014902834774E-2</v>
      </c>
      <c r="BE591" s="763">
        <v>2.0002014902834774E-2</v>
      </c>
      <c r="BF591" s="763">
        <v>0</v>
      </c>
      <c r="BG591" s="763">
        <v>0</v>
      </c>
      <c r="BH591" s="763">
        <v>0</v>
      </c>
      <c r="BI591" s="763">
        <v>0</v>
      </c>
      <c r="BJ591" s="763">
        <v>0</v>
      </c>
      <c r="BK591" s="763">
        <v>0</v>
      </c>
      <c r="BL591" s="763">
        <v>0</v>
      </c>
      <c r="BM591" s="763">
        <v>0</v>
      </c>
      <c r="BN591" s="763">
        <v>0</v>
      </c>
      <c r="BO591" s="763">
        <v>0</v>
      </c>
      <c r="BP591" s="763">
        <v>0</v>
      </c>
      <c r="BQ591" s="763">
        <v>0</v>
      </c>
      <c r="BR591" s="763">
        <v>0</v>
      </c>
      <c r="BS591" s="762">
        <v>0</v>
      </c>
      <c r="BT591" s="762">
        <v>0</v>
      </c>
      <c r="BU591" s="762">
        <v>0</v>
      </c>
      <c r="BV591" s="762">
        <v>184.43922588464167</v>
      </c>
      <c r="BW591" s="762">
        <v>184.43922588464167</v>
      </c>
      <c r="BX591" s="762">
        <v>184.43922588464167</v>
      </c>
      <c r="BY591" s="762">
        <v>184.43922588464167</v>
      </c>
      <c r="BZ591" s="762">
        <v>184.43922588464167</v>
      </c>
      <c r="CA591" s="762">
        <v>184.43922588464167</v>
      </c>
      <c r="CB591" s="762">
        <v>184.43922588464167</v>
      </c>
      <c r="CC591" s="762">
        <v>184.43922588464167</v>
      </c>
      <c r="CD591" s="762">
        <v>184.43922588464167</v>
      </c>
      <c r="CE591" s="762">
        <v>184.43922588464167</v>
      </c>
      <c r="CF591" s="762">
        <v>0</v>
      </c>
      <c r="CG591" s="762">
        <v>0</v>
      </c>
      <c r="CH591" s="762">
        <v>0</v>
      </c>
      <c r="CI591" s="762">
        <v>0</v>
      </c>
      <c r="CJ591" s="762">
        <v>0</v>
      </c>
      <c r="CK591" s="762">
        <v>0</v>
      </c>
      <c r="CL591" s="762">
        <v>0</v>
      </c>
      <c r="CM591" s="762">
        <v>0</v>
      </c>
      <c r="CN591" s="762">
        <v>0</v>
      </c>
      <c r="CO591" s="762">
        <v>0</v>
      </c>
      <c r="CP591" s="762">
        <v>0</v>
      </c>
      <c r="CQ591" s="762">
        <v>0</v>
      </c>
      <c r="CR591" s="762">
        <v>0</v>
      </c>
    </row>
    <row r="592" spans="1:96" s="53" customFormat="1">
      <c r="A592" s="721" t="s">
        <v>3</v>
      </c>
      <c r="B592" s="723">
        <v>41656</v>
      </c>
      <c r="C592" s="721">
        <v>2014</v>
      </c>
      <c r="D592" s="713" t="s">
        <v>1</v>
      </c>
      <c r="E592" s="713" t="s">
        <v>674</v>
      </c>
      <c r="F592" s="723" t="s">
        <v>123</v>
      </c>
      <c r="G592" s="713" t="s">
        <v>58</v>
      </c>
      <c r="H592" s="723" t="s">
        <v>677</v>
      </c>
      <c r="I592" s="713" t="s">
        <v>5</v>
      </c>
      <c r="J592" s="713" t="s">
        <v>376</v>
      </c>
      <c r="K592" s="766">
        <v>1</v>
      </c>
      <c r="L592" s="766" t="s">
        <v>671</v>
      </c>
      <c r="M592" s="765" t="s">
        <v>781</v>
      </c>
      <c r="N592" s="765">
        <v>0</v>
      </c>
      <c r="O592" s="765">
        <v>0</v>
      </c>
      <c r="P592" s="735">
        <v>0</v>
      </c>
      <c r="Q592" s="713" t="s">
        <v>58</v>
      </c>
      <c r="R592" s="713" t="s">
        <v>58</v>
      </c>
      <c r="S592" s="713" t="s">
        <v>58</v>
      </c>
      <c r="T592" s="713" t="s">
        <v>58</v>
      </c>
      <c r="U592" s="764">
        <v>0</v>
      </c>
      <c r="V592" s="764">
        <v>0</v>
      </c>
      <c r="W592" s="764">
        <v>0</v>
      </c>
      <c r="X592" s="764">
        <v>0</v>
      </c>
      <c r="Y592" s="764">
        <v>0</v>
      </c>
      <c r="Z592" s="764">
        <v>0</v>
      </c>
      <c r="AA592" s="764">
        <v>0</v>
      </c>
      <c r="AB592" s="764">
        <v>0</v>
      </c>
      <c r="AC592" s="714">
        <v>0.82617698682369967</v>
      </c>
      <c r="AD592" s="714">
        <v>0.7843105192554185</v>
      </c>
      <c r="AE592" s="713" t="s">
        <v>58</v>
      </c>
      <c r="AF592" s="713" t="s">
        <v>58</v>
      </c>
      <c r="AG592" s="713" t="s">
        <v>58</v>
      </c>
      <c r="AH592" s="714">
        <v>0.94387031345969796</v>
      </c>
      <c r="AI592" s="713" t="s">
        <v>58</v>
      </c>
      <c r="AJ592" s="713" t="s">
        <v>58</v>
      </c>
      <c r="AK592" s="713" t="s">
        <v>58</v>
      </c>
      <c r="AL592" s="714">
        <v>0.94454345387965444</v>
      </c>
      <c r="AM592" s="713" t="s">
        <v>58</v>
      </c>
      <c r="AN592" s="713" t="s">
        <v>58</v>
      </c>
      <c r="AO592" s="713" t="s">
        <v>58</v>
      </c>
      <c r="AP592" s="747">
        <v>51</v>
      </c>
      <c r="AQ592" s="747">
        <v>51</v>
      </c>
      <c r="AR592" s="709"/>
      <c r="AS592" s="763">
        <v>0</v>
      </c>
      <c r="AT592" s="763">
        <v>0</v>
      </c>
      <c r="AU592" s="763">
        <v>0</v>
      </c>
      <c r="AV592" s="763">
        <v>0</v>
      </c>
      <c r="AW592" s="763">
        <v>0</v>
      </c>
      <c r="AX592" s="763">
        <v>0</v>
      </c>
      <c r="AY592" s="763">
        <v>0</v>
      </c>
      <c r="AZ592" s="763">
        <v>0</v>
      </c>
      <c r="BA592" s="763">
        <v>0</v>
      </c>
      <c r="BB592" s="763">
        <v>0</v>
      </c>
      <c r="BC592" s="763">
        <v>0</v>
      </c>
      <c r="BD592" s="763">
        <v>0</v>
      </c>
      <c r="BE592" s="763">
        <v>0</v>
      </c>
      <c r="BF592" s="763">
        <v>0</v>
      </c>
      <c r="BG592" s="763">
        <v>0</v>
      </c>
      <c r="BH592" s="763">
        <v>0</v>
      </c>
      <c r="BI592" s="763">
        <v>0</v>
      </c>
      <c r="BJ592" s="763">
        <v>0</v>
      </c>
      <c r="BK592" s="763">
        <v>0</v>
      </c>
      <c r="BL592" s="763">
        <v>0</v>
      </c>
      <c r="BM592" s="763">
        <v>0</v>
      </c>
      <c r="BN592" s="763">
        <v>0</v>
      </c>
      <c r="BO592" s="763">
        <v>0</v>
      </c>
      <c r="BP592" s="763">
        <v>0</v>
      </c>
      <c r="BQ592" s="763">
        <v>0</v>
      </c>
      <c r="BR592" s="763">
        <v>0</v>
      </c>
      <c r="BS592" s="762">
        <v>0</v>
      </c>
      <c r="BT592" s="762">
        <v>0</v>
      </c>
      <c r="BU592" s="762">
        <v>0</v>
      </c>
      <c r="BV592" s="762">
        <v>0</v>
      </c>
      <c r="BW592" s="762">
        <v>0</v>
      </c>
      <c r="BX592" s="762">
        <v>0</v>
      </c>
      <c r="BY592" s="762">
        <v>0</v>
      </c>
      <c r="BZ592" s="762">
        <v>0</v>
      </c>
      <c r="CA592" s="762">
        <v>0</v>
      </c>
      <c r="CB592" s="762">
        <v>0</v>
      </c>
      <c r="CC592" s="762">
        <v>0</v>
      </c>
      <c r="CD592" s="762">
        <v>0</v>
      </c>
      <c r="CE592" s="762">
        <v>0</v>
      </c>
      <c r="CF592" s="762">
        <v>0</v>
      </c>
      <c r="CG592" s="762">
        <v>0</v>
      </c>
      <c r="CH592" s="762">
        <v>0</v>
      </c>
      <c r="CI592" s="762">
        <v>0</v>
      </c>
      <c r="CJ592" s="762">
        <v>0</v>
      </c>
      <c r="CK592" s="762">
        <v>0</v>
      </c>
      <c r="CL592" s="762">
        <v>0</v>
      </c>
      <c r="CM592" s="762">
        <v>0</v>
      </c>
      <c r="CN592" s="762">
        <v>0</v>
      </c>
      <c r="CO592" s="762">
        <v>0</v>
      </c>
      <c r="CP592" s="762">
        <v>0</v>
      </c>
      <c r="CQ592" s="762">
        <v>0</v>
      </c>
      <c r="CR592" s="762">
        <v>0</v>
      </c>
    </row>
    <row r="593" spans="1:96" s="53" customFormat="1">
      <c r="A593" s="721" t="s">
        <v>3</v>
      </c>
      <c r="B593" s="723">
        <v>41656</v>
      </c>
      <c r="C593" s="721">
        <v>2014</v>
      </c>
      <c r="D593" s="713" t="s">
        <v>1</v>
      </c>
      <c r="E593" s="713" t="s">
        <v>674</v>
      </c>
      <c r="F593" s="723" t="s">
        <v>123</v>
      </c>
      <c r="G593" s="713" t="s">
        <v>58</v>
      </c>
      <c r="H593" s="723" t="s">
        <v>735</v>
      </c>
      <c r="I593" s="713" t="s">
        <v>5</v>
      </c>
      <c r="J593" s="713" t="s">
        <v>376</v>
      </c>
      <c r="K593" s="766">
        <v>5</v>
      </c>
      <c r="L593" s="766" t="s">
        <v>671</v>
      </c>
      <c r="M593" s="765" t="s">
        <v>781</v>
      </c>
      <c r="N593" s="765">
        <v>12</v>
      </c>
      <c r="O593" s="765">
        <v>3</v>
      </c>
      <c r="P593" s="735">
        <v>0.6097560975609756</v>
      </c>
      <c r="Q593" s="713" t="s">
        <v>58</v>
      </c>
      <c r="R593" s="713" t="s">
        <v>58</v>
      </c>
      <c r="S593" s="713" t="s">
        <v>58</v>
      </c>
      <c r="T593" s="713" t="s">
        <v>58</v>
      </c>
      <c r="U593" s="764">
        <v>0.20499999999999999</v>
      </c>
      <c r="V593" s="764">
        <v>699.05</v>
      </c>
      <c r="W593" s="764">
        <v>0.16078365644736081</v>
      </c>
      <c r="X593" s="764">
        <v>577.5390226391072</v>
      </c>
      <c r="Y593" s="764">
        <v>4902.0385336197387</v>
      </c>
      <c r="Z593" s="764">
        <v>4626.8886473191806</v>
      </c>
      <c r="AA593" s="764">
        <v>545.12193833358174</v>
      </c>
      <c r="AB593" s="764">
        <v>0.15186715018818994</v>
      </c>
      <c r="AC593" s="714">
        <v>0.82617698682369967</v>
      </c>
      <c r="AD593" s="714">
        <v>0.7843105192554185</v>
      </c>
      <c r="AE593" s="713" t="s">
        <v>58</v>
      </c>
      <c r="AF593" s="713" t="s">
        <v>58</v>
      </c>
      <c r="AG593" s="713" t="s">
        <v>58</v>
      </c>
      <c r="AH593" s="714">
        <v>0.94387031345969796</v>
      </c>
      <c r="AI593" s="713" t="s">
        <v>58</v>
      </c>
      <c r="AJ593" s="713" t="s">
        <v>58</v>
      </c>
      <c r="AK593" s="713" t="s">
        <v>58</v>
      </c>
      <c r="AL593" s="714">
        <v>0.94454345387965444</v>
      </c>
      <c r="AM593" s="713" t="s">
        <v>58</v>
      </c>
      <c r="AN593" s="713" t="s">
        <v>58</v>
      </c>
      <c r="AO593" s="713" t="s">
        <v>58</v>
      </c>
      <c r="AP593" s="747">
        <v>119</v>
      </c>
      <c r="AQ593" s="747">
        <v>595</v>
      </c>
      <c r="AR593" s="709"/>
      <c r="AS593" s="763">
        <v>0</v>
      </c>
      <c r="AT593" s="763">
        <v>0</v>
      </c>
      <c r="AU593" s="763">
        <v>0</v>
      </c>
      <c r="AV593" s="763">
        <v>0.15186715018818994</v>
      </c>
      <c r="AW593" s="763">
        <v>0.15186715018818994</v>
      </c>
      <c r="AX593" s="763">
        <v>0.15186715018818994</v>
      </c>
      <c r="AY593" s="763">
        <v>9.2601920846457283E-2</v>
      </c>
      <c r="AZ593" s="763">
        <v>9.2601920846457283E-2</v>
      </c>
      <c r="BA593" s="763">
        <v>9.2601920846457283E-2</v>
      </c>
      <c r="BB593" s="763">
        <v>9.2601920846457283E-2</v>
      </c>
      <c r="BC593" s="763">
        <v>9.2601920846457283E-2</v>
      </c>
      <c r="BD593" s="763">
        <v>9.2601920846457283E-2</v>
      </c>
      <c r="BE593" s="763">
        <v>9.2601920846457283E-2</v>
      </c>
      <c r="BF593" s="763">
        <v>9.2601920846457283E-2</v>
      </c>
      <c r="BG593" s="763">
        <v>9.2601920846457283E-2</v>
      </c>
      <c r="BH593" s="763">
        <v>0</v>
      </c>
      <c r="BI593" s="763">
        <v>0</v>
      </c>
      <c r="BJ593" s="763">
        <v>0</v>
      </c>
      <c r="BK593" s="763">
        <v>0</v>
      </c>
      <c r="BL593" s="763">
        <v>0</v>
      </c>
      <c r="BM593" s="763">
        <v>0</v>
      </c>
      <c r="BN593" s="763">
        <v>0</v>
      </c>
      <c r="BO593" s="763">
        <v>0</v>
      </c>
      <c r="BP593" s="763">
        <v>0</v>
      </c>
      <c r="BQ593" s="763">
        <v>0</v>
      </c>
      <c r="BR593" s="763">
        <v>0</v>
      </c>
      <c r="BS593" s="762">
        <v>0</v>
      </c>
      <c r="BT593" s="762">
        <v>0</v>
      </c>
      <c r="BU593" s="762">
        <v>0</v>
      </c>
      <c r="BV593" s="762">
        <v>545.12193833358174</v>
      </c>
      <c r="BW593" s="762">
        <v>545.12193833358174</v>
      </c>
      <c r="BX593" s="762">
        <v>545.12193833358174</v>
      </c>
      <c r="BY593" s="762">
        <v>332.39142581315957</v>
      </c>
      <c r="BZ593" s="762">
        <v>332.39142581315957</v>
      </c>
      <c r="CA593" s="762">
        <v>332.39142581315957</v>
      </c>
      <c r="CB593" s="762">
        <v>332.39142581315957</v>
      </c>
      <c r="CC593" s="762">
        <v>332.39142581315957</v>
      </c>
      <c r="CD593" s="762">
        <v>332.39142581315957</v>
      </c>
      <c r="CE593" s="762">
        <v>332.39142581315957</v>
      </c>
      <c r="CF593" s="762">
        <v>332.39142581315957</v>
      </c>
      <c r="CG593" s="762">
        <v>332.39142581315957</v>
      </c>
      <c r="CH593" s="762">
        <v>0</v>
      </c>
      <c r="CI593" s="762">
        <v>0</v>
      </c>
      <c r="CJ593" s="762">
        <v>0</v>
      </c>
      <c r="CK593" s="762">
        <v>0</v>
      </c>
      <c r="CL593" s="762">
        <v>0</v>
      </c>
      <c r="CM593" s="762">
        <v>0</v>
      </c>
      <c r="CN593" s="762">
        <v>0</v>
      </c>
      <c r="CO593" s="762">
        <v>0</v>
      </c>
      <c r="CP593" s="762">
        <v>0</v>
      </c>
      <c r="CQ593" s="762">
        <v>0</v>
      </c>
      <c r="CR593" s="762">
        <v>0</v>
      </c>
    </row>
    <row r="594" spans="1:96" s="53" customFormat="1">
      <c r="A594" s="721" t="s">
        <v>3</v>
      </c>
      <c r="B594" s="723">
        <v>41656</v>
      </c>
      <c r="C594" s="721">
        <v>2014</v>
      </c>
      <c r="D594" s="713" t="s">
        <v>1</v>
      </c>
      <c r="E594" s="713" t="s">
        <v>674</v>
      </c>
      <c r="F594" s="723" t="s">
        <v>123</v>
      </c>
      <c r="G594" s="713" t="s">
        <v>58</v>
      </c>
      <c r="H594" s="723" t="s">
        <v>735</v>
      </c>
      <c r="I594" s="713" t="s">
        <v>5</v>
      </c>
      <c r="J594" s="713" t="s">
        <v>376</v>
      </c>
      <c r="K594" s="766">
        <v>1</v>
      </c>
      <c r="L594" s="766" t="s">
        <v>671</v>
      </c>
      <c r="M594" s="765" t="s">
        <v>781</v>
      </c>
      <c r="N594" s="765">
        <v>12</v>
      </c>
      <c r="O594" s="765">
        <v>3</v>
      </c>
      <c r="P594" s="735">
        <v>0.6097560975609756</v>
      </c>
      <c r="Q594" s="713" t="s">
        <v>58</v>
      </c>
      <c r="R594" s="713" t="s">
        <v>58</v>
      </c>
      <c r="S594" s="713" t="s">
        <v>58</v>
      </c>
      <c r="T594" s="713" t="s">
        <v>58</v>
      </c>
      <c r="U594" s="764">
        <v>4.1000000000000002E-2</v>
      </c>
      <c r="V594" s="764">
        <v>139.81</v>
      </c>
      <c r="W594" s="764">
        <v>3.2156731289472169E-2</v>
      </c>
      <c r="X594" s="764">
        <v>115.50780452782145</v>
      </c>
      <c r="Y594" s="764">
        <v>980.40770672394797</v>
      </c>
      <c r="Z594" s="764">
        <v>925.37772946383643</v>
      </c>
      <c r="AA594" s="764">
        <v>109.02438766671635</v>
      </c>
      <c r="AB594" s="764">
        <v>3.0373430037637997E-2</v>
      </c>
      <c r="AC594" s="714">
        <v>0.82617698682369967</v>
      </c>
      <c r="AD594" s="714">
        <v>0.7843105192554185</v>
      </c>
      <c r="AE594" s="713" t="s">
        <v>58</v>
      </c>
      <c r="AF594" s="713" t="s">
        <v>58</v>
      </c>
      <c r="AG594" s="713" t="s">
        <v>58</v>
      </c>
      <c r="AH594" s="714">
        <v>0.94387031345969796</v>
      </c>
      <c r="AI594" s="713" t="s">
        <v>58</v>
      </c>
      <c r="AJ594" s="713" t="s">
        <v>58</v>
      </c>
      <c r="AK594" s="713" t="s">
        <v>58</v>
      </c>
      <c r="AL594" s="714">
        <v>0.94454345387965444</v>
      </c>
      <c r="AM594" s="713" t="s">
        <v>58</v>
      </c>
      <c r="AN594" s="713" t="s">
        <v>58</v>
      </c>
      <c r="AO594" s="713" t="s">
        <v>58</v>
      </c>
      <c r="AP594" s="747">
        <v>119</v>
      </c>
      <c r="AQ594" s="747">
        <v>119</v>
      </c>
      <c r="AR594" s="709"/>
      <c r="AS594" s="763">
        <v>0</v>
      </c>
      <c r="AT594" s="763">
        <v>0</v>
      </c>
      <c r="AU594" s="763">
        <v>0</v>
      </c>
      <c r="AV594" s="763">
        <v>3.0373430037637997E-2</v>
      </c>
      <c r="AW594" s="763">
        <v>3.0373430037637997E-2</v>
      </c>
      <c r="AX594" s="763">
        <v>3.0373430037637997E-2</v>
      </c>
      <c r="AY594" s="763">
        <v>1.852038416929146E-2</v>
      </c>
      <c r="AZ594" s="763">
        <v>1.852038416929146E-2</v>
      </c>
      <c r="BA594" s="763">
        <v>1.852038416929146E-2</v>
      </c>
      <c r="BB594" s="763">
        <v>1.852038416929146E-2</v>
      </c>
      <c r="BC594" s="763">
        <v>1.852038416929146E-2</v>
      </c>
      <c r="BD594" s="763">
        <v>1.852038416929146E-2</v>
      </c>
      <c r="BE594" s="763">
        <v>1.852038416929146E-2</v>
      </c>
      <c r="BF594" s="763">
        <v>1.852038416929146E-2</v>
      </c>
      <c r="BG594" s="763">
        <v>1.852038416929146E-2</v>
      </c>
      <c r="BH594" s="763">
        <v>0</v>
      </c>
      <c r="BI594" s="763">
        <v>0</v>
      </c>
      <c r="BJ594" s="763">
        <v>0</v>
      </c>
      <c r="BK594" s="763">
        <v>0</v>
      </c>
      <c r="BL594" s="763">
        <v>0</v>
      </c>
      <c r="BM594" s="763">
        <v>0</v>
      </c>
      <c r="BN594" s="763">
        <v>0</v>
      </c>
      <c r="BO594" s="763">
        <v>0</v>
      </c>
      <c r="BP594" s="763">
        <v>0</v>
      </c>
      <c r="BQ594" s="763">
        <v>0</v>
      </c>
      <c r="BR594" s="763">
        <v>0</v>
      </c>
      <c r="BS594" s="762">
        <v>0</v>
      </c>
      <c r="BT594" s="762">
        <v>0</v>
      </c>
      <c r="BU594" s="762">
        <v>0</v>
      </c>
      <c r="BV594" s="762">
        <v>109.02438766671635</v>
      </c>
      <c r="BW594" s="762">
        <v>109.02438766671635</v>
      </c>
      <c r="BX594" s="762">
        <v>109.02438766671635</v>
      </c>
      <c r="BY594" s="762">
        <v>66.47828516263192</v>
      </c>
      <c r="BZ594" s="762">
        <v>66.47828516263192</v>
      </c>
      <c r="CA594" s="762">
        <v>66.47828516263192</v>
      </c>
      <c r="CB594" s="762">
        <v>66.47828516263192</v>
      </c>
      <c r="CC594" s="762">
        <v>66.47828516263192</v>
      </c>
      <c r="CD594" s="762">
        <v>66.47828516263192</v>
      </c>
      <c r="CE594" s="762">
        <v>66.47828516263192</v>
      </c>
      <c r="CF594" s="762">
        <v>66.47828516263192</v>
      </c>
      <c r="CG594" s="762">
        <v>66.47828516263192</v>
      </c>
      <c r="CH594" s="762">
        <v>0</v>
      </c>
      <c r="CI594" s="762">
        <v>0</v>
      </c>
      <c r="CJ594" s="762">
        <v>0</v>
      </c>
      <c r="CK594" s="762">
        <v>0</v>
      </c>
      <c r="CL594" s="762">
        <v>0</v>
      </c>
      <c r="CM594" s="762">
        <v>0</v>
      </c>
      <c r="CN594" s="762">
        <v>0</v>
      </c>
      <c r="CO594" s="762">
        <v>0</v>
      </c>
      <c r="CP594" s="762">
        <v>0</v>
      </c>
      <c r="CQ594" s="762">
        <v>0</v>
      </c>
      <c r="CR594" s="762">
        <v>0</v>
      </c>
    </row>
    <row r="595" spans="1:96" s="53" customFormat="1">
      <c r="A595" s="721" t="s">
        <v>3</v>
      </c>
      <c r="B595" s="723">
        <v>41656</v>
      </c>
      <c r="C595" s="721">
        <v>2014</v>
      </c>
      <c r="D595" s="713" t="s">
        <v>1</v>
      </c>
      <c r="E595" s="713" t="s">
        <v>674</v>
      </c>
      <c r="F595" s="723" t="s">
        <v>123</v>
      </c>
      <c r="G595" s="713" t="s">
        <v>58</v>
      </c>
      <c r="H595" s="723" t="s">
        <v>682</v>
      </c>
      <c r="I595" s="713" t="s">
        <v>5</v>
      </c>
      <c r="J595" s="713" t="s">
        <v>376</v>
      </c>
      <c r="K595" s="766">
        <v>3</v>
      </c>
      <c r="L595" s="766" t="s">
        <v>671</v>
      </c>
      <c r="M595" s="765" t="s">
        <v>781</v>
      </c>
      <c r="N595" s="765">
        <v>12</v>
      </c>
      <c r="O595" s="765">
        <v>3</v>
      </c>
      <c r="P595" s="735">
        <v>0.4</v>
      </c>
      <c r="Q595" s="713" t="s">
        <v>58</v>
      </c>
      <c r="R595" s="713" t="s">
        <v>58</v>
      </c>
      <c r="S595" s="713" t="s">
        <v>58</v>
      </c>
      <c r="T595" s="713" t="s">
        <v>58</v>
      </c>
      <c r="U595" s="764">
        <v>7.4999999999999997E-2</v>
      </c>
      <c r="V595" s="764">
        <v>255.75</v>
      </c>
      <c r="W595" s="764">
        <v>5.88232889441564E-2</v>
      </c>
      <c r="X595" s="764">
        <v>211.29476438016118</v>
      </c>
      <c r="Y595" s="764">
        <v>1394.5454449090639</v>
      </c>
      <c r="Z595" s="764">
        <v>1316.2700462201121</v>
      </c>
      <c r="AA595" s="764">
        <v>199.43485548789576</v>
      </c>
      <c r="AB595" s="764">
        <v>5.5561152507874377E-2</v>
      </c>
      <c r="AC595" s="714">
        <v>0.82617698682369967</v>
      </c>
      <c r="AD595" s="714">
        <v>0.7843105192554185</v>
      </c>
      <c r="AE595" s="713" t="s">
        <v>58</v>
      </c>
      <c r="AF595" s="713" t="s">
        <v>58</v>
      </c>
      <c r="AG595" s="713" t="s">
        <v>58</v>
      </c>
      <c r="AH595" s="714">
        <v>0.94387031345969796</v>
      </c>
      <c r="AI595" s="713" t="s">
        <v>58</v>
      </c>
      <c r="AJ595" s="713" t="s">
        <v>58</v>
      </c>
      <c r="AK595" s="713" t="s">
        <v>58</v>
      </c>
      <c r="AL595" s="714">
        <v>0.94454345387965444</v>
      </c>
      <c r="AM595" s="713" t="s">
        <v>58</v>
      </c>
      <c r="AN595" s="713" t="s">
        <v>58</v>
      </c>
      <c r="AO595" s="713" t="s">
        <v>58</v>
      </c>
      <c r="AP595" s="747">
        <v>17</v>
      </c>
      <c r="AQ595" s="747">
        <v>51</v>
      </c>
      <c r="AR595" s="709"/>
      <c r="AS595" s="763">
        <v>0</v>
      </c>
      <c r="AT595" s="763">
        <v>0</v>
      </c>
      <c r="AU595" s="763">
        <v>0</v>
      </c>
      <c r="AV595" s="763">
        <v>5.5561152507874377E-2</v>
      </c>
      <c r="AW595" s="763">
        <v>5.5561152507874377E-2</v>
      </c>
      <c r="AX595" s="763">
        <v>5.5561152507874377E-2</v>
      </c>
      <c r="AY595" s="763">
        <v>2.2224461003149752E-2</v>
      </c>
      <c r="AZ595" s="763">
        <v>2.2224461003149752E-2</v>
      </c>
      <c r="BA595" s="763">
        <v>2.2224461003149752E-2</v>
      </c>
      <c r="BB595" s="763">
        <v>2.2224461003149752E-2</v>
      </c>
      <c r="BC595" s="763">
        <v>2.2224461003149752E-2</v>
      </c>
      <c r="BD595" s="763">
        <v>2.2224461003149752E-2</v>
      </c>
      <c r="BE595" s="763">
        <v>2.2224461003149752E-2</v>
      </c>
      <c r="BF595" s="763">
        <v>2.2224461003149752E-2</v>
      </c>
      <c r="BG595" s="763">
        <v>2.2224461003149752E-2</v>
      </c>
      <c r="BH595" s="763">
        <v>0</v>
      </c>
      <c r="BI595" s="763">
        <v>0</v>
      </c>
      <c r="BJ595" s="763">
        <v>0</v>
      </c>
      <c r="BK595" s="763">
        <v>0</v>
      </c>
      <c r="BL595" s="763">
        <v>0</v>
      </c>
      <c r="BM595" s="763">
        <v>0</v>
      </c>
      <c r="BN595" s="763">
        <v>0</v>
      </c>
      <c r="BO595" s="763">
        <v>0</v>
      </c>
      <c r="BP595" s="763">
        <v>0</v>
      </c>
      <c r="BQ595" s="763">
        <v>0</v>
      </c>
      <c r="BR595" s="763">
        <v>0</v>
      </c>
      <c r="BS595" s="762">
        <v>0</v>
      </c>
      <c r="BT595" s="762">
        <v>0</v>
      </c>
      <c r="BU595" s="762">
        <v>0</v>
      </c>
      <c r="BV595" s="762">
        <v>199.43485548789576</v>
      </c>
      <c r="BW595" s="762">
        <v>199.43485548789576</v>
      </c>
      <c r="BX595" s="762">
        <v>199.43485548789576</v>
      </c>
      <c r="BY595" s="762">
        <v>79.773942195158313</v>
      </c>
      <c r="BZ595" s="762">
        <v>79.773942195158313</v>
      </c>
      <c r="CA595" s="762">
        <v>79.773942195158313</v>
      </c>
      <c r="CB595" s="762">
        <v>79.773942195158313</v>
      </c>
      <c r="CC595" s="762">
        <v>79.773942195158313</v>
      </c>
      <c r="CD595" s="762">
        <v>79.773942195158313</v>
      </c>
      <c r="CE595" s="762">
        <v>79.773942195158313</v>
      </c>
      <c r="CF595" s="762">
        <v>79.773942195158313</v>
      </c>
      <c r="CG595" s="762">
        <v>79.773942195158313</v>
      </c>
      <c r="CH595" s="762">
        <v>0</v>
      </c>
      <c r="CI595" s="762">
        <v>0</v>
      </c>
      <c r="CJ595" s="762">
        <v>0</v>
      </c>
      <c r="CK595" s="762">
        <v>0</v>
      </c>
      <c r="CL595" s="762">
        <v>0</v>
      </c>
      <c r="CM595" s="762">
        <v>0</v>
      </c>
      <c r="CN595" s="762">
        <v>0</v>
      </c>
      <c r="CO595" s="762">
        <v>0</v>
      </c>
      <c r="CP595" s="762">
        <v>0</v>
      </c>
      <c r="CQ595" s="762">
        <v>0</v>
      </c>
      <c r="CR595" s="762">
        <v>0</v>
      </c>
    </row>
    <row r="596" spans="1:96" s="53" customFormat="1">
      <c r="A596" s="721" t="s">
        <v>3</v>
      </c>
      <c r="B596" s="723">
        <v>41656</v>
      </c>
      <c r="C596" s="721">
        <v>2014</v>
      </c>
      <c r="D596" s="713" t="s">
        <v>1</v>
      </c>
      <c r="E596" s="713" t="s">
        <v>674</v>
      </c>
      <c r="F596" s="723" t="s">
        <v>123</v>
      </c>
      <c r="G596" s="713" t="s">
        <v>58</v>
      </c>
      <c r="H596" s="723" t="s">
        <v>676</v>
      </c>
      <c r="I596" s="713" t="s">
        <v>5</v>
      </c>
      <c r="J596" s="713" t="s">
        <v>376</v>
      </c>
      <c r="K596" s="766">
        <v>12</v>
      </c>
      <c r="L596" s="766" t="s">
        <v>671</v>
      </c>
      <c r="M596" s="765" t="s">
        <v>781</v>
      </c>
      <c r="N596" s="765">
        <v>12</v>
      </c>
      <c r="O596" s="765">
        <v>3</v>
      </c>
      <c r="P596" s="735">
        <v>0.31578947368421051</v>
      </c>
      <c r="Q596" s="713" t="s">
        <v>58</v>
      </c>
      <c r="R596" s="713" t="s">
        <v>58</v>
      </c>
      <c r="S596" s="713" t="s">
        <v>58</v>
      </c>
      <c r="T596" s="713" t="s">
        <v>58</v>
      </c>
      <c r="U596" s="764">
        <v>0.45600000000000002</v>
      </c>
      <c r="V596" s="764">
        <v>1554.96</v>
      </c>
      <c r="W596" s="764">
        <v>0.35764559678047092</v>
      </c>
      <c r="X596" s="764">
        <v>1284.6721674313801</v>
      </c>
      <c r="Y596" s="764">
        <v>7505.1900307833257</v>
      </c>
      <c r="Z596" s="764">
        <v>7083.9260669300575</v>
      </c>
      <c r="AA596" s="764">
        <v>1212.5639213664062</v>
      </c>
      <c r="AB596" s="764">
        <v>0.33781180724787624</v>
      </c>
      <c r="AC596" s="714">
        <v>0.82617698682369967</v>
      </c>
      <c r="AD596" s="714">
        <v>0.7843105192554185</v>
      </c>
      <c r="AE596" s="713" t="s">
        <v>58</v>
      </c>
      <c r="AF596" s="713" t="s">
        <v>58</v>
      </c>
      <c r="AG596" s="713" t="s">
        <v>58</v>
      </c>
      <c r="AH596" s="714">
        <v>0.94387031345969796</v>
      </c>
      <c r="AI596" s="713" t="s">
        <v>58</v>
      </c>
      <c r="AJ596" s="713" t="s">
        <v>58</v>
      </c>
      <c r="AK596" s="713" t="s">
        <v>58</v>
      </c>
      <c r="AL596" s="714">
        <v>0.94454345387965444</v>
      </c>
      <c r="AM596" s="713" t="s">
        <v>58</v>
      </c>
      <c r="AN596" s="713" t="s">
        <v>58</v>
      </c>
      <c r="AO596" s="713" t="s">
        <v>58</v>
      </c>
      <c r="AP596" s="747">
        <v>57</v>
      </c>
      <c r="AQ596" s="747">
        <v>684</v>
      </c>
      <c r="AR596" s="709"/>
      <c r="AS596" s="763">
        <v>0</v>
      </c>
      <c r="AT596" s="763">
        <v>0</v>
      </c>
      <c r="AU596" s="763">
        <v>0</v>
      </c>
      <c r="AV596" s="763">
        <v>0.33781180724787624</v>
      </c>
      <c r="AW596" s="763">
        <v>0.33781180724787624</v>
      </c>
      <c r="AX596" s="763">
        <v>0.33781180724787624</v>
      </c>
      <c r="AY596" s="763">
        <v>0.10667741281511881</v>
      </c>
      <c r="AZ596" s="763">
        <v>0.10667741281511881</v>
      </c>
      <c r="BA596" s="763">
        <v>0.10667741281511881</v>
      </c>
      <c r="BB596" s="763">
        <v>0.10667741281511881</v>
      </c>
      <c r="BC596" s="763">
        <v>0.10667741281511881</v>
      </c>
      <c r="BD596" s="763">
        <v>0.10667741281511881</v>
      </c>
      <c r="BE596" s="763">
        <v>0.10667741281511881</v>
      </c>
      <c r="BF596" s="763">
        <v>0.10667741281511881</v>
      </c>
      <c r="BG596" s="763">
        <v>0.10667741281511881</v>
      </c>
      <c r="BH596" s="763">
        <v>0</v>
      </c>
      <c r="BI596" s="763">
        <v>0</v>
      </c>
      <c r="BJ596" s="763">
        <v>0</v>
      </c>
      <c r="BK596" s="763">
        <v>0</v>
      </c>
      <c r="BL596" s="763">
        <v>0</v>
      </c>
      <c r="BM596" s="763">
        <v>0</v>
      </c>
      <c r="BN596" s="763">
        <v>0</v>
      </c>
      <c r="BO596" s="763">
        <v>0</v>
      </c>
      <c r="BP596" s="763">
        <v>0</v>
      </c>
      <c r="BQ596" s="763">
        <v>0</v>
      </c>
      <c r="BR596" s="763">
        <v>0</v>
      </c>
      <c r="BS596" s="762">
        <v>0</v>
      </c>
      <c r="BT596" s="762">
        <v>0</v>
      </c>
      <c r="BU596" s="762">
        <v>0</v>
      </c>
      <c r="BV596" s="762">
        <v>1212.5639213664062</v>
      </c>
      <c r="BW596" s="762">
        <v>1212.5639213664062</v>
      </c>
      <c r="BX596" s="762">
        <v>1212.5639213664062</v>
      </c>
      <c r="BY596" s="762">
        <v>382.91492253675983</v>
      </c>
      <c r="BZ596" s="762">
        <v>382.91492253675983</v>
      </c>
      <c r="CA596" s="762">
        <v>382.91492253675983</v>
      </c>
      <c r="CB596" s="762">
        <v>382.91492253675983</v>
      </c>
      <c r="CC596" s="762">
        <v>382.91492253675983</v>
      </c>
      <c r="CD596" s="762">
        <v>382.91492253675983</v>
      </c>
      <c r="CE596" s="762">
        <v>382.91492253675983</v>
      </c>
      <c r="CF596" s="762">
        <v>382.91492253675983</v>
      </c>
      <c r="CG596" s="762">
        <v>382.91492253675983</v>
      </c>
      <c r="CH596" s="762">
        <v>0</v>
      </c>
      <c r="CI596" s="762">
        <v>0</v>
      </c>
      <c r="CJ596" s="762">
        <v>0</v>
      </c>
      <c r="CK596" s="762">
        <v>0</v>
      </c>
      <c r="CL596" s="762">
        <v>0</v>
      </c>
      <c r="CM596" s="762">
        <v>0</v>
      </c>
      <c r="CN596" s="762">
        <v>0</v>
      </c>
      <c r="CO596" s="762">
        <v>0</v>
      </c>
      <c r="CP596" s="762">
        <v>0</v>
      </c>
      <c r="CQ596" s="762">
        <v>0</v>
      </c>
      <c r="CR596" s="762">
        <v>0</v>
      </c>
    </row>
    <row r="597" spans="1:96" s="53" customFormat="1">
      <c r="A597" s="721" t="s">
        <v>3</v>
      </c>
      <c r="B597" s="723">
        <v>41656</v>
      </c>
      <c r="C597" s="721">
        <v>2014</v>
      </c>
      <c r="D597" s="713" t="s">
        <v>1</v>
      </c>
      <c r="E597" s="713" t="s">
        <v>674</v>
      </c>
      <c r="F597" s="723" t="s">
        <v>123</v>
      </c>
      <c r="G597" s="713" t="s">
        <v>58</v>
      </c>
      <c r="H597" s="723" t="s">
        <v>676</v>
      </c>
      <c r="I597" s="713" t="s">
        <v>5</v>
      </c>
      <c r="J597" s="713" t="s">
        <v>376</v>
      </c>
      <c r="K597" s="766">
        <v>1</v>
      </c>
      <c r="L597" s="766" t="s">
        <v>671</v>
      </c>
      <c r="M597" s="765" t="s">
        <v>781</v>
      </c>
      <c r="N597" s="765">
        <v>12</v>
      </c>
      <c r="O597" s="765">
        <v>3</v>
      </c>
      <c r="P597" s="735">
        <v>0.31578947368421051</v>
      </c>
      <c r="Q597" s="713" t="s">
        <v>58</v>
      </c>
      <c r="R597" s="713" t="s">
        <v>58</v>
      </c>
      <c r="S597" s="713" t="s">
        <v>58</v>
      </c>
      <c r="T597" s="713" t="s">
        <v>58</v>
      </c>
      <c r="U597" s="764">
        <v>3.7999999999999999E-2</v>
      </c>
      <c r="V597" s="764">
        <v>129.58000000000001</v>
      </c>
      <c r="W597" s="764">
        <v>2.9803799731705907E-2</v>
      </c>
      <c r="X597" s="764">
        <v>107.05601395261502</v>
      </c>
      <c r="Y597" s="764">
        <v>625.43250256527722</v>
      </c>
      <c r="Z597" s="764">
        <v>590.32717224417161</v>
      </c>
      <c r="AA597" s="764">
        <v>101.04699344720053</v>
      </c>
      <c r="AB597" s="764">
        <v>2.8150983937323015E-2</v>
      </c>
      <c r="AC597" s="714">
        <v>0.82617698682369967</v>
      </c>
      <c r="AD597" s="714">
        <v>0.7843105192554185</v>
      </c>
      <c r="AE597" s="713" t="s">
        <v>58</v>
      </c>
      <c r="AF597" s="713" t="s">
        <v>58</v>
      </c>
      <c r="AG597" s="713" t="s">
        <v>58</v>
      </c>
      <c r="AH597" s="714">
        <v>0.94387031345969796</v>
      </c>
      <c r="AI597" s="713" t="s">
        <v>58</v>
      </c>
      <c r="AJ597" s="713" t="s">
        <v>58</v>
      </c>
      <c r="AK597" s="713" t="s">
        <v>58</v>
      </c>
      <c r="AL597" s="714">
        <v>0.94454345387965444</v>
      </c>
      <c r="AM597" s="713" t="s">
        <v>58</v>
      </c>
      <c r="AN597" s="713" t="s">
        <v>58</v>
      </c>
      <c r="AO597" s="713" t="s">
        <v>58</v>
      </c>
      <c r="AP597" s="747">
        <v>17</v>
      </c>
      <c r="AQ597" s="747">
        <v>17</v>
      </c>
      <c r="AR597" s="709"/>
      <c r="AS597" s="763">
        <v>0</v>
      </c>
      <c r="AT597" s="763">
        <v>0</v>
      </c>
      <c r="AU597" s="763">
        <v>0</v>
      </c>
      <c r="AV597" s="763">
        <v>2.8150983937323015E-2</v>
      </c>
      <c r="AW597" s="763">
        <v>2.8150983937323015E-2</v>
      </c>
      <c r="AX597" s="763">
        <v>2.8150983937323015E-2</v>
      </c>
      <c r="AY597" s="763">
        <v>8.8897844012598998E-3</v>
      </c>
      <c r="AZ597" s="763">
        <v>8.8897844012598998E-3</v>
      </c>
      <c r="BA597" s="763">
        <v>8.8897844012598998E-3</v>
      </c>
      <c r="BB597" s="763">
        <v>8.8897844012598998E-3</v>
      </c>
      <c r="BC597" s="763">
        <v>8.8897844012598998E-3</v>
      </c>
      <c r="BD597" s="763">
        <v>8.8897844012598998E-3</v>
      </c>
      <c r="BE597" s="763">
        <v>8.8897844012598998E-3</v>
      </c>
      <c r="BF597" s="763">
        <v>8.8897844012598998E-3</v>
      </c>
      <c r="BG597" s="763">
        <v>8.8897844012598998E-3</v>
      </c>
      <c r="BH597" s="763">
        <v>0</v>
      </c>
      <c r="BI597" s="763">
        <v>0</v>
      </c>
      <c r="BJ597" s="763">
        <v>0</v>
      </c>
      <c r="BK597" s="763">
        <v>0</v>
      </c>
      <c r="BL597" s="763">
        <v>0</v>
      </c>
      <c r="BM597" s="763">
        <v>0</v>
      </c>
      <c r="BN597" s="763">
        <v>0</v>
      </c>
      <c r="BO597" s="763">
        <v>0</v>
      </c>
      <c r="BP597" s="763">
        <v>0</v>
      </c>
      <c r="BQ597" s="763">
        <v>0</v>
      </c>
      <c r="BR597" s="763">
        <v>0</v>
      </c>
      <c r="BS597" s="762">
        <v>0</v>
      </c>
      <c r="BT597" s="762">
        <v>0</v>
      </c>
      <c r="BU597" s="762">
        <v>0</v>
      </c>
      <c r="BV597" s="762">
        <v>101.04699344720053</v>
      </c>
      <c r="BW597" s="762">
        <v>101.04699344720053</v>
      </c>
      <c r="BX597" s="762">
        <v>101.04699344720053</v>
      </c>
      <c r="BY597" s="762">
        <v>31.909576878063326</v>
      </c>
      <c r="BZ597" s="762">
        <v>31.909576878063326</v>
      </c>
      <c r="CA597" s="762">
        <v>31.909576878063326</v>
      </c>
      <c r="CB597" s="762">
        <v>31.909576878063326</v>
      </c>
      <c r="CC597" s="762">
        <v>31.909576878063326</v>
      </c>
      <c r="CD597" s="762">
        <v>31.909576878063326</v>
      </c>
      <c r="CE597" s="762">
        <v>31.909576878063326</v>
      </c>
      <c r="CF597" s="762">
        <v>31.909576878063326</v>
      </c>
      <c r="CG597" s="762">
        <v>31.909576878063326</v>
      </c>
      <c r="CH597" s="762">
        <v>0</v>
      </c>
      <c r="CI597" s="762">
        <v>0</v>
      </c>
      <c r="CJ597" s="762">
        <v>0</v>
      </c>
      <c r="CK597" s="762">
        <v>0</v>
      </c>
      <c r="CL597" s="762">
        <v>0</v>
      </c>
      <c r="CM597" s="762">
        <v>0</v>
      </c>
      <c r="CN597" s="762">
        <v>0</v>
      </c>
      <c r="CO597" s="762">
        <v>0</v>
      </c>
      <c r="CP597" s="762">
        <v>0</v>
      </c>
      <c r="CQ597" s="762">
        <v>0</v>
      </c>
      <c r="CR597" s="762">
        <v>0</v>
      </c>
    </row>
    <row r="598" spans="1:96" s="53" customFormat="1">
      <c r="A598" s="721" t="s">
        <v>3</v>
      </c>
      <c r="B598" s="723">
        <v>41822</v>
      </c>
      <c r="C598" s="721">
        <v>2014</v>
      </c>
      <c r="D598" s="713" t="s">
        <v>1</v>
      </c>
      <c r="E598" s="713" t="s">
        <v>674</v>
      </c>
      <c r="F598" s="723" t="s">
        <v>689</v>
      </c>
      <c r="G598" s="713" t="s">
        <v>58</v>
      </c>
      <c r="H598" s="723" t="s">
        <v>678</v>
      </c>
      <c r="I598" s="713" t="s">
        <v>5</v>
      </c>
      <c r="J598" s="713" t="s">
        <v>376</v>
      </c>
      <c r="K598" s="766">
        <v>3</v>
      </c>
      <c r="L598" s="766" t="s">
        <v>671</v>
      </c>
      <c r="M598" s="765" t="s">
        <v>780</v>
      </c>
      <c r="N598" s="765">
        <v>3</v>
      </c>
      <c r="O598" s="765">
        <v>2</v>
      </c>
      <c r="P598" s="735">
        <v>0.6149863305954828</v>
      </c>
      <c r="Q598" s="713" t="s">
        <v>58</v>
      </c>
      <c r="R598" s="713" t="s">
        <v>58</v>
      </c>
      <c r="S598" s="713" t="s">
        <v>58</v>
      </c>
      <c r="T598" s="713" t="s">
        <v>58</v>
      </c>
      <c r="U598" s="764">
        <v>0.14099999999999999</v>
      </c>
      <c r="V598" s="764">
        <v>524.66099999999994</v>
      </c>
      <c r="W598" s="764">
        <v>0.110587783215014</v>
      </c>
      <c r="X598" s="764">
        <v>433.46284408390898</v>
      </c>
      <c r="Y598" s="764">
        <v>1133.4994121004629</v>
      </c>
      <c r="Z598" s="764">
        <v>1069.8764454056472</v>
      </c>
      <c r="AA598" s="764">
        <v>409.13271051861136</v>
      </c>
      <c r="AB598" s="764">
        <v>0.1044549667148038</v>
      </c>
      <c r="AC598" s="714">
        <v>0.82617698682369967</v>
      </c>
      <c r="AD598" s="714">
        <v>0.7843105192554185</v>
      </c>
      <c r="AE598" s="713" t="s">
        <v>58</v>
      </c>
      <c r="AF598" s="713" t="s">
        <v>58</v>
      </c>
      <c r="AG598" s="713" t="s">
        <v>58</v>
      </c>
      <c r="AH598" s="714">
        <v>0.94387031345969796</v>
      </c>
      <c r="AI598" s="713" t="s">
        <v>58</v>
      </c>
      <c r="AJ598" s="713" t="s">
        <v>58</v>
      </c>
      <c r="AK598" s="713" t="s">
        <v>58</v>
      </c>
      <c r="AL598" s="714">
        <v>0.94454345387965444</v>
      </c>
      <c r="AM598" s="713" t="s">
        <v>58</v>
      </c>
      <c r="AN598" s="713" t="s">
        <v>58</v>
      </c>
      <c r="AO598" s="713" t="s">
        <v>58</v>
      </c>
      <c r="AP598" s="747">
        <v>8</v>
      </c>
      <c r="AQ598" s="747">
        <v>24</v>
      </c>
      <c r="AR598" s="709"/>
      <c r="AS598" s="763">
        <v>0</v>
      </c>
      <c r="AT598" s="763">
        <v>0</v>
      </c>
      <c r="AU598" s="763">
        <v>0</v>
      </c>
      <c r="AV598" s="763">
        <v>0.1044549667148038</v>
      </c>
      <c r="AW598" s="763">
        <v>0.1044549667148038</v>
      </c>
      <c r="AX598" s="763">
        <v>6.4238376692410476E-2</v>
      </c>
      <c r="AY598" s="763">
        <v>0</v>
      </c>
      <c r="AZ598" s="763">
        <v>0</v>
      </c>
      <c r="BA598" s="763">
        <v>0</v>
      </c>
      <c r="BB598" s="763">
        <v>0</v>
      </c>
      <c r="BC598" s="763">
        <v>0</v>
      </c>
      <c r="BD598" s="763">
        <v>0</v>
      </c>
      <c r="BE598" s="763">
        <v>0</v>
      </c>
      <c r="BF598" s="763">
        <v>0</v>
      </c>
      <c r="BG598" s="763">
        <v>0</v>
      </c>
      <c r="BH598" s="763">
        <v>0</v>
      </c>
      <c r="BI598" s="763">
        <v>0</v>
      </c>
      <c r="BJ598" s="763">
        <v>0</v>
      </c>
      <c r="BK598" s="763">
        <v>0</v>
      </c>
      <c r="BL598" s="763">
        <v>0</v>
      </c>
      <c r="BM598" s="763">
        <v>0</v>
      </c>
      <c r="BN598" s="763">
        <v>0</v>
      </c>
      <c r="BO598" s="763">
        <v>0</v>
      </c>
      <c r="BP598" s="763">
        <v>0</v>
      </c>
      <c r="BQ598" s="763">
        <v>0</v>
      </c>
      <c r="BR598" s="763">
        <v>0</v>
      </c>
      <c r="BS598" s="762">
        <v>0</v>
      </c>
      <c r="BT598" s="762">
        <v>0</v>
      </c>
      <c r="BU598" s="762">
        <v>0</v>
      </c>
      <c r="BV598" s="762">
        <v>409.13271051861136</v>
      </c>
      <c r="BW598" s="762">
        <v>409.13271051861136</v>
      </c>
      <c r="BX598" s="762">
        <v>251.61102436842469</v>
      </c>
      <c r="BY598" s="762">
        <v>0</v>
      </c>
      <c r="BZ598" s="762">
        <v>0</v>
      </c>
      <c r="CA598" s="762">
        <v>0</v>
      </c>
      <c r="CB598" s="762">
        <v>0</v>
      </c>
      <c r="CC598" s="762">
        <v>0</v>
      </c>
      <c r="CD598" s="762">
        <v>0</v>
      </c>
      <c r="CE598" s="762">
        <v>0</v>
      </c>
      <c r="CF598" s="762">
        <v>0</v>
      </c>
      <c r="CG598" s="762">
        <v>0</v>
      </c>
      <c r="CH598" s="762">
        <v>0</v>
      </c>
      <c r="CI598" s="762">
        <v>0</v>
      </c>
      <c r="CJ598" s="762">
        <v>0</v>
      </c>
      <c r="CK598" s="762">
        <v>0</v>
      </c>
      <c r="CL598" s="762">
        <v>0</v>
      </c>
      <c r="CM598" s="762">
        <v>0</v>
      </c>
      <c r="CN598" s="762">
        <v>0</v>
      </c>
      <c r="CO598" s="762">
        <v>0</v>
      </c>
      <c r="CP598" s="762">
        <v>0</v>
      </c>
      <c r="CQ598" s="762">
        <v>0</v>
      </c>
      <c r="CR598" s="762">
        <v>0</v>
      </c>
    </row>
    <row r="599" spans="1:96" s="53" customFormat="1">
      <c r="A599" s="721" t="s">
        <v>3</v>
      </c>
      <c r="B599" s="723">
        <v>41822</v>
      </c>
      <c r="C599" s="721">
        <v>2014</v>
      </c>
      <c r="D599" s="713" t="s">
        <v>1</v>
      </c>
      <c r="E599" s="713" t="s">
        <v>674</v>
      </c>
      <c r="F599" s="723" t="s">
        <v>689</v>
      </c>
      <c r="G599" s="713" t="s">
        <v>58</v>
      </c>
      <c r="H599" s="723" t="s">
        <v>678</v>
      </c>
      <c r="I599" s="713" t="s">
        <v>5</v>
      </c>
      <c r="J599" s="713" t="s">
        <v>376</v>
      </c>
      <c r="K599" s="766">
        <v>1</v>
      </c>
      <c r="L599" s="766" t="s">
        <v>671</v>
      </c>
      <c r="M599" s="765" t="s">
        <v>780</v>
      </c>
      <c r="N599" s="765">
        <v>3</v>
      </c>
      <c r="O599" s="765">
        <v>2</v>
      </c>
      <c r="P599" s="735">
        <v>0.6149863305954828</v>
      </c>
      <c r="Q599" s="713" t="s">
        <v>58</v>
      </c>
      <c r="R599" s="713" t="s">
        <v>58</v>
      </c>
      <c r="S599" s="713" t="s">
        <v>58</v>
      </c>
      <c r="T599" s="713" t="s">
        <v>58</v>
      </c>
      <c r="U599" s="764">
        <v>4.7E-2</v>
      </c>
      <c r="V599" s="764">
        <v>174.887</v>
      </c>
      <c r="W599" s="764">
        <v>3.6862594405004674E-2</v>
      </c>
      <c r="X599" s="764">
        <v>144.48761469463636</v>
      </c>
      <c r="Y599" s="764">
        <v>377.83313736682112</v>
      </c>
      <c r="Z599" s="764">
        <v>356.62548180188259</v>
      </c>
      <c r="AA599" s="764">
        <v>136.37757017287049</v>
      </c>
      <c r="AB599" s="764">
        <v>3.4818322238267939E-2</v>
      </c>
      <c r="AC599" s="714">
        <v>0.82617698682369967</v>
      </c>
      <c r="AD599" s="714">
        <v>0.7843105192554185</v>
      </c>
      <c r="AE599" s="713" t="s">
        <v>58</v>
      </c>
      <c r="AF599" s="713" t="s">
        <v>58</v>
      </c>
      <c r="AG599" s="713" t="s">
        <v>58</v>
      </c>
      <c r="AH599" s="714">
        <v>0.94387031345969796</v>
      </c>
      <c r="AI599" s="713" t="s">
        <v>58</v>
      </c>
      <c r="AJ599" s="713" t="s">
        <v>58</v>
      </c>
      <c r="AK599" s="713" t="s">
        <v>58</v>
      </c>
      <c r="AL599" s="714">
        <v>0.94454345387965444</v>
      </c>
      <c r="AM599" s="713" t="s">
        <v>58</v>
      </c>
      <c r="AN599" s="713" t="s">
        <v>58</v>
      </c>
      <c r="AO599" s="713" t="s">
        <v>58</v>
      </c>
      <c r="AP599" s="747">
        <v>8</v>
      </c>
      <c r="AQ599" s="747">
        <v>8</v>
      </c>
      <c r="AR599" s="709"/>
      <c r="AS599" s="763">
        <v>0</v>
      </c>
      <c r="AT599" s="763">
        <v>0</v>
      </c>
      <c r="AU599" s="763">
        <v>0</v>
      </c>
      <c r="AV599" s="763">
        <v>3.4818322238267939E-2</v>
      </c>
      <c r="AW599" s="763">
        <v>3.4818322238267939E-2</v>
      </c>
      <c r="AX599" s="763">
        <v>2.1412792230803498E-2</v>
      </c>
      <c r="AY599" s="763">
        <v>0</v>
      </c>
      <c r="AZ599" s="763">
        <v>0</v>
      </c>
      <c r="BA599" s="763">
        <v>0</v>
      </c>
      <c r="BB599" s="763">
        <v>0</v>
      </c>
      <c r="BC599" s="763">
        <v>0</v>
      </c>
      <c r="BD599" s="763">
        <v>0</v>
      </c>
      <c r="BE599" s="763">
        <v>0</v>
      </c>
      <c r="BF599" s="763">
        <v>0</v>
      </c>
      <c r="BG599" s="763">
        <v>0</v>
      </c>
      <c r="BH599" s="763">
        <v>0</v>
      </c>
      <c r="BI599" s="763">
        <v>0</v>
      </c>
      <c r="BJ599" s="763">
        <v>0</v>
      </c>
      <c r="BK599" s="763">
        <v>0</v>
      </c>
      <c r="BL599" s="763">
        <v>0</v>
      </c>
      <c r="BM599" s="763">
        <v>0</v>
      </c>
      <c r="BN599" s="763">
        <v>0</v>
      </c>
      <c r="BO599" s="763">
        <v>0</v>
      </c>
      <c r="BP599" s="763">
        <v>0</v>
      </c>
      <c r="BQ599" s="763">
        <v>0</v>
      </c>
      <c r="BR599" s="763">
        <v>0</v>
      </c>
      <c r="BS599" s="762">
        <v>0</v>
      </c>
      <c r="BT599" s="762">
        <v>0</v>
      </c>
      <c r="BU599" s="762">
        <v>0</v>
      </c>
      <c r="BV599" s="762">
        <v>136.37757017287049</v>
      </c>
      <c r="BW599" s="762">
        <v>136.37757017287049</v>
      </c>
      <c r="BX599" s="762">
        <v>83.870341456141588</v>
      </c>
      <c r="BY599" s="762">
        <v>0</v>
      </c>
      <c r="BZ599" s="762">
        <v>0</v>
      </c>
      <c r="CA599" s="762">
        <v>0</v>
      </c>
      <c r="CB599" s="762">
        <v>0</v>
      </c>
      <c r="CC599" s="762">
        <v>0</v>
      </c>
      <c r="CD599" s="762">
        <v>0</v>
      </c>
      <c r="CE599" s="762">
        <v>0</v>
      </c>
      <c r="CF599" s="762">
        <v>0</v>
      </c>
      <c r="CG599" s="762">
        <v>0</v>
      </c>
      <c r="CH599" s="762">
        <v>0</v>
      </c>
      <c r="CI599" s="762">
        <v>0</v>
      </c>
      <c r="CJ599" s="762">
        <v>0</v>
      </c>
      <c r="CK599" s="762">
        <v>0</v>
      </c>
      <c r="CL599" s="762">
        <v>0</v>
      </c>
      <c r="CM599" s="762">
        <v>0</v>
      </c>
      <c r="CN599" s="762">
        <v>0</v>
      </c>
      <c r="CO599" s="762">
        <v>0</v>
      </c>
      <c r="CP599" s="762">
        <v>0</v>
      </c>
      <c r="CQ599" s="762">
        <v>0</v>
      </c>
      <c r="CR599" s="762">
        <v>0</v>
      </c>
    </row>
    <row r="600" spans="1:96" s="53" customFormat="1">
      <c r="A600" s="721" t="s">
        <v>3</v>
      </c>
      <c r="B600" s="723">
        <v>41822</v>
      </c>
      <c r="C600" s="721">
        <v>2014</v>
      </c>
      <c r="D600" s="713" t="s">
        <v>1</v>
      </c>
      <c r="E600" s="713" t="s">
        <v>674</v>
      </c>
      <c r="F600" s="723" t="s">
        <v>689</v>
      </c>
      <c r="G600" s="713" t="s">
        <v>58</v>
      </c>
      <c r="H600" s="723" t="s">
        <v>678</v>
      </c>
      <c r="I600" s="713" t="s">
        <v>5</v>
      </c>
      <c r="J600" s="713" t="s">
        <v>376</v>
      </c>
      <c r="K600" s="766">
        <v>1</v>
      </c>
      <c r="L600" s="766" t="s">
        <v>671</v>
      </c>
      <c r="M600" s="765" t="s">
        <v>780</v>
      </c>
      <c r="N600" s="765">
        <v>3</v>
      </c>
      <c r="O600" s="765">
        <v>2</v>
      </c>
      <c r="P600" s="735">
        <v>0.6149863305954828</v>
      </c>
      <c r="Q600" s="713" t="s">
        <v>58</v>
      </c>
      <c r="R600" s="713" t="s">
        <v>58</v>
      </c>
      <c r="S600" s="713" t="s">
        <v>58</v>
      </c>
      <c r="T600" s="713" t="s">
        <v>58</v>
      </c>
      <c r="U600" s="764">
        <v>4.7E-2</v>
      </c>
      <c r="V600" s="764">
        <v>174.887</v>
      </c>
      <c r="W600" s="764">
        <v>3.6862594405004674E-2</v>
      </c>
      <c r="X600" s="764">
        <v>144.48761469463636</v>
      </c>
      <c r="Y600" s="764">
        <v>377.83313736682112</v>
      </c>
      <c r="Z600" s="764">
        <v>356.62548180188259</v>
      </c>
      <c r="AA600" s="764">
        <v>136.37757017287049</v>
      </c>
      <c r="AB600" s="764">
        <v>3.4818322238267939E-2</v>
      </c>
      <c r="AC600" s="714">
        <v>0.82617698682369967</v>
      </c>
      <c r="AD600" s="714">
        <v>0.7843105192554185</v>
      </c>
      <c r="AE600" s="713" t="s">
        <v>58</v>
      </c>
      <c r="AF600" s="713" t="s">
        <v>58</v>
      </c>
      <c r="AG600" s="713" t="s">
        <v>58</v>
      </c>
      <c r="AH600" s="714">
        <v>0.94387031345969796</v>
      </c>
      <c r="AI600" s="713" t="s">
        <v>58</v>
      </c>
      <c r="AJ600" s="713" t="s">
        <v>58</v>
      </c>
      <c r="AK600" s="713" t="s">
        <v>58</v>
      </c>
      <c r="AL600" s="714">
        <v>0.94454345387965444</v>
      </c>
      <c r="AM600" s="713" t="s">
        <v>58</v>
      </c>
      <c r="AN600" s="713" t="s">
        <v>58</v>
      </c>
      <c r="AO600" s="713" t="s">
        <v>58</v>
      </c>
      <c r="AP600" s="747">
        <v>8</v>
      </c>
      <c r="AQ600" s="747">
        <v>8</v>
      </c>
      <c r="AR600" s="709"/>
      <c r="AS600" s="763">
        <v>0</v>
      </c>
      <c r="AT600" s="763">
        <v>0</v>
      </c>
      <c r="AU600" s="763">
        <v>0</v>
      </c>
      <c r="AV600" s="763">
        <v>3.4818322238267939E-2</v>
      </c>
      <c r="AW600" s="763">
        <v>3.4818322238267939E-2</v>
      </c>
      <c r="AX600" s="763">
        <v>2.1412792230803498E-2</v>
      </c>
      <c r="AY600" s="763">
        <v>0</v>
      </c>
      <c r="AZ600" s="763">
        <v>0</v>
      </c>
      <c r="BA600" s="763">
        <v>0</v>
      </c>
      <c r="BB600" s="763">
        <v>0</v>
      </c>
      <c r="BC600" s="763">
        <v>0</v>
      </c>
      <c r="BD600" s="763">
        <v>0</v>
      </c>
      <c r="BE600" s="763">
        <v>0</v>
      </c>
      <c r="BF600" s="763">
        <v>0</v>
      </c>
      <c r="BG600" s="763">
        <v>0</v>
      </c>
      <c r="BH600" s="763">
        <v>0</v>
      </c>
      <c r="BI600" s="763">
        <v>0</v>
      </c>
      <c r="BJ600" s="763">
        <v>0</v>
      </c>
      <c r="BK600" s="763">
        <v>0</v>
      </c>
      <c r="BL600" s="763">
        <v>0</v>
      </c>
      <c r="BM600" s="763">
        <v>0</v>
      </c>
      <c r="BN600" s="763">
        <v>0</v>
      </c>
      <c r="BO600" s="763">
        <v>0</v>
      </c>
      <c r="BP600" s="763">
        <v>0</v>
      </c>
      <c r="BQ600" s="763">
        <v>0</v>
      </c>
      <c r="BR600" s="763">
        <v>0</v>
      </c>
      <c r="BS600" s="762">
        <v>0</v>
      </c>
      <c r="BT600" s="762">
        <v>0</v>
      </c>
      <c r="BU600" s="762">
        <v>0</v>
      </c>
      <c r="BV600" s="762">
        <v>136.37757017287049</v>
      </c>
      <c r="BW600" s="762">
        <v>136.37757017287049</v>
      </c>
      <c r="BX600" s="762">
        <v>83.870341456141588</v>
      </c>
      <c r="BY600" s="762">
        <v>0</v>
      </c>
      <c r="BZ600" s="762">
        <v>0</v>
      </c>
      <c r="CA600" s="762">
        <v>0</v>
      </c>
      <c r="CB600" s="762">
        <v>0</v>
      </c>
      <c r="CC600" s="762">
        <v>0</v>
      </c>
      <c r="CD600" s="762">
        <v>0</v>
      </c>
      <c r="CE600" s="762">
        <v>0</v>
      </c>
      <c r="CF600" s="762">
        <v>0</v>
      </c>
      <c r="CG600" s="762">
        <v>0</v>
      </c>
      <c r="CH600" s="762">
        <v>0</v>
      </c>
      <c r="CI600" s="762">
        <v>0</v>
      </c>
      <c r="CJ600" s="762">
        <v>0</v>
      </c>
      <c r="CK600" s="762">
        <v>0</v>
      </c>
      <c r="CL600" s="762">
        <v>0</v>
      </c>
      <c r="CM600" s="762">
        <v>0</v>
      </c>
      <c r="CN600" s="762">
        <v>0</v>
      </c>
      <c r="CO600" s="762">
        <v>0</v>
      </c>
      <c r="CP600" s="762">
        <v>0</v>
      </c>
      <c r="CQ600" s="762">
        <v>0</v>
      </c>
      <c r="CR600" s="762">
        <v>0</v>
      </c>
    </row>
    <row r="601" spans="1:96" s="53" customFormat="1">
      <c r="A601" s="721" t="s">
        <v>3</v>
      </c>
      <c r="B601" s="723">
        <v>41822</v>
      </c>
      <c r="C601" s="721">
        <v>2014</v>
      </c>
      <c r="D601" s="713" t="s">
        <v>1</v>
      </c>
      <c r="E601" s="713" t="s">
        <v>674</v>
      </c>
      <c r="F601" s="723" t="s">
        <v>689</v>
      </c>
      <c r="G601" s="713" t="s">
        <v>58</v>
      </c>
      <c r="H601" s="723" t="s">
        <v>678</v>
      </c>
      <c r="I601" s="713" t="s">
        <v>5</v>
      </c>
      <c r="J601" s="713" t="s">
        <v>376</v>
      </c>
      <c r="K601" s="766">
        <v>2</v>
      </c>
      <c r="L601" s="766" t="s">
        <v>671</v>
      </c>
      <c r="M601" s="765" t="s">
        <v>780</v>
      </c>
      <c r="N601" s="765">
        <v>3</v>
      </c>
      <c r="O601" s="765">
        <v>2</v>
      </c>
      <c r="P601" s="735">
        <v>0.6149863305954828</v>
      </c>
      <c r="Q601" s="713" t="s">
        <v>58</v>
      </c>
      <c r="R601" s="713" t="s">
        <v>58</v>
      </c>
      <c r="S601" s="713" t="s">
        <v>58</v>
      </c>
      <c r="T601" s="713" t="s">
        <v>58</v>
      </c>
      <c r="U601" s="764">
        <v>9.4E-2</v>
      </c>
      <c r="V601" s="764">
        <v>349.774</v>
      </c>
      <c r="W601" s="764">
        <v>7.3725188810009348E-2</v>
      </c>
      <c r="X601" s="764">
        <v>288.97522938927273</v>
      </c>
      <c r="Y601" s="764">
        <v>755.66627473364224</v>
      </c>
      <c r="Z601" s="764">
        <v>713.25096360376517</v>
      </c>
      <c r="AA601" s="764">
        <v>272.75514034574098</v>
      </c>
      <c r="AB601" s="764">
        <v>6.9636644476535878E-2</v>
      </c>
      <c r="AC601" s="714">
        <v>0.82617698682369967</v>
      </c>
      <c r="AD601" s="714">
        <v>0.7843105192554185</v>
      </c>
      <c r="AE601" s="713" t="s">
        <v>58</v>
      </c>
      <c r="AF601" s="713" t="s">
        <v>58</v>
      </c>
      <c r="AG601" s="713" t="s">
        <v>58</v>
      </c>
      <c r="AH601" s="714">
        <v>0.94387031345969796</v>
      </c>
      <c r="AI601" s="713" t="s">
        <v>58</v>
      </c>
      <c r="AJ601" s="713" t="s">
        <v>58</v>
      </c>
      <c r="AK601" s="713" t="s">
        <v>58</v>
      </c>
      <c r="AL601" s="714">
        <v>0.94454345387965444</v>
      </c>
      <c r="AM601" s="713" t="s">
        <v>58</v>
      </c>
      <c r="AN601" s="713" t="s">
        <v>58</v>
      </c>
      <c r="AO601" s="713" t="s">
        <v>58</v>
      </c>
      <c r="AP601" s="747">
        <v>8</v>
      </c>
      <c r="AQ601" s="747">
        <v>16</v>
      </c>
      <c r="AR601" s="709"/>
      <c r="AS601" s="763">
        <v>0</v>
      </c>
      <c r="AT601" s="763">
        <v>0</v>
      </c>
      <c r="AU601" s="763">
        <v>0</v>
      </c>
      <c r="AV601" s="763">
        <v>6.9636644476535878E-2</v>
      </c>
      <c r="AW601" s="763">
        <v>6.9636644476535878E-2</v>
      </c>
      <c r="AX601" s="763">
        <v>4.2825584461606996E-2</v>
      </c>
      <c r="AY601" s="763">
        <v>0</v>
      </c>
      <c r="AZ601" s="763">
        <v>0</v>
      </c>
      <c r="BA601" s="763">
        <v>0</v>
      </c>
      <c r="BB601" s="763">
        <v>0</v>
      </c>
      <c r="BC601" s="763">
        <v>0</v>
      </c>
      <c r="BD601" s="763">
        <v>0</v>
      </c>
      <c r="BE601" s="763">
        <v>0</v>
      </c>
      <c r="BF601" s="763">
        <v>0</v>
      </c>
      <c r="BG601" s="763">
        <v>0</v>
      </c>
      <c r="BH601" s="763">
        <v>0</v>
      </c>
      <c r="BI601" s="763">
        <v>0</v>
      </c>
      <c r="BJ601" s="763">
        <v>0</v>
      </c>
      <c r="BK601" s="763">
        <v>0</v>
      </c>
      <c r="BL601" s="763">
        <v>0</v>
      </c>
      <c r="BM601" s="763">
        <v>0</v>
      </c>
      <c r="BN601" s="763">
        <v>0</v>
      </c>
      <c r="BO601" s="763">
        <v>0</v>
      </c>
      <c r="BP601" s="763">
        <v>0</v>
      </c>
      <c r="BQ601" s="763">
        <v>0</v>
      </c>
      <c r="BR601" s="763">
        <v>0</v>
      </c>
      <c r="BS601" s="762">
        <v>0</v>
      </c>
      <c r="BT601" s="762">
        <v>0</v>
      </c>
      <c r="BU601" s="762">
        <v>0</v>
      </c>
      <c r="BV601" s="762">
        <v>272.75514034574098</v>
      </c>
      <c r="BW601" s="762">
        <v>272.75514034574098</v>
      </c>
      <c r="BX601" s="762">
        <v>167.74068291228318</v>
      </c>
      <c r="BY601" s="762">
        <v>0</v>
      </c>
      <c r="BZ601" s="762">
        <v>0</v>
      </c>
      <c r="CA601" s="762">
        <v>0</v>
      </c>
      <c r="CB601" s="762">
        <v>0</v>
      </c>
      <c r="CC601" s="762">
        <v>0</v>
      </c>
      <c r="CD601" s="762">
        <v>0</v>
      </c>
      <c r="CE601" s="762">
        <v>0</v>
      </c>
      <c r="CF601" s="762">
        <v>0</v>
      </c>
      <c r="CG601" s="762">
        <v>0</v>
      </c>
      <c r="CH601" s="762">
        <v>0</v>
      </c>
      <c r="CI601" s="762">
        <v>0</v>
      </c>
      <c r="CJ601" s="762">
        <v>0</v>
      </c>
      <c r="CK601" s="762">
        <v>0</v>
      </c>
      <c r="CL601" s="762">
        <v>0</v>
      </c>
      <c r="CM601" s="762">
        <v>0</v>
      </c>
      <c r="CN601" s="762">
        <v>0</v>
      </c>
      <c r="CO601" s="762">
        <v>0</v>
      </c>
      <c r="CP601" s="762">
        <v>0</v>
      </c>
      <c r="CQ601" s="762">
        <v>0</v>
      </c>
      <c r="CR601" s="762">
        <v>0</v>
      </c>
    </row>
    <row r="602" spans="1:96" s="53" customFormat="1">
      <c r="A602" s="721" t="s">
        <v>3</v>
      </c>
      <c r="B602" s="723">
        <v>41822</v>
      </c>
      <c r="C602" s="721">
        <v>2014</v>
      </c>
      <c r="D602" s="713" t="s">
        <v>1</v>
      </c>
      <c r="E602" s="713" t="s">
        <v>674</v>
      </c>
      <c r="F602" s="723" t="s">
        <v>689</v>
      </c>
      <c r="G602" s="713" t="s">
        <v>58</v>
      </c>
      <c r="H602" s="723" t="s">
        <v>677</v>
      </c>
      <c r="I602" s="713" t="s">
        <v>5</v>
      </c>
      <c r="J602" s="713" t="s">
        <v>376</v>
      </c>
      <c r="K602" s="766">
        <v>1</v>
      </c>
      <c r="L602" s="766" t="s">
        <v>671</v>
      </c>
      <c r="M602" s="765" t="s">
        <v>780</v>
      </c>
      <c r="N602" s="765">
        <v>0</v>
      </c>
      <c r="O602" s="765">
        <v>0</v>
      </c>
      <c r="P602" s="735">
        <v>0</v>
      </c>
      <c r="Q602" s="713" t="s">
        <v>58</v>
      </c>
      <c r="R602" s="713" t="s">
        <v>58</v>
      </c>
      <c r="S602" s="713" t="s">
        <v>58</v>
      </c>
      <c r="T602" s="713" t="s">
        <v>58</v>
      </c>
      <c r="U602" s="764">
        <v>0</v>
      </c>
      <c r="V602" s="764">
        <v>0</v>
      </c>
      <c r="W602" s="764">
        <v>0</v>
      </c>
      <c r="X602" s="764">
        <v>0</v>
      </c>
      <c r="Y602" s="764">
        <v>0</v>
      </c>
      <c r="Z602" s="764">
        <v>0</v>
      </c>
      <c r="AA602" s="764">
        <v>0</v>
      </c>
      <c r="AB602" s="764">
        <v>0</v>
      </c>
      <c r="AC602" s="714">
        <v>0.82617698682369967</v>
      </c>
      <c r="AD602" s="714">
        <v>0.7843105192554185</v>
      </c>
      <c r="AE602" s="713" t="s">
        <v>58</v>
      </c>
      <c r="AF602" s="713" t="s">
        <v>58</v>
      </c>
      <c r="AG602" s="713" t="s">
        <v>58</v>
      </c>
      <c r="AH602" s="714">
        <v>0.94387031345969796</v>
      </c>
      <c r="AI602" s="713" t="s">
        <v>58</v>
      </c>
      <c r="AJ602" s="713" t="s">
        <v>58</v>
      </c>
      <c r="AK602" s="713" t="s">
        <v>58</v>
      </c>
      <c r="AL602" s="714">
        <v>0.94454345387965444</v>
      </c>
      <c r="AM602" s="713" t="s">
        <v>58</v>
      </c>
      <c r="AN602" s="713" t="s">
        <v>58</v>
      </c>
      <c r="AO602" s="713" t="s">
        <v>58</v>
      </c>
      <c r="AP602" s="747">
        <v>51</v>
      </c>
      <c r="AQ602" s="747">
        <v>51</v>
      </c>
      <c r="AR602" s="709"/>
      <c r="AS602" s="763">
        <v>0</v>
      </c>
      <c r="AT602" s="763">
        <v>0</v>
      </c>
      <c r="AU602" s="763">
        <v>0</v>
      </c>
      <c r="AV602" s="763">
        <v>0</v>
      </c>
      <c r="AW602" s="763">
        <v>0</v>
      </c>
      <c r="AX602" s="763">
        <v>0</v>
      </c>
      <c r="AY602" s="763">
        <v>0</v>
      </c>
      <c r="AZ602" s="763">
        <v>0</v>
      </c>
      <c r="BA602" s="763">
        <v>0</v>
      </c>
      <c r="BB602" s="763">
        <v>0</v>
      </c>
      <c r="BC602" s="763">
        <v>0</v>
      </c>
      <c r="BD602" s="763">
        <v>0</v>
      </c>
      <c r="BE602" s="763">
        <v>0</v>
      </c>
      <c r="BF602" s="763">
        <v>0</v>
      </c>
      <c r="BG602" s="763">
        <v>0</v>
      </c>
      <c r="BH602" s="763">
        <v>0</v>
      </c>
      <c r="BI602" s="763">
        <v>0</v>
      </c>
      <c r="BJ602" s="763">
        <v>0</v>
      </c>
      <c r="BK602" s="763">
        <v>0</v>
      </c>
      <c r="BL602" s="763">
        <v>0</v>
      </c>
      <c r="BM602" s="763">
        <v>0</v>
      </c>
      <c r="BN602" s="763">
        <v>0</v>
      </c>
      <c r="BO602" s="763">
        <v>0</v>
      </c>
      <c r="BP602" s="763">
        <v>0</v>
      </c>
      <c r="BQ602" s="763">
        <v>0</v>
      </c>
      <c r="BR602" s="763">
        <v>0</v>
      </c>
      <c r="BS602" s="762">
        <v>0</v>
      </c>
      <c r="BT602" s="762">
        <v>0</v>
      </c>
      <c r="BU602" s="762">
        <v>0</v>
      </c>
      <c r="BV602" s="762">
        <v>0</v>
      </c>
      <c r="BW602" s="762">
        <v>0</v>
      </c>
      <c r="BX602" s="762">
        <v>0</v>
      </c>
      <c r="BY602" s="762">
        <v>0</v>
      </c>
      <c r="BZ602" s="762">
        <v>0</v>
      </c>
      <c r="CA602" s="762">
        <v>0</v>
      </c>
      <c r="CB602" s="762">
        <v>0</v>
      </c>
      <c r="CC602" s="762">
        <v>0</v>
      </c>
      <c r="CD602" s="762">
        <v>0</v>
      </c>
      <c r="CE602" s="762">
        <v>0</v>
      </c>
      <c r="CF602" s="762">
        <v>0</v>
      </c>
      <c r="CG602" s="762">
        <v>0</v>
      </c>
      <c r="CH602" s="762">
        <v>0</v>
      </c>
      <c r="CI602" s="762">
        <v>0</v>
      </c>
      <c r="CJ602" s="762">
        <v>0</v>
      </c>
      <c r="CK602" s="762">
        <v>0</v>
      </c>
      <c r="CL602" s="762">
        <v>0</v>
      </c>
      <c r="CM602" s="762">
        <v>0</v>
      </c>
      <c r="CN602" s="762">
        <v>0</v>
      </c>
      <c r="CO602" s="762">
        <v>0</v>
      </c>
      <c r="CP602" s="762">
        <v>0</v>
      </c>
      <c r="CQ602" s="762">
        <v>0</v>
      </c>
      <c r="CR602" s="762">
        <v>0</v>
      </c>
    </row>
    <row r="603" spans="1:96" s="53" customFormat="1">
      <c r="A603" s="721" t="s">
        <v>3</v>
      </c>
      <c r="B603" s="723">
        <v>41822</v>
      </c>
      <c r="C603" s="721">
        <v>2014</v>
      </c>
      <c r="D603" s="713" t="s">
        <v>1</v>
      </c>
      <c r="E603" s="713" t="s">
        <v>674</v>
      </c>
      <c r="F603" s="723" t="s">
        <v>689</v>
      </c>
      <c r="G603" s="713" t="s">
        <v>58</v>
      </c>
      <c r="H603" s="723" t="s">
        <v>676</v>
      </c>
      <c r="I603" s="713" t="s">
        <v>5</v>
      </c>
      <c r="J603" s="713" t="s">
        <v>376</v>
      </c>
      <c r="K603" s="766">
        <v>1</v>
      </c>
      <c r="L603" s="766" t="s">
        <v>671</v>
      </c>
      <c r="M603" s="765" t="s">
        <v>780</v>
      </c>
      <c r="N603" s="765">
        <v>12</v>
      </c>
      <c r="O603" s="765">
        <v>3</v>
      </c>
      <c r="P603" s="735">
        <v>0.31578947368421051</v>
      </c>
      <c r="Q603" s="713" t="s">
        <v>58</v>
      </c>
      <c r="R603" s="713" t="s">
        <v>58</v>
      </c>
      <c r="S603" s="713" t="s">
        <v>58</v>
      </c>
      <c r="T603" s="713" t="s">
        <v>58</v>
      </c>
      <c r="U603" s="764">
        <v>3.7999999999999999E-2</v>
      </c>
      <c r="V603" s="764">
        <v>123.614</v>
      </c>
      <c r="W603" s="764">
        <v>2.9803799731705907E-2</v>
      </c>
      <c r="X603" s="764">
        <v>102.12704204922481</v>
      </c>
      <c r="Y603" s="764">
        <v>596.63692986652381</v>
      </c>
      <c r="Z603" s="764">
        <v>563.14788601474766</v>
      </c>
      <c r="AA603" s="764">
        <v>96.394683191713582</v>
      </c>
      <c r="AB603" s="764">
        <v>2.8150983937323015E-2</v>
      </c>
      <c r="AC603" s="714">
        <v>0.82617698682369967</v>
      </c>
      <c r="AD603" s="714">
        <v>0.7843105192554185</v>
      </c>
      <c r="AE603" s="713" t="s">
        <v>58</v>
      </c>
      <c r="AF603" s="713" t="s">
        <v>58</v>
      </c>
      <c r="AG603" s="713" t="s">
        <v>58</v>
      </c>
      <c r="AH603" s="714">
        <v>0.94387031345969796</v>
      </c>
      <c r="AI603" s="713" t="s">
        <v>58</v>
      </c>
      <c r="AJ603" s="713" t="s">
        <v>58</v>
      </c>
      <c r="AK603" s="713" t="s">
        <v>58</v>
      </c>
      <c r="AL603" s="714">
        <v>0.94454345387965444</v>
      </c>
      <c r="AM603" s="713" t="s">
        <v>58</v>
      </c>
      <c r="AN603" s="713" t="s">
        <v>58</v>
      </c>
      <c r="AO603" s="713" t="s">
        <v>58</v>
      </c>
      <c r="AP603" s="747">
        <v>57</v>
      </c>
      <c r="AQ603" s="747">
        <v>57</v>
      </c>
      <c r="AR603" s="709"/>
      <c r="AS603" s="763">
        <v>0</v>
      </c>
      <c r="AT603" s="763">
        <v>0</v>
      </c>
      <c r="AU603" s="763">
        <v>0</v>
      </c>
      <c r="AV603" s="763">
        <v>2.8150983937323015E-2</v>
      </c>
      <c r="AW603" s="763">
        <v>2.8150983937323015E-2</v>
      </c>
      <c r="AX603" s="763">
        <v>2.8150983937323015E-2</v>
      </c>
      <c r="AY603" s="763">
        <v>8.8897844012598998E-3</v>
      </c>
      <c r="AZ603" s="763">
        <v>8.8897844012598998E-3</v>
      </c>
      <c r="BA603" s="763">
        <v>8.8897844012598998E-3</v>
      </c>
      <c r="BB603" s="763">
        <v>8.8897844012598998E-3</v>
      </c>
      <c r="BC603" s="763">
        <v>8.8897844012598998E-3</v>
      </c>
      <c r="BD603" s="763">
        <v>8.8897844012598998E-3</v>
      </c>
      <c r="BE603" s="763">
        <v>8.8897844012598998E-3</v>
      </c>
      <c r="BF603" s="763">
        <v>8.8897844012598998E-3</v>
      </c>
      <c r="BG603" s="763">
        <v>8.8897844012598998E-3</v>
      </c>
      <c r="BH603" s="763">
        <v>0</v>
      </c>
      <c r="BI603" s="763">
        <v>0</v>
      </c>
      <c r="BJ603" s="763">
        <v>0</v>
      </c>
      <c r="BK603" s="763">
        <v>0</v>
      </c>
      <c r="BL603" s="763">
        <v>0</v>
      </c>
      <c r="BM603" s="763">
        <v>0</v>
      </c>
      <c r="BN603" s="763">
        <v>0</v>
      </c>
      <c r="BO603" s="763">
        <v>0</v>
      </c>
      <c r="BP603" s="763">
        <v>0</v>
      </c>
      <c r="BQ603" s="763">
        <v>0</v>
      </c>
      <c r="BR603" s="763">
        <v>0</v>
      </c>
      <c r="BS603" s="762">
        <v>0</v>
      </c>
      <c r="BT603" s="762">
        <v>0</v>
      </c>
      <c r="BU603" s="762">
        <v>0</v>
      </c>
      <c r="BV603" s="762">
        <v>96.394683191713582</v>
      </c>
      <c r="BW603" s="762">
        <v>96.394683191713582</v>
      </c>
      <c r="BX603" s="762">
        <v>96.394683191713582</v>
      </c>
      <c r="BY603" s="762">
        <v>30.440426271067444</v>
      </c>
      <c r="BZ603" s="762">
        <v>30.440426271067444</v>
      </c>
      <c r="CA603" s="762">
        <v>30.440426271067444</v>
      </c>
      <c r="CB603" s="762">
        <v>30.440426271067444</v>
      </c>
      <c r="CC603" s="762">
        <v>30.440426271067444</v>
      </c>
      <c r="CD603" s="762">
        <v>30.440426271067444</v>
      </c>
      <c r="CE603" s="762">
        <v>30.440426271067444</v>
      </c>
      <c r="CF603" s="762">
        <v>30.440426271067444</v>
      </c>
      <c r="CG603" s="762">
        <v>30.440426271067444</v>
      </c>
      <c r="CH603" s="762">
        <v>0</v>
      </c>
      <c r="CI603" s="762">
        <v>0</v>
      </c>
      <c r="CJ603" s="762">
        <v>0</v>
      </c>
      <c r="CK603" s="762">
        <v>0</v>
      </c>
      <c r="CL603" s="762">
        <v>0</v>
      </c>
      <c r="CM603" s="762">
        <v>0</v>
      </c>
      <c r="CN603" s="762">
        <v>0</v>
      </c>
      <c r="CO603" s="762">
        <v>0</v>
      </c>
      <c r="CP603" s="762">
        <v>0</v>
      </c>
      <c r="CQ603" s="762">
        <v>0</v>
      </c>
      <c r="CR603" s="762">
        <v>0</v>
      </c>
    </row>
    <row r="604" spans="1:96" s="53" customFormat="1">
      <c r="A604" s="721" t="s">
        <v>3</v>
      </c>
      <c r="B604" s="723">
        <v>41822</v>
      </c>
      <c r="C604" s="721">
        <v>2014</v>
      </c>
      <c r="D604" s="713" t="s">
        <v>1</v>
      </c>
      <c r="E604" s="713" t="s">
        <v>674</v>
      </c>
      <c r="F604" s="723" t="s">
        <v>689</v>
      </c>
      <c r="G604" s="713" t="s">
        <v>58</v>
      </c>
      <c r="H604" s="723" t="s">
        <v>676</v>
      </c>
      <c r="I604" s="713" t="s">
        <v>5</v>
      </c>
      <c r="J604" s="713" t="s">
        <v>376</v>
      </c>
      <c r="K604" s="766">
        <v>1</v>
      </c>
      <c r="L604" s="766" t="s">
        <v>671</v>
      </c>
      <c r="M604" s="765" t="s">
        <v>780</v>
      </c>
      <c r="N604" s="765">
        <v>12</v>
      </c>
      <c r="O604" s="765">
        <v>3</v>
      </c>
      <c r="P604" s="735">
        <v>0.31578947368421051</v>
      </c>
      <c r="Q604" s="713" t="s">
        <v>58</v>
      </c>
      <c r="R604" s="713" t="s">
        <v>58</v>
      </c>
      <c r="S604" s="713" t="s">
        <v>58</v>
      </c>
      <c r="T604" s="713" t="s">
        <v>58</v>
      </c>
      <c r="U604" s="764">
        <v>3.7999999999999999E-2</v>
      </c>
      <c r="V604" s="764">
        <v>123.614</v>
      </c>
      <c r="W604" s="764">
        <v>2.9803799731705907E-2</v>
      </c>
      <c r="X604" s="764">
        <v>102.12704204922481</v>
      </c>
      <c r="Y604" s="764">
        <v>596.63692986652381</v>
      </c>
      <c r="Z604" s="764">
        <v>563.14788601474766</v>
      </c>
      <c r="AA604" s="764">
        <v>96.394683191713582</v>
      </c>
      <c r="AB604" s="764">
        <v>2.8150983937323015E-2</v>
      </c>
      <c r="AC604" s="714">
        <v>0.82617698682369967</v>
      </c>
      <c r="AD604" s="714">
        <v>0.7843105192554185</v>
      </c>
      <c r="AE604" s="713" t="s">
        <v>58</v>
      </c>
      <c r="AF604" s="713" t="s">
        <v>58</v>
      </c>
      <c r="AG604" s="713" t="s">
        <v>58</v>
      </c>
      <c r="AH604" s="714">
        <v>0.94387031345969796</v>
      </c>
      <c r="AI604" s="713" t="s">
        <v>58</v>
      </c>
      <c r="AJ604" s="713" t="s">
        <v>58</v>
      </c>
      <c r="AK604" s="713" t="s">
        <v>58</v>
      </c>
      <c r="AL604" s="714">
        <v>0.94454345387965444</v>
      </c>
      <c r="AM604" s="713" t="s">
        <v>58</v>
      </c>
      <c r="AN604" s="713" t="s">
        <v>58</v>
      </c>
      <c r="AO604" s="713" t="s">
        <v>58</v>
      </c>
      <c r="AP604" s="747">
        <v>57</v>
      </c>
      <c r="AQ604" s="747">
        <v>57</v>
      </c>
      <c r="AR604" s="709"/>
      <c r="AS604" s="763">
        <v>0</v>
      </c>
      <c r="AT604" s="763">
        <v>0</v>
      </c>
      <c r="AU604" s="763">
        <v>0</v>
      </c>
      <c r="AV604" s="763">
        <v>2.8150983937323015E-2</v>
      </c>
      <c r="AW604" s="763">
        <v>2.8150983937323015E-2</v>
      </c>
      <c r="AX604" s="763">
        <v>2.8150983937323015E-2</v>
      </c>
      <c r="AY604" s="763">
        <v>8.8897844012598998E-3</v>
      </c>
      <c r="AZ604" s="763">
        <v>8.8897844012598998E-3</v>
      </c>
      <c r="BA604" s="763">
        <v>8.8897844012598998E-3</v>
      </c>
      <c r="BB604" s="763">
        <v>8.8897844012598998E-3</v>
      </c>
      <c r="BC604" s="763">
        <v>8.8897844012598998E-3</v>
      </c>
      <c r="BD604" s="763">
        <v>8.8897844012598998E-3</v>
      </c>
      <c r="BE604" s="763">
        <v>8.8897844012598998E-3</v>
      </c>
      <c r="BF604" s="763">
        <v>8.8897844012598998E-3</v>
      </c>
      <c r="BG604" s="763">
        <v>8.8897844012598998E-3</v>
      </c>
      <c r="BH604" s="763">
        <v>0</v>
      </c>
      <c r="BI604" s="763">
        <v>0</v>
      </c>
      <c r="BJ604" s="763">
        <v>0</v>
      </c>
      <c r="BK604" s="763">
        <v>0</v>
      </c>
      <c r="BL604" s="763">
        <v>0</v>
      </c>
      <c r="BM604" s="763">
        <v>0</v>
      </c>
      <c r="BN604" s="763">
        <v>0</v>
      </c>
      <c r="BO604" s="763">
        <v>0</v>
      </c>
      <c r="BP604" s="763">
        <v>0</v>
      </c>
      <c r="BQ604" s="763">
        <v>0</v>
      </c>
      <c r="BR604" s="763">
        <v>0</v>
      </c>
      <c r="BS604" s="762">
        <v>0</v>
      </c>
      <c r="BT604" s="762">
        <v>0</v>
      </c>
      <c r="BU604" s="762">
        <v>0</v>
      </c>
      <c r="BV604" s="762">
        <v>96.394683191713582</v>
      </c>
      <c r="BW604" s="762">
        <v>96.394683191713582</v>
      </c>
      <c r="BX604" s="762">
        <v>96.394683191713582</v>
      </c>
      <c r="BY604" s="762">
        <v>30.440426271067444</v>
      </c>
      <c r="BZ604" s="762">
        <v>30.440426271067444</v>
      </c>
      <c r="CA604" s="762">
        <v>30.440426271067444</v>
      </c>
      <c r="CB604" s="762">
        <v>30.440426271067444</v>
      </c>
      <c r="CC604" s="762">
        <v>30.440426271067444</v>
      </c>
      <c r="CD604" s="762">
        <v>30.440426271067444</v>
      </c>
      <c r="CE604" s="762">
        <v>30.440426271067444</v>
      </c>
      <c r="CF604" s="762">
        <v>30.440426271067444</v>
      </c>
      <c r="CG604" s="762">
        <v>30.440426271067444</v>
      </c>
      <c r="CH604" s="762">
        <v>0</v>
      </c>
      <c r="CI604" s="762">
        <v>0</v>
      </c>
      <c r="CJ604" s="762">
        <v>0</v>
      </c>
      <c r="CK604" s="762">
        <v>0</v>
      </c>
      <c r="CL604" s="762">
        <v>0</v>
      </c>
      <c r="CM604" s="762">
        <v>0</v>
      </c>
      <c r="CN604" s="762">
        <v>0</v>
      </c>
      <c r="CO604" s="762">
        <v>0</v>
      </c>
      <c r="CP604" s="762">
        <v>0</v>
      </c>
      <c r="CQ604" s="762">
        <v>0</v>
      </c>
      <c r="CR604" s="762">
        <v>0</v>
      </c>
    </row>
    <row r="605" spans="1:96" s="53" customFormat="1">
      <c r="A605" s="721" t="s">
        <v>3</v>
      </c>
      <c r="B605" s="723">
        <v>41822</v>
      </c>
      <c r="C605" s="721">
        <v>2014</v>
      </c>
      <c r="D605" s="713" t="s">
        <v>1</v>
      </c>
      <c r="E605" s="713" t="s">
        <v>674</v>
      </c>
      <c r="F605" s="723" t="s">
        <v>689</v>
      </c>
      <c r="G605" s="713" t="s">
        <v>58</v>
      </c>
      <c r="H605" s="723" t="s">
        <v>684</v>
      </c>
      <c r="I605" s="713" t="s">
        <v>5</v>
      </c>
      <c r="J605" s="713" t="s">
        <v>376</v>
      </c>
      <c r="K605" s="766">
        <v>8</v>
      </c>
      <c r="L605" s="766" t="s">
        <v>671</v>
      </c>
      <c r="M605" s="765" t="s">
        <v>780</v>
      </c>
      <c r="N605" s="765">
        <v>11</v>
      </c>
      <c r="O605" s="765">
        <v>2</v>
      </c>
      <c r="P605" s="735">
        <v>0.43976996379393668</v>
      </c>
      <c r="Q605" s="713" t="s">
        <v>58</v>
      </c>
      <c r="R605" s="713" t="s">
        <v>58</v>
      </c>
      <c r="S605" s="713" t="s">
        <v>58</v>
      </c>
      <c r="T605" s="713" t="s">
        <v>58</v>
      </c>
      <c r="U605" s="764">
        <v>0.54400000000000004</v>
      </c>
      <c r="V605" s="764">
        <v>2024.2239999999999</v>
      </c>
      <c r="W605" s="764">
        <v>0.42666492247494775</v>
      </c>
      <c r="X605" s="764">
        <v>1672.3672849762165</v>
      </c>
      <c r="Y605" s="764">
        <v>9963.8466732298257</v>
      </c>
      <c r="Z605" s="764">
        <v>9404.5790827258043</v>
      </c>
      <c r="AA605" s="764">
        <v>1578.4978334902455</v>
      </c>
      <c r="AB605" s="764">
        <v>0.40300355952378214</v>
      </c>
      <c r="AC605" s="714">
        <v>0.82617698682369967</v>
      </c>
      <c r="AD605" s="714">
        <v>0.7843105192554185</v>
      </c>
      <c r="AE605" s="713" t="s">
        <v>58</v>
      </c>
      <c r="AF605" s="713" t="s">
        <v>58</v>
      </c>
      <c r="AG605" s="713" t="s">
        <v>58</v>
      </c>
      <c r="AH605" s="714">
        <v>0.94387031345969796</v>
      </c>
      <c r="AI605" s="713" t="s">
        <v>58</v>
      </c>
      <c r="AJ605" s="713" t="s">
        <v>58</v>
      </c>
      <c r="AK605" s="713" t="s">
        <v>58</v>
      </c>
      <c r="AL605" s="714">
        <v>0.94454345387965444</v>
      </c>
      <c r="AM605" s="713" t="s">
        <v>58</v>
      </c>
      <c r="AN605" s="713" t="s">
        <v>58</v>
      </c>
      <c r="AO605" s="713" t="s">
        <v>58</v>
      </c>
      <c r="AP605" s="747">
        <v>48</v>
      </c>
      <c r="AQ605" s="747">
        <v>384</v>
      </c>
      <c r="AR605" s="709"/>
      <c r="AS605" s="763">
        <v>0</v>
      </c>
      <c r="AT605" s="763">
        <v>0</v>
      </c>
      <c r="AU605" s="763">
        <v>0</v>
      </c>
      <c r="AV605" s="763">
        <v>0.40300355952378214</v>
      </c>
      <c r="AW605" s="763">
        <v>0.40300355952378214</v>
      </c>
      <c r="AX605" s="763">
        <v>0.17722886078060127</v>
      </c>
      <c r="AY605" s="763">
        <v>0.17722886078060127</v>
      </c>
      <c r="AZ605" s="763">
        <v>0.17722886078060127</v>
      </c>
      <c r="BA605" s="763">
        <v>0.17722886078060127</v>
      </c>
      <c r="BB605" s="763">
        <v>0.17722886078060127</v>
      </c>
      <c r="BC605" s="763">
        <v>0.17722886078060127</v>
      </c>
      <c r="BD605" s="763">
        <v>0.17722886078060127</v>
      </c>
      <c r="BE605" s="763">
        <v>0.17722886078060127</v>
      </c>
      <c r="BF605" s="763">
        <v>0.17722886078060127</v>
      </c>
      <c r="BG605" s="763">
        <v>0</v>
      </c>
      <c r="BH605" s="763">
        <v>0</v>
      </c>
      <c r="BI605" s="763">
        <v>0</v>
      </c>
      <c r="BJ605" s="763">
        <v>0</v>
      </c>
      <c r="BK605" s="763">
        <v>0</v>
      </c>
      <c r="BL605" s="763">
        <v>0</v>
      </c>
      <c r="BM605" s="763">
        <v>0</v>
      </c>
      <c r="BN605" s="763">
        <v>0</v>
      </c>
      <c r="BO605" s="763">
        <v>0</v>
      </c>
      <c r="BP605" s="763">
        <v>0</v>
      </c>
      <c r="BQ605" s="763">
        <v>0</v>
      </c>
      <c r="BR605" s="763">
        <v>0</v>
      </c>
      <c r="BS605" s="762">
        <v>0</v>
      </c>
      <c r="BT605" s="762">
        <v>0</v>
      </c>
      <c r="BU605" s="762">
        <v>0</v>
      </c>
      <c r="BV605" s="762">
        <v>1578.4978334902455</v>
      </c>
      <c r="BW605" s="762">
        <v>1578.4978334902455</v>
      </c>
      <c r="BX605" s="762">
        <v>694.17593508281277</v>
      </c>
      <c r="BY605" s="762">
        <v>694.17593508281277</v>
      </c>
      <c r="BZ605" s="762">
        <v>694.17593508281277</v>
      </c>
      <c r="CA605" s="762">
        <v>694.17593508281277</v>
      </c>
      <c r="CB605" s="762">
        <v>694.17593508281277</v>
      </c>
      <c r="CC605" s="762">
        <v>694.17593508281277</v>
      </c>
      <c r="CD605" s="762">
        <v>694.17593508281277</v>
      </c>
      <c r="CE605" s="762">
        <v>694.17593508281277</v>
      </c>
      <c r="CF605" s="762">
        <v>694.17593508281277</v>
      </c>
      <c r="CG605" s="762">
        <v>0</v>
      </c>
      <c r="CH605" s="762">
        <v>0</v>
      </c>
      <c r="CI605" s="762">
        <v>0</v>
      </c>
      <c r="CJ605" s="762">
        <v>0</v>
      </c>
      <c r="CK605" s="762">
        <v>0</v>
      </c>
      <c r="CL605" s="762">
        <v>0</v>
      </c>
      <c r="CM605" s="762">
        <v>0</v>
      </c>
      <c r="CN605" s="762">
        <v>0</v>
      </c>
      <c r="CO605" s="762">
        <v>0</v>
      </c>
      <c r="CP605" s="762">
        <v>0</v>
      </c>
      <c r="CQ605" s="762">
        <v>0</v>
      </c>
      <c r="CR605" s="762">
        <v>0</v>
      </c>
    </row>
    <row r="606" spans="1:96" s="53" customFormat="1">
      <c r="A606" s="721" t="s">
        <v>3</v>
      </c>
      <c r="B606" s="723">
        <v>41822</v>
      </c>
      <c r="C606" s="721">
        <v>2014</v>
      </c>
      <c r="D606" s="713" t="s">
        <v>1</v>
      </c>
      <c r="E606" s="713" t="s">
        <v>674</v>
      </c>
      <c r="F606" s="723" t="s">
        <v>689</v>
      </c>
      <c r="G606" s="713" t="s">
        <v>58</v>
      </c>
      <c r="H606" s="723" t="s">
        <v>695</v>
      </c>
      <c r="I606" s="713" t="s">
        <v>5</v>
      </c>
      <c r="J606" s="713" t="s">
        <v>376</v>
      </c>
      <c r="K606" s="766">
        <v>4</v>
      </c>
      <c r="L606" s="766" t="s">
        <v>671</v>
      </c>
      <c r="M606" s="765" t="s">
        <v>780</v>
      </c>
      <c r="N606" s="765">
        <v>11</v>
      </c>
      <c r="O606" s="765" t="s">
        <v>7</v>
      </c>
      <c r="P606" s="735">
        <v>1</v>
      </c>
      <c r="Q606" s="713" t="s">
        <v>58</v>
      </c>
      <c r="R606" s="713" t="s">
        <v>58</v>
      </c>
      <c r="S606" s="713" t="s">
        <v>58</v>
      </c>
      <c r="T606" s="713" t="s">
        <v>58</v>
      </c>
      <c r="U606" s="764">
        <v>0.21</v>
      </c>
      <c r="V606" s="764">
        <v>781.41</v>
      </c>
      <c r="W606" s="764">
        <v>0.16470520904363792</v>
      </c>
      <c r="X606" s="764">
        <v>645.58295927390714</v>
      </c>
      <c r="Y606" s="764">
        <v>7101.4125520129783</v>
      </c>
      <c r="Z606" s="764">
        <v>6702.8124914751234</v>
      </c>
      <c r="AA606" s="764">
        <v>609.34659013410214</v>
      </c>
      <c r="AB606" s="764">
        <v>0.15557122702204826</v>
      </c>
      <c r="AC606" s="714">
        <v>0.82617698682369967</v>
      </c>
      <c r="AD606" s="714">
        <v>0.7843105192554185</v>
      </c>
      <c r="AE606" s="713" t="s">
        <v>58</v>
      </c>
      <c r="AF606" s="713" t="s">
        <v>58</v>
      </c>
      <c r="AG606" s="713" t="s">
        <v>58</v>
      </c>
      <c r="AH606" s="714">
        <v>0.94387031345969796</v>
      </c>
      <c r="AI606" s="713" t="s">
        <v>58</v>
      </c>
      <c r="AJ606" s="713" t="s">
        <v>58</v>
      </c>
      <c r="AK606" s="713" t="s">
        <v>58</v>
      </c>
      <c r="AL606" s="714">
        <v>0.94454345387965444</v>
      </c>
      <c r="AM606" s="713" t="s">
        <v>58</v>
      </c>
      <c r="AN606" s="713" t="s">
        <v>58</v>
      </c>
      <c r="AO606" s="713" t="s">
        <v>58</v>
      </c>
      <c r="AP606" s="747">
        <v>14</v>
      </c>
      <c r="AQ606" s="747">
        <v>56</v>
      </c>
      <c r="AR606" s="709"/>
      <c r="AS606" s="763">
        <v>0</v>
      </c>
      <c r="AT606" s="763">
        <v>0</v>
      </c>
      <c r="AU606" s="763">
        <v>0</v>
      </c>
      <c r="AV606" s="763">
        <v>0.15557122702204826</v>
      </c>
      <c r="AW606" s="763">
        <v>0.15557122702204826</v>
      </c>
      <c r="AX606" s="763">
        <v>0.15557122702204826</v>
      </c>
      <c r="AY606" s="763">
        <v>0.15557122702204826</v>
      </c>
      <c r="AZ606" s="763">
        <v>0.15557122702204826</v>
      </c>
      <c r="BA606" s="763">
        <v>0.15557122702204826</v>
      </c>
      <c r="BB606" s="763">
        <v>0.15557122702204826</v>
      </c>
      <c r="BC606" s="763">
        <v>0.15557122702204826</v>
      </c>
      <c r="BD606" s="763">
        <v>0.15557122702204826</v>
      </c>
      <c r="BE606" s="763">
        <v>0.15557122702204826</v>
      </c>
      <c r="BF606" s="763">
        <v>0.15557122702204826</v>
      </c>
      <c r="BG606" s="763">
        <v>0</v>
      </c>
      <c r="BH606" s="763">
        <v>0</v>
      </c>
      <c r="BI606" s="763">
        <v>0</v>
      </c>
      <c r="BJ606" s="763">
        <v>0</v>
      </c>
      <c r="BK606" s="763">
        <v>0</v>
      </c>
      <c r="BL606" s="763">
        <v>0</v>
      </c>
      <c r="BM606" s="763">
        <v>0</v>
      </c>
      <c r="BN606" s="763">
        <v>0</v>
      </c>
      <c r="BO606" s="763">
        <v>0</v>
      </c>
      <c r="BP606" s="763">
        <v>0</v>
      </c>
      <c r="BQ606" s="763">
        <v>0</v>
      </c>
      <c r="BR606" s="763">
        <v>0</v>
      </c>
      <c r="BS606" s="762">
        <v>0</v>
      </c>
      <c r="BT606" s="762">
        <v>0</v>
      </c>
      <c r="BU606" s="762">
        <v>0</v>
      </c>
      <c r="BV606" s="762">
        <v>609.34659013410214</v>
      </c>
      <c r="BW606" s="762">
        <v>609.34659013410214</v>
      </c>
      <c r="BX606" s="762">
        <v>609.34659013410214</v>
      </c>
      <c r="BY606" s="762">
        <v>609.34659013410214</v>
      </c>
      <c r="BZ606" s="762">
        <v>609.34659013410214</v>
      </c>
      <c r="CA606" s="762">
        <v>609.34659013410214</v>
      </c>
      <c r="CB606" s="762">
        <v>609.34659013410214</v>
      </c>
      <c r="CC606" s="762">
        <v>609.34659013410214</v>
      </c>
      <c r="CD606" s="762">
        <v>609.34659013410214</v>
      </c>
      <c r="CE606" s="762">
        <v>609.34659013410214</v>
      </c>
      <c r="CF606" s="762">
        <v>609.34659013410214</v>
      </c>
      <c r="CG606" s="762">
        <v>0</v>
      </c>
      <c r="CH606" s="762">
        <v>0</v>
      </c>
      <c r="CI606" s="762">
        <v>0</v>
      </c>
      <c r="CJ606" s="762">
        <v>0</v>
      </c>
      <c r="CK606" s="762">
        <v>0</v>
      </c>
      <c r="CL606" s="762">
        <v>0</v>
      </c>
      <c r="CM606" s="762">
        <v>0</v>
      </c>
      <c r="CN606" s="762">
        <v>0</v>
      </c>
      <c r="CO606" s="762">
        <v>0</v>
      </c>
      <c r="CP606" s="762">
        <v>0</v>
      </c>
      <c r="CQ606" s="762">
        <v>0</v>
      </c>
      <c r="CR606" s="762">
        <v>0</v>
      </c>
    </row>
    <row r="607" spans="1:96" s="53" customFormat="1">
      <c r="A607" s="721" t="s">
        <v>3</v>
      </c>
      <c r="B607" s="723">
        <v>41822</v>
      </c>
      <c r="C607" s="721">
        <v>2014</v>
      </c>
      <c r="D607" s="713" t="s">
        <v>1</v>
      </c>
      <c r="E607" s="713" t="s">
        <v>674</v>
      </c>
      <c r="F607" s="723" t="s">
        <v>689</v>
      </c>
      <c r="G607" s="713" t="s">
        <v>58</v>
      </c>
      <c r="H607" s="723" t="s">
        <v>693</v>
      </c>
      <c r="I607" s="713" t="s">
        <v>5</v>
      </c>
      <c r="J607" s="713" t="s">
        <v>376</v>
      </c>
      <c r="K607" s="766">
        <v>8</v>
      </c>
      <c r="L607" s="766" t="s">
        <v>671</v>
      </c>
      <c r="M607" s="765" t="s">
        <v>780</v>
      </c>
      <c r="N607" s="765">
        <v>11</v>
      </c>
      <c r="O607" s="765" t="s">
        <v>7</v>
      </c>
      <c r="P607" s="735">
        <v>1</v>
      </c>
      <c r="Q607" s="713" t="s">
        <v>58</v>
      </c>
      <c r="R607" s="713" t="s">
        <v>58</v>
      </c>
      <c r="S607" s="713" t="s">
        <v>58</v>
      </c>
      <c r="T607" s="713" t="s">
        <v>58</v>
      </c>
      <c r="U607" s="764">
        <v>0.57199999999999995</v>
      </c>
      <c r="V607" s="764">
        <v>2128.4119999999998</v>
      </c>
      <c r="W607" s="764">
        <v>0.44862561701409942</v>
      </c>
      <c r="X607" s="764">
        <v>1758.445012879404</v>
      </c>
      <c r="Y607" s="764">
        <v>19342.895141673445</v>
      </c>
      <c r="Z607" s="764">
        <v>18257.184500589385</v>
      </c>
      <c r="AA607" s="764">
        <v>1659.7440455081257</v>
      </c>
      <c r="AB607" s="764">
        <v>0.42374638979338852</v>
      </c>
      <c r="AC607" s="714">
        <v>0.82617698682369967</v>
      </c>
      <c r="AD607" s="714">
        <v>0.7843105192554185</v>
      </c>
      <c r="AE607" s="713" t="s">
        <v>58</v>
      </c>
      <c r="AF607" s="713" t="s">
        <v>58</v>
      </c>
      <c r="AG607" s="713" t="s">
        <v>58</v>
      </c>
      <c r="AH607" s="714">
        <v>0.94387031345969796</v>
      </c>
      <c r="AI607" s="713" t="s">
        <v>58</v>
      </c>
      <c r="AJ607" s="713" t="s">
        <v>58</v>
      </c>
      <c r="AK607" s="713" t="s">
        <v>58</v>
      </c>
      <c r="AL607" s="714">
        <v>0.94454345387965444</v>
      </c>
      <c r="AM607" s="713" t="s">
        <v>58</v>
      </c>
      <c r="AN607" s="713" t="s">
        <v>58</v>
      </c>
      <c r="AO607" s="713" t="s">
        <v>58</v>
      </c>
      <c r="AP607" s="747">
        <v>52</v>
      </c>
      <c r="AQ607" s="747">
        <v>416</v>
      </c>
      <c r="AR607" s="709"/>
      <c r="AS607" s="763">
        <v>0</v>
      </c>
      <c r="AT607" s="763">
        <v>0</v>
      </c>
      <c r="AU607" s="763">
        <v>0</v>
      </c>
      <c r="AV607" s="763">
        <v>0.42374638979338852</v>
      </c>
      <c r="AW607" s="763">
        <v>0.42374638979338852</v>
      </c>
      <c r="AX607" s="763">
        <v>0.42374638979338852</v>
      </c>
      <c r="AY607" s="763">
        <v>0.42374638979338852</v>
      </c>
      <c r="AZ607" s="763">
        <v>0.42374638979338852</v>
      </c>
      <c r="BA607" s="763">
        <v>0.42374638979338852</v>
      </c>
      <c r="BB607" s="763">
        <v>0.42374638979338852</v>
      </c>
      <c r="BC607" s="763">
        <v>0.42374638979338852</v>
      </c>
      <c r="BD607" s="763">
        <v>0.42374638979338852</v>
      </c>
      <c r="BE607" s="763">
        <v>0.42374638979338852</v>
      </c>
      <c r="BF607" s="763">
        <v>0.42374638979338852</v>
      </c>
      <c r="BG607" s="763">
        <v>0</v>
      </c>
      <c r="BH607" s="763">
        <v>0</v>
      </c>
      <c r="BI607" s="763">
        <v>0</v>
      </c>
      <c r="BJ607" s="763">
        <v>0</v>
      </c>
      <c r="BK607" s="763">
        <v>0</v>
      </c>
      <c r="BL607" s="763">
        <v>0</v>
      </c>
      <c r="BM607" s="763">
        <v>0</v>
      </c>
      <c r="BN607" s="763">
        <v>0</v>
      </c>
      <c r="BO607" s="763">
        <v>0</v>
      </c>
      <c r="BP607" s="763">
        <v>0</v>
      </c>
      <c r="BQ607" s="763">
        <v>0</v>
      </c>
      <c r="BR607" s="763">
        <v>0</v>
      </c>
      <c r="BS607" s="762">
        <v>0</v>
      </c>
      <c r="BT607" s="762">
        <v>0</v>
      </c>
      <c r="BU607" s="762">
        <v>0</v>
      </c>
      <c r="BV607" s="762">
        <v>1659.7440455081257</v>
      </c>
      <c r="BW607" s="762">
        <v>1659.7440455081257</v>
      </c>
      <c r="BX607" s="762">
        <v>1659.7440455081257</v>
      </c>
      <c r="BY607" s="762">
        <v>1659.7440455081257</v>
      </c>
      <c r="BZ607" s="762">
        <v>1659.7440455081257</v>
      </c>
      <c r="CA607" s="762">
        <v>1659.7440455081257</v>
      </c>
      <c r="CB607" s="762">
        <v>1659.7440455081257</v>
      </c>
      <c r="CC607" s="762">
        <v>1659.7440455081257</v>
      </c>
      <c r="CD607" s="762">
        <v>1659.7440455081257</v>
      </c>
      <c r="CE607" s="762">
        <v>1659.7440455081257</v>
      </c>
      <c r="CF607" s="762">
        <v>1659.7440455081257</v>
      </c>
      <c r="CG607" s="762">
        <v>0</v>
      </c>
      <c r="CH607" s="762">
        <v>0</v>
      </c>
      <c r="CI607" s="762">
        <v>0</v>
      </c>
      <c r="CJ607" s="762">
        <v>0</v>
      </c>
      <c r="CK607" s="762">
        <v>0</v>
      </c>
      <c r="CL607" s="762">
        <v>0</v>
      </c>
      <c r="CM607" s="762">
        <v>0</v>
      </c>
      <c r="CN607" s="762">
        <v>0</v>
      </c>
      <c r="CO607" s="762">
        <v>0</v>
      </c>
      <c r="CP607" s="762">
        <v>0</v>
      </c>
      <c r="CQ607" s="762">
        <v>0</v>
      </c>
      <c r="CR607" s="762">
        <v>0</v>
      </c>
    </row>
    <row r="608" spans="1:96" s="53" customFormat="1">
      <c r="A608" s="721" t="s">
        <v>3</v>
      </c>
      <c r="B608" s="723">
        <v>41822</v>
      </c>
      <c r="C608" s="721">
        <v>2014</v>
      </c>
      <c r="D608" s="713" t="s">
        <v>1</v>
      </c>
      <c r="E608" s="713" t="s">
        <v>674</v>
      </c>
      <c r="F608" s="723" t="s">
        <v>689</v>
      </c>
      <c r="G608" s="713" t="s">
        <v>58</v>
      </c>
      <c r="H608" s="723" t="s">
        <v>702</v>
      </c>
      <c r="I608" s="713" t="s">
        <v>5</v>
      </c>
      <c r="J608" s="713" t="s">
        <v>376</v>
      </c>
      <c r="K608" s="766">
        <v>10</v>
      </c>
      <c r="L608" s="766" t="s">
        <v>671</v>
      </c>
      <c r="M608" s="765" t="s">
        <v>780</v>
      </c>
      <c r="N608" s="765">
        <v>11</v>
      </c>
      <c r="O608" s="765" t="s">
        <v>7</v>
      </c>
      <c r="P608" s="735">
        <v>1</v>
      </c>
      <c r="Q608" s="713" t="s">
        <v>58</v>
      </c>
      <c r="R608" s="713" t="s">
        <v>58</v>
      </c>
      <c r="S608" s="713" t="s">
        <v>58</v>
      </c>
      <c r="T608" s="713" t="s">
        <v>58</v>
      </c>
      <c r="U608" s="764">
        <v>0.45500000000000002</v>
      </c>
      <c r="V608" s="764">
        <v>1693.0550000000001</v>
      </c>
      <c r="W608" s="764">
        <v>0.35686128626121544</v>
      </c>
      <c r="X608" s="764">
        <v>1398.7630784267988</v>
      </c>
      <c r="Y608" s="764">
        <v>15386.393862694786</v>
      </c>
      <c r="Z608" s="764">
        <v>14522.7603981961</v>
      </c>
      <c r="AA608" s="764">
        <v>1320.2509452905547</v>
      </c>
      <c r="AB608" s="764">
        <v>0.33707099188110451</v>
      </c>
      <c r="AC608" s="714">
        <v>0.82617698682369967</v>
      </c>
      <c r="AD608" s="714">
        <v>0.7843105192554185</v>
      </c>
      <c r="AE608" s="713" t="s">
        <v>58</v>
      </c>
      <c r="AF608" s="713" t="s">
        <v>58</v>
      </c>
      <c r="AG608" s="713" t="s">
        <v>58</v>
      </c>
      <c r="AH608" s="714">
        <v>0.94387031345969796</v>
      </c>
      <c r="AI608" s="713" t="s">
        <v>58</v>
      </c>
      <c r="AJ608" s="713" t="s">
        <v>58</v>
      </c>
      <c r="AK608" s="713" t="s">
        <v>58</v>
      </c>
      <c r="AL608" s="714">
        <v>0.94454345387965444</v>
      </c>
      <c r="AM608" s="713" t="s">
        <v>58</v>
      </c>
      <c r="AN608" s="713" t="s">
        <v>58</v>
      </c>
      <c r="AO608" s="713" t="s">
        <v>58</v>
      </c>
      <c r="AP608" s="747">
        <v>47</v>
      </c>
      <c r="AQ608" s="747">
        <v>470</v>
      </c>
      <c r="AR608" s="709"/>
      <c r="AS608" s="763">
        <v>0</v>
      </c>
      <c r="AT608" s="763">
        <v>0</v>
      </c>
      <c r="AU608" s="763">
        <v>0</v>
      </c>
      <c r="AV608" s="763">
        <v>0.33707099188110451</v>
      </c>
      <c r="AW608" s="763">
        <v>0.33707099188110451</v>
      </c>
      <c r="AX608" s="763">
        <v>0.33707099188110451</v>
      </c>
      <c r="AY608" s="763">
        <v>0.33707099188110451</v>
      </c>
      <c r="AZ608" s="763">
        <v>0.33707099188110451</v>
      </c>
      <c r="BA608" s="763">
        <v>0.33707099188110451</v>
      </c>
      <c r="BB608" s="763">
        <v>0.33707099188110451</v>
      </c>
      <c r="BC608" s="763">
        <v>0.33707099188110451</v>
      </c>
      <c r="BD608" s="763">
        <v>0.33707099188110451</v>
      </c>
      <c r="BE608" s="763">
        <v>0.33707099188110451</v>
      </c>
      <c r="BF608" s="763">
        <v>0.33707099188110451</v>
      </c>
      <c r="BG608" s="763">
        <v>0</v>
      </c>
      <c r="BH608" s="763">
        <v>0</v>
      </c>
      <c r="BI608" s="763">
        <v>0</v>
      </c>
      <c r="BJ608" s="763">
        <v>0</v>
      </c>
      <c r="BK608" s="763">
        <v>0</v>
      </c>
      <c r="BL608" s="763">
        <v>0</v>
      </c>
      <c r="BM608" s="763">
        <v>0</v>
      </c>
      <c r="BN608" s="763">
        <v>0</v>
      </c>
      <c r="BO608" s="763">
        <v>0</v>
      </c>
      <c r="BP608" s="763">
        <v>0</v>
      </c>
      <c r="BQ608" s="763">
        <v>0</v>
      </c>
      <c r="BR608" s="763">
        <v>0</v>
      </c>
      <c r="BS608" s="762">
        <v>0</v>
      </c>
      <c r="BT608" s="762">
        <v>0</v>
      </c>
      <c r="BU608" s="762">
        <v>0</v>
      </c>
      <c r="BV608" s="762">
        <v>1320.2509452905547</v>
      </c>
      <c r="BW608" s="762">
        <v>1320.2509452905547</v>
      </c>
      <c r="BX608" s="762">
        <v>1320.2509452905547</v>
      </c>
      <c r="BY608" s="762">
        <v>1320.2509452905547</v>
      </c>
      <c r="BZ608" s="762">
        <v>1320.2509452905547</v>
      </c>
      <c r="CA608" s="762">
        <v>1320.2509452905547</v>
      </c>
      <c r="CB608" s="762">
        <v>1320.2509452905547</v>
      </c>
      <c r="CC608" s="762">
        <v>1320.2509452905547</v>
      </c>
      <c r="CD608" s="762">
        <v>1320.2509452905547</v>
      </c>
      <c r="CE608" s="762">
        <v>1320.2509452905547</v>
      </c>
      <c r="CF608" s="762">
        <v>1320.2509452905547</v>
      </c>
      <c r="CG608" s="762">
        <v>0</v>
      </c>
      <c r="CH608" s="762">
        <v>0</v>
      </c>
      <c r="CI608" s="762">
        <v>0</v>
      </c>
      <c r="CJ608" s="762">
        <v>0</v>
      </c>
      <c r="CK608" s="762">
        <v>0</v>
      </c>
      <c r="CL608" s="762">
        <v>0</v>
      </c>
      <c r="CM608" s="762">
        <v>0</v>
      </c>
      <c r="CN608" s="762">
        <v>0</v>
      </c>
      <c r="CO608" s="762">
        <v>0</v>
      </c>
      <c r="CP608" s="762">
        <v>0</v>
      </c>
      <c r="CQ608" s="762">
        <v>0</v>
      </c>
      <c r="CR608" s="762">
        <v>0</v>
      </c>
    </row>
    <row r="609" spans="1:96" s="53" customFormat="1">
      <c r="A609" s="721" t="s">
        <v>3</v>
      </c>
      <c r="B609" s="723">
        <v>41914</v>
      </c>
      <c r="C609" s="721">
        <v>2014</v>
      </c>
      <c r="D609" s="713" t="s">
        <v>1</v>
      </c>
      <c r="E609" s="713" t="s">
        <v>674</v>
      </c>
      <c r="F609" s="723" t="s">
        <v>673</v>
      </c>
      <c r="G609" s="713" t="s">
        <v>58</v>
      </c>
      <c r="H609" s="723" t="s">
        <v>704</v>
      </c>
      <c r="I609" s="713" t="s">
        <v>5</v>
      </c>
      <c r="J609" s="713" t="s">
        <v>376</v>
      </c>
      <c r="K609" s="766">
        <v>1</v>
      </c>
      <c r="L609" s="766" t="s">
        <v>671</v>
      </c>
      <c r="M609" s="765" t="s">
        <v>766</v>
      </c>
      <c r="N609" s="765">
        <v>12</v>
      </c>
      <c r="O609" s="765">
        <v>3</v>
      </c>
      <c r="P609" s="735">
        <v>4.5454545454545456E-2</v>
      </c>
      <c r="Q609" s="713" t="s">
        <v>58</v>
      </c>
      <c r="R609" s="713" t="s">
        <v>58</v>
      </c>
      <c r="S609" s="713" t="s">
        <v>58</v>
      </c>
      <c r="T609" s="713" t="s">
        <v>58</v>
      </c>
      <c r="U609" s="764">
        <v>2.1999999999999999E-2</v>
      </c>
      <c r="V609" s="764">
        <v>57.067999999999998</v>
      </c>
      <c r="W609" s="764">
        <v>1.7254831423619207E-2</v>
      </c>
      <c r="X609" s="764">
        <v>47.148268284054886</v>
      </c>
      <c r="Y609" s="764">
        <v>160.73273278655074</v>
      </c>
      <c r="Z609" s="764">
        <v>151.71085487847552</v>
      </c>
      <c r="AA609" s="764">
        <v>44.501850764352824</v>
      </c>
      <c r="AB609" s="764">
        <v>1.6297938068976482E-2</v>
      </c>
      <c r="AC609" s="714">
        <v>0.82617698682369967</v>
      </c>
      <c r="AD609" s="714">
        <v>0.7843105192554185</v>
      </c>
      <c r="AE609" s="713" t="s">
        <v>58</v>
      </c>
      <c r="AF609" s="713" t="s">
        <v>58</v>
      </c>
      <c r="AG609" s="713" t="s">
        <v>58</v>
      </c>
      <c r="AH609" s="714">
        <v>0.94387031345969796</v>
      </c>
      <c r="AI609" s="713" t="s">
        <v>58</v>
      </c>
      <c r="AJ609" s="713" t="s">
        <v>58</v>
      </c>
      <c r="AK609" s="713" t="s">
        <v>58</v>
      </c>
      <c r="AL609" s="714">
        <v>0.94454345387965444</v>
      </c>
      <c r="AM609" s="713" t="s">
        <v>58</v>
      </c>
      <c r="AN609" s="713" t="s">
        <v>58</v>
      </c>
      <c r="AO609" s="713" t="s">
        <v>58</v>
      </c>
      <c r="AP609" s="747">
        <v>75</v>
      </c>
      <c r="AQ609" s="747">
        <v>75</v>
      </c>
      <c r="AR609" s="709"/>
      <c r="AS609" s="763">
        <v>0</v>
      </c>
      <c r="AT609" s="763">
        <v>0</v>
      </c>
      <c r="AU609" s="763">
        <v>0</v>
      </c>
      <c r="AV609" s="763">
        <v>1.6297938068976482E-2</v>
      </c>
      <c r="AW609" s="763">
        <v>1.6297938068976482E-2</v>
      </c>
      <c r="AX609" s="763">
        <v>1.6297938068976482E-2</v>
      </c>
      <c r="AY609" s="763">
        <v>7.4081536677165832E-4</v>
      </c>
      <c r="AZ609" s="763">
        <v>7.4081536677165832E-4</v>
      </c>
      <c r="BA609" s="763">
        <v>7.4081536677165832E-4</v>
      </c>
      <c r="BB609" s="763">
        <v>7.4081536677165832E-4</v>
      </c>
      <c r="BC609" s="763">
        <v>7.4081536677165832E-4</v>
      </c>
      <c r="BD609" s="763">
        <v>7.4081536677165832E-4</v>
      </c>
      <c r="BE609" s="763">
        <v>7.4081536677165832E-4</v>
      </c>
      <c r="BF609" s="763">
        <v>7.4081536677165832E-4</v>
      </c>
      <c r="BG609" s="763">
        <v>7.4081536677165832E-4</v>
      </c>
      <c r="BH609" s="763">
        <v>0</v>
      </c>
      <c r="BI609" s="763">
        <v>0</v>
      </c>
      <c r="BJ609" s="763">
        <v>0</v>
      </c>
      <c r="BK609" s="763">
        <v>0</v>
      </c>
      <c r="BL609" s="763">
        <v>0</v>
      </c>
      <c r="BM609" s="763">
        <v>0</v>
      </c>
      <c r="BN609" s="763">
        <v>0</v>
      </c>
      <c r="BO609" s="763">
        <v>0</v>
      </c>
      <c r="BP609" s="763">
        <v>0</v>
      </c>
      <c r="BQ609" s="763">
        <v>0</v>
      </c>
      <c r="BR609" s="763">
        <v>0</v>
      </c>
      <c r="BS609" s="762">
        <v>0</v>
      </c>
      <c r="BT609" s="762">
        <v>0</v>
      </c>
      <c r="BU609" s="762">
        <v>0</v>
      </c>
      <c r="BV609" s="762">
        <v>44.501850764352824</v>
      </c>
      <c r="BW609" s="762">
        <v>44.501850764352824</v>
      </c>
      <c r="BX609" s="762">
        <v>44.501850764352824</v>
      </c>
      <c r="BY609" s="762">
        <v>2.0228113983796741</v>
      </c>
      <c r="BZ609" s="762">
        <v>2.0228113983796741</v>
      </c>
      <c r="CA609" s="762">
        <v>2.0228113983796741</v>
      </c>
      <c r="CB609" s="762">
        <v>2.0228113983796741</v>
      </c>
      <c r="CC609" s="762">
        <v>2.0228113983796741</v>
      </c>
      <c r="CD609" s="762">
        <v>2.0228113983796741</v>
      </c>
      <c r="CE609" s="762">
        <v>2.0228113983796741</v>
      </c>
      <c r="CF609" s="762">
        <v>2.0228113983796741</v>
      </c>
      <c r="CG609" s="762">
        <v>2.0228113983796741</v>
      </c>
      <c r="CH609" s="762">
        <v>0</v>
      </c>
      <c r="CI609" s="762">
        <v>0</v>
      </c>
      <c r="CJ609" s="762">
        <v>0</v>
      </c>
      <c r="CK609" s="762">
        <v>0</v>
      </c>
      <c r="CL609" s="762">
        <v>0</v>
      </c>
      <c r="CM609" s="762">
        <v>0</v>
      </c>
      <c r="CN609" s="762">
        <v>0</v>
      </c>
      <c r="CO609" s="762">
        <v>0</v>
      </c>
      <c r="CP609" s="762">
        <v>0</v>
      </c>
      <c r="CQ609" s="762">
        <v>0</v>
      </c>
      <c r="CR609" s="762">
        <v>0</v>
      </c>
    </row>
    <row r="610" spans="1:96" s="53" customFormat="1">
      <c r="A610" s="721" t="s">
        <v>3</v>
      </c>
      <c r="B610" s="723">
        <v>41914</v>
      </c>
      <c r="C610" s="721">
        <v>2014</v>
      </c>
      <c r="D610" s="713" t="s">
        <v>1</v>
      </c>
      <c r="E610" s="713" t="s">
        <v>674</v>
      </c>
      <c r="F610" s="723" t="s">
        <v>673</v>
      </c>
      <c r="G610" s="713" t="s">
        <v>58</v>
      </c>
      <c r="H610" s="723" t="s">
        <v>677</v>
      </c>
      <c r="I610" s="713" t="s">
        <v>5</v>
      </c>
      <c r="J610" s="713" t="s">
        <v>376</v>
      </c>
      <c r="K610" s="766">
        <v>1</v>
      </c>
      <c r="L610" s="766" t="s">
        <v>671</v>
      </c>
      <c r="M610" s="765" t="s">
        <v>766</v>
      </c>
      <c r="N610" s="765">
        <v>0</v>
      </c>
      <c r="O610" s="765">
        <v>0</v>
      </c>
      <c r="P610" s="735">
        <v>0</v>
      </c>
      <c r="Q610" s="713" t="s">
        <v>58</v>
      </c>
      <c r="R610" s="713" t="s">
        <v>58</v>
      </c>
      <c r="S610" s="713" t="s">
        <v>58</v>
      </c>
      <c r="T610" s="713" t="s">
        <v>58</v>
      </c>
      <c r="U610" s="764">
        <v>0</v>
      </c>
      <c r="V610" s="764">
        <v>0</v>
      </c>
      <c r="W610" s="764">
        <v>0</v>
      </c>
      <c r="X610" s="764">
        <v>0</v>
      </c>
      <c r="Y610" s="764">
        <v>0</v>
      </c>
      <c r="Z610" s="764">
        <v>0</v>
      </c>
      <c r="AA610" s="764">
        <v>0</v>
      </c>
      <c r="AB610" s="764">
        <v>0</v>
      </c>
      <c r="AC610" s="714">
        <v>0.82617698682369967</v>
      </c>
      <c r="AD610" s="714">
        <v>0.7843105192554185</v>
      </c>
      <c r="AE610" s="713" t="s">
        <v>58</v>
      </c>
      <c r="AF610" s="713" t="s">
        <v>58</v>
      </c>
      <c r="AG610" s="713" t="s">
        <v>58</v>
      </c>
      <c r="AH610" s="714">
        <v>0.94387031345969796</v>
      </c>
      <c r="AI610" s="713" t="s">
        <v>58</v>
      </c>
      <c r="AJ610" s="713" t="s">
        <v>58</v>
      </c>
      <c r="AK610" s="713" t="s">
        <v>58</v>
      </c>
      <c r="AL610" s="714">
        <v>0.94454345387965444</v>
      </c>
      <c r="AM610" s="713" t="s">
        <v>58</v>
      </c>
      <c r="AN610" s="713" t="s">
        <v>58</v>
      </c>
      <c r="AO610" s="713" t="s">
        <v>58</v>
      </c>
      <c r="AP610" s="747">
        <v>51</v>
      </c>
      <c r="AQ610" s="747">
        <v>51</v>
      </c>
      <c r="AR610" s="709"/>
      <c r="AS610" s="763">
        <v>0</v>
      </c>
      <c r="AT610" s="763">
        <v>0</v>
      </c>
      <c r="AU610" s="763">
        <v>0</v>
      </c>
      <c r="AV610" s="763">
        <v>0</v>
      </c>
      <c r="AW610" s="763">
        <v>0</v>
      </c>
      <c r="AX610" s="763">
        <v>0</v>
      </c>
      <c r="AY610" s="763">
        <v>0</v>
      </c>
      <c r="AZ610" s="763">
        <v>0</v>
      </c>
      <c r="BA610" s="763">
        <v>0</v>
      </c>
      <c r="BB610" s="763">
        <v>0</v>
      </c>
      <c r="BC610" s="763">
        <v>0</v>
      </c>
      <c r="BD610" s="763">
        <v>0</v>
      </c>
      <c r="BE610" s="763">
        <v>0</v>
      </c>
      <c r="BF610" s="763">
        <v>0</v>
      </c>
      <c r="BG610" s="763">
        <v>0</v>
      </c>
      <c r="BH610" s="763">
        <v>0</v>
      </c>
      <c r="BI610" s="763">
        <v>0</v>
      </c>
      <c r="BJ610" s="763">
        <v>0</v>
      </c>
      <c r="BK610" s="763">
        <v>0</v>
      </c>
      <c r="BL610" s="763">
        <v>0</v>
      </c>
      <c r="BM610" s="763">
        <v>0</v>
      </c>
      <c r="BN610" s="763">
        <v>0</v>
      </c>
      <c r="BO610" s="763">
        <v>0</v>
      </c>
      <c r="BP610" s="763">
        <v>0</v>
      </c>
      <c r="BQ610" s="763">
        <v>0</v>
      </c>
      <c r="BR610" s="763">
        <v>0</v>
      </c>
      <c r="BS610" s="762">
        <v>0</v>
      </c>
      <c r="BT610" s="762">
        <v>0</v>
      </c>
      <c r="BU610" s="762">
        <v>0</v>
      </c>
      <c r="BV610" s="762">
        <v>0</v>
      </c>
      <c r="BW610" s="762">
        <v>0</v>
      </c>
      <c r="BX610" s="762">
        <v>0</v>
      </c>
      <c r="BY610" s="762">
        <v>0</v>
      </c>
      <c r="BZ610" s="762">
        <v>0</v>
      </c>
      <c r="CA610" s="762">
        <v>0</v>
      </c>
      <c r="CB610" s="762">
        <v>0</v>
      </c>
      <c r="CC610" s="762">
        <v>0</v>
      </c>
      <c r="CD610" s="762">
        <v>0</v>
      </c>
      <c r="CE610" s="762">
        <v>0</v>
      </c>
      <c r="CF610" s="762">
        <v>0</v>
      </c>
      <c r="CG610" s="762">
        <v>0</v>
      </c>
      <c r="CH610" s="762">
        <v>0</v>
      </c>
      <c r="CI610" s="762">
        <v>0</v>
      </c>
      <c r="CJ610" s="762">
        <v>0</v>
      </c>
      <c r="CK610" s="762">
        <v>0</v>
      </c>
      <c r="CL610" s="762">
        <v>0</v>
      </c>
      <c r="CM610" s="762">
        <v>0</v>
      </c>
      <c r="CN610" s="762">
        <v>0</v>
      </c>
      <c r="CO610" s="762">
        <v>0</v>
      </c>
      <c r="CP610" s="762">
        <v>0</v>
      </c>
      <c r="CQ610" s="762">
        <v>0</v>
      </c>
      <c r="CR610" s="762">
        <v>0</v>
      </c>
    </row>
    <row r="611" spans="1:96" s="53" customFormat="1">
      <c r="A611" s="721" t="s">
        <v>3</v>
      </c>
      <c r="B611" s="723">
        <v>41914</v>
      </c>
      <c r="C611" s="721">
        <v>2014</v>
      </c>
      <c r="D611" s="713" t="s">
        <v>1</v>
      </c>
      <c r="E611" s="713" t="s">
        <v>674</v>
      </c>
      <c r="F611" s="723" t="s">
        <v>673</v>
      </c>
      <c r="G611" s="713" t="s">
        <v>58</v>
      </c>
      <c r="H611" s="723" t="s">
        <v>675</v>
      </c>
      <c r="I611" s="713" t="s">
        <v>5</v>
      </c>
      <c r="J611" s="713" t="s">
        <v>376</v>
      </c>
      <c r="K611" s="766">
        <v>18</v>
      </c>
      <c r="L611" s="766" t="s">
        <v>671</v>
      </c>
      <c r="M611" s="765" t="s">
        <v>766</v>
      </c>
      <c r="N611" s="765">
        <v>12</v>
      </c>
      <c r="O611" s="765">
        <v>3</v>
      </c>
      <c r="P611" s="735">
        <v>0.36842105263157893</v>
      </c>
      <c r="Q611" s="713" t="s">
        <v>58</v>
      </c>
      <c r="R611" s="713" t="s">
        <v>58</v>
      </c>
      <c r="S611" s="713" t="s">
        <v>58</v>
      </c>
      <c r="T611" s="713" t="s">
        <v>58</v>
      </c>
      <c r="U611" s="764">
        <v>1.026</v>
      </c>
      <c r="V611" s="764">
        <v>2661.444</v>
      </c>
      <c r="W611" s="764">
        <v>0.80470259275605949</v>
      </c>
      <c r="X611" s="764">
        <v>2198.8237845200147</v>
      </c>
      <c r="Y611" s="764">
        <v>13887.308112757986</v>
      </c>
      <c r="Z611" s="764">
        <v>13107.817861500287</v>
      </c>
      <c r="AA611" s="764">
        <v>2075.4044947375455</v>
      </c>
      <c r="AB611" s="764">
        <v>0.76007656630772147</v>
      </c>
      <c r="AC611" s="714">
        <v>0.82617698682369967</v>
      </c>
      <c r="AD611" s="714">
        <v>0.7843105192554185</v>
      </c>
      <c r="AE611" s="713" t="s">
        <v>58</v>
      </c>
      <c r="AF611" s="713" t="s">
        <v>58</v>
      </c>
      <c r="AG611" s="713" t="s">
        <v>58</v>
      </c>
      <c r="AH611" s="714">
        <v>0.94387031345969796</v>
      </c>
      <c r="AI611" s="713" t="s">
        <v>58</v>
      </c>
      <c r="AJ611" s="713" t="s">
        <v>58</v>
      </c>
      <c r="AK611" s="713" t="s">
        <v>58</v>
      </c>
      <c r="AL611" s="714">
        <v>0.94454345387965444</v>
      </c>
      <c r="AM611" s="713" t="s">
        <v>58</v>
      </c>
      <c r="AN611" s="713" t="s">
        <v>58</v>
      </c>
      <c r="AO611" s="713" t="s">
        <v>58</v>
      </c>
      <c r="AP611" s="747">
        <v>73</v>
      </c>
      <c r="AQ611" s="747">
        <v>1314</v>
      </c>
      <c r="AR611" s="709"/>
      <c r="AS611" s="763">
        <v>0</v>
      </c>
      <c r="AT611" s="763">
        <v>0</v>
      </c>
      <c r="AU611" s="763">
        <v>0</v>
      </c>
      <c r="AV611" s="763">
        <v>0.76007656630772147</v>
      </c>
      <c r="AW611" s="763">
        <v>0.76007656630772147</v>
      </c>
      <c r="AX611" s="763">
        <v>0.76007656630772147</v>
      </c>
      <c r="AY611" s="763">
        <v>0.28002820863968686</v>
      </c>
      <c r="AZ611" s="763">
        <v>0.28002820863968686</v>
      </c>
      <c r="BA611" s="763">
        <v>0.28002820863968686</v>
      </c>
      <c r="BB611" s="763">
        <v>0.28002820863968686</v>
      </c>
      <c r="BC611" s="763">
        <v>0.28002820863968686</v>
      </c>
      <c r="BD611" s="763">
        <v>0.28002820863968686</v>
      </c>
      <c r="BE611" s="763">
        <v>0.28002820863968686</v>
      </c>
      <c r="BF611" s="763">
        <v>0.28002820863968686</v>
      </c>
      <c r="BG611" s="763">
        <v>0.28002820863968686</v>
      </c>
      <c r="BH611" s="763">
        <v>0</v>
      </c>
      <c r="BI611" s="763">
        <v>0</v>
      </c>
      <c r="BJ611" s="763">
        <v>0</v>
      </c>
      <c r="BK611" s="763">
        <v>0</v>
      </c>
      <c r="BL611" s="763">
        <v>0</v>
      </c>
      <c r="BM611" s="763">
        <v>0</v>
      </c>
      <c r="BN611" s="763">
        <v>0</v>
      </c>
      <c r="BO611" s="763">
        <v>0</v>
      </c>
      <c r="BP611" s="763">
        <v>0</v>
      </c>
      <c r="BQ611" s="763">
        <v>0</v>
      </c>
      <c r="BR611" s="763">
        <v>0</v>
      </c>
      <c r="BS611" s="762">
        <v>0</v>
      </c>
      <c r="BT611" s="762">
        <v>0</v>
      </c>
      <c r="BU611" s="762">
        <v>0</v>
      </c>
      <c r="BV611" s="762">
        <v>2075.4044947375455</v>
      </c>
      <c r="BW611" s="762">
        <v>2075.4044947375455</v>
      </c>
      <c r="BX611" s="762">
        <v>2075.4044947375455</v>
      </c>
      <c r="BY611" s="762">
        <v>764.62270858751674</v>
      </c>
      <c r="BZ611" s="762">
        <v>764.62270858751674</v>
      </c>
      <c r="CA611" s="762">
        <v>764.62270858751674</v>
      </c>
      <c r="CB611" s="762">
        <v>764.62270858751674</v>
      </c>
      <c r="CC611" s="762">
        <v>764.62270858751674</v>
      </c>
      <c r="CD611" s="762">
        <v>764.62270858751674</v>
      </c>
      <c r="CE611" s="762">
        <v>764.62270858751674</v>
      </c>
      <c r="CF611" s="762">
        <v>764.62270858751674</v>
      </c>
      <c r="CG611" s="762">
        <v>764.62270858751674</v>
      </c>
      <c r="CH611" s="762">
        <v>0</v>
      </c>
      <c r="CI611" s="762">
        <v>0</v>
      </c>
      <c r="CJ611" s="762">
        <v>0</v>
      </c>
      <c r="CK611" s="762">
        <v>0</v>
      </c>
      <c r="CL611" s="762">
        <v>0</v>
      </c>
      <c r="CM611" s="762">
        <v>0</v>
      </c>
      <c r="CN611" s="762">
        <v>0</v>
      </c>
      <c r="CO611" s="762">
        <v>0</v>
      </c>
      <c r="CP611" s="762">
        <v>0</v>
      </c>
      <c r="CQ611" s="762">
        <v>0</v>
      </c>
      <c r="CR611" s="762">
        <v>0</v>
      </c>
    </row>
    <row r="612" spans="1:96" s="53" customFormat="1">
      <c r="A612" s="721" t="s">
        <v>3</v>
      </c>
      <c r="B612" s="723">
        <v>41976</v>
      </c>
      <c r="C612" s="721">
        <v>2014</v>
      </c>
      <c r="D612" s="713" t="s">
        <v>1</v>
      </c>
      <c r="E612" s="713" t="s">
        <v>674</v>
      </c>
      <c r="F612" s="723" t="s">
        <v>123</v>
      </c>
      <c r="G612" s="713" t="s">
        <v>58</v>
      </c>
      <c r="H612" s="723" t="s">
        <v>677</v>
      </c>
      <c r="I612" s="713" t="s">
        <v>5</v>
      </c>
      <c r="J612" s="713" t="s">
        <v>376</v>
      </c>
      <c r="K612" s="766">
        <v>1</v>
      </c>
      <c r="L612" s="766" t="s">
        <v>671</v>
      </c>
      <c r="M612" s="765" t="s">
        <v>692</v>
      </c>
      <c r="N612" s="765">
        <v>0</v>
      </c>
      <c r="O612" s="765">
        <v>0</v>
      </c>
      <c r="P612" s="735">
        <v>0</v>
      </c>
      <c r="Q612" s="713" t="s">
        <v>58</v>
      </c>
      <c r="R612" s="713" t="s">
        <v>58</v>
      </c>
      <c r="S612" s="713" t="s">
        <v>58</v>
      </c>
      <c r="T612" s="713" t="s">
        <v>58</v>
      </c>
      <c r="U612" s="764">
        <v>0</v>
      </c>
      <c r="V612" s="764">
        <v>0</v>
      </c>
      <c r="W612" s="764">
        <v>0</v>
      </c>
      <c r="X612" s="764">
        <v>0</v>
      </c>
      <c r="Y612" s="764">
        <v>0</v>
      </c>
      <c r="Z612" s="764">
        <v>0</v>
      </c>
      <c r="AA612" s="764">
        <v>0</v>
      </c>
      <c r="AB612" s="764">
        <v>0</v>
      </c>
      <c r="AC612" s="714">
        <v>0.82617698682369967</v>
      </c>
      <c r="AD612" s="714">
        <v>0.7843105192554185</v>
      </c>
      <c r="AE612" s="713" t="s">
        <v>58</v>
      </c>
      <c r="AF612" s="713" t="s">
        <v>58</v>
      </c>
      <c r="AG612" s="713" t="s">
        <v>58</v>
      </c>
      <c r="AH612" s="714">
        <v>0.94387031345969796</v>
      </c>
      <c r="AI612" s="713" t="s">
        <v>58</v>
      </c>
      <c r="AJ612" s="713" t="s">
        <v>58</v>
      </c>
      <c r="AK612" s="713" t="s">
        <v>58</v>
      </c>
      <c r="AL612" s="714">
        <v>0.94454345387965444</v>
      </c>
      <c r="AM612" s="713" t="s">
        <v>58</v>
      </c>
      <c r="AN612" s="713" t="s">
        <v>58</v>
      </c>
      <c r="AO612" s="713" t="s">
        <v>58</v>
      </c>
      <c r="AP612" s="747">
        <v>51</v>
      </c>
      <c r="AQ612" s="747">
        <v>51</v>
      </c>
      <c r="AR612" s="709"/>
      <c r="AS612" s="763">
        <v>0</v>
      </c>
      <c r="AT612" s="763">
        <v>0</v>
      </c>
      <c r="AU612" s="763">
        <v>0</v>
      </c>
      <c r="AV612" s="763">
        <v>0</v>
      </c>
      <c r="AW612" s="763">
        <v>0</v>
      </c>
      <c r="AX612" s="763">
        <v>0</v>
      </c>
      <c r="AY612" s="763">
        <v>0</v>
      </c>
      <c r="AZ612" s="763">
        <v>0</v>
      </c>
      <c r="BA612" s="763">
        <v>0</v>
      </c>
      <c r="BB612" s="763">
        <v>0</v>
      </c>
      <c r="BC612" s="763">
        <v>0</v>
      </c>
      <c r="BD612" s="763">
        <v>0</v>
      </c>
      <c r="BE612" s="763">
        <v>0</v>
      </c>
      <c r="BF612" s="763">
        <v>0</v>
      </c>
      <c r="BG612" s="763">
        <v>0</v>
      </c>
      <c r="BH612" s="763">
        <v>0</v>
      </c>
      <c r="BI612" s="763">
        <v>0</v>
      </c>
      <c r="BJ612" s="763">
        <v>0</v>
      </c>
      <c r="BK612" s="763">
        <v>0</v>
      </c>
      <c r="BL612" s="763">
        <v>0</v>
      </c>
      <c r="BM612" s="763">
        <v>0</v>
      </c>
      <c r="BN612" s="763">
        <v>0</v>
      </c>
      <c r="BO612" s="763">
        <v>0</v>
      </c>
      <c r="BP612" s="763">
        <v>0</v>
      </c>
      <c r="BQ612" s="763">
        <v>0</v>
      </c>
      <c r="BR612" s="763">
        <v>0</v>
      </c>
      <c r="BS612" s="762">
        <v>0</v>
      </c>
      <c r="BT612" s="762">
        <v>0</v>
      </c>
      <c r="BU612" s="762">
        <v>0</v>
      </c>
      <c r="BV612" s="762">
        <v>0</v>
      </c>
      <c r="BW612" s="762">
        <v>0</v>
      </c>
      <c r="BX612" s="762">
        <v>0</v>
      </c>
      <c r="BY612" s="762">
        <v>0</v>
      </c>
      <c r="BZ612" s="762">
        <v>0</v>
      </c>
      <c r="CA612" s="762">
        <v>0</v>
      </c>
      <c r="CB612" s="762">
        <v>0</v>
      </c>
      <c r="CC612" s="762">
        <v>0</v>
      </c>
      <c r="CD612" s="762">
        <v>0</v>
      </c>
      <c r="CE612" s="762">
        <v>0</v>
      </c>
      <c r="CF612" s="762">
        <v>0</v>
      </c>
      <c r="CG612" s="762">
        <v>0</v>
      </c>
      <c r="CH612" s="762">
        <v>0</v>
      </c>
      <c r="CI612" s="762">
        <v>0</v>
      </c>
      <c r="CJ612" s="762">
        <v>0</v>
      </c>
      <c r="CK612" s="762">
        <v>0</v>
      </c>
      <c r="CL612" s="762">
        <v>0</v>
      </c>
      <c r="CM612" s="762">
        <v>0</v>
      </c>
      <c r="CN612" s="762">
        <v>0</v>
      </c>
      <c r="CO612" s="762">
        <v>0</v>
      </c>
      <c r="CP612" s="762">
        <v>0</v>
      </c>
      <c r="CQ612" s="762">
        <v>0</v>
      </c>
      <c r="CR612" s="762">
        <v>0</v>
      </c>
    </row>
    <row r="613" spans="1:96" s="53" customFormat="1">
      <c r="A613" s="721" t="s">
        <v>3</v>
      </c>
      <c r="B613" s="723">
        <v>41976</v>
      </c>
      <c r="C613" s="721">
        <v>2014</v>
      </c>
      <c r="D613" s="713" t="s">
        <v>1</v>
      </c>
      <c r="E613" s="713" t="s">
        <v>674</v>
      </c>
      <c r="F613" s="723" t="s">
        <v>123</v>
      </c>
      <c r="G613" s="713" t="s">
        <v>58</v>
      </c>
      <c r="H613" s="723" t="s">
        <v>682</v>
      </c>
      <c r="I613" s="713" t="s">
        <v>5</v>
      </c>
      <c r="J613" s="713" t="s">
        <v>376</v>
      </c>
      <c r="K613" s="766">
        <v>12</v>
      </c>
      <c r="L613" s="766" t="s">
        <v>671</v>
      </c>
      <c r="M613" s="765" t="s">
        <v>692</v>
      </c>
      <c r="N613" s="765">
        <v>12</v>
      </c>
      <c r="O613" s="765">
        <v>3</v>
      </c>
      <c r="P613" s="735">
        <v>0.4</v>
      </c>
      <c r="Q613" s="713" t="s">
        <v>58</v>
      </c>
      <c r="R613" s="713" t="s">
        <v>58</v>
      </c>
      <c r="S613" s="713" t="s">
        <v>58</v>
      </c>
      <c r="T613" s="713" t="s">
        <v>58</v>
      </c>
      <c r="U613" s="764">
        <v>0.28799999999999998</v>
      </c>
      <c r="V613" s="764">
        <v>982.08</v>
      </c>
      <c r="W613" s="764">
        <v>0.22588142954556054</v>
      </c>
      <c r="X613" s="764">
        <v>811.37189521981895</v>
      </c>
      <c r="Y613" s="764">
        <v>5355.0545084508049</v>
      </c>
      <c r="Z613" s="764">
        <v>5054.4769774852302</v>
      </c>
      <c r="AA613" s="764">
        <v>765.82984507351978</v>
      </c>
      <c r="AB613" s="764">
        <v>0.21335482563023758</v>
      </c>
      <c r="AC613" s="714">
        <v>0.82617698682369967</v>
      </c>
      <c r="AD613" s="714">
        <v>0.7843105192554185</v>
      </c>
      <c r="AE613" s="713" t="s">
        <v>58</v>
      </c>
      <c r="AF613" s="713" t="s">
        <v>58</v>
      </c>
      <c r="AG613" s="713" t="s">
        <v>58</v>
      </c>
      <c r="AH613" s="714">
        <v>0.94387031345969796</v>
      </c>
      <c r="AI613" s="713" t="s">
        <v>58</v>
      </c>
      <c r="AJ613" s="713" t="s">
        <v>58</v>
      </c>
      <c r="AK613" s="713" t="s">
        <v>58</v>
      </c>
      <c r="AL613" s="714">
        <v>0.94454345387965444</v>
      </c>
      <c r="AM613" s="713" t="s">
        <v>58</v>
      </c>
      <c r="AN613" s="713" t="s">
        <v>58</v>
      </c>
      <c r="AO613" s="713" t="s">
        <v>58</v>
      </c>
      <c r="AP613" s="747">
        <v>47</v>
      </c>
      <c r="AQ613" s="747">
        <v>564</v>
      </c>
      <c r="AR613" s="709"/>
      <c r="AS613" s="763">
        <v>0</v>
      </c>
      <c r="AT613" s="763">
        <v>0</v>
      </c>
      <c r="AU613" s="763">
        <v>0</v>
      </c>
      <c r="AV613" s="763">
        <v>0.21335482563023758</v>
      </c>
      <c r="AW613" s="763">
        <v>0.21335482563023758</v>
      </c>
      <c r="AX613" s="763">
        <v>0.21335482563023758</v>
      </c>
      <c r="AY613" s="763">
        <v>8.5341930252095036E-2</v>
      </c>
      <c r="AZ613" s="763">
        <v>8.5341930252095036E-2</v>
      </c>
      <c r="BA613" s="763">
        <v>8.5341930252095036E-2</v>
      </c>
      <c r="BB613" s="763">
        <v>8.5341930252095036E-2</v>
      </c>
      <c r="BC613" s="763">
        <v>8.5341930252095036E-2</v>
      </c>
      <c r="BD613" s="763">
        <v>8.5341930252095036E-2</v>
      </c>
      <c r="BE613" s="763">
        <v>8.5341930252095036E-2</v>
      </c>
      <c r="BF613" s="763">
        <v>8.5341930252095036E-2</v>
      </c>
      <c r="BG613" s="763">
        <v>8.5341930252095036E-2</v>
      </c>
      <c r="BH613" s="763">
        <v>0</v>
      </c>
      <c r="BI613" s="763">
        <v>0</v>
      </c>
      <c r="BJ613" s="763">
        <v>0</v>
      </c>
      <c r="BK613" s="763">
        <v>0</v>
      </c>
      <c r="BL613" s="763">
        <v>0</v>
      </c>
      <c r="BM613" s="763">
        <v>0</v>
      </c>
      <c r="BN613" s="763">
        <v>0</v>
      </c>
      <c r="BO613" s="763">
        <v>0</v>
      </c>
      <c r="BP613" s="763">
        <v>0</v>
      </c>
      <c r="BQ613" s="763">
        <v>0</v>
      </c>
      <c r="BR613" s="763">
        <v>0</v>
      </c>
      <c r="BS613" s="762">
        <v>0</v>
      </c>
      <c r="BT613" s="762">
        <v>0</v>
      </c>
      <c r="BU613" s="762">
        <v>0</v>
      </c>
      <c r="BV613" s="762">
        <v>765.82984507351978</v>
      </c>
      <c r="BW613" s="762">
        <v>765.82984507351978</v>
      </c>
      <c r="BX613" s="762">
        <v>765.82984507351978</v>
      </c>
      <c r="BY613" s="762">
        <v>306.33193802940792</v>
      </c>
      <c r="BZ613" s="762">
        <v>306.33193802940792</v>
      </c>
      <c r="CA613" s="762">
        <v>306.33193802940792</v>
      </c>
      <c r="CB613" s="762">
        <v>306.33193802940792</v>
      </c>
      <c r="CC613" s="762">
        <v>306.33193802940792</v>
      </c>
      <c r="CD613" s="762">
        <v>306.33193802940792</v>
      </c>
      <c r="CE613" s="762">
        <v>306.33193802940792</v>
      </c>
      <c r="CF613" s="762">
        <v>306.33193802940792</v>
      </c>
      <c r="CG613" s="762">
        <v>306.33193802940792</v>
      </c>
      <c r="CH613" s="762">
        <v>0</v>
      </c>
      <c r="CI613" s="762">
        <v>0</v>
      </c>
      <c r="CJ613" s="762">
        <v>0</v>
      </c>
      <c r="CK613" s="762">
        <v>0</v>
      </c>
      <c r="CL613" s="762">
        <v>0</v>
      </c>
      <c r="CM613" s="762">
        <v>0</v>
      </c>
      <c r="CN613" s="762">
        <v>0</v>
      </c>
      <c r="CO613" s="762">
        <v>0</v>
      </c>
      <c r="CP613" s="762">
        <v>0</v>
      </c>
      <c r="CQ613" s="762">
        <v>0</v>
      </c>
      <c r="CR613" s="762">
        <v>0</v>
      </c>
    </row>
    <row r="614" spans="1:96" s="53" customFormat="1">
      <c r="A614" s="721" t="s">
        <v>3</v>
      </c>
      <c r="B614" s="723">
        <v>41976</v>
      </c>
      <c r="C614" s="721">
        <v>2014</v>
      </c>
      <c r="D614" s="713" t="s">
        <v>1</v>
      </c>
      <c r="E614" s="713" t="s">
        <v>674</v>
      </c>
      <c r="F614" s="723" t="s">
        <v>123</v>
      </c>
      <c r="G614" s="713" t="s">
        <v>58</v>
      </c>
      <c r="H614" s="723" t="s">
        <v>746</v>
      </c>
      <c r="I614" s="713" t="s">
        <v>5</v>
      </c>
      <c r="J614" s="713" t="s">
        <v>376</v>
      </c>
      <c r="K614" s="766">
        <v>11</v>
      </c>
      <c r="L614" s="766" t="s">
        <v>671</v>
      </c>
      <c r="M614" s="765" t="s">
        <v>779</v>
      </c>
      <c r="N614" s="765">
        <v>0</v>
      </c>
      <c r="O614" s="765">
        <v>0</v>
      </c>
      <c r="P614" s="735">
        <v>0</v>
      </c>
      <c r="Q614" s="713" t="s">
        <v>58</v>
      </c>
      <c r="R614" s="713" t="s">
        <v>58</v>
      </c>
      <c r="S614" s="713" t="s">
        <v>58</v>
      </c>
      <c r="T614" s="713" t="s">
        <v>58</v>
      </c>
      <c r="U614" s="764">
        <v>0</v>
      </c>
      <c r="V614" s="764">
        <v>0</v>
      </c>
      <c r="W614" s="764">
        <v>0</v>
      </c>
      <c r="X614" s="764">
        <v>0</v>
      </c>
      <c r="Y614" s="764">
        <v>0</v>
      </c>
      <c r="Z614" s="764">
        <v>0</v>
      </c>
      <c r="AA614" s="764">
        <v>0</v>
      </c>
      <c r="AB614" s="764">
        <v>0</v>
      </c>
      <c r="AC614" s="714">
        <v>0.82617698682369967</v>
      </c>
      <c r="AD614" s="714">
        <v>0.7843105192554185</v>
      </c>
      <c r="AE614" s="713" t="s">
        <v>58</v>
      </c>
      <c r="AF614" s="713" t="s">
        <v>58</v>
      </c>
      <c r="AG614" s="713" t="s">
        <v>58</v>
      </c>
      <c r="AH614" s="714">
        <v>0.94387031345969796</v>
      </c>
      <c r="AI614" s="713" t="s">
        <v>58</v>
      </c>
      <c r="AJ614" s="713" t="s">
        <v>58</v>
      </c>
      <c r="AK614" s="713" t="s">
        <v>58</v>
      </c>
      <c r="AL614" s="714">
        <v>0.94454345387965444</v>
      </c>
      <c r="AM614" s="713" t="s">
        <v>58</v>
      </c>
      <c r="AN614" s="713" t="s">
        <v>58</v>
      </c>
      <c r="AO614" s="713" t="s">
        <v>58</v>
      </c>
      <c r="AP614" s="747">
        <v>4</v>
      </c>
      <c r="AQ614" s="747">
        <v>44</v>
      </c>
      <c r="AR614" s="709"/>
      <c r="AS614" s="763">
        <v>0</v>
      </c>
      <c r="AT614" s="763">
        <v>0</v>
      </c>
      <c r="AU614" s="763">
        <v>0</v>
      </c>
      <c r="AV614" s="763">
        <v>0</v>
      </c>
      <c r="AW614" s="763">
        <v>0</v>
      </c>
      <c r="AX614" s="763">
        <v>0</v>
      </c>
      <c r="AY614" s="763">
        <v>0</v>
      </c>
      <c r="AZ614" s="763">
        <v>0</v>
      </c>
      <c r="BA614" s="763">
        <v>0</v>
      </c>
      <c r="BB614" s="763">
        <v>0</v>
      </c>
      <c r="BC614" s="763">
        <v>0</v>
      </c>
      <c r="BD614" s="763">
        <v>0</v>
      </c>
      <c r="BE614" s="763">
        <v>0</v>
      </c>
      <c r="BF614" s="763">
        <v>0</v>
      </c>
      <c r="BG614" s="763">
        <v>0</v>
      </c>
      <c r="BH614" s="763">
        <v>0</v>
      </c>
      <c r="BI614" s="763">
        <v>0</v>
      </c>
      <c r="BJ614" s="763">
        <v>0</v>
      </c>
      <c r="BK614" s="763">
        <v>0</v>
      </c>
      <c r="BL614" s="763">
        <v>0</v>
      </c>
      <c r="BM614" s="763">
        <v>0</v>
      </c>
      <c r="BN614" s="763">
        <v>0</v>
      </c>
      <c r="BO614" s="763">
        <v>0</v>
      </c>
      <c r="BP614" s="763">
        <v>0</v>
      </c>
      <c r="BQ614" s="763">
        <v>0</v>
      </c>
      <c r="BR614" s="763">
        <v>0</v>
      </c>
      <c r="BS614" s="762">
        <v>0</v>
      </c>
      <c r="BT614" s="762">
        <v>0</v>
      </c>
      <c r="BU614" s="762">
        <v>0</v>
      </c>
      <c r="BV614" s="762">
        <v>0</v>
      </c>
      <c r="BW614" s="762">
        <v>0</v>
      </c>
      <c r="BX614" s="762">
        <v>0</v>
      </c>
      <c r="BY614" s="762">
        <v>0</v>
      </c>
      <c r="BZ614" s="762">
        <v>0</v>
      </c>
      <c r="CA614" s="762">
        <v>0</v>
      </c>
      <c r="CB614" s="762">
        <v>0</v>
      </c>
      <c r="CC614" s="762">
        <v>0</v>
      </c>
      <c r="CD614" s="762">
        <v>0</v>
      </c>
      <c r="CE614" s="762">
        <v>0</v>
      </c>
      <c r="CF614" s="762">
        <v>0</v>
      </c>
      <c r="CG614" s="762">
        <v>0</v>
      </c>
      <c r="CH614" s="762">
        <v>0</v>
      </c>
      <c r="CI614" s="762">
        <v>0</v>
      </c>
      <c r="CJ614" s="762">
        <v>0</v>
      </c>
      <c r="CK614" s="762">
        <v>0</v>
      </c>
      <c r="CL614" s="762">
        <v>0</v>
      </c>
      <c r="CM614" s="762">
        <v>0</v>
      </c>
      <c r="CN614" s="762">
        <v>0</v>
      </c>
      <c r="CO614" s="762">
        <v>0</v>
      </c>
      <c r="CP614" s="762">
        <v>0</v>
      </c>
      <c r="CQ614" s="762">
        <v>0</v>
      </c>
      <c r="CR614" s="762">
        <v>0</v>
      </c>
    </row>
    <row r="615" spans="1:96" s="53" customFormat="1">
      <c r="A615" s="721" t="s">
        <v>3</v>
      </c>
      <c r="B615" s="723">
        <v>41976</v>
      </c>
      <c r="C615" s="721">
        <v>2014</v>
      </c>
      <c r="D615" s="713" t="s">
        <v>1</v>
      </c>
      <c r="E615" s="713" t="s">
        <v>674</v>
      </c>
      <c r="F615" s="723" t="s">
        <v>123</v>
      </c>
      <c r="G615" s="713" t="s">
        <v>58</v>
      </c>
      <c r="H615" s="723" t="s">
        <v>697</v>
      </c>
      <c r="I615" s="713" t="s">
        <v>5</v>
      </c>
      <c r="J615" s="713" t="s">
        <v>376</v>
      </c>
      <c r="K615" s="766">
        <v>1</v>
      </c>
      <c r="L615" s="766" t="s">
        <v>671</v>
      </c>
      <c r="M615" s="765" t="s">
        <v>779</v>
      </c>
      <c r="N615" s="765">
        <v>0</v>
      </c>
      <c r="O615" s="765">
        <v>0</v>
      </c>
      <c r="P615" s="735">
        <v>0</v>
      </c>
      <c r="Q615" s="713" t="s">
        <v>58</v>
      </c>
      <c r="R615" s="713" t="s">
        <v>58</v>
      </c>
      <c r="S615" s="713" t="s">
        <v>58</v>
      </c>
      <c r="T615" s="713" t="s">
        <v>58</v>
      </c>
      <c r="U615" s="764">
        <v>0</v>
      </c>
      <c r="V615" s="764">
        <v>0</v>
      </c>
      <c r="W615" s="764">
        <v>0</v>
      </c>
      <c r="X615" s="764">
        <v>0</v>
      </c>
      <c r="Y615" s="764">
        <v>0</v>
      </c>
      <c r="Z615" s="764">
        <v>0</v>
      </c>
      <c r="AA615" s="764">
        <v>0</v>
      </c>
      <c r="AB615" s="764">
        <v>0</v>
      </c>
      <c r="AC615" s="714">
        <v>0.82617698682369967</v>
      </c>
      <c r="AD615" s="714">
        <v>0.7843105192554185</v>
      </c>
      <c r="AE615" s="713" t="s">
        <v>58</v>
      </c>
      <c r="AF615" s="713" t="s">
        <v>58</v>
      </c>
      <c r="AG615" s="713" t="s">
        <v>58</v>
      </c>
      <c r="AH615" s="714">
        <v>0.94387031345969796</v>
      </c>
      <c r="AI615" s="713" t="s">
        <v>58</v>
      </c>
      <c r="AJ615" s="713" t="s">
        <v>58</v>
      </c>
      <c r="AK615" s="713" t="s">
        <v>58</v>
      </c>
      <c r="AL615" s="714">
        <v>0.94454345387965444</v>
      </c>
      <c r="AM615" s="713" t="s">
        <v>58</v>
      </c>
      <c r="AN615" s="713" t="s">
        <v>58</v>
      </c>
      <c r="AO615" s="713" t="s">
        <v>58</v>
      </c>
      <c r="AP615" s="747">
        <v>26</v>
      </c>
      <c r="AQ615" s="747">
        <v>26</v>
      </c>
      <c r="AR615" s="709"/>
      <c r="AS615" s="763">
        <v>0</v>
      </c>
      <c r="AT615" s="763">
        <v>0</v>
      </c>
      <c r="AU615" s="763">
        <v>0</v>
      </c>
      <c r="AV615" s="763">
        <v>0</v>
      </c>
      <c r="AW615" s="763">
        <v>0</v>
      </c>
      <c r="AX615" s="763">
        <v>0</v>
      </c>
      <c r="AY615" s="763">
        <v>0</v>
      </c>
      <c r="AZ615" s="763">
        <v>0</v>
      </c>
      <c r="BA615" s="763">
        <v>0</v>
      </c>
      <c r="BB615" s="763">
        <v>0</v>
      </c>
      <c r="BC615" s="763">
        <v>0</v>
      </c>
      <c r="BD615" s="763">
        <v>0</v>
      </c>
      <c r="BE615" s="763">
        <v>0</v>
      </c>
      <c r="BF615" s="763">
        <v>0</v>
      </c>
      <c r="BG615" s="763">
        <v>0</v>
      </c>
      <c r="BH615" s="763">
        <v>0</v>
      </c>
      <c r="BI615" s="763">
        <v>0</v>
      </c>
      <c r="BJ615" s="763">
        <v>0</v>
      </c>
      <c r="BK615" s="763">
        <v>0</v>
      </c>
      <c r="BL615" s="763">
        <v>0</v>
      </c>
      <c r="BM615" s="763">
        <v>0</v>
      </c>
      <c r="BN615" s="763">
        <v>0</v>
      </c>
      <c r="BO615" s="763">
        <v>0</v>
      </c>
      <c r="BP615" s="763">
        <v>0</v>
      </c>
      <c r="BQ615" s="763">
        <v>0</v>
      </c>
      <c r="BR615" s="763">
        <v>0</v>
      </c>
      <c r="BS615" s="762">
        <v>0</v>
      </c>
      <c r="BT615" s="762">
        <v>0</v>
      </c>
      <c r="BU615" s="762">
        <v>0</v>
      </c>
      <c r="BV615" s="762">
        <v>0</v>
      </c>
      <c r="BW615" s="762">
        <v>0</v>
      </c>
      <c r="BX615" s="762">
        <v>0</v>
      </c>
      <c r="BY615" s="762">
        <v>0</v>
      </c>
      <c r="BZ615" s="762">
        <v>0</v>
      </c>
      <c r="CA615" s="762">
        <v>0</v>
      </c>
      <c r="CB615" s="762">
        <v>0</v>
      </c>
      <c r="CC615" s="762">
        <v>0</v>
      </c>
      <c r="CD615" s="762">
        <v>0</v>
      </c>
      <c r="CE615" s="762">
        <v>0</v>
      </c>
      <c r="CF615" s="762">
        <v>0</v>
      </c>
      <c r="CG615" s="762">
        <v>0</v>
      </c>
      <c r="CH615" s="762">
        <v>0</v>
      </c>
      <c r="CI615" s="762">
        <v>0</v>
      </c>
      <c r="CJ615" s="762">
        <v>0</v>
      </c>
      <c r="CK615" s="762">
        <v>0</v>
      </c>
      <c r="CL615" s="762">
        <v>0</v>
      </c>
      <c r="CM615" s="762">
        <v>0</v>
      </c>
      <c r="CN615" s="762">
        <v>0</v>
      </c>
      <c r="CO615" s="762">
        <v>0</v>
      </c>
      <c r="CP615" s="762">
        <v>0</v>
      </c>
      <c r="CQ615" s="762">
        <v>0</v>
      </c>
      <c r="CR615" s="762">
        <v>0</v>
      </c>
    </row>
    <row r="616" spans="1:96" s="53" customFormat="1">
      <c r="A616" s="721" t="s">
        <v>3</v>
      </c>
      <c r="B616" s="723">
        <v>41976</v>
      </c>
      <c r="C616" s="721">
        <v>2014</v>
      </c>
      <c r="D616" s="713" t="s">
        <v>1</v>
      </c>
      <c r="E616" s="713" t="s">
        <v>674</v>
      </c>
      <c r="F616" s="723" t="s">
        <v>123</v>
      </c>
      <c r="G616" s="713" t="s">
        <v>58</v>
      </c>
      <c r="H616" s="723" t="s">
        <v>682</v>
      </c>
      <c r="I616" s="713" t="s">
        <v>5</v>
      </c>
      <c r="J616" s="713" t="s">
        <v>376</v>
      </c>
      <c r="K616" s="766">
        <v>3</v>
      </c>
      <c r="L616" s="766" t="s">
        <v>671</v>
      </c>
      <c r="M616" s="765" t="s">
        <v>779</v>
      </c>
      <c r="N616" s="765">
        <v>12</v>
      </c>
      <c r="O616" s="765">
        <v>3</v>
      </c>
      <c r="P616" s="735">
        <v>0.4</v>
      </c>
      <c r="Q616" s="713" t="s">
        <v>58</v>
      </c>
      <c r="R616" s="713" t="s">
        <v>58</v>
      </c>
      <c r="S616" s="713" t="s">
        <v>58</v>
      </c>
      <c r="T616" s="713" t="s">
        <v>58</v>
      </c>
      <c r="U616" s="764">
        <v>7.1999999999999995E-2</v>
      </c>
      <c r="V616" s="764">
        <v>245.52</v>
      </c>
      <c r="W616" s="764">
        <v>5.6470357386390134E-2</v>
      </c>
      <c r="X616" s="764">
        <v>202.84297380495474</v>
      </c>
      <c r="Y616" s="764">
        <v>1338.7636271127012</v>
      </c>
      <c r="Z616" s="764">
        <v>1263.6192443713076</v>
      </c>
      <c r="AA616" s="764">
        <v>191.45746126837994</v>
      </c>
      <c r="AB616" s="764">
        <v>5.3338706407559396E-2</v>
      </c>
      <c r="AC616" s="714">
        <v>0.82617698682369967</v>
      </c>
      <c r="AD616" s="714">
        <v>0.7843105192554185</v>
      </c>
      <c r="AE616" s="713" t="s">
        <v>58</v>
      </c>
      <c r="AF616" s="713" t="s">
        <v>58</v>
      </c>
      <c r="AG616" s="713" t="s">
        <v>58</v>
      </c>
      <c r="AH616" s="714">
        <v>0.94387031345969796</v>
      </c>
      <c r="AI616" s="713" t="s">
        <v>58</v>
      </c>
      <c r="AJ616" s="713" t="s">
        <v>58</v>
      </c>
      <c r="AK616" s="713" t="s">
        <v>58</v>
      </c>
      <c r="AL616" s="714">
        <v>0.94454345387965444</v>
      </c>
      <c r="AM616" s="713" t="s">
        <v>58</v>
      </c>
      <c r="AN616" s="713" t="s">
        <v>58</v>
      </c>
      <c r="AO616" s="713" t="s">
        <v>58</v>
      </c>
      <c r="AP616" s="747">
        <v>47</v>
      </c>
      <c r="AQ616" s="747">
        <v>141</v>
      </c>
      <c r="AR616" s="709"/>
      <c r="AS616" s="763">
        <v>0</v>
      </c>
      <c r="AT616" s="763">
        <v>0</v>
      </c>
      <c r="AU616" s="763">
        <v>0</v>
      </c>
      <c r="AV616" s="763">
        <v>5.3338706407559396E-2</v>
      </c>
      <c r="AW616" s="763">
        <v>5.3338706407559396E-2</v>
      </c>
      <c r="AX616" s="763">
        <v>5.3338706407559396E-2</v>
      </c>
      <c r="AY616" s="763">
        <v>2.1335482563023759E-2</v>
      </c>
      <c r="AZ616" s="763">
        <v>2.1335482563023759E-2</v>
      </c>
      <c r="BA616" s="763">
        <v>2.1335482563023759E-2</v>
      </c>
      <c r="BB616" s="763">
        <v>2.1335482563023759E-2</v>
      </c>
      <c r="BC616" s="763">
        <v>2.1335482563023759E-2</v>
      </c>
      <c r="BD616" s="763">
        <v>2.1335482563023759E-2</v>
      </c>
      <c r="BE616" s="763">
        <v>2.1335482563023759E-2</v>
      </c>
      <c r="BF616" s="763">
        <v>2.1335482563023759E-2</v>
      </c>
      <c r="BG616" s="763">
        <v>2.1335482563023759E-2</v>
      </c>
      <c r="BH616" s="763">
        <v>0</v>
      </c>
      <c r="BI616" s="763">
        <v>0</v>
      </c>
      <c r="BJ616" s="763">
        <v>0</v>
      </c>
      <c r="BK616" s="763">
        <v>0</v>
      </c>
      <c r="BL616" s="763">
        <v>0</v>
      </c>
      <c r="BM616" s="763">
        <v>0</v>
      </c>
      <c r="BN616" s="763">
        <v>0</v>
      </c>
      <c r="BO616" s="763">
        <v>0</v>
      </c>
      <c r="BP616" s="763">
        <v>0</v>
      </c>
      <c r="BQ616" s="763">
        <v>0</v>
      </c>
      <c r="BR616" s="763">
        <v>0</v>
      </c>
      <c r="BS616" s="762">
        <v>0</v>
      </c>
      <c r="BT616" s="762">
        <v>0</v>
      </c>
      <c r="BU616" s="762">
        <v>0</v>
      </c>
      <c r="BV616" s="762">
        <v>191.45746126837994</v>
      </c>
      <c r="BW616" s="762">
        <v>191.45746126837994</v>
      </c>
      <c r="BX616" s="762">
        <v>191.45746126837994</v>
      </c>
      <c r="BY616" s="762">
        <v>76.582984507351981</v>
      </c>
      <c r="BZ616" s="762">
        <v>76.582984507351981</v>
      </c>
      <c r="CA616" s="762">
        <v>76.582984507351981</v>
      </c>
      <c r="CB616" s="762">
        <v>76.582984507351981</v>
      </c>
      <c r="CC616" s="762">
        <v>76.582984507351981</v>
      </c>
      <c r="CD616" s="762">
        <v>76.582984507351981</v>
      </c>
      <c r="CE616" s="762">
        <v>76.582984507351981</v>
      </c>
      <c r="CF616" s="762">
        <v>76.582984507351981</v>
      </c>
      <c r="CG616" s="762">
        <v>76.582984507351981</v>
      </c>
      <c r="CH616" s="762">
        <v>0</v>
      </c>
      <c r="CI616" s="762">
        <v>0</v>
      </c>
      <c r="CJ616" s="762">
        <v>0</v>
      </c>
      <c r="CK616" s="762">
        <v>0</v>
      </c>
      <c r="CL616" s="762">
        <v>0</v>
      </c>
      <c r="CM616" s="762">
        <v>0</v>
      </c>
      <c r="CN616" s="762">
        <v>0</v>
      </c>
      <c r="CO616" s="762">
        <v>0</v>
      </c>
      <c r="CP616" s="762">
        <v>0</v>
      </c>
      <c r="CQ616" s="762">
        <v>0</v>
      </c>
      <c r="CR616" s="762">
        <v>0</v>
      </c>
    </row>
    <row r="617" spans="1:96" s="53" customFormat="1">
      <c r="A617" s="721" t="s">
        <v>3</v>
      </c>
      <c r="B617" s="723">
        <v>41976</v>
      </c>
      <c r="C617" s="721">
        <v>2014</v>
      </c>
      <c r="D617" s="713" t="s">
        <v>1</v>
      </c>
      <c r="E617" s="713" t="s">
        <v>674</v>
      </c>
      <c r="F617" s="723" t="s">
        <v>123</v>
      </c>
      <c r="G617" s="713" t="s">
        <v>58</v>
      </c>
      <c r="H617" s="723" t="s">
        <v>676</v>
      </c>
      <c r="I617" s="713" t="s">
        <v>5</v>
      </c>
      <c r="J617" s="713" t="s">
        <v>376</v>
      </c>
      <c r="K617" s="766">
        <v>4</v>
      </c>
      <c r="L617" s="766" t="s">
        <v>671</v>
      </c>
      <c r="M617" s="765" t="s">
        <v>779</v>
      </c>
      <c r="N617" s="765">
        <v>12</v>
      </c>
      <c r="O617" s="765">
        <v>3</v>
      </c>
      <c r="P617" s="735">
        <v>0.31578947368421051</v>
      </c>
      <c r="Q617" s="713" t="s">
        <v>58</v>
      </c>
      <c r="R617" s="713" t="s">
        <v>58</v>
      </c>
      <c r="S617" s="713" t="s">
        <v>58</v>
      </c>
      <c r="T617" s="713" t="s">
        <v>58</v>
      </c>
      <c r="U617" s="764">
        <v>0.14399999999999999</v>
      </c>
      <c r="V617" s="764">
        <v>491.04</v>
      </c>
      <c r="W617" s="764">
        <v>0.11294071477278027</v>
      </c>
      <c r="X617" s="764">
        <v>405.68594760990948</v>
      </c>
      <c r="Y617" s="764">
        <v>2370.0600097210499</v>
      </c>
      <c r="Z617" s="764">
        <v>2237.0292842937024</v>
      </c>
      <c r="AA617" s="764">
        <v>382.91492253675989</v>
      </c>
      <c r="AB617" s="764">
        <v>0.10667741281511879</v>
      </c>
      <c r="AC617" s="714">
        <v>0.82617698682369967</v>
      </c>
      <c r="AD617" s="714">
        <v>0.7843105192554185</v>
      </c>
      <c r="AE617" s="713" t="s">
        <v>58</v>
      </c>
      <c r="AF617" s="713" t="s">
        <v>58</v>
      </c>
      <c r="AG617" s="713" t="s">
        <v>58</v>
      </c>
      <c r="AH617" s="714">
        <v>0.94387031345969796</v>
      </c>
      <c r="AI617" s="713" t="s">
        <v>58</v>
      </c>
      <c r="AJ617" s="713" t="s">
        <v>58</v>
      </c>
      <c r="AK617" s="713" t="s">
        <v>58</v>
      </c>
      <c r="AL617" s="714">
        <v>0.94454345387965444</v>
      </c>
      <c r="AM617" s="713" t="s">
        <v>58</v>
      </c>
      <c r="AN617" s="713" t="s">
        <v>58</v>
      </c>
      <c r="AO617" s="713" t="s">
        <v>58</v>
      </c>
      <c r="AP617" s="747">
        <v>57</v>
      </c>
      <c r="AQ617" s="747">
        <v>228</v>
      </c>
      <c r="AR617" s="709"/>
      <c r="AS617" s="763">
        <v>0</v>
      </c>
      <c r="AT617" s="763">
        <v>0</v>
      </c>
      <c r="AU617" s="763">
        <v>0</v>
      </c>
      <c r="AV617" s="763">
        <v>0.10667741281511879</v>
      </c>
      <c r="AW617" s="763">
        <v>0.10667741281511879</v>
      </c>
      <c r="AX617" s="763">
        <v>0.10667741281511879</v>
      </c>
      <c r="AY617" s="763">
        <v>3.3687604046879614E-2</v>
      </c>
      <c r="AZ617" s="763">
        <v>3.3687604046879614E-2</v>
      </c>
      <c r="BA617" s="763">
        <v>3.3687604046879614E-2</v>
      </c>
      <c r="BB617" s="763">
        <v>3.3687604046879614E-2</v>
      </c>
      <c r="BC617" s="763">
        <v>3.3687604046879614E-2</v>
      </c>
      <c r="BD617" s="763">
        <v>3.3687604046879614E-2</v>
      </c>
      <c r="BE617" s="763">
        <v>3.3687604046879614E-2</v>
      </c>
      <c r="BF617" s="763">
        <v>3.3687604046879614E-2</v>
      </c>
      <c r="BG617" s="763">
        <v>3.3687604046879614E-2</v>
      </c>
      <c r="BH617" s="763">
        <v>0</v>
      </c>
      <c r="BI617" s="763">
        <v>0</v>
      </c>
      <c r="BJ617" s="763">
        <v>0</v>
      </c>
      <c r="BK617" s="763">
        <v>0</v>
      </c>
      <c r="BL617" s="763">
        <v>0</v>
      </c>
      <c r="BM617" s="763">
        <v>0</v>
      </c>
      <c r="BN617" s="763">
        <v>0</v>
      </c>
      <c r="BO617" s="763">
        <v>0</v>
      </c>
      <c r="BP617" s="763">
        <v>0</v>
      </c>
      <c r="BQ617" s="763">
        <v>0</v>
      </c>
      <c r="BR617" s="763">
        <v>0</v>
      </c>
      <c r="BS617" s="762">
        <v>0</v>
      </c>
      <c r="BT617" s="762">
        <v>0</v>
      </c>
      <c r="BU617" s="762">
        <v>0</v>
      </c>
      <c r="BV617" s="762">
        <v>382.91492253675989</v>
      </c>
      <c r="BW617" s="762">
        <v>382.91492253675989</v>
      </c>
      <c r="BX617" s="762">
        <v>382.91492253675989</v>
      </c>
      <c r="BY617" s="762">
        <v>120.92050185371365</v>
      </c>
      <c r="BZ617" s="762">
        <v>120.92050185371365</v>
      </c>
      <c r="CA617" s="762">
        <v>120.92050185371365</v>
      </c>
      <c r="CB617" s="762">
        <v>120.92050185371365</v>
      </c>
      <c r="CC617" s="762">
        <v>120.92050185371365</v>
      </c>
      <c r="CD617" s="762">
        <v>120.92050185371365</v>
      </c>
      <c r="CE617" s="762">
        <v>120.92050185371365</v>
      </c>
      <c r="CF617" s="762">
        <v>120.92050185371365</v>
      </c>
      <c r="CG617" s="762">
        <v>120.92050185371365</v>
      </c>
      <c r="CH617" s="762">
        <v>0</v>
      </c>
      <c r="CI617" s="762">
        <v>0</v>
      </c>
      <c r="CJ617" s="762">
        <v>0</v>
      </c>
      <c r="CK617" s="762">
        <v>0</v>
      </c>
      <c r="CL617" s="762">
        <v>0</v>
      </c>
      <c r="CM617" s="762">
        <v>0</v>
      </c>
      <c r="CN617" s="762">
        <v>0</v>
      </c>
      <c r="CO617" s="762">
        <v>0</v>
      </c>
      <c r="CP617" s="762">
        <v>0</v>
      </c>
      <c r="CQ617" s="762">
        <v>0</v>
      </c>
      <c r="CR617" s="762">
        <v>0</v>
      </c>
    </row>
    <row r="618" spans="1:96" s="53" customFormat="1">
      <c r="A618" s="721" t="s">
        <v>3</v>
      </c>
      <c r="B618" s="723">
        <v>41698</v>
      </c>
      <c r="C618" s="721">
        <v>2014</v>
      </c>
      <c r="D618" s="713" t="s">
        <v>1</v>
      </c>
      <c r="E618" s="713" t="s">
        <v>674</v>
      </c>
      <c r="F618" s="723" t="s">
        <v>673</v>
      </c>
      <c r="G618" s="713" t="s">
        <v>58</v>
      </c>
      <c r="H618" s="723" t="s">
        <v>774</v>
      </c>
      <c r="I618" s="713" t="s">
        <v>5</v>
      </c>
      <c r="J618" s="713" t="s">
        <v>376</v>
      </c>
      <c r="K618" s="766">
        <v>7</v>
      </c>
      <c r="L618" s="766" t="s">
        <v>671</v>
      </c>
      <c r="M618" s="765" t="s">
        <v>778</v>
      </c>
      <c r="N618" s="765">
        <v>12</v>
      </c>
      <c r="O618" s="765" t="s">
        <v>7</v>
      </c>
      <c r="P618" s="735">
        <v>1</v>
      </c>
      <c r="Q618" s="713" t="s">
        <v>58</v>
      </c>
      <c r="R618" s="713" t="s">
        <v>58</v>
      </c>
      <c r="S618" s="713" t="s">
        <v>58</v>
      </c>
      <c r="T618" s="713" t="s">
        <v>58</v>
      </c>
      <c r="U618" s="764">
        <v>0.28000000000000003</v>
      </c>
      <c r="V618" s="764">
        <v>726.32</v>
      </c>
      <c r="W618" s="764">
        <v>0.21960694539151723</v>
      </c>
      <c r="X618" s="764">
        <v>600.06886906978957</v>
      </c>
      <c r="Y618" s="764">
        <v>7200.8264288374749</v>
      </c>
      <c r="Z618" s="764">
        <v>6796.6462985557046</v>
      </c>
      <c r="AA618" s="764">
        <v>566.38719154630871</v>
      </c>
      <c r="AB618" s="764">
        <v>0.20742830269606435</v>
      </c>
      <c r="AC618" s="714">
        <v>0.82617698682369967</v>
      </c>
      <c r="AD618" s="714">
        <v>0.7843105192554185</v>
      </c>
      <c r="AE618" s="713" t="s">
        <v>58</v>
      </c>
      <c r="AF618" s="713" t="s">
        <v>58</v>
      </c>
      <c r="AG618" s="713" t="s">
        <v>58</v>
      </c>
      <c r="AH618" s="714">
        <v>0.94387031345969796</v>
      </c>
      <c r="AI618" s="713" t="s">
        <v>58</v>
      </c>
      <c r="AJ618" s="713" t="s">
        <v>58</v>
      </c>
      <c r="AK618" s="713" t="s">
        <v>58</v>
      </c>
      <c r="AL618" s="714">
        <v>0.94454345387965444</v>
      </c>
      <c r="AM618" s="713" t="s">
        <v>58</v>
      </c>
      <c r="AN618" s="713" t="s">
        <v>58</v>
      </c>
      <c r="AO618" s="713" t="s">
        <v>58</v>
      </c>
      <c r="AP618" s="747">
        <v>62</v>
      </c>
      <c r="AQ618" s="747">
        <v>434</v>
      </c>
      <c r="AR618" s="709"/>
      <c r="AS618" s="763">
        <v>0</v>
      </c>
      <c r="AT618" s="763">
        <v>0</v>
      </c>
      <c r="AU618" s="763">
        <v>0</v>
      </c>
      <c r="AV618" s="763">
        <v>0.20742830269606435</v>
      </c>
      <c r="AW618" s="763">
        <v>0.20742830269606435</v>
      </c>
      <c r="AX618" s="763">
        <v>0.20742830269606435</v>
      </c>
      <c r="AY618" s="763">
        <v>0.20742830269606435</v>
      </c>
      <c r="AZ618" s="763">
        <v>0.20742830269606435</v>
      </c>
      <c r="BA618" s="763">
        <v>0.20742830269606435</v>
      </c>
      <c r="BB618" s="763">
        <v>0.20742830269606435</v>
      </c>
      <c r="BC618" s="763">
        <v>0.20742830269606435</v>
      </c>
      <c r="BD618" s="763">
        <v>0.20742830269606435</v>
      </c>
      <c r="BE618" s="763">
        <v>0.20742830269606435</v>
      </c>
      <c r="BF618" s="763">
        <v>0.20742830269606435</v>
      </c>
      <c r="BG618" s="763">
        <v>0.20742830269606435</v>
      </c>
      <c r="BH618" s="763">
        <v>0</v>
      </c>
      <c r="BI618" s="763">
        <v>0</v>
      </c>
      <c r="BJ618" s="763">
        <v>0</v>
      </c>
      <c r="BK618" s="763">
        <v>0</v>
      </c>
      <c r="BL618" s="763">
        <v>0</v>
      </c>
      <c r="BM618" s="763">
        <v>0</v>
      </c>
      <c r="BN618" s="763">
        <v>0</v>
      </c>
      <c r="BO618" s="763">
        <v>0</v>
      </c>
      <c r="BP618" s="763">
        <v>0</v>
      </c>
      <c r="BQ618" s="763">
        <v>0</v>
      </c>
      <c r="BR618" s="763">
        <v>0</v>
      </c>
      <c r="BS618" s="762">
        <v>0</v>
      </c>
      <c r="BT618" s="762">
        <v>0</v>
      </c>
      <c r="BU618" s="762">
        <v>0</v>
      </c>
      <c r="BV618" s="762">
        <v>566.38719154630871</v>
      </c>
      <c r="BW618" s="762">
        <v>566.38719154630871</v>
      </c>
      <c r="BX618" s="762">
        <v>566.38719154630871</v>
      </c>
      <c r="BY618" s="762">
        <v>566.38719154630871</v>
      </c>
      <c r="BZ618" s="762">
        <v>566.38719154630871</v>
      </c>
      <c r="CA618" s="762">
        <v>566.38719154630871</v>
      </c>
      <c r="CB618" s="762">
        <v>566.38719154630871</v>
      </c>
      <c r="CC618" s="762">
        <v>566.38719154630871</v>
      </c>
      <c r="CD618" s="762">
        <v>566.38719154630871</v>
      </c>
      <c r="CE618" s="762">
        <v>566.38719154630871</v>
      </c>
      <c r="CF618" s="762">
        <v>566.38719154630871</v>
      </c>
      <c r="CG618" s="762">
        <v>566.38719154630871</v>
      </c>
      <c r="CH618" s="762">
        <v>0</v>
      </c>
      <c r="CI618" s="762">
        <v>0</v>
      </c>
      <c r="CJ618" s="762">
        <v>0</v>
      </c>
      <c r="CK618" s="762">
        <v>0</v>
      </c>
      <c r="CL618" s="762">
        <v>0</v>
      </c>
      <c r="CM618" s="762">
        <v>0</v>
      </c>
      <c r="CN618" s="762">
        <v>0</v>
      </c>
      <c r="CO618" s="762">
        <v>0</v>
      </c>
      <c r="CP618" s="762">
        <v>0</v>
      </c>
      <c r="CQ618" s="762">
        <v>0</v>
      </c>
      <c r="CR618" s="762">
        <v>0</v>
      </c>
    </row>
    <row r="619" spans="1:96" s="53" customFormat="1">
      <c r="A619" s="721" t="s">
        <v>3</v>
      </c>
      <c r="B619" s="723">
        <v>41698</v>
      </c>
      <c r="C619" s="721">
        <v>2014</v>
      </c>
      <c r="D619" s="713" t="s">
        <v>1</v>
      </c>
      <c r="E619" s="713" t="s">
        <v>674</v>
      </c>
      <c r="F619" s="723" t="s">
        <v>673</v>
      </c>
      <c r="G619" s="713" t="s">
        <v>58</v>
      </c>
      <c r="H619" s="723" t="s">
        <v>710</v>
      </c>
      <c r="I619" s="713" t="s">
        <v>5</v>
      </c>
      <c r="J619" s="713" t="s">
        <v>376</v>
      </c>
      <c r="K619" s="766">
        <v>1</v>
      </c>
      <c r="L619" s="766" t="s">
        <v>671</v>
      </c>
      <c r="M619" s="765" t="s">
        <v>778</v>
      </c>
      <c r="N619" s="765">
        <v>10</v>
      </c>
      <c r="O619" s="765" t="s">
        <v>7</v>
      </c>
      <c r="P619" s="735">
        <v>1</v>
      </c>
      <c r="Q619" s="713" t="s">
        <v>58</v>
      </c>
      <c r="R619" s="713" t="s">
        <v>58</v>
      </c>
      <c r="S619" s="713" t="s">
        <v>58</v>
      </c>
      <c r="T619" s="713" t="s">
        <v>58</v>
      </c>
      <c r="U619" s="764">
        <v>2.7E-2</v>
      </c>
      <c r="V619" s="764">
        <v>236.52</v>
      </c>
      <c r="W619" s="764">
        <v>2.1176384019896303E-2</v>
      </c>
      <c r="X619" s="764">
        <v>195.40738092354144</v>
      </c>
      <c r="Y619" s="764">
        <v>1954.0738092354145</v>
      </c>
      <c r="Z619" s="764">
        <v>1844.3922588464168</v>
      </c>
      <c r="AA619" s="764">
        <v>184.43922588464167</v>
      </c>
      <c r="AB619" s="764">
        <v>2.0002014902834774E-2</v>
      </c>
      <c r="AC619" s="714">
        <v>0.82617698682369967</v>
      </c>
      <c r="AD619" s="714">
        <v>0.7843105192554185</v>
      </c>
      <c r="AE619" s="713" t="s">
        <v>58</v>
      </c>
      <c r="AF619" s="713" t="s">
        <v>58</v>
      </c>
      <c r="AG619" s="713" t="s">
        <v>58</v>
      </c>
      <c r="AH619" s="714">
        <v>0.94387031345969796</v>
      </c>
      <c r="AI619" s="713" t="s">
        <v>58</v>
      </c>
      <c r="AJ619" s="713" t="s">
        <v>58</v>
      </c>
      <c r="AK619" s="713" t="s">
        <v>58</v>
      </c>
      <c r="AL619" s="714">
        <v>0.94454345387965444</v>
      </c>
      <c r="AM619" s="713" t="s">
        <v>58</v>
      </c>
      <c r="AN619" s="713" t="s">
        <v>58</v>
      </c>
      <c r="AO619" s="713" t="s">
        <v>58</v>
      </c>
      <c r="AP619" s="747">
        <v>29</v>
      </c>
      <c r="AQ619" s="747">
        <v>29</v>
      </c>
      <c r="AR619" s="709"/>
      <c r="AS619" s="763">
        <v>0</v>
      </c>
      <c r="AT619" s="763">
        <v>0</v>
      </c>
      <c r="AU619" s="763">
        <v>0</v>
      </c>
      <c r="AV619" s="763">
        <v>2.0002014902834774E-2</v>
      </c>
      <c r="AW619" s="763">
        <v>2.0002014902834774E-2</v>
      </c>
      <c r="AX619" s="763">
        <v>2.0002014902834774E-2</v>
      </c>
      <c r="AY619" s="763">
        <v>2.0002014902834774E-2</v>
      </c>
      <c r="AZ619" s="763">
        <v>2.0002014902834774E-2</v>
      </c>
      <c r="BA619" s="763">
        <v>2.0002014902834774E-2</v>
      </c>
      <c r="BB619" s="763">
        <v>2.0002014902834774E-2</v>
      </c>
      <c r="BC619" s="763">
        <v>2.0002014902834774E-2</v>
      </c>
      <c r="BD619" s="763">
        <v>2.0002014902834774E-2</v>
      </c>
      <c r="BE619" s="763">
        <v>2.0002014902834774E-2</v>
      </c>
      <c r="BF619" s="763">
        <v>0</v>
      </c>
      <c r="BG619" s="763">
        <v>0</v>
      </c>
      <c r="BH619" s="763">
        <v>0</v>
      </c>
      <c r="BI619" s="763">
        <v>0</v>
      </c>
      <c r="BJ619" s="763">
        <v>0</v>
      </c>
      <c r="BK619" s="763">
        <v>0</v>
      </c>
      <c r="BL619" s="763">
        <v>0</v>
      </c>
      <c r="BM619" s="763">
        <v>0</v>
      </c>
      <c r="BN619" s="763">
        <v>0</v>
      </c>
      <c r="BO619" s="763">
        <v>0</v>
      </c>
      <c r="BP619" s="763">
        <v>0</v>
      </c>
      <c r="BQ619" s="763">
        <v>0</v>
      </c>
      <c r="BR619" s="763">
        <v>0</v>
      </c>
      <c r="BS619" s="762">
        <v>0</v>
      </c>
      <c r="BT619" s="762">
        <v>0</v>
      </c>
      <c r="BU619" s="762">
        <v>0</v>
      </c>
      <c r="BV619" s="762">
        <v>184.43922588464167</v>
      </c>
      <c r="BW619" s="762">
        <v>184.43922588464167</v>
      </c>
      <c r="BX619" s="762">
        <v>184.43922588464167</v>
      </c>
      <c r="BY619" s="762">
        <v>184.43922588464167</v>
      </c>
      <c r="BZ619" s="762">
        <v>184.43922588464167</v>
      </c>
      <c r="CA619" s="762">
        <v>184.43922588464167</v>
      </c>
      <c r="CB619" s="762">
        <v>184.43922588464167</v>
      </c>
      <c r="CC619" s="762">
        <v>184.43922588464167</v>
      </c>
      <c r="CD619" s="762">
        <v>184.43922588464167</v>
      </c>
      <c r="CE619" s="762">
        <v>184.43922588464167</v>
      </c>
      <c r="CF619" s="762">
        <v>0</v>
      </c>
      <c r="CG619" s="762">
        <v>0</v>
      </c>
      <c r="CH619" s="762">
        <v>0</v>
      </c>
      <c r="CI619" s="762">
        <v>0</v>
      </c>
      <c r="CJ619" s="762">
        <v>0</v>
      </c>
      <c r="CK619" s="762">
        <v>0</v>
      </c>
      <c r="CL619" s="762">
        <v>0</v>
      </c>
      <c r="CM619" s="762">
        <v>0</v>
      </c>
      <c r="CN619" s="762">
        <v>0</v>
      </c>
      <c r="CO619" s="762">
        <v>0</v>
      </c>
      <c r="CP619" s="762">
        <v>0</v>
      </c>
      <c r="CQ619" s="762">
        <v>0</v>
      </c>
      <c r="CR619" s="762">
        <v>0</v>
      </c>
    </row>
    <row r="620" spans="1:96" s="53" customFormat="1">
      <c r="A620" s="721" t="s">
        <v>3</v>
      </c>
      <c r="B620" s="723">
        <v>41698</v>
      </c>
      <c r="C620" s="721">
        <v>2014</v>
      </c>
      <c r="D620" s="713" t="s">
        <v>1</v>
      </c>
      <c r="E620" s="713" t="s">
        <v>674</v>
      </c>
      <c r="F620" s="723" t="s">
        <v>673</v>
      </c>
      <c r="G620" s="713" t="s">
        <v>58</v>
      </c>
      <c r="H620" s="723" t="s">
        <v>677</v>
      </c>
      <c r="I620" s="713" t="s">
        <v>5</v>
      </c>
      <c r="J620" s="713" t="s">
        <v>376</v>
      </c>
      <c r="K620" s="766">
        <v>1</v>
      </c>
      <c r="L620" s="766" t="s">
        <v>671</v>
      </c>
      <c r="M620" s="765" t="s">
        <v>778</v>
      </c>
      <c r="N620" s="765">
        <v>0</v>
      </c>
      <c r="O620" s="765">
        <v>0</v>
      </c>
      <c r="P620" s="735">
        <v>0</v>
      </c>
      <c r="Q620" s="713" t="s">
        <v>58</v>
      </c>
      <c r="R620" s="713" t="s">
        <v>58</v>
      </c>
      <c r="S620" s="713" t="s">
        <v>58</v>
      </c>
      <c r="T620" s="713" t="s">
        <v>58</v>
      </c>
      <c r="U620" s="764">
        <v>0</v>
      </c>
      <c r="V620" s="764">
        <v>0</v>
      </c>
      <c r="W620" s="764">
        <v>0</v>
      </c>
      <c r="X620" s="764">
        <v>0</v>
      </c>
      <c r="Y620" s="764">
        <v>0</v>
      </c>
      <c r="Z620" s="764">
        <v>0</v>
      </c>
      <c r="AA620" s="764">
        <v>0</v>
      </c>
      <c r="AB620" s="764">
        <v>0</v>
      </c>
      <c r="AC620" s="714">
        <v>0.82617698682369967</v>
      </c>
      <c r="AD620" s="714">
        <v>0.7843105192554185</v>
      </c>
      <c r="AE620" s="713" t="s">
        <v>58</v>
      </c>
      <c r="AF620" s="713" t="s">
        <v>58</v>
      </c>
      <c r="AG620" s="713" t="s">
        <v>58</v>
      </c>
      <c r="AH620" s="714">
        <v>0.94387031345969796</v>
      </c>
      <c r="AI620" s="713" t="s">
        <v>58</v>
      </c>
      <c r="AJ620" s="713" t="s">
        <v>58</v>
      </c>
      <c r="AK620" s="713" t="s">
        <v>58</v>
      </c>
      <c r="AL620" s="714">
        <v>0.94454345387965444</v>
      </c>
      <c r="AM620" s="713" t="s">
        <v>58</v>
      </c>
      <c r="AN620" s="713" t="s">
        <v>58</v>
      </c>
      <c r="AO620" s="713" t="s">
        <v>58</v>
      </c>
      <c r="AP620" s="747">
        <v>51</v>
      </c>
      <c r="AQ620" s="747">
        <v>51</v>
      </c>
      <c r="AR620" s="709"/>
      <c r="AS620" s="763">
        <v>0</v>
      </c>
      <c r="AT620" s="763">
        <v>0</v>
      </c>
      <c r="AU620" s="763">
        <v>0</v>
      </c>
      <c r="AV620" s="763">
        <v>0</v>
      </c>
      <c r="AW620" s="763">
        <v>0</v>
      </c>
      <c r="AX620" s="763">
        <v>0</v>
      </c>
      <c r="AY620" s="763">
        <v>0</v>
      </c>
      <c r="AZ620" s="763">
        <v>0</v>
      </c>
      <c r="BA620" s="763">
        <v>0</v>
      </c>
      <c r="BB620" s="763">
        <v>0</v>
      </c>
      <c r="BC620" s="763">
        <v>0</v>
      </c>
      <c r="BD620" s="763">
        <v>0</v>
      </c>
      <c r="BE620" s="763">
        <v>0</v>
      </c>
      <c r="BF620" s="763">
        <v>0</v>
      </c>
      <c r="BG620" s="763">
        <v>0</v>
      </c>
      <c r="BH620" s="763">
        <v>0</v>
      </c>
      <c r="BI620" s="763">
        <v>0</v>
      </c>
      <c r="BJ620" s="763">
        <v>0</v>
      </c>
      <c r="BK620" s="763">
        <v>0</v>
      </c>
      <c r="BL620" s="763">
        <v>0</v>
      </c>
      <c r="BM620" s="763">
        <v>0</v>
      </c>
      <c r="BN620" s="763">
        <v>0</v>
      </c>
      <c r="BO620" s="763">
        <v>0</v>
      </c>
      <c r="BP620" s="763">
        <v>0</v>
      </c>
      <c r="BQ620" s="763">
        <v>0</v>
      </c>
      <c r="BR620" s="763">
        <v>0</v>
      </c>
      <c r="BS620" s="762">
        <v>0</v>
      </c>
      <c r="BT620" s="762">
        <v>0</v>
      </c>
      <c r="BU620" s="762">
        <v>0</v>
      </c>
      <c r="BV620" s="762">
        <v>0</v>
      </c>
      <c r="BW620" s="762">
        <v>0</v>
      </c>
      <c r="BX620" s="762">
        <v>0</v>
      </c>
      <c r="BY620" s="762">
        <v>0</v>
      </c>
      <c r="BZ620" s="762">
        <v>0</v>
      </c>
      <c r="CA620" s="762">
        <v>0</v>
      </c>
      <c r="CB620" s="762">
        <v>0</v>
      </c>
      <c r="CC620" s="762">
        <v>0</v>
      </c>
      <c r="CD620" s="762">
        <v>0</v>
      </c>
      <c r="CE620" s="762">
        <v>0</v>
      </c>
      <c r="CF620" s="762">
        <v>0</v>
      </c>
      <c r="CG620" s="762">
        <v>0</v>
      </c>
      <c r="CH620" s="762">
        <v>0</v>
      </c>
      <c r="CI620" s="762">
        <v>0</v>
      </c>
      <c r="CJ620" s="762">
        <v>0</v>
      </c>
      <c r="CK620" s="762">
        <v>0</v>
      </c>
      <c r="CL620" s="762">
        <v>0</v>
      </c>
      <c r="CM620" s="762">
        <v>0</v>
      </c>
      <c r="CN620" s="762">
        <v>0</v>
      </c>
      <c r="CO620" s="762">
        <v>0</v>
      </c>
      <c r="CP620" s="762">
        <v>0</v>
      </c>
      <c r="CQ620" s="762">
        <v>0</v>
      </c>
      <c r="CR620" s="762">
        <v>0</v>
      </c>
    </row>
    <row r="621" spans="1:96" s="53" customFormat="1">
      <c r="A621" s="721" t="s">
        <v>3</v>
      </c>
      <c r="B621" s="723">
        <v>41698</v>
      </c>
      <c r="C621" s="721">
        <v>2014</v>
      </c>
      <c r="D621" s="713" t="s">
        <v>1</v>
      </c>
      <c r="E621" s="713" t="s">
        <v>674</v>
      </c>
      <c r="F621" s="723" t="s">
        <v>673</v>
      </c>
      <c r="G621" s="713" t="s">
        <v>58</v>
      </c>
      <c r="H621" s="723" t="s">
        <v>735</v>
      </c>
      <c r="I621" s="713" t="s">
        <v>5</v>
      </c>
      <c r="J621" s="713" t="s">
        <v>376</v>
      </c>
      <c r="K621" s="766">
        <v>8</v>
      </c>
      <c r="L621" s="766" t="s">
        <v>671</v>
      </c>
      <c r="M621" s="765" t="s">
        <v>778</v>
      </c>
      <c r="N621" s="765">
        <v>12</v>
      </c>
      <c r="O621" s="765">
        <v>3</v>
      </c>
      <c r="P621" s="735">
        <v>0.6097560975609756</v>
      </c>
      <c r="Q621" s="713" t="s">
        <v>58</v>
      </c>
      <c r="R621" s="713" t="s">
        <v>58</v>
      </c>
      <c r="S621" s="713" t="s">
        <v>58</v>
      </c>
      <c r="T621" s="713" t="s">
        <v>58</v>
      </c>
      <c r="U621" s="764">
        <v>0.32800000000000001</v>
      </c>
      <c r="V621" s="764">
        <v>850.83199999999999</v>
      </c>
      <c r="W621" s="764">
        <v>0.25725385031577735</v>
      </c>
      <c r="X621" s="764">
        <v>702.93781805318201</v>
      </c>
      <c r="Y621" s="764">
        <v>5966.3990410367642</v>
      </c>
      <c r="Z621" s="764">
        <v>5631.5069330890119</v>
      </c>
      <c r="AA621" s="764">
        <v>663.48213866853303</v>
      </c>
      <c r="AB621" s="764">
        <v>0.24298744030110397</v>
      </c>
      <c r="AC621" s="714">
        <v>0.82617698682369967</v>
      </c>
      <c r="AD621" s="714">
        <v>0.7843105192554185</v>
      </c>
      <c r="AE621" s="713" t="s">
        <v>58</v>
      </c>
      <c r="AF621" s="713" t="s">
        <v>58</v>
      </c>
      <c r="AG621" s="713" t="s">
        <v>58</v>
      </c>
      <c r="AH621" s="714">
        <v>0.94387031345969796</v>
      </c>
      <c r="AI621" s="713" t="s">
        <v>58</v>
      </c>
      <c r="AJ621" s="713" t="s">
        <v>58</v>
      </c>
      <c r="AK621" s="713" t="s">
        <v>58</v>
      </c>
      <c r="AL621" s="714">
        <v>0.94454345387965444</v>
      </c>
      <c r="AM621" s="713" t="s">
        <v>58</v>
      </c>
      <c r="AN621" s="713" t="s">
        <v>58</v>
      </c>
      <c r="AO621" s="713" t="s">
        <v>58</v>
      </c>
      <c r="AP621" s="747">
        <v>119</v>
      </c>
      <c r="AQ621" s="747">
        <v>952</v>
      </c>
      <c r="AR621" s="709"/>
      <c r="AS621" s="763">
        <v>0</v>
      </c>
      <c r="AT621" s="763">
        <v>0</v>
      </c>
      <c r="AU621" s="763">
        <v>0</v>
      </c>
      <c r="AV621" s="763">
        <v>0.24298744030110397</v>
      </c>
      <c r="AW621" s="763">
        <v>0.24298744030110397</v>
      </c>
      <c r="AX621" s="763">
        <v>0.24298744030110397</v>
      </c>
      <c r="AY621" s="763">
        <v>0.14816307335433168</v>
      </c>
      <c r="AZ621" s="763">
        <v>0.14816307335433168</v>
      </c>
      <c r="BA621" s="763">
        <v>0.14816307335433168</v>
      </c>
      <c r="BB621" s="763">
        <v>0.14816307335433168</v>
      </c>
      <c r="BC621" s="763">
        <v>0.14816307335433168</v>
      </c>
      <c r="BD621" s="763">
        <v>0.14816307335433168</v>
      </c>
      <c r="BE621" s="763">
        <v>0.14816307335433168</v>
      </c>
      <c r="BF621" s="763">
        <v>0.14816307335433168</v>
      </c>
      <c r="BG621" s="763">
        <v>0.14816307335433168</v>
      </c>
      <c r="BH621" s="763">
        <v>0</v>
      </c>
      <c r="BI621" s="763">
        <v>0</v>
      </c>
      <c r="BJ621" s="763">
        <v>0</v>
      </c>
      <c r="BK621" s="763">
        <v>0</v>
      </c>
      <c r="BL621" s="763">
        <v>0</v>
      </c>
      <c r="BM621" s="763">
        <v>0</v>
      </c>
      <c r="BN621" s="763">
        <v>0</v>
      </c>
      <c r="BO621" s="763">
        <v>0</v>
      </c>
      <c r="BP621" s="763">
        <v>0</v>
      </c>
      <c r="BQ621" s="763">
        <v>0</v>
      </c>
      <c r="BR621" s="763">
        <v>0</v>
      </c>
      <c r="BS621" s="762">
        <v>0</v>
      </c>
      <c r="BT621" s="762">
        <v>0</v>
      </c>
      <c r="BU621" s="762">
        <v>0</v>
      </c>
      <c r="BV621" s="762">
        <v>663.48213866853303</v>
      </c>
      <c r="BW621" s="762">
        <v>663.48213866853303</v>
      </c>
      <c r="BX621" s="762">
        <v>663.48213866853303</v>
      </c>
      <c r="BY621" s="762">
        <v>404.56227967593475</v>
      </c>
      <c r="BZ621" s="762">
        <v>404.56227967593475</v>
      </c>
      <c r="CA621" s="762">
        <v>404.56227967593475</v>
      </c>
      <c r="CB621" s="762">
        <v>404.56227967593475</v>
      </c>
      <c r="CC621" s="762">
        <v>404.56227967593475</v>
      </c>
      <c r="CD621" s="762">
        <v>404.56227967593475</v>
      </c>
      <c r="CE621" s="762">
        <v>404.56227967593475</v>
      </c>
      <c r="CF621" s="762">
        <v>404.56227967593475</v>
      </c>
      <c r="CG621" s="762">
        <v>404.56227967593475</v>
      </c>
      <c r="CH621" s="762">
        <v>0</v>
      </c>
      <c r="CI621" s="762">
        <v>0</v>
      </c>
      <c r="CJ621" s="762">
        <v>0</v>
      </c>
      <c r="CK621" s="762">
        <v>0</v>
      </c>
      <c r="CL621" s="762">
        <v>0</v>
      </c>
      <c r="CM621" s="762">
        <v>0</v>
      </c>
      <c r="CN621" s="762">
        <v>0</v>
      </c>
      <c r="CO621" s="762">
        <v>0</v>
      </c>
      <c r="CP621" s="762">
        <v>0</v>
      </c>
      <c r="CQ621" s="762">
        <v>0</v>
      </c>
      <c r="CR621" s="762">
        <v>0</v>
      </c>
    </row>
    <row r="622" spans="1:96" s="53" customFormat="1">
      <c r="A622" s="721" t="s">
        <v>3</v>
      </c>
      <c r="B622" s="723">
        <v>41915</v>
      </c>
      <c r="C622" s="721">
        <v>2014</v>
      </c>
      <c r="D622" s="713" t="s">
        <v>1</v>
      </c>
      <c r="E622" s="713" t="s">
        <v>674</v>
      </c>
      <c r="F622" s="723" t="s">
        <v>689</v>
      </c>
      <c r="G622" s="713" t="s">
        <v>58</v>
      </c>
      <c r="H622" s="723" t="s">
        <v>710</v>
      </c>
      <c r="I622" s="713" t="s">
        <v>5</v>
      </c>
      <c r="J622" s="713" t="s">
        <v>376</v>
      </c>
      <c r="K622" s="766">
        <v>2</v>
      </c>
      <c r="L622" s="766" t="s">
        <v>671</v>
      </c>
      <c r="M622" s="765" t="s">
        <v>737</v>
      </c>
      <c r="N622" s="765">
        <v>10</v>
      </c>
      <c r="O622" s="765" t="s">
        <v>7</v>
      </c>
      <c r="P622" s="735">
        <v>1</v>
      </c>
      <c r="Q622" s="713" t="s">
        <v>58</v>
      </c>
      <c r="R622" s="713" t="s">
        <v>58</v>
      </c>
      <c r="S622" s="713" t="s">
        <v>58</v>
      </c>
      <c r="T622" s="713" t="s">
        <v>58</v>
      </c>
      <c r="U622" s="764">
        <v>5.3999999999999999E-2</v>
      </c>
      <c r="V622" s="764">
        <v>473.04</v>
      </c>
      <c r="W622" s="764">
        <v>4.2352768039792606E-2</v>
      </c>
      <c r="X622" s="764">
        <v>390.81476184708288</v>
      </c>
      <c r="Y622" s="764">
        <v>3908.147618470829</v>
      </c>
      <c r="Z622" s="764">
        <v>3688.7845176928336</v>
      </c>
      <c r="AA622" s="764">
        <v>368.87845176928334</v>
      </c>
      <c r="AB622" s="764">
        <v>4.0004029805669548E-2</v>
      </c>
      <c r="AC622" s="714">
        <v>0.82617698682369967</v>
      </c>
      <c r="AD622" s="714">
        <v>0.7843105192554185</v>
      </c>
      <c r="AE622" s="713" t="s">
        <v>58</v>
      </c>
      <c r="AF622" s="713" t="s">
        <v>58</v>
      </c>
      <c r="AG622" s="713" t="s">
        <v>58</v>
      </c>
      <c r="AH622" s="714">
        <v>0.94387031345969796</v>
      </c>
      <c r="AI622" s="713" t="s">
        <v>58</v>
      </c>
      <c r="AJ622" s="713" t="s">
        <v>58</v>
      </c>
      <c r="AK622" s="713" t="s">
        <v>58</v>
      </c>
      <c r="AL622" s="714">
        <v>0.94454345387965444</v>
      </c>
      <c r="AM622" s="713" t="s">
        <v>58</v>
      </c>
      <c r="AN622" s="713" t="s">
        <v>58</v>
      </c>
      <c r="AO622" s="713" t="s">
        <v>58</v>
      </c>
      <c r="AP622" s="747">
        <v>29</v>
      </c>
      <c r="AQ622" s="747">
        <v>58</v>
      </c>
      <c r="AR622" s="709"/>
      <c r="AS622" s="763">
        <v>0</v>
      </c>
      <c r="AT622" s="763">
        <v>0</v>
      </c>
      <c r="AU622" s="763">
        <v>0</v>
      </c>
      <c r="AV622" s="763">
        <v>4.0004029805669548E-2</v>
      </c>
      <c r="AW622" s="763">
        <v>4.0004029805669548E-2</v>
      </c>
      <c r="AX622" s="763">
        <v>4.0004029805669548E-2</v>
      </c>
      <c r="AY622" s="763">
        <v>4.0004029805669548E-2</v>
      </c>
      <c r="AZ622" s="763">
        <v>4.0004029805669548E-2</v>
      </c>
      <c r="BA622" s="763">
        <v>4.0004029805669548E-2</v>
      </c>
      <c r="BB622" s="763">
        <v>4.0004029805669548E-2</v>
      </c>
      <c r="BC622" s="763">
        <v>4.0004029805669548E-2</v>
      </c>
      <c r="BD622" s="763">
        <v>4.0004029805669548E-2</v>
      </c>
      <c r="BE622" s="763">
        <v>4.0004029805669548E-2</v>
      </c>
      <c r="BF622" s="763">
        <v>0</v>
      </c>
      <c r="BG622" s="763">
        <v>0</v>
      </c>
      <c r="BH622" s="763">
        <v>0</v>
      </c>
      <c r="BI622" s="763">
        <v>0</v>
      </c>
      <c r="BJ622" s="763">
        <v>0</v>
      </c>
      <c r="BK622" s="763">
        <v>0</v>
      </c>
      <c r="BL622" s="763">
        <v>0</v>
      </c>
      <c r="BM622" s="763">
        <v>0</v>
      </c>
      <c r="BN622" s="763">
        <v>0</v>
      </c>
      <c r="BO622" s="763">
        <v>0</v>
      </c>
      <c r="BP622" s="763">
        <v>0</v>
      </c>
      <c r="BQ622" s="763">
        <v>0</v>
      </c>
      <c r="BR622" s="763">
        <v>0</v>
      </c>
      <c r="BS622" s="762">
        <v>0</v>
      </c>
      <c r="BT622" s="762">
        <v>0</v>
      </c>
      <c r="BU622" s="762">
        <v>0</v>
      </c>
      <c r="BV622" s="762">
        <v>368.87845176928334</v>
      </c>
      <c r="BW622" s="762">
        <v>368.87845176928334</v>
      </c>
      <c r="BX622" s="762">
        <v>368.87845176928334</v>
      </c>
      <c r="BY622" s="762">
        <v>368.87845176928334</v>
      </c>
      <c r="BZ622" s="762">
        <v>368.87845176928334</v>
      </c>
      <c r="CA622" s="762">
        <v>368.87845176928334</v>
      </c>
      <c r="CB622" s="762">
        <v>368.87845176928334</v>
      </c>
      <c r="CC622" s="762">
        <v>368.87845176928334</v>
      </c>
      <c r="CD622" s="762">
        <v>368.87845176928334</v>
      </c>
      <c r="CE622" s="762">
        <v>368.87845176928334</v>
      </c>
      <c r="CF622" s="762">
        <v>0</v>
      </c>
      <c r="CG622" s="762">
        <v>0</v>
      </c>
      <c r="CH622" s="762">
        <v>0</v>
      </c>
      <c r="CI622" s="762">
        <v>0</v>
      </c>
      <c r="CJ622" s="762">
        <v>0</v>
      </c>
      <c r="CK622" s="762">
        <v>0</v>
      </c>
      <c r="CL622" s="762">
        <v>0</v>
      </c>
      <c r="CM622" s="762">
        <v>0</v>
      </c>
      <c r="CN622" s="762">
        <v>0</v>
      </c>
      <c r="CO622" s="762">
        <v>0</v>
      </c>
      <c r="CP622" s="762">
        <v>0</v>
      </c>
      <c r="CQ622" s="762">
        <v>0</v>
      </c>
      <c r="CR622" s="762">
        <v>0</v>
      </c>
    </row>
    <row r="623" spans="1:96" s="53" customFormat="1">
      <c r="A623" s="721" t="s">
        <v>3</v>
      </c>
      <c r="B623" s="723">
        <v>41915</v>
      </c>
      <c r="C623" s="721">
        <v>2014</v>
      </c>
      <c r="D623" s="713" t="s">
        <v>1</v>
      </c>
      <c r="E623" s="713" t="s">
        <v>674</v>
      </c>
      <c r="F623" s="723" t="s">
        <v>689</v>
      </c>
      <c r="G623" s="713" t="s">
        <v>58</v>
      </c>
      <c r="H623" s="723" t="s">
        <v>677</v>
      </c>
      <c r="I623" s="713" t="s">
        <v>5</v>
      </c>
      <c r="J623" s="713" t="s">
        <v>376</v>
      </c>
      <c r="K623" s="766">
        <v>1</v>
      </c>
      <c r="L623" s="766" t="s">
        <v>671</v>
      </c>
      <c r="M623" s="765" t="s">
        <v>737</v>
      </c>
      <c r="N623" s="765">
        <v>0</v>
      </c>
      <c r="O623" s="765">
        <v>0</v>
      </c>
      <c r="P623" s="735">
        <v>0</v>
      </c>
      <c r="Q623" s="713" t="s">
        <v>58</v>
      </c>
      <c r="R623" s="713" t="s">
        <v>58</v>
      </c>
      <c r="S623" s="713" t="s">
        <v>58</v>
      </c>
      <c r="T623" s="713" t="s">
        <v>58</v>
      </c>
      <c r="U623" s="764">
        <v>0</v>
      </c>
      <c r="V623" s="764">
        <v>0</v>
      </c>
      <c r="W623" s="764">
        <v>0</v>
      </c>
      <c r="X623" s="764">
        <v>0</v>
      </c>
      <c r="Y623" s="764">
        <v>0</v>
      </c>
      <c r="Z623" s="764">
        <v>0</v>
      </c>
      <c r="AA623" s="764">
        <v>0</v>
      </c>
      <c r="AB623" s="764">
        <v>0</v>
      </c>
      <c r="AC623" s="714">
        <v>0.82617698682369967</v>
      </c>
      <c r="AD623" s="714">
        <v>0.7843105192554185</v>
      </c>
      <c r="AE623" s="713" t="s">
        <v>58</v>
      </c>
      <c r="AF623" s="713" t="s">
        <v>58</v>
      </c>
      <c r="AG623" s="713" t="s">
        <v>58</v>
      </c>
      <c r="AH623" s="714">
        <v>0.94387031345969796</v>
      </c>
      <c r="AI623" s="713" t="s">
        <v>58</v>
      </c>
      <c r="AJ623" s="713" t="s">
        <v>58</v>
      </c>
      <c r="AK623" s="713" t="s">
        <v>58</v>
      </c>
      <c r="AL623" s="714">
        <v>0.94454345387965444</v>
      </c>
      <c r="AM623" s="713" t="s">
        <v>58</v>
      </c>
      <c r="AN623" s="713" t="s">
        <v>58</v>
      </c>
      <c r="AO623" s="713" t="s">
        <v>58</v>
      </c>
      <c r="AP623" s="747">
        <v>51</v>
      </c>
      <c r="AQ623" s="747">
        <v>51</v>
      </c>
      <c r="AR623" s="709"/>
      <c r="AS623" s="763">
        <v>0</v>
      </c>
      <c r="AT623" s="763">
        <v>0</v>
      </c>
      <c r="AU623" s="763">
        <v>0</v>
      </c>
      <c r="AV623" s="763">
        <v>0</v>
      </c>
      <c r="AW623" s="763">
        <v>0</v>
      </c>
      <c r="AX623" s="763">
        <v>0</v>
      </c>
      <c r="AY623" s="763">
        <v>0</v>
      </c>
      <c r="AZ623" s="763">
        <v>0</v>
      </c>
      <c r="BA623" s="763">
        <v>0</v>
      </c>
      <c r="BB623" s="763">
        <v>0</v>
      </c>
      <c r="BC623" s="763">
        <v>0</v>
      </c>
      <c r="BD623" s="763">
        <v>0</v>
      </c>
      <c r="BE623" s="763">
        <v>0</v>
      </c>
      <c r="BF623" s="763">
        <v>0</v>
      </c>
      <c r="BG623" s="763">
        <v>0</v>
      </c>
      <c r="BH623" s="763">
        <v>0</v>
      </c>
      <c r="BI623" s="763">
        <v>0</v>
      </c>
      <c r="BJ623" s="763">
        <v>0</v>
      </c>
      <c r="BK623" s="763">
        <v>0</v>
      </c>
      <c r="BL623" s="763">
        <v>0</v>
      </c>
      <c r="BM623" s="763">
        <v>0</v>
      </c>
      <c r="BN623" s="763">
        <v>0</v>
      </c>
      <c r="BO623" s="763">
        <v>0</v>
      </c>
      <c r="BP623" s="763">
        <v>0</v>
      </c>
      <c r="BQ623" s="763">
        <v>0</v>
      </c>
      <c r="BR623" s="763">
        <v>0</v>
      </c>
      <c r="BS623" s="762">
        <v>0</v>
      </c>
      <c r="BT623" s="762">
        <v>0</v>
      </c>
      <c r="BU623" s="762">
        <v>0</v>
      </c>
      <c r="BV623" s="762">
        <v>0</v>
      </c>
      <c r="BW623" s="762">
        <v>0</v>
      </c>
      <c r="BX623" s="762">
        <v>0</v>
      </c>
      <c r="BY623" s="762">
        <v>0</v>
      </c>
      <c r="BZ623" s="762">
        <v>0</v>
      </c>
      <c r="CA623" s="762">
        <v>0</v>
      </c>
      <c r="CB623" s="762">
        <v>0</v>
      </c>
      <c r="CC623" s="762">
        <v>0</v>
      </c>
      <c r="CD623" s="762">
        <v>0</v>
      </c>
      <c r="CE623" s="762">
        <v>0</v>
      </c>
      <c r="CF623" s="762">
        <v>0</v>
      </c>
      <c r="CG623" s="762">
        <v>0</v>
      </c>
      <c r="CH623" s="762">
        <v>0</v>
      </c>
      <c r="CI623" s="762">
        <v>0</v>
      </c>
      <c r="CJ623" s="762">
        <v>0</v>
      </c>
      <c r="CK623" s="762">
        <v>0</v>
      </c>
      <c r="CL623" s="762">
        <v>0</v>
      </c>
      <c r="CM623" s="762">
        <v>0</v>
      </c>
      <c r="CN623" s="762">
        <v>0</v>
      </c>
      <c r="CO623" s="762">
        <v>0</v>
      </c>
      <c r="CP623" s="762">
        <v>0</v>
      </c>
      <c r="CQ623" s="762">
        <v>0</v>
      </c>
      <c r="CR623" s="762">
        <v>0</v>
      </c>
    </row>
    <row r="624" spans="1:96" s="53" customFormat="1">
      <c r="A624" s="721" t="s">
        <v>3</v>
      </c>
      <c r="B624" s="723">
        <v>41915</v>
      </c>
      <c r="C624" s="721">
        <v>2014</v>
      </c>
      <c r="D624" s="713" t="s">
        <v>1</v>
      </c>
      <c r="E624" s="713" t="s">
        <v>674</v>
      </c>
      <c r="F624" s="723" t="s">
        <v>689</v>
      </c>
      <c r="G624" s="713" t="s">
        <v>58</v>
      </c>
      <c r="H624" s="723" t="s">
        <v>676</v>
      </c>
      <c r="I624" s="713" t="s">
        <v>5</v>
      </c>
      <c r="J624" s="713" t="s">
        <v>376</v>
      </c>
      <c r="K624" s="766">
        <v>16</v>
      </c>
      <c r="L624" s="766" t="s">
        <v>671</v>
      </c>
      <c r="M624" s="765" t="s">
        <v>737</v>
      </c>
      <c r="N624" s="765">
        <v>12</v>
      </c>
      <c r="O624" s="765">
        <v>3</v>
      </c>
      <c r="P624" s="735">
        <v>0.31578947368421051</v>
      </c>
      <c r="Q624" s="713" t="s">
        <v>58</v>
      </c>
      <c r="R624" s="713" t="s">
        <v>58</v>
      </c>
      <c r="S624" s="713" t="s">
        <v>58</v>
      </c>
      <c r="T624" s="713" t="s">
        <v>58</v>
      </c>
      <c r="U624" s="764">
        <v>0.60799999999999998</v>
      </c>
      <c r="V624" s="764">
        <v>1977.8240000000001</v>
      </c>
      <c r="W624" s="764">
        <v>0.4768607957072945</v>
      </c>
      <c r="X624" s="764">
        <v>1634.032672787597</v>
      </c>
      <c r="Y624" s="764">
        <v>9546.190877864381</v>
      </c>
      <c r="Z624" s="764">
        <v>9010.3661762359625</v>
      </c>
      <c r="AA624" s="764">
        <v>1542.3149310674173</v>
      </c>
      <c r="AB624" s="764">
        <v>0.45041574299716824</v>
      </c>
      <c r="AC624" s="714">
        <v>0.82617698682369967</v>
      </c>
      <c r="AD624" s="714">
        <v>0.7843105192554185</v>
      </c>
      <c r="AE624" s="713" t="s">
        <v>58</v>
      </c>
      <c r="AF624" s="713" t="s">
        <v>58</v>
      </c>
      <c r="AG624" s="713" t="s">
        <v>58</v>
      </c>
      <c r="AH624" s="714">
        <v>0.94387031345969796</v>
      </c>
      <c r="AI624" s="713" t="s">
        <v>58</v>
      </c>
      <c r="AJ624" s="713" t="s">
        <v>58</v>
      </c>
      <c r="AK624" s="713" t="s">
        <v>58</v>
      </c>
      <c r="AL624" s="714">
        <v>0.94454345387965444</v>
      </c>
      <c r="AM624" s="713" t="s">
        <v>58</v>
      </c>
      <c r="AN624" s="713" t="s">
        <v>58</v>
      </c>
      <c r="AO624" s="713" t="s">
        <v>58</v>
      </c>
      <c r="AP624" s="747">
        <v>57</v>
      </c>
      <c r="AQ624" s="747">
        <v>912</v>
      </c>
      <c r="AR624" s="709"/>
      <c r="AS624" s="763">
        <v>0</v>
      </c>
      <c r="AT624" s="763">
        <v>0</v>
      </c>
      <c r="AU624" s="763">
        <v>0</v>
      </c>
      <c r="AV624" s="763">
        <v>0.45041574299716824</v>
      </c>
      <c r="AW624" s="763">
        <v>0.45041574299716824</v>
      </c>
      <c r="AX624" s="763">
        <v>0.45041574299716824</v>
      </c>
      <c r="AY624" s="763">
        <v>0.1422365504201584</v>
      </c>
      <c r="AZ624" s="763">
        <v>0.1422365504201584</v>
      </c>
      <c r="BA624" s="763">
        <v>0.1422365504201584</v>
      </c>
      <c r="BB624" s="763">
        <v>0.1422365504201584</v>
      </c>
      <c r="BC624" s="763">
        <v>0.1422365504201584</v>
      </c>
      <c r="BD624" s="763">
        <v>0.1422365504201584</v>
      </c>
      <c r="BE624" s="763">
        <v>0.1422365504201584</v>
      </c>
      <c r="BF624" s="763">
        <v>0.1422365504201584</v>
      </c>
      <c r="BG624" s="763">
        <v>0.1422365504201584</v>
      </c>
      <c r="BH624" s="763">
        <v>0</v>
      </c>
      <c r="BI624" s="763">
        <v>0</v>
      </c>
      <c r="BJ624" s="763">
        <v>0</v>
      </c>
      <c r="BK624" s="763">
        <v>0</v>
      </c>
      <c r="BL624" s="763">
        <v>0</v>
      </c>
      <c r="BM624" s="763">
        <v>0</v>
      </c>
      <c r="BN624" s="763">
        <v>0</v>
      </c>
      <c r="BO624" s="763">
        <v>0</v>
      </c>
      <c r="BP624" s="763">
        <v>0</v>
      </c>
      <c r="BQ624" s="763">
        <v>0</v>
      </c>
      <c r="BR624" s="763">
        <v>0</v>
      </c>
      <c r="BS624" s="762">
        <v>0</v>
      </c>
      <c r="BT624" s="762">
        <v>0</v>
      </c>
      <c r="BU624" s="762">
        <v>0</v>
      </c>
      <c r="BV624" s="762">
        <v>1542.3149310674173</v>
      </c>
      <c r="BW624" s="762">
        <v>1542.3149310674173</v>
      </c>
      <c r="BX624" s="762">
        <v>1542.3149310674173</v>
      </c>
      <c r="BY624" s="762">
        <v>487.04682033707911</v>
      </c>
      <c r="BZ624" s="762">
        <v>487.04682033707911</v>
      </c>
      <c r="CA624" s="762">
        <v>487.04682033707911</v>
      </c>
      <c r="CB624" s="762">
        <v>487.04682033707911</v>
      </c>
      <c r="CC624" s="762">
        <v>487.04682033707911</v>
      </c>
      <c r="CD624" s="762">
        <v>487.04682033707911</v>
      </c>
      <c r="CE624" s="762">
        <v>487.04682033707911</v>
      </c>
      <c r="CF624" s="762">
        <v>487.04682033707911</v>
      </c>
      <c r="CG624" s="762">
        <v>487.04682033707911</v>
      </c>
      <c r="CH624" s="762">
        <v>0</v>
      </c>
      <c r="CI624" s="762">
        <v>0</v>
      </c>
      <c r="CJ624" s="762">
        <v>0</v>
      </c>
      <c r="CK624" s="762">
        <v>0</v>
      </c>
      <c r="CL624" s="762">
        <v>0</v>
      </c>
      <c r="CM624" s="762">
        <v>0</v>
      </c>
      <c r="CN624" s="762">
        <v>0</v>
      </c>
      <c r="CO624" s="762">
        <v>0</v>
      </c>
      <c r="CP624" s="762">
        <v>0</v>
      </c>
      <c r="CQ624" s="762">
        <v>0</v>
      </c>
      <c r="CR624" s="762">
        <v>0</v>
      </c>
    </row>
    <row r="625" spans="1:96" s="53" customFormat="1">
      <c r="A625" s="721" t="s">
        <v>3</v>
      </c>
      <c r="B625" s="723">
        <v>41915</v>
      </c>
      <c r="C625" s="721">
        <v>2014</v>
      </c>
      <c r="D625" s="713" t="s">
        <v>1</v>
      </c>
      <c r="E625" s="713" t="s">
        <v>674</v>
      </c>
      <c r="F625" s="723" t="s">
        <v>689</v>
      </c>
      <c r="G625" s="713" t="s">
        <v>58</v>
      </c>
      <c r="H625" s="723" t="s">
        <v>675</v>
      </c>
      <c r="I625" s="713" t="s">
        <v>5</v>
      </c>
      <c r="J625" s="713" t="s">
        <v>376</v>
      </c>
      <c r="K625" s="766">
        <v>6</v>
      </c>
      <c r="L625" s="766" t="s">
        <v>671</v>
      </c>
      <c r="M625" s="765" t="s">
        <v>737</v>
      </c>
      <c r="N625" s="765">
        <v>12</v>
      </c>
      <c r="O625" s="765">
        <v>3</v>
      </c>
      <c r="P625" s="735">
        <v>0.36842105263157893</v>
      </c>
      <c r="Q625" s="713" t="s">
        <v>58</v>
      </c>
      <c r="R625" s="713" t="s">
        <v>58</v>
      </c>
      <c r="S625" s="713" t="s">
        <v>58</v>
      </c>
      <c r="T625" s="713" t="s">
        <v>58</v>
      </c>
      <c r="U625" s="764">
        <v>0.34200000000000003</v>
      </c>
      <c r="V625" s="764">
        <v>1112.5260000000001</v>
      </c>
      <c r="W625" s="764">
        <v>0.26823419758535316</v>
      </c>
      <c r="X625" s="764">
        <v>919.14337844302338</v>
      </c>
      <c r="Y625" s="764">
        <v>5805.1160743769897</v>
      </c>
      <c r="Z625" s="764">
        <v>5479.2767287921406</v>
      </c>
      <c r="AA625" s="764">
        <v>867.55214872542228</v>
      </c>
      <c r="AB625" s="764">
        <v>0.25335885543590714</v>
      </c>
      <c r="AC625" s="714">
        <v>0.82617698682369967</v>
      </c>
      <c r="AD625" s="714">
        <v>0.7843105192554185</v>
      </c>
      <c r="AE625" s="713" t="s">
        <v>58</v>
      </c>
      <c r="AF625" s="713" t="s">
        <v>58</v>
      </c>
      <c r="AG625" s="713" t="s">
        <v>58</v>
      </c>
      <c r="AH625" s="714">
        <v>0.94387031345969796</v>
      </c>
      <c r="AI625" s="713" t="s">
        <v>58</v>
      </c>
      <c r="AJ625" s="713" t="s">
        <v>58</v>
      </c>
      <c r="AK625" s="713" t="s">
        <v>58</v>
      </c>
      <c r="AL625" s="714">
        <v>0.94454345387965444</v>
      </c>
      <c r="AM625" s="713" t="s">
        <v>58</v>
      </c>
      <c r="AN625" s="713" t="s">
        <v>58</v>
      </c>
      <c r="AO625" s="713" t="s">
        <v>58</v>
      </c>
      <c r="AP625" s="747">
        <v>73</v>
      </c>
      <c r="AQ625" s="747">
        <v>438</v>
      </c>
      <c r="AR625" s="709"/>
      <c r="AS625" s="763">
        <v>0</v>
      </c>
      <c r="AT625" s="763">
        <v>0</v>
      </c>
      <c r="AU625" s="763">
        <v>0</v>
      </c>
      <c r="AV625" s="763">
        <v>0.25335885543590714</v>
      </c>
      <c r="AW625" s="763">
        <v>0.25335885543590714</v>
      </c>
      <c r="AX625" s="763">
        <v>0.25335885543590714</v>
      </c>
      <c r="AY625" s="763">
        <v>9.3342736213228944E-2</v>
      </c>
      <c r="AZ625" s="763">
        <v>9.3342736213228944E-2</v>
      </c>
      <c r="BA625" s="763">
        <v>9.3342736213228944E-2</v>
      </c>
      <c r="BB625" s="763">
        <v>9.3342736213228944E-2</v>
      </c>
      <c r="BC625" s="763">
        <v>9.3342736213228944E-2</v>
      </c>
      <c r="BD625" s="763">
        <v>9.3342736213228944E-2</v>
      </c>
      <c r="BE625" s="763">
        <v>9.3342736213228944E-2</v>
      </c>
      <c r="BF625" s="763">
        <v>9.3342736213228944E-2</v>
      </c>
      <c r="BG625" s="763">
        <v>9.3342736213228944E-2</v>
      </c>
      <c r="BH625" s="763">
        <v>0</v>
      </c>
      <c r="BI625" s="763">
        <v>0</v>
      </c>
      <c r="BJ625" s="763">
        <v>0</v>
      </c>
      <c r="BK625" s="763">
        <v>0</v>
      </c>
      <c r="BL625" s="763">
        <v>0</v>
      </c>
      <c r="BM625" s="763">
        <v>0</v>
      </c>
      <c r="BN625" s="763">
        <v>0</v>
      </c>
      <c r="BO625" s="763">
        <v>0</v>
      </c>
      <c r="BP625" s="763">
        <v>0</v>
      </c>
      <c r="BQ625" s="763">
        <v>0</v>
      </c>
      <c r="BR625" s="763">
        <v>0</v>
      </c>
      <c r="BS625" s="762">
        <v>0</v>
      </c>
      <c r="BT625" s="762">
        <v>0</v>
      </c>
      <c r="BU625" s="762">
        <v>0</v>
      </c>
      <c r="BV625" s="762">
        <v>867.55214872542228</v>
      </c>
      <c r="BW625" s="762">
        <v>867.55214872542228</v>
      </c>
      <c r="BX625" s="762">
        <v>867.55214872542228</v>
      </c>
      <c r="BY625" s="762">
        <v>319.62447584620821</v>
      </c>
      <c r="BZ625" s="762">
        <v>319.62447584620821</v>
      </c>
      <c r="CA625" s="762">
        <v>319.62447584620821</v>
      </c>
      <c r="CB625" s="762">
        <v>319.62447584620821</v>
      </c>
      <c r="CC625" s="762">
        <v>319.62447584620821</v>
      </c>
      <c r="CD625" s="762">
        <v>319.62447584620821</v>
      </c>
      <c r="CE625" s="762">
        <v>319.62447584620821</v>
      </c>
      <c r="CF625" s="762">
        <v>319.62447584620821</v>
      </c>
      <c r="CG625" s="762">
        <v>319.62447584620821</v>
      </c>
      <c r="CH625" s="762">
        <v>0</v>
      </c>
      <c r="CI625" s="762">
        <v>0</v>
      </c>
      <c r="CJ625" s="762">
        <v>0</v>
      </c>
      <c r="CK625" s="762">
        <v>0</v>
      </c>
      <c r="CL625" s="762">
        <v>0</v>
      </c>
      <c r="CM625" s="762">
        <v>0</v>
      </c>
      <c r="CN625" s="762">
        <v>0</v>
      </c>
      <c r="CO625" s="762">
        <v>0</v>
      </c>
      <c r="CP625" s="762">
        <v>0</v>
      </c>
      <c r="CQ625" s="762">
        <v>0</v>
      </c>
      <c r="CR625" s="762">
        <v>0</v>
      </c>
    </row>
    <row r="626" spans="1:96" s="53" customFormat="1">
      <c r="A626" s="721" t="s">
        <v>3</v>
      </c>
      <c r="B626" s="723">
        <v>41915</v>
      </c>
      <c r="C626" s="721">
        <v>2014</v>
      </c>
      <c r="D626" s="713" t="s">
        <v>1</v>
      </c>
      <c r="E626" s="713" t="s">
        <v>674</v>
      </c>
      <c r="F626" s="723" t="s">
        <v>689</v>
      </c>
      <c r="G626" s="713" t="s">
        <v>58</v>
      </c>
      <c r="H626" s="723" t="s">
        <v>677</v>
      </c>
      <c r="I626" s="713" t="s">
        <v>5</v>
      </c>
      <c r="J626" s="713" t="s">
        <v>376</v>
      </c>
      <c r="K626" s="766">
        <v>1</v>
      </c>
      <c r="L626" s="766" t="s">
        <v>671</v>
      </c>
      <c r="M626" s="765" t="s">
        <v>737</v>
      </c>
      <c r="N626" s="765">
        <v>0</v>
      </c>
      <c r="O626" s="765">
        <v>0</v>
      </c>
      <c r="P626" s="735">
        <v>0</v>
      </c>
      <c r="Q626" s="713" t="s">
        <v>58</v>
      </c>
      <c r="R626" s="713" t="s">
        <v>58</v>
      </c>
      <c r="S626" s="713" t="s">
        <v>58</v>
      </c>
      <c r="T626" s="713" t="s">
        <v>58</v>
      </c>
      <c r="U626" s="764">
        <v>0</v>
      </c>
      <c r="V626" s="764">
        <v>0</v>
      </c>
      <c r="W626" s="764">
        <v>0</v>
      </c>
      <c r="X626" s="764">
        <v>0</v>
      </c>
      <c r="Y626" s="764">
        <v>0</v>
      </c>
      <c r="Z626" s="764">
        <v>0</v>
      </c>
      <c r="AA626" s="764">
        <v>0</v>
      </c>
      <c r="AB626" s="764">
        <v>0</v>
      </c>
      <c r="AC626" s="714">
        <v>0.82617698682369967</v>
      </c>
      <c r="AD626" s="714">
        <v>0.7843105192554185</v>
      </c>
      <c r="AE626" s="713" t="s">
        <v>58</v>
      </c>
      <c r="AF626" s="713" t="s">
        <v>58</v>
      </c>
      <c r="AG626" s="713" t="s">
        <v>58</v>
      </c>
      <c r="AH626" s="714">
        <v>0.94387031345969796</v>
      </c>
      <c r="AI626" s="713" t="s">
        <v>58</v>
      </c>
      <c r="AJ626" s="713" t="s">
        <v>58</v>
      </c>
      <c r="AK626" s="713" t="s">
        <v>58</v>
      </c>
      <c r="AL626" s="714">
        <v>0.94454345387965444</v>
      </c>
      <c r="AM626" s="713" t="s">
        <v>58</v>
      </c>
      <c r="AN626" s="713" t="s">
        <v>58</v>
      </c>
      <c r="AO626" s="713" t="s">
        <v>58</v>
      </c>
      <c r="AP626" s="747">
        <v>51</v>
      </c>
      <c r="AQ626" s="747">
        <v>51</v>
      </c>
      <c r="AR626" s="709"/>
      <c r="AS626" s="763">
        <v>0</v>
      </c>
      <c r="AT626" s="763">
        <v>0</v>
      </c>
      <c r="AU626" s="763">
        <v>0</v>
      </c>
      <c r="AV626" s="763">
        <v>0</v>
      </c>
      <c r="AW626" s="763">
        <v>0</v>
      </c>
      <c r="AX626" s="763">
        <v>0</v>
      </c>
      <c r="AY626" s="763">
        <v>0</v>
      </c>
      <c r="AZ626" s="763">
        <v>0</v>
      </c>
      <c r="BA626" s="763">
        <v>0</v>
      </c>
      <c r="BB626" s="763">
        <v>0</v>
      </c>
      <c r="BC626" s="763">
        <v>0</v>
      </c>
      <c r="BD626" s="763">
        <v>0</v>
      </c>
      <c r="BE626" s="763">
        <v>0</v>
      </c>
      <c r="BF626" s="763">
        <v>0</v>
      </c>
      <c r="BG626" s="763">
        <v>0</v>
      </c>
      <c r="BH626" s="763">
        <v>0</v>
      </c>
      <c r="BI626" s="763">
        <v>0</v>
      </c>
      <c r="BJ626" s="763">
        <v>0</v>
      </c>
      <c r="BK626" s="763">
        <v>0</v>
      </c>
      <c r="BL626" s="763">
        <v>0</v>
      </c>
      <c r="BM626" s="763">
        <v>0</v>
      </c>
      <c r="BN626" s="763">
        <v>0</v>
      </c>
      <c r="BO626" s="763">
        <v>0</v>
      </c>
      <c r="BP626" s="763">
        <v>0</v>
      </c>
      <c r="BQ626" s="763">
        <v>0</v>
      </c>
      <c r="BR626" s="763">
        <v>0</v>
      </c>
      <c r="BS626" s="762">
        <v>0</v>
      </c>
      <c r="BT626" s="762">
        <v>0</v>
      </c>
      <c r="BU626" s="762">
        <v>0</v>
      </c>
      <c r="BV626" s="762">
        <v>0</v>
      </c>
      <c r="BW626" s="762">
        <v>0</v>
      </c>
      <c r="BX626" s="762">
        <v>0</v>
      </c>
      <c r="BY626" s="762">
        <v>0</v>
      </c>
      <c r="BZ626" s="762">
        <v>0</v>
      </c>
      <c r="CA626" s="762">
        <v>0</v>
      </c>
      <c r="CB626" s="762">
        <v>0</v>
      </c>
      <c r="CC626" s="762">
        <v>0</v>
      </c>
      <c r="CD626" s="762">
        <v>0</v>
      </c>
      <c r="CE626" s="762">
        <v>0</v>
      </c>
      <c r="CF626" s="762">
        <v>0</v>
      </c>
      <c r="CG626" s="762">
        <v>0</v>
      </c>
      <c r="CH626" s="762">
        <v>0</v>
      </c>
      <c r="CI626" s="762">
        <v>0</v>
      </c>
      <c r="CJ626" s="762">
        <v>0</v>
      </c>
      <c r="CK626" s="762">
        <v>0</v>
      </c>
      <c r="CL626" s="762">
        <v>0</v>
      </c>
      <c r="CM626" s="762">
        <v>0</v>
      </c>
      <c r="CN626" s="762">
        <v>0</v>
      </c>
      <c r="CO626" s="762">
        <v>0</v>
      </c>
      <c r="CP626" s="762">
        <v>0</v>
      </c>
      <c r="CQ626" s="762">
        <v>0</v>
      </c>
      <c r="CR626" s="762">
        <v>0</v>
      </c>
    </row>
    <row r="627" spans="1:96" s="53" customFormat="1">
      <c r="A627" s="721" t="s">
        <v>3</v>
      </c>
      <c r="B627" s="723">
        <v>41915</v>
      </c>
      <c r="C627" s="721">
        <v>2014</v>
      </c>
      <c r="D627" s="713" t="s">
        <v>1</v>
      </c>
      <c r="E627" s="713" t="s">
        <v>674</v>
      </c>
      <c r="F627" s="723" t="s">
        <v>689</v>
      </c>
      <c r="G627" s="713" t="s">
        <v>58</v>
      </c>
      <c r="H627" s="723" t="s">
        <v>675</v>
      </c>
      <c r="I627" s="713" t="s">
        <v>5</v>
      </c>
      <c r="J627" s="713" t="s">
        <v>376</v>
      </c>
      <c r="K627" s="766">
        <v>19</v>
      </c>
      <c r="L627" s="766" t="s">
        <v>671</v>
      </c>
      <c r="M627" s="765" t="s">
        <v>737</v>
      </c>
      <c r="N627" s="765">
        <v>12</v>
      </c>
      <c r="O627" s="765">
        <v>3</v>
      </c>
      <c r="P627" s="735">
        <v>0.36842105263157893</v>
      </c>
      <c r="Q627" s="713" t="s">
        <v>58</v>
      </c>
      <c r="R627" s="713" t="s">
        <v>58</v>
      </c>
      <c r="S627" s="713" t="s">
        <v>58</v>
      </c>
      <c r="T627" s="713" t="s">
        <v>58</v>
      </c>
      <c r="U627" s="764">
        <v>1.083</v>
      </c>
      <c r="V627" s="764">
        <v>3522.9989999999998</v>
      </c>
      <c r="W627" s="764">
        <v>0.84940829235361825</v>
      </c>
      <c r="X627" s="764">
        <v>2910.6206984029072</v>
      </c>
      <c r="Y627" s="764">
        <v>18382.867568860467</v>
      </c>
      <c r="Z627" s="764">
        <v>17351.042974508444</v>
      </c>
      <c r="AA627" s="764">
        <v>2747.248470963837</v>
      </c>
      <c r="AB627" s="764">
        <v>0.80230304221370585</v>
      </c>
      <c r="AC627" s="714">
        <v>0.82617698682369967</v>
      </c>
      <c r="AD627" s="714">
        <v>0.7843105192554185</v>
      </c>
      <c r="AE627" s="713" t="s">
        <v>58</v>
      </c>
      <c r="AF627" s="713" t="s">
        <v>58</v>
      </c>
      <c r="AG627" s="713" t="s">
        <v>58</v>
      </c>
      <c r="AH627" s="714">
        <v>0.94387031345969796</v>
      </c>
      <c r="AI627" s="713" t="s">
        <v>58</v>
      </c>
      <c r="AJ627" s="713" t="s">
        <v>58</v>
      </c>
      <c r="AK627" s="713" t="s">
        <v>58</v>
      </c>
      <c r="AL627" s="714">
        <v>0.94454345387965444</v>
      </c>
      <c r="AM627" s="713" t="s">
        <v>58</v>
      </c>
      <c r="AN627" s="713" t="s">
        <v>58</v>
      </c>
      <c r="AO627" s="713" t="s">
        <v>58</v>
      </c>
      <c r="AP627" s="747">
        <v>73</v>
      </c>
      <c r="AQ627" s="747">
        <v>1387</v>
      </c>
      <c r="AR627" s="709"/>
      <c r="AS627" s="763">
        <v>0</v>
      </c>
      <c r="AT627" s="763">
        <v>0</v>
      </c>
      <c r="AU627" s="763">
        <v>0</v>
      </c>
      <c r="AV627" s="763">
        <v>0.80230304221370585</v>
      </c>
      <c r="AW627" s="763">
        <v>0.80230304221370585</v>
      </c>
      <c r="AX627" s="763">
        <v>0.80230304221370585</v>
      </c>
      <c r="AY627" s="763">
        <v>0.29558533134189163</v>
      </c>
      <c r="AZ627" s="763">
        <v>0.29558533134189163</v>
      </c>
      <c r="BA627" s="763">
        <v>0.29558533134189163</v>
      </c>
      <c r="BB627" s="763">
        <v>0.29558533134189163</v>
      </c>
      <c r="BC627" s="763">
        <v>0.29558533134189163</v>
      </c>
      <c r="BD627" s="763">
        <v>0.29558533134189163</v>
      </c>
      <c r="BE627" s="763">
        <v>0.29558533134189163</v>
      </c>
      <c r="BF627" s="763">
        <v>0.29558533134189163</v>
      </c>
      <c r="BG627" s="763">
        <v>0.29558533134189163</v>
      </c>
      <c r="BH627" s="763">
        <v>0</v>
      </c>
      <c r="BI627" s="763">
        <v>0</v>
      </c>
      <c r="BJ627" s="763">
        <v>0</v>
      </c>
      <c r="BK627" s="763">
        <v>0</v>
      </c>
      <c r="BL627" s="763">
        <v>0</v>
      </c>
      <c r="BM627" s="763">
        <v>0</v>
      </c>
      <c r="BN627" s="763">
        <v>0</v>
      </c>
      <c r="BO627" s="763">
        <v>0</v>
      </c>
      <c r="BP627" s="763">
        <v>0</v>
      </c>
      <c r="BQ627" s="763">
        <v>0</v>
      </c>
      <c r="BR627" s="763">
        <v>0</v>
      </c>
      <c r="BS627" s="762">
        <v>0</v>
      </c>
      <c r="BT627" s="762">
        <v>0</v>
      </c>
      <c r="BU627" s="762">
        <v>0</v>
      </c>
      <c r="BV627" s="762">
        <v>2747.248470963837</v>
      </c>
      <c r="BW627" s="762">
        <v>2747.248470963837</v>
      </c>
      <c r="BX627" s="762">
        <v>2747.248470963837</v>
      </c>
      <c r="BY627" s="762">
        <v>1012.1441735129926</v>
      </c>
      <c r="BZ627" s="762">
        <v>1012.1441735129926</v>
      </c>
      <c r="CA627" s="762">
        <v>1012.1441735129926</v>
      </c>
      <c r="CB627" s="762">
        <v>1012.1441735129926</v>
      </c>
      <c r="CC627" s="762">
        <v>1012.1441735129926</v>
      </c>
      <c r="CD627" s="762">
        <v>1012.1441735129926</v>
      </c>
      <c r="CE627" s="762">
        <v>1012.1441735129926</v>
      </c>
      <c r="CF627" s="762">
        <v>1012.1441735129926</v>
      </c>
      <c r="CG627" s="762">
        <v>1012.1441735129926</v>
      </c>
      <c r="CH627" s="762">
        <v>0</v>
      </c>
      <c r="CI627" s="762">
        <v>0</v>
      </c>
      <c r="CJ627" s="762">
        <v>0</v>
      </c>
      <c r="CK627" s="762">
        <v>0</v>
      </c>
      <c r="CL627" s="762">
        <v>0</v>
      </c>
      <c r="CM627" s="762">
        <v>0</v>
      </c>
      <c r="CN627" s="762">
        <v>0</v>
      </c>
      <c r="CO627" s="762">
        <v>0</v>
      </c>
      <c r="CP627" s="762">
        <v>0</v>
      </c>
      <c r="CQ627" s="762">
        <v>0</v>
      </c>
      <c r="CR627" s="762">
        <v>0</v>
      </c>
    </row>
    <row r="628" spans="1:96" s="53" customFormat="1">
      <c r="A628" s="721" t="s">
        <v>3</v>
      </c>
      <c r="B628" s="723">
        <v>41915</v>
      </c>
      <c r="C628" s="721">
        <v>2014</v>
      </c>
      <c r="D628" s="713" t="s">
        <v>1</v>
      </c>
      <c r="E628" s="713" t="s">
        <v>674</v>
      </c>
      <c r="F628" s="723" t="s">
        <v>689</v>
      </c>
      <c r="G628" s="713" t="s">
        <v>58</v>
      </c>
      <c r="H628" s="723" t="s">
        <v>710</v>
      </c>
      <c r="I628" s="713" t="s">
        <v>5</v>
      </c>
      <c r="J628" s="713" t="s">
        <v>376</v>
      </c>
      <c r="K628" s="766">
        <v>1</v>
      </c>
      <c r="L628" s="766" t="s">
        <v>671</v>
      </c>
      <c r="M628" s="765" t="s">
        <v>737</v>
      </c>
      <c r="N628" s="765">
        <v>10</v>
      </c>
      <c r="O628" s="765" t="s">
        <v>7</v>
      </c>
      <c r="P628" s="735">
        <v>1</v>
      </c>
      <c r="Q628" s="713" t="s">
        <v>58</v>
      </c>
      <c r="R628" s="713" t="s">
        <v>58</v>
      </c>
      <c r="S628" s="713" t="s">
        <v>58</v>
      </c>
      <c r="T628" s="713" t="s">
        <v>58</v>
      </c>
      <c r="U628" s="764">
        <v>2.7E-2</v>
      </c>
      <c r="V628" s="764">
        <v>236.52</v>
      </c>
      <c r="W628" s="764">
        <v>2.1176384019896303E-2</v>
      </c>
      <c r="X628" s="764">
        <v>195.40738092354144</v>
      </c>
      <c r="Y628" s="764">
        <v>1954.0738092354145</v>
      </c>
      <c r="Z628" s="764">
        <v>1844.3922588464168</v>
      </c>
      <c r="AA628" s="764">
        <v>184.43922588464167</v>
      </c>
      <c r="AB628" s="764">
        <v>2.0002014902834774E-2</v>
      </c>
      <c r="AC628" s="714">
        <v>0.82617698682369967</v>
      </c>
      <c r="AD628" s="714">
        <v>0.7843105192554185</v>
      </c>
      <c r="AE628" s="713" t="s">
        <v>58</v>
      </c>
      <c r="AF628" s="713" t="s">
        <v>58</v>
      </c>
      <c r="AG628" s="713" t="s">
        <v>58</v>
      </c>
      <c r="AH628" s="714">
        <v>0.94387031345969796</v>
      </c>
      <c r="AI628" s="713" t="s">
        <v>58</v>
      </c>
      <c r="AJ628" s="713" t="s">
        <v>58</v>
      </c>
      <c r="AK628" s="713" t="s">
        <v>58</v>
      </c>
      <c r="AL628" s="714">
        <v>0.94454345387965444</v>
      </c>
      <c r="AM628" s="713" t="s">
        <v>58</v>
      </c>
      <c r="AN628" s="713" t="s">
        <v>58</v>
      </c>
      <c r="AO628" s="713" t="s">
        <v>58</v>
      </c>
      <c r="AP628" s="747">
        <v>29</v>
      </c>
      <c r="AQ628" s="747">
        <v>29</v>
      </c>
      <c r="AR628" s="709"/>
      <c r="AS628" s="763">
        <v>0</v>
      </c>
      <c r="AT628" s="763">
        <v>0</v>
      </c>
      <c r="AU628" s="763">
        <v>0</v>
      </c>
      <c r="AV628" s="763">
        <v>2.0002014902834774E-2</v>
      </c>
      <c r="AW628" s="763">
        <v>2.0002014902834774E-2</v>
      </c>
      <c r="AX628" s="763">
        <v>2.0002014902834774E-2</v>
      </c>
      <c r="AY628" s="763">
        <v>2.0002014902834774E-2</v>
      </c>
      <c r="AZ628" s="763">
        <v>2.0002014902834774E-2</v>
      </c>
      <c r="BA628" s="763">
        <v>2.0002014902834774E-2</v>
      </c>
      <c r="BB628" s="763">
        <v>2.0002014902834774E-2</v>
      </c>
      <c r="BC628" s="763">
        <v>2.0002014902834774E-2</v>
      </c>
      <c r="BD628" s="763">
        <v>2.0002014902834774E-2</v>
      </c>
      <c r="BE628" s="763">
        <v>2.0002014902834774E-2</v>
      </c>
      <c r="BF628" s="763">
        <v>0</v>
      </c>
      <c r="BG628" s="763">
        <v>0</v>
      </c>
      <c r="BH628" s="763">
        <v>0</v>
      </c>
      <c r="BI628" s="763">
        <v>0</v>
      </c>
      <c r="BJ628" s="763">
        <v>0</v>
      </c>
      <c r="BK628" s="763">
        <v>0</v>
      </c>
      <c r="BL628" s="763">
        <v>0</v>
      </c>
      <c r="BM628" s="763">
        <v>0</v>
      </c>
      <c r="BN628" s="763">
        <v>0</v>
      </c>
      <c r="BO628" s="763">
        <v>0</v>
      </c>
      <c r="BP628" s="763">
        <v>0</v>
      </c>
      <c r="BQ628" s="763">
        <v>0</v>
      </c>
      <c r="BR628" s="763">
        <v>0</v>
      </c>
      <c r="BS628" s="762">
        <v>0</v>
      </c>
      <c r="BT628" s="762">
        <v>0</v>
      </c>
      <c r="BU628" s="762">
        <v>0</v>
      </c>
      <c r="BV628" s="762">
        <v>184.43922588464167</v>
      </c>
      <c r="BW628" s="762">
        <v>184.43922588464167</v>
      </c>
      <c r="BX628" s="762">
        <v>184.43922588464167</v>
      </c>
      <c r="BY628" s="762">
        <v>184.43922588464167</v>
      </c>
      <c r="BZ628" s="762">
        <v>184.43922588464167</v>
      </c>
      <c r="CA628" s="762">
        <v>184.43922588464167</v>
      </c>
      <c r="CB628" s="762">
        <v>184.43922588464167</v>
      </c>
      <c r="CC628" s="762">
        <v>184.43922588464167</v>
      </c>
      <c r="CD628" s="762">
        <v>184.43922588464167</v>
      </c>
      <c r="CE628" s="762">
        <v>184.43922588464167</v>
      </c>
      <c r="CF628" s="762">
        <v>0</v>
      </c>
      <c r="CG628" s="762">
        <v>0</v>
      </c>
      <c r="CH628" s="762">
        <v>0</v>
      </c>
      <c r="CI628" s="762">
        <v>0</v>
      </c>
      <c r="CJ628" s="762">
        <v>0</v>
      </c>
      <c r="CK628" s="762">
        <v>0</v>
      </c>
      <c r="CL628" s="762">
        <v>0</v>
      </c>
      <c r="CM628" s="762">
        <v>0</v>
      </c>
      <c r="CN628" s="762">
        <v>0</v>
      </c>
      <c r="CO628" s="762">
        <v>0</v>
      </c>
      <c r="CP628" s="762">
        <v>0</v>
      </c>
      <c r="CQ628" s="762">
        <v>0</v>
      </c>
      <c r="CR628" s="762">
        <v>0</v>
      </c>
    </row>
    <row r="629" spans="1:96" s="53" customFormat="1">
      <c r="A629" s="721" t="s">
        <v>3</v>
      </c>
      <c r="B629" s="723">
        <v>41915</v>
      </c>
      <c r="C629" s="721">
        <v>2014</v>
      </c>
      <c r="D629" s="713" t="s">
        <v>1</v>
      </c>
      <c r="E629" s="713" t="s">
        <v>674</v>
      </c>
      <c r="F629" s="723" t="s">
        <v>689</v>
      </c>
      <c r="G629" s="713" t="s">
        <v>58</v>
      </c>
      <c r="H629" s="723" t="s">
        <v>678</v>
      </c>
      <c r="I629" s="713" t="s">
        <v>5</v>
      </c>
      <c r="J629" s="713" t="s">
        <v>376</v>
      </c>
      <c r="K629" s="766">
        <v>1</v>
      </c>
      <c r="L629" s="766" t="s">
        <v>671</v>
      </c>
      <c r="M629" s="765" t="s">
        <v>737</v>
      </c>
      <c r="N629" s="765">
        <v>3</v>
      </c>
      <c r="O629" s="765">
        <v>2</v>
      </c>
      <c r="P629" s="735">
        <v>0.6149863305954828</v>
      </c>
      <c r="Q629" s="713" t="s">
        <v>58</v>
      </c>
      <c r="R629" s="713" t="s">
        <v>58</v>
      </c>
      <c r="S629" s="713" t="s">
        <v>58</v>
      </c>
      <c r="T629" s="713" t="s">
        <v>58</v>
      </c>
      <c r="U629" s="764">
        <v>4.7E-2</v>
      </c>
      <c r="V629" s="764">
        <v>174.887</v>
      </c>
      <c r="W629" s="764">
        <v>3.6862594405004674E-2</v>
      </c>
      <c r="X629" s="764">
        <v>144.48761469463636</v>
      </c>
      <c r="Y629" s="764">
        <v>377.83313736682112</v>
      </c>
      <c r="Z629" s="764">
        <v>356.62548180188259</v>
      </c>
      <c r="AA629" s="764">
        <v>136.37757017287049</v>
      </c>
      <c r="AB629" s="764">
        <v>3.4818322238267939E-2</v>
      </c>
      <c r="AC629" s="714">
        <v>0.82617698682369967</v>
      </c>
      <c r="AD629" s="714">
        <v>0.7843105192554185</v>
      </c>
      <c r="AE629" s="713" t="s">
        <v>58</v>
      </c>
      <c r="AF629" s="713" t="s">
        <v>58</v>
      </c>
      <c r="AG629" s="713" t="s">
        <v>58</v>
      </c>
      <c r="AH629" s="714">
        <v>0.94387031345969796</v>
      </c>
      <c r="AI629" s="713" t="s">
        <v>58</v>
      </c>
      <c r="AJ629" s="713" t="s">
        <v>58</v>
      </c>
      <c r="AK629" s="713" t="s">
        <v>58</v>
      </c>
      <c r="AL629" s="714">
        <v>0.94454345387965444</v>
      </c>
      <c r="AM629" s="713" t="s">
        <v>58</v>
      </c>
      <c r="AN629" s="713" t="s">
        <v>58</v>
      </c>
      <c r="AO629" s="713" t="s">
        <v>58</v>
      </c>
      <c r="AP629" s="747">
        <v>8</v>
      </c>
      <c r="AQ629" s="747">
        <v>8</v>
      </c>
      <c r="AR629" s="709"/>
      <c r="AS629" s="763">
        <v>0</v>
      </c>
      <c r="AT629" s="763">
        <v>0</v>
      </c>
      <c r="AU629" s="763">
        <v>0</v>
      </c>
      <c r="AV629" s="763">
        <v>3.4818322238267939E-2</v>
      </c>
      <c r="AW629" s="763">
        <v>3.4818322238267939E-2</v>
      </c>
      <c r="AX629" s="763">
        <v>2.1412792230803498E-2</v>
      </c>
      <c r="AY629" s="763">
        <v>0</v>
      </c>
      <c r="AZ629" s="763">
        <v>0</v>
      </c>
      <c r="BA629" s="763">
        <v>0</v>
      </c>
      <c r="BB629" s="763">
        <v>0</v>
      </c>
      <c r="BC629" s="763">
        <v>0</v>
      </c>
      <c r="BD629" s="763">
        <v>0</v>
      </c>
      <c r="BE629" s="763">
        <v>0</v>
      </c>
      <c r="BF629" s="763">
        <v>0</v>
      </c>
      <c r="BG629" s="763">
        <v>0</v>
      </c>
      <c r="BH629" s="763">
        <v>0</v>
      </c>
      <c r="BI629" s="763">
        <v>0</v>
      </c>
      <c r="BJ629" s="763">
        <v>0</v>
      </c>
      <c r="BK629" s="763">
        <v>0</v>
      </c>
      <c r="BL629" s="763">
        <v>0</v>
      </c>
      <c r="BM629" s="763">
        <v>0</v>
      </c>
      <c r="BN629" s="763">
        <v>0</v>
      </c>
      <c r="BO629" s="763">
        <v>0</v>
      </c>
      <c r="BP629" s="763">
        <v>0</v>
      </c>
      <c r="BQ629" s="763">
        <v>0</v>
      </c>
      <c r="BR629" s="763">
        <v>0</v>
      </c>
      <c r="BS629" s="762">
        <v>0</v>
      </c>
      <c r="BT629" s="762">
        <v>0</v>
      </c>
      <c r="BU629" s="762">
        <v>0</v>
      </c>
      <c r="BV629" s="762">
        <v>136.37757017287049</v>
      </c>
      <c r="BW629" s="762">
        <v>136.37757017287049</v>
      </c>
      <c r="BX629" s="762">
        <v>83.870341456141588</v>
      </c>
      <c r="BY629" s="762">
        <v>0</v>
      </c>
      <c r="BZ629" s="762">
        <v>0</v>
      </c>
      <c r="CA629" s="762">
        <v>0</v>
      </c>
      <c r="CB629" s="762">
        <v>0</v>
      </c>
      <c r="CC629" s="762">
        <v>0</v>
      </c>
      <c r="CD629" s="762">
        <v>0</v>
      </c>
      <c r="CE629" s="762">
        <v>0</v>
      </c>
      <c r="CF629" s="762">
        <v>0</v>
      </c>
      <c r="CG629" s="762">
        <v>0</v>
      </c>
      <c r="CH629" s="762">
        <v>0</v>
      </c>
      <c r="CI629" s="762">
        <v>0</v>
      </c>
      <c r="CJ629" s="762">
        <v>0</v>
      </c>
      <c r="CK629" s="762">
        <v>0</v>
      </c>
      <c r="CL629" s="762">
        <v>0</v>
      </c>
      <c r="CM629" s="762">
        <v>0</v>
      </c>
      <c r="CN629" s="762">
        <v>0</v>
      </c>
      <c r="CO629" s="762">
        <v>0</v>
      </c>
      <c r="CP629" s="762">
        <v>0</v>
      </c>
      <c r="CQ629" s="762">
        <v>0</v>
      </c>
      <c r="CR629" s="762">
        <v>0</v>
      </c>
    </row>
    <row r="630" spans="1:96" s="53" customFormat="1">
      <c r="A630" s="721" t="s">
        <v>3</v>
      </c>
      <c r="B630" s="723">
        <v>41915</v>
      </c>
      <c r="C630" s="721">
        <v>2014</v>
      </c>
      <c r="D630" s="713" t="s">
        <v>1</v>
      </c>
      <c r="E630" s="713" t="s">
        <v>674</v>
      </c>
      <c r="F630" s="723" t="s">
        <v>689</v>
      </c>
      <c r="G630" s="713" t="s">
        <v>58</v>
      </c>
      <c r="H630" s="723" t="s">
        <v>690</v>
      </c>
      <c r="I630" s="713" t="s">
        <v>5</v>
      </c>
      <c r="J630" s="713" t="s">
        <v>376</v>
      </c>
      <c r="K630" s="766">
        <v>19</v>
      </c>
      <c r="L630" s="766" t="s">
        <v>671</v>
      </c>
      <c r="M630" s="765" t="s">
        <v>737</v>
      </c>
      <c r="N630" s="765">
        <v>3</v>
      </c>
      <c r="O630" s="765" t="s">
        <v>7</v>
      </c>
      <c r="P630" s="735">
        <v>1</v>
      </c>
      <c r="Q630" s="713" t="s">
        <v>58</v>
      </c>
      <c r="R630" s="713" t="s">
        <v>58</v>
      </c>
      <c r="S630" s="713" t="s">
        <v>58</v>
      </c>
      <c r="T630" s="713" t="s">
        <v>58</v>
      </c>
      <c r="U630" s="764">
        <v>0.85499999999999998</v>
      </c>
      <c r="V630" s="764">
        <v>3181.4549999999999</v>
      </c>
      <c r="W630" s="764">
        <v>0.67058549396338285</v>
      </c>
      <c r="X630" s="764">
        <v>2628.4449056151934</v>
      </c>
      <c r="Y630" s="764">
        <v>7885.3347168455803</v>
      </c>
      <c r="Z630" s="764">
        <v>7442.7333509236769</v>
      </c>
      <c r="AA630" s="764">
        <v>2480.9111169745588</v>
      </c>
      <c r="AB630" s="764">
        <v>0.63339713858976776</v>
      </c>
      <c r="AC630" s="714">
        <v>0.82617698682369967</v>
      </c>
      <c r="AD630" s="714">
        <v>0.7843105192554185</v>
      </c>
      <c r="AE630" s="713" t="s">
        <v>58</v>
      </c>
      <c r="AF630" s="713" t="s">
        <v>58</v>
      </c>
      <c r="AG630" s="713" t="s">
        <v>58</v>
      </c>
      <c r="AH630" s="714">
        <v>0.94387031345969796</v>
      </c>
      <c r="AI630" s="713" t="s">
        <v>58</v>
      </c>
      <c r="AJ630" s="713" t="s">
        <v>58</v>
      </c>
      <c r="AK630" s="713" t="s">
        <v>58</v>
      </c>
      <c r="AL630" s="714">
        <v>0.94454345387965444</v>
      </c>
      <c r="AM630" s="713" t="s">
        <v>58</v>
      </c>
      <c r="AN630" s="713" t="s">
        <v>58</v>
      </c>
      <c r="AO630" s="713" t="s">
        <v>58</v>
      </c>
      <c r="AP630" s="747">
        <v>13</v>
      </c>
      <c r="AQ630" s="747">
        <v>247</v>
      </c>
      <c r="AR630" s="709"/>
      <c r="AS630" s="763">
        <v>0</v>
      </c>
      <c r="AT630" s="763">
        <v>0</v>
      </c>
      <c r="AU630" s="763">
        <v>0</v>
      </c>
      <c r="AV630" s="763">
        <v>0.63339713858976776</v>
      </c>
      <c r="AW630" s="763">
        <v>0.63339713858976776</v>
      </c>
      <c r="AX630" s="763">
        <v>0.63339713858976776</v>
      </c>
      <c r="AY630" s="763">
        <v>0</v>
      </c>
      <c r="AZ630" s="763">
        <v>0</v>
      </c>
      <c r="BA630" s="763">
        <v>0</v>
      </c>
      <c r="BB630" s="763">
        <v>0</v>
      </c>
      <c r="BC630" s="763">
        <v>0</v>
      </c>
      <c r="BD630" s="763">
        <v>0</v>
      </c>
      <c r="BE630" s="763">
        <v>0</v>
      </c>
      <c r="BF630" s="763">
        <v>0</v>
      </c>
      <c r="BG630" s="763">
        <v>0</v>
      </c>
      <c r="BH630" s="763">
        <v>0</v>
      </c>
      <c r="BI630" s="763">
        <v>0</v>
      </c>
      <c r="BJ630" s="763">
        <v>0</v>
      </c>
      <c r="BK630" s="763">
        <v>0</v>
      </c>
      <c r="BL630" s="763">
        <v>0</v>
      </c>
      <c r="BM630" s="763">
        <v>0</v>
      </c>
      <c r="BN630" s="763">
        <v>0</v>
      </c>
      <c r="BO630" s="763">
        <v>0</v>
      </c>
      <c r="BP630" s="763">
        <v>0</v>
      </c>
      <c r="BQ630" s="763">
        <v>0</v>
      </c>
      <c r="BR630" s="763">
        <v>0</v>
      </c>
      <c r="BS630" s="762">
        <v>0</v>
      </c>
      <c r="BT630" s="762">
        <v>0</v>
      </c>
      <c r="BU630" s="762">
        <v>0</v>
      </c>
      <c r="BV630" s="762">
        <v>2480.9111169745588</v>
      </c>
      <c r="BW630" s="762">
        <v>2480.9111169745588</v>
      </c>
      <c r="BX630" s="762">
        <v>2480.9111169745588</v>
      </c>
      <c r="BY630" s="762">
        <v>0</v>
      </c>
      <c r="BZ630" s="762">
        <v>0</v>
      </c>
      <c r="CA630" s="762">
        <v>0</v>
      </c>
      <c r="CB630" s="762">
        <v>0</v>
      </c>
      <c r="CC630" s="762">
        <v>0</v>
      </c>
      <c r="CD630" s="762">
        <v>0</v>
      </c>
      <c r="CE630" s="762">
        <v>0</v>
      </c>
      <c r="CF630" s="762">
        <v>0</v>
      </c>
      <c r="CG630" s="762">
        <v>0</v>
      </c>
      <c r="CH630" s="762">
        <v>0</v>
      </c>
      <c r="CI630" s="762">
        <v>0</v>
      </c>
      <c r="CJ630" s="762">
        <v>0</v>
      </c>
      <c r="CK630" s="762">
        <v>0</v>
      </c>
      <c r="CL630" s="762">
        <v>0</v>
      </c>
      <c r="CM630" s="762">
        <v>0</v>
      </c>
      <c r="CN630" s="762">
        <v>0</v>
      </c>
      <c r="CO630" s="762">
        <v>0</v>
      </c>
      <c r="CP630" s="762">
        <v>0</v>
      </c>
      <c r="CQ630" s="762">
        <v>0</v>
      </c>
      <c r="CR630" s="762">
        <v>0</v>
      </c>
    </row>
    <row r="631" spans="1:96" s="53" customFormat="1">
      <c r="A631" s="721" t="s">
        <v>3</v>
      </c>
      <c r="B631" s="723">
        <v>41915</v>
      </c>
      <c r="C631" s="721">
        <v>2014</v>
      </c>
      <c r="D631" s="713" t="s">
        <v>1</v>
      </c>
      <c r="E631" s="713" t="s">
        <v>674</v>
      </c>
      <c r="F631" s="723" t="s">
        <v>689</v>
      </c>
      <c r="G631" s="713" t="s">
        <v>58</v>
      </c>
      <c r="H631" s="723" t="s">
        <v>677</v>
      </c>
      <c r="I631" s="713" t="s">
        <v>5</v>
      </c>
      <c r="J631" s="713" t="s">
        <v>376</v>
      </c>
      <c r="K631" s="766">
        <v>1</v>
      </c>
      <c r="L631" s="766" t="s">
        <v>671</v>
      </c>
      <c r="M631" s="765" t="s">
        <v>737</v>
      </c>
      <c r="N631" s="765">
        <v>0</v>
      </c>
      <c r="O631" s="765">
        <v>0</v>
      </c>
      <c r="P631" s="735">
        <v>0</v>
      </c>
      <c r="Q631" s="713" t="s">
        <v>58</v>
      </c>
      <c r="R631" s="713" t="s">
        <v>58</v>
      </c>
      <c r="S631" s="713" t="s">
        <v>58</v>
      </c>
      <c r="T631" s="713" t="s">
        <v>58</v>
      </c>
      <c r="U631" s="764">
        <v>0</v>
      </c>
      <c r="V631" s="764">
        <v>0</v>
      </c>
      <c r="W631" s="764">
        <v>0</v>
      </c>
      <c r="X631" s="764">
        <v>0</v>
      </c>
      <c r="Y631" s="764">
        <v>0</v>
      </c>
      <c r="Z631" s="764">
        <v>0</v>
      </c>
      <c r="AA631" s="764">
        <v>0</v>
      </c>
      <c r="AB631" s="764">
        <v>0</v>
      </c>
      <c r="AC631" s="714">
        <v>0.82617698682369967</v>
      </c>
      <c r="AD631" s="714">
        <v>0.7843105192554185</v>
      </c>
      <c r="AE631" s="713" t="s">
        <v>58</v>
      </c>
      <c r="AF631" s="713" t="s">
        <v>58</v>
      </c>
      <c r="AG631" s="713" t="s">
        <v>58</v>
      </c>
      <c r="AH631" s="714">
        <v>0.94387031345969796</v>
      </c>
      <c r="AI631" s="713" t="s">
        <v>58</v>
      </c>
      <c r="AJ631" s="713" t="s">
        <v>58</v>
      </c>
      <c r="AK631" s="713" t="s">
        <v>58</v>
      </c>
      <c r="AL631" s="714">
        <v>0.94454345387965444</v>
      </c>
      <c r="AM631" s="713" t="s">
        <v>58</v>
      </c>
      <c r="AN631" s="713" t="s">
        <v>58</v>
      </c>
      <c r="AO631" s="713" t="s">
        <v>58</v>
      </c>
      <c r="AP631" s="747">
        <v>51</v>
      </c>
      <c r="AQ631" s="747">
        <v>51</v>
      </c>
      <c r="AR631" s="709"/>
      <c r="AS631" s="763">
        <v>0</v>
      </c>
      <c r="AT631" s="763">
        <v>0</v>
      </c>
      <c r="AU631" s="763">
        <v>0</v>
      </c>
      <c r="AV631" s="763">
        <v>0</v>
      </c>
      <c r="AW631" s="763">
        <v>0</v>
      </c>
      <c r="AX631" s="763">
        <v>0</v>
      </c>
      <c r="AY631" s="763">
        <v>0</v>
      </c>
      <c r="AZ631" s="763">
        <v>0</v>
      </c>
      <c r="BA631" s="763">
        <v>0</v>
      </c>
      <c r="BB631" s="763">
        <v>0</v>
      </c>
      <c r="BC631" s="763">
        <v>0</v>
      </c>
      <c r="BD631" s="763">
        <v>0</v>
      </c>
      <c r="BE631" s="763">
        <v>0</v>
      </c>
      <c r="BF631" s="763">
        <v>0</v>
      </c>
      <c r="BG631" s="763">
        <v>0</v>
      </c>
      <c r="BH631" s="763">
        <v>0</v>
      </c>
      <c r="BI631" s="763">
        <v>0</v>
      </c>
      <c r="BJ631" s="763">
        <v>0</v>
      </c>
      <c r="BK631" s="763">
        <v>0</v>
      </c>
      <c r="BL631" s="763">
        <v>0</v>
      </c>
      <c r="BM631" s="763">
        <v>0</v>
      </c>
      <c r="BN631" s="763">
        <v>0</v>
      </c>
      <c r="BO631" s="763">
        <v>0</v>
      </c>
      <c r="BP631" s="763">
        <v>0</v>
      </c>
      <c r="BQ631" s="763">
        <v>0</v>
      </c>
      <c r="BR631" s="763">
        <v>0</v>
      </c>
      <c r="BS631" s="762">
        <v>0</v>
      </c>
      <c r="BT631" s="762">
        <v>0</v>
      </c>
      <c r="BU631" s="762">
        <v>0</v>
      </c>
      <c r="BV631" s="762">
        <v>0</v>
      </c>
      <c r="BW631" s="762">
        <v>0</v>
      </c>
      <c r="BX631" s="762">
        <v>0</v>
      </c>
      <c r="BY631" s="762">
        <v>0</v>
      </c>
      <c r="BZ631" s="762">
        <v>0</v>
      </c>
      <c r="CA631" s="762">
        <v>0</v>
      </c>
      <c r="CB631" s="762">
        <v>0</v>
      </c>
      <c r="CC631" s="762">
        <v>0</v>
      </c>
      <c r="CD631" s="762">
        <v>0</v>
      </c>
      <c r="CE631" s="762">
        <v>0</v>
      </c>
      <c r="CF631" s="762">
        <v>0</v>
      </c>
      <c r="CG631" s="762">
        <v>0</v>
      </c>
      <c r="CH631" s="762">
        <v>0</v>
      </c>
      <c r="CI631" s="762">
        <v>0</v>
      </c>
      <c r="CJ631" s="762">
        <v>0</v>
      </c>
      <c r="CK631" s="762">
        <v>0</v>
      </c>
      <c r="CL631" s="762">
        <v>0</v>
      </c>
      <c r="CM631" s="762">
        <v>0</v>
      </c>
      <c r="CN631" s="762">
        <v>0</v>
      </c>
      <c r="CO631" s="762">
        <v>0</v>
      </c>
      <c r="CP631" s="762">
        <v>0</v>
      </c>
      <c r="CQ631" s="762">
        <v>0</v>
      </c>
      <c r="CR631" s="762">
        <v>0</v>
      </c>
    </row>
    <row r="632" spans="1:96" s="53" customFormat="1">
      <c r="A632" s="721" t="s">
        <v>3</v>
      </c>
      <c r="B632" s="723">
        <v>41915</v>
      </c>
      <c r="C632" s="721">
        <v>2014</v>
      </c>
      <c r="D632" s="713" t="s">
        <v>1</v>
      </c>
      <c r="E632" s="713" t="s">
        <v>674</v>
      </c>
      <c r="F632" s="723" t="s">
        <v>689</v>
      </c>
      <c r="G632" s="713" t="s">
        <v>58</v>
      </c>
      <c r="H632" s="723" t="s">
        <v>676</v>
      </c>
      <c r="I632" s="713" t="s">
        <v>5</v>
      </c>
      <c r="J632" s="713" t="s">
        <v>376</v>
      </c>
      <c r="K632" s="766">
        <v>5</v>
      </c>
      <c r="L632" s="766" t="s">
        <v>671</v>
      </c>
      <c r="M632" s="765" t="s">
        <v>737</v>
      </c>
      <c r="N632" s="765">
        <v>12</v>
      </c>
      <c r="O632" s="765">
        <v>3</v>
      </c>
      <c r="P632" s="735">
        <v>0.31578947368421051</v>
      </c>
      <c r="Q632" s="713" t="s">
        <v>58</v>
      </c>
      <c r="R632" s="713" t="s">
        <v>58</v>
      </c>
      <c r="S632" s="713" t="s">
        <v>58</v>
      </c>
      <c r="T632" s="713" t="s">
        <v>58</v>
      </c>
      <c r="U632" s="764">
        <v>0.19</v>
      </c>
      <c r="V632" s="764">
        <v>618.07000000000005</v>
      </c>
      <c r="W632" s="764">
        <v>0.14901899865852955</v>
      </c>
      <c r="X632" s="764">
        <v>510.63521024612407</v>
      </c>
      <c r="Y632" s="764">
        <v>2983.1846493326193</v>
      </c>
      <c r="Z632" s="764">
        <v>2815.7394300737387</v>
      </c>
      <c r="AA632" s="764">
        <v>481.9734159585679</v>
      </c>
      <c r="AB632" s="764">
        <v>0.1407549196866151</v>
      </c>
      <c r="AC632" s="714">
        <v>0.82617698682369967</v>
      </c>
      <c r="AD632" s="714">
        <v>0.7843105192554185</v>
      </c>
      <c r="AE632" s="713" t="s">
        <v>58</v>
      </c>
      <c r="AF632" s="713" t="s">
        <v>58</v>
      </c>
      <c r="AG632" s="713" t="s">
        <v>58</v>
      </c>
      <c r="AH632" s="714">
        <v>0.94387031345969796</v>
      </c>
      <c r="AI632" s="713" t="s">
        <v>58</v>
      </c>
      <c r="AJ632" s="713" t="s">
        <v>58</v>
      </c>
      <c r="AK632" s="713" t="s">
        <v>58</v>
      </c>
      <c r="AL632" s="714">
        <v>0.94454345387965444</v>
      </c>
      <c r="AM632" s="713" t="s">
        <v>58</v>
      </c>
      <c r="AN632" s="713" t="s">
        <v>58</v>
      </c>
      <c r="AO632" s="713" t="s">
        <v>58</v>
      </c>
      <c r="AP632" s="747">
        <v>57</v>
      </c>
      <c r="AQ632" s="747">
        <v>285</v>
      </c>
      <c r="AR632" s="709"/>
      <c r="AS632" s="763">
        <v>0</v>
      </c>
      <c r="AT632" s="763">
        <v>0</v>
      </c>
      <c r="AU632" s="763">
        <v>0</v>
      </c>
      <c r="AV632" s="763">
        <v>0.1407549196866151</v>
      </c>
      <c r="AW632" s="763">
        <v>0.1407549196866151</v>
      </c>
      <c r="AX632" s="763">
        <v>0.1407549196866151</v>
      </c>
      <c r="AY632" s="763">
        <v>4.4448922006299504E-2</v>
      </c>
      <c r="AZ632" s="763">
        <v>4.4448922006299504E-2</v>
      </c>
      <c r="BA632" s="763">
        <v>4.4448922006299504E-2</v>
      </c>
      <c r="BB632" s="763">
        <v>4.4448922006299504E-2</v>
      </c>
      <c r="BC632" s="763">
        <v>4.4448922006299504E-2</v>
      </c>
      <c r="BD632" s="763">
        <v>4.4448922006299504E-2</v>
      </c>
      <c r="BE632" s="763">
        <v>4.4448922006299504E-2</v>
      </c>
      <c r="BF632" s="763">
        <v>4.4448922006299504E-2</v>
      </c>
      <c r="BG632" s="763">
        <v>4.4448922006299504E-2</v>
      </c>
      <c r="BH632" s="763">
        <v>0</v>
      </c>
      <c r="BI632" s="763">
        <v>0</v>
      </c>
      <c r="BJ632" s="763">
        <v>0</v>
      </c>
      <c r="BK632" s="763">
        <v>0</v>
      </c>
      <c r="BL632" s="763">
        <v>0</v>
      </c>
      <c r="BM632" s="763">
        <v>0</v>
      </c>
      <c r="BN632" s="763">
        <v>0</v>
      </c>
      <c r="BO632" s="763">
        <v>0</v>
      </c>
      <c r="BP632" s="763">
        <v>0</v>
      </c>
      <c r="BQ632" s="763">
        <v>0</v>
      </c>
      <c r="BR632" s="763">
        <v>0</v>
      </c>
      <c r="BS632" s="762">
        <v>0</v>
      </c>
      <c r="BT632" s="762">
        <v>0</v>
      </c>
      <c r="BU632" s="762">
        <v>0</v>
      </c>
      <c r="BV632" s="762">
        <v>481.9734159585679</v>
      </c>
      <c r="BW632" s="762">
        <v>481.9734159585679</v>
      </c>
      <c r="BX632" s="762">
        <v>481.9734159585679</v>
      </c>
      <c r="BY632" s="762">
        <v>152.20213135533723</v>
      </c>
      <c r="BZ632" s="762">
        <v>152.20213135533723</v>
      </c>
      <c r="CA632" s="762">
        <v>152.20213135533723</v>
      </c>
      <c r="CB632" s="762">
        <v>152.20213135533723</v>
      </c>
      <c r="CC632" s="762">
        <v>152.20213135533723</v>
      </c>
      <c r="CD632" s="762">
        <v>152.20213135533723</v>
      </c>
      <c r="CE632" s="762">
        <v>152.20213135533723</v>
      </c>
      <c r="CF632" s="762">
        <v>152.20213135533723</v>
      </c>
      <c r="CG632" s="762">
        <v>152.20213135533723</v>
      </c>
      <c r="CH632" s="762">
        <v>0</v>
      </c>
      <c r="CI632" s="762">
        <v>0</v>
      </c>
      <c r="CJ632" s="762">
        <v>0</v>
      </c>
      <c r="CK632" s="762">
        <v>0</v>
      </c>
      <c r="CL632" s="762">
        <v>0</v>
      </c>
      <c r="CM632" s="762">
        <v>0</v>
      </c>
      <c r="CN632" s="762">
        <v>0</v>
      </c>
      <c r="CO632" s="762">
        <v>0</v>
      </c>
      <c r="CP632" s="762">
        <v>0</v>
      </c>
      <c r="CQ632" s="762">
        <v>0</v>
      </c>
      <c r="CR632" s="762">
        <v>0</v>
      </c>
    </row>
    <row r="633" spans="1:96" s="53" customFormat="1">
      <c r="A633" s="721" t="s">
        <v>3</v>
      </c>
      <c r="B633" s="723">
        <v>41915</v>
      </c>
      <c r="C633" s="721">
        <v>2014</v>
      </c>
      <c r="D633" s="713" t="s">
        <v>1</v>
      </c>
      <c r="E633" s="713" t="s">
        <v>674</v>
      </c>
      <c r="F633" s="723" t="s">
        <v>689</v>
      </c>
      <c r="G633" s="713" t="s">
        <v>58</v>
      </c>
      <c r="H633" s="723" t="s">
        <v>675</v>
      </c>
      <c r="I633" s="713" t="s">
        <v>5</v>
      </c>
      <c r="J633" s="713" t="s">
        <v>376</v>
      </c>
      <c r="K633" s="766">
        <v>6</v>
      </c>
      <c r="L633" s="766" t="s">
        <v>671</v>
      </c>
      <c r="M633" s="765" t="s">
        <v>737</v>
      </c>
      <c r="N633" s="765">
        <v>12</v>
      </c>
      <c r="O633" s="765">
        <v>3</v>
      </c>
      <c r="P633" s="735">
        <v>0.36842105263157893</v>
      </c>
      <c r="Q633" s="713" t="s">
        <v>58</v>
      </c>
      <c r="R633" s="713" t="s">
        <v>58</v>
      </c>
      <c r="S633" s="713" t="s">
        <v>58</v>
      </c>
      <c r="T633" s="713" t="s">
        <v>58</v>
      </c>
      <c r="U633" s="764">
        <v>0.34200000000000003</v>
      </c>
      <c r="V633" s="764">
        <v>1112.5260000000001</v>
      </c>
      <c r="W633" s="764">
        <v>0.26823419758535316</v>
      </c>
      <c r="X633" s="764">
        <v>919.14337844302338</v>
      </c>
      <c r="Y633" s="764">
        <v>5805.1160743769897</v>
      </c>
      <c r="Z633" s="764">
        <v>5479.2767287921406</v>
      </c>
      <c r="AA633" s="764">
        <v>867.55214872542228</v>
      </c>
      <c r="AB633" s="764">
        <v>0.25335885543590714</v>
      </c>
      <c r="AC633" s="714">
        <v>0.82617698682369967</v>
      </c>
      <c r="AD633" s="714">
        <v>0.7843105192554185</v>
      </c>
      <c r="AE633" s="713" t="s">
        <v>58</v>
      </c>
      <c r="AF633" s="713" t="s">
        <v>58</v>
      </c>
      <c r="AG633" s="713" t="s">
        <v>58</v>
      </c>
      <c r="AH633" s="714">
        <v>0.94387031345969796</v>
      </c>
      <c r="AI633" s="713" t="s">
        <v>58</v>
      </c>
      <c r="AJ633" s="713" t="s">
        <v>58</v>
      </c>
      <c r="AK633" s="713" t="s">
        <v>58</v>
      </c>
      <c r="AL633" s="714">
        <v>0.94454345387965444</v>
      </c>
      <c r="AM633" s="713" t="s">
        <v>58</v>
      </c>
      <c r="AN633" s="713" t="s">
        <v>58</v>
      </c>
      <c r="AO633" s="713" t="s">
        <v>58</v>
      </c>
      <c r="AP633" s="747">
        <v>73</v>
      </c>
      <c r="AQ633" s="747">
        <v>438</v>
      </c>
      <c r="AR633" s="709"/>
      <c r="AS633" s="763">
        <v>0</v>
      </c>
      <c r="AT633" s="763">
        <v>0</v>
      </c>
      <c r="AU633" s="763">
        <v>0</v>
      </c>
      <c r="AV633" s="763">
        <v>0.25335885543590714</v>
      </c>
      <c r="AW633" s="763">
        <v>0.25335885543590714</v>
      </c>
      <c r="AX633" s="763">
        <v>0.25335885543590714</v>
      </c>
      <c r="AY633" s="763">
        <v>9.3342736213228944E-2</v>
      </c>
      <c r="AZ633" s="763">
        <v>9.3342736213228944E-2</v>
      </c>
      <c r="BA633" s="763">
        <v>9.3342736213228944E-2</v>
      </c>
      <c r="BB633" s="763">
        <v>9.3342736213228944E-2</v>
      </c>
      <c r="BC633" s="763">
        <v>9.3342736213228944E-2</v>
      </c>
      <c r="BD633" s="763">
        <v>9.3342736213228944E-2</v>
      </c>
      <c r="BE633" s="763">
        <v>9.3342736213228944E-2</v>
      </c>
      <c r="BF633" s="763">
        <v>9.3342736213228944E-2</v>
      </c>
      <c r="BG633" s="763">
        <v>9.3342736213228944E-2</v>
      </c>
      <c r="BH633" s="763">
        <v>0</v>
      </c>
      <c r="BI633" s="763">
        <v>0</v>
      </c>
      <c r="BJ633" s="763">
        <v>0</v>
      </c>
      <c r="BK633" s="763">
        <v>0</v>
      </c>
      <c r="BL633" s="763">
        <v>0</v>
      </c>
      <c r="BM633" s="763">
        <v>0</v>
      </c>
      <c r="BN633" s="763">
        <v>0</v>
      </c>
      <c r="BO633" s="763">
        <v>0</v>
      </c>
      <c r="BP633" s="763">
        <v>0</v>
      </c>
      <c r="BQ633" s="763">
        <v>0</v>
      </c>
      <c r="BR633" s="763">
        <v>0</v>
      </c>
      <c r="BS633" s="762">
        <v>0</v>
      </c>
      <c r="BT633" s="762">
        <v>0</v>
      </c>
      <c r="BU633" s="762">
        <v>0</v>
      </c>
      <c r="BV633" s="762">
        <v>867.55214872542228</v>
      </c>
      <c r="BW633" s="762">
        <v>867.55214872542228</v>
      </c>
      <c r="BX633" s="762">
        <v>867.55214872542228</v>
      </c>
      <c r="BY633" s="762">
        <v>319.62447584620821</v>
      </c>
      <c r="BZ633" s="762">
        <v>319.62447584620821</v>
      </c>
      <c r="CA633" s="762">
        <v>319.62447584620821</v>
      </c>
      <c r="CB633" s="762">
        <v>319.62447584620821</v>
      </c>
      <c r="CC633" s="762">
        <v>319.62447584620821</v>
      </c>
      <c r="CD633" s="762">
        <v>319.62447584620821</v>
      </c>
      <c r="CE633" s="762">
        <v>319.62447584620821</v>
      </c>
      <c r="CF633" s="762">
        <v>319.62447584620821</v>
      </c>
      <c r="CG633" s="762">
        <v>319.62447584620821</v>
      </c>
      <c r="CH633" s="762">
        <v>0</v>
      </c>
      <c r="CI633" s="762">
        <v>0</v>
      </c>
      <c r="CJ633" s="762">
        <v>0</v>
      </c>
      <c r="CK633" s="762">
        <v>0</v>
      </c>
      <c r="CL633" s="762">
        <v>0</v>
      </c>
      <c r="CM633" s="762">
        <v>0</v>
      </c>
      <c r="CN633" s="762">
        <v>0</v>
      </c>
      <c r="CO633" s="762">
        <v>0</v>
      </c>
      <c r="CP633" s="762">
        <v>0</v>
      </c>
      <c r="CQ633" s="762">
        <v>0</v>
      </c>
      <c r="CR633" s="762">
        <v>0</v>
      </c>
    </row>
    <row r="634" spans="1:96" s="53" customFormat="1">
      <c r="A634" s="721" t="s">
        <v>3</v>
      </c>
      <c r="B634" s="723">
        <v>41915</v>
      </c>
      <c r="C634" s="721">
        <v>2014</v>
      </c>
      <c r="D634" s="713" t="s">
        <v>1</v>
      </c>
      <c r="E634" s="713" t="s">
        <v>674</v>
      </c>
      <c r="F634" s="723" t="s">
        <v>689</v>
      </c>
      <c r="G634" s="713" t="s">
        <v>58</v>
      </c>
      <c r="H634" s="723" t="s">
        <v>675</v>
      </c>
      <c r="I634" s="713" t="s">
        <v>5</v>
      </c>
      <c r="J634" s="713" t="s">
        <v>376</v>
      </c>
      <c r="K634" s="766">
        <v>4</v>
      </c>
      <c r="L634" s="766" t="s">
        <v>671</v>
      </c>
      <c r="M634" s="765" t="s">
        <v>737</v>
      </c>
      <c r="N634" s="765">
        <v>12</v>
      </c>
      <c r="O634" s="765">
        <v>3</v>
      </c>
      <c r="P634" s="735">
        <v>0.36842105263157893</v>
      </c>
      <c r="Q634" s="713" t="s">
        <v>58</v>
      </c>
      <c r="R634" s="713" t="s">
        <v>58</v>
      </c>
      <c r="S634" s="713" t="s">
        <v>58</v>
      </c>
      <c r="T634" s="713" t="s">
        <v>58</v>
      </c>
      <c r="U634" s="764">
        <v>0.22800000000000001</v>
      </c>
      <c r="V634" s="764">
        <v>741.68399999999997</v>
      </c>
      <c r="W634" s="764">
        <v>0.17882279839023546</v>
      </c>
      <c r="X634" s="764">
        <v>612.76225229534884</v>
      </c>
      <c r="Y634" s="764">
        <v>3870.0773829179925</v>
      </c>
      <c r="Z634" s="764">
        <v>3652.8511525280933</v>
      </c>
      <c r="AA634" s="764">
        <v>578.36809915028141</v>
      </c>
      <c r="AB634" s="764">
        <v>0.16890590362393812</v>
      </c>
      <c r="AC634" s="714">
        <v>0.82617698682369967</v>
      </c>
      <c r="AD634" s="714">
        <v>0.7843105192554185</v>
      </c>
      <c r="AE634" s="713" t="s">
        <v>58</v>
      </c>
      <c r="AF634" s="713" t="s">
        <v>58</v>
      </c>
      <c r="AG634" s="713" t="s">
        <v>58</v>
      </c>
      <c r="AH634" s="714">
        <v>0.94387031345969796</v>
      </c>
      <c r="AI634" s="713" t="s">
        <v>58</v>
      </c>
      <c r="AJ634" s="713" t="s">
        <v>58</v>
      </c>
      <c r="AK634" s="713" t="s">
        <v>58</v>
      </c>
      <c r="AL634" s="714">
        <v>0.94454345387965444</v>
      </c>
      <c r="AM634" s="713" t="s">
        <v>58</v>
      </c>
      <c r="AN634" s="713" t="s">
        <v>58</v>
      </c>
      <c r="AO634" s="713" t="s">
        <v>58</v>
      </c>
      <c r="AP634" s="747">
        <v>73</v>
      </c>
      <c r="AQ634" s="747">
        <v>292</v>
      </c>
      <c r="AR634" s="709"/>
      <c r="AS634" s="763">
        <v>0</v>
      </c>
      <c r="AT634" s="763">
        <v>0</v>
      </c>
      <c r="AU634" s="763">
        <v>0</v>
      </c>
      <c r="AV634" s="763">
        <v>0.16890590362393812</v>
      </c>
      <c r="AW634" s="763">
        <v>0.16890590362393812</v>
      </c>
      <c r="AX634" s="763">
        <v>0.16890590362393812</v>
      </c>
      <c r="AY634" s="763">
        <v>6.2228490808819301E-2</v>
      </c>
      <c r="AZ634" s="763">
        <v>6.2228490808819301E-2</v>
      </c>
      <c r="BA634" s="763">
        <v>6.2228490808819301E-2</v>
      </c>
      <c r="BB634" s="763">
        <v>6.2228490808819301E-2</v>
      </c>
      <c r="BC634" s="763">
        <v>6.2228490808819301E-2</v>
      </c>
      <c r="BD634" s="763">
        <v>6.2228490808819301E-2</v>
      </c>
      <c r="BE634" s="763">
        <v>6.2228490808819301E-2</v>
      </c>
      <c r="BF634" s="763">
        <v>6.2228490808819301E-2</v>
      </c>
      <c r="BG634" s="763">
        <v>6.2228490808819301E-2</v>
      </c>
      <c r="BH634" s="763">
        <v>0</v>
      </c>
      <c r="BI634" s="763">
        <v>0</v>
      </c>
      <c r="BJ634" s="763">
        <v>0</v>
      </c>
      <c r="BK634" s="763">
        <v>0</v>
      </c>
      <c r="BL634" s="763">
        <v>0</v>
      </c>
      <c r="BM634" s="763">
        <v>0</v>
      </c>
      <c r="BN634" s="763">
        <v>0</v>
      </c>
      <c r="BO634" s="763">
        <v>0</v>
      </c>
      <c r="BP634" s="763">
        <v>0</v>
      </c>
      <c r="BQ634" s="763">
        <v>0</v>
      </c>
      <c r="BR634" s="763">
        <v>0</v>
      </c>
      <c r="BS634" s="762">
        <v>0</v>
      </c>
      <c r="BT634" s="762">
        <v>0</v>
      </c>
      <c r="BU634" s="762">
        <v>0</v>
      </c>
      <c r="BV634" s="762">
        <v>578.36809915028141</v>
      </c>
      <c r="BW634" s="762">
        <v>578.36809915028141</v>
      </c>
      <c r="BX634" s="762">
        <v>578.36809915028141</v>
      </c>
      <c r="BY634" s="762">
        <v>213.08298389747208</v>
      </c>
      <c r="BZ634" s="762">
        <v>213.08298389747208</v>
      </c>
      <c r="CA634" s="762">
        <v>213.08298389747208</v>
      </c>
      <c r="CB634" s="762">
        <v>213.08298389747208</v>
      </c>
      <c r="CC634" s="762">
        <v>213.08298389747208</v>
      </c>
      <c r="CD634" s="762">
        <v>213.08298389747208</v>
      </c>
      <c r="CE634" s="762">
        <v>213.08298389747208</v>
      </c>
      <c r="CF634" s="762">
        <v>213.08298389747208</v>
      </c>
      <c r="CG634" s="762">
        <v>213.08298389747208</v>
      </c>
      <c r="CH634" s="762">
        <v>0</v>
      </c>
      <c r="CI634" s="762">
        <v>0</v>
      </c>
      <c r="CJ634" s="762">
        <v>0</v>
      </c>
      <c r="CK634" s="762">
        <v>0</v>
      </c>
      <c r="CL634" s="762">
        <v>0</v>
      </c>
      <c r="CM634" s="762">
        <v>0</v>
      </c>
      <c r="CN634" s="762">
        <v>0</v>
      </c>
      <c r="CO634" s="762">
        <v>0</v>
      </c>
      <c r="CP634" s="762">
        <v>0</v>
      </c>
      <c r="CQ634" s="762">
        <v>0</v>
      </c>
      <c r="CR634" s="762">
        <v>0</v>
      </c>
    </row>
    <row r="635" spans="1:96" s="53" customFormat="1">
      <c r="A635" s="721" t="s">
        <v>3</v>
      </c>
      <c r="B635" s="723">
        <v>41915</v>
      </c>
      <c r="C635" s="721">
        <v>2014</v>
      </c>
      <c r="D635" s="713" t="s">
        <v>1</v>
      </c>
      <c r="E635" s="713" t="s">
        <v>674</v>
      </c>
      <c r="F635" s="723" t="s">
        <v>689</v>
      </c>
      <c r="G635" s="713" t="s">
        <v>58</v>
      </c>
      <c r="H635" s="723" t="s">
        <v>675</v>
      </c>
      <c r="I635" s="713" t="s">
        <v>5</v>
      </c>
      <c r="J635" s="713" t="s">
        <v>376</v>
      </c>
      <c r="K635" s="766">
        <v>1</v>
      </c>
      <c r="L635" s="766" t="s">
        <v>671</v>
      </c>
      <c r="M635" s="765" t="s">
        <v>737</v>
      </c>
      <c r="N635" s="765">
        <v>12</v>
      </c>
      <c r="O635" s="765">
        <v>3</v>
      </c>
      <c r="P635" s="735">
        <v>0.36842105263157893</v>
      </c>
      <c r="Q635" s="713" t="s">
        <v>58</v>
      </c>
      <c r="R635" s="713" t="s">
        <v>58</v>
      </c>
      <c r="S635" s="713" t="s">
        <v>58</v>
      </c>
      <c r="T635" s="713" t="s">
        <v>58</v>
      </c>
      <c r="U635" s="764">
        <v>5.7000000000000002E-2</v>
      </c>
      <c r="V635" s="764">
        <v>185.42099999999999</v>
      </c>
      <c r="W635" s="764">
        <v>4.4705699597558865E-2</v>
      </c>
      <c r="X635" s="764">
        <v>153.19056307383721</v>
      </c>
      <c r="Y635" s="764">
        <v>967.51934572949813</v>
      </c>
      <c r="Z635" s="764">
        <v>913.21278813202332</v>
      </c>
      <c r="AA635" s="764">
        <v>144.59202478757035</v>
      </c>
      <c r="AB635" s="764">
        <v>4.222647590598453E-2</v>
      </c>
      <c r="AC635" s="714">
        <v>0.82617698682369967</v>
      </c>
      <c r="AD635" s="714">
        <v>0.7843105192554185</v>
      </c>
      <c r="AE635" s="713" t="s">
        <v>58</v>
      </c>
      <c r="AF635" s="713" t="s">
        <v>58</v>
      </c>
      <c r="AG635" s="713" t="s">
        <v>58</v>
      </c>
      <c r="AH635" s="714">
        <v>0.94387031345969796</v>
      </c>
      <c r="AI635" s="713" t="s">
        <v>58</v>
      </c>
      <c r="AJ635" s="713" t="s">
        <v>58</v>
      </c>
      <c r="AK635" s="713" t="s">
        <v>58</v>
      </c>
      <c r="AL635" s="714">
        <v>0.94454345387965444</v>
      </c>
      <c r="AM635" s="713" t="s">
        <v>58</v>
      </c>
      <c r="AN635" s="713" t="s">
        <v>58</v>
      </c>
      <c r="AO635" s="713" t="s">
        <v>58</v>
      </c>
      <c r="AP635" s="747">
        <v>73</v>
      </c>
      <c r="AQ635" s="747">
        <v>73</v>
      </c>
      <c r="AR635" s="709"/>
      <c r="AS635" s="763">
        <v>0</v>
      </c>
      <c r="AT635" s="763">
        <v>0</v>
      </c>
      <c r="AU635" s="763">
        <v>0</v>
      </c>
      <c r="AV635" s="763">
        <v>4.222647590598453E-2</v>
      </c>
      <c r="AW635" s="763">
        <v>4.222647590598453E-2</v>
      </c>
      <c r="AX635" s="763">
        <v>4.222647590598453E-2</v>
      </c>
      <c r="AY635" s="763">
        <v>1.5557122702204825E-2</v>
      </c>
      <c r="AZ635" s="763">
        <v>1.5557122702204825E-2</v>
      </c>
      <c r="BA635" s="763">
        <v>1.5557122702204825E-2</v>
      </c>
      <c r="BB635" s="763">
        <v>1.5557122702204825E-2</v>
      </c>
      <c r="BC635" s="763">
        <v>1.5557122702204825E-2</v>
      </c>
      <c r="BD635" s="763">
        <v>1.5557122702204825E-2</v>
      </c>
      <c r="BE635" s="763">
        <v>1.5557122702204825E-2</v>
      </c>
      <c r="BF635" s="763">
        <v>1.5557122702204825E-2</v>
      </c>
      <c r="BG635" s="763">
        <v>1.5557122702204825E-2</v>
      </c>
      <c r="BH635" s="763">
        <v>0</v>
      </c>
      <c r="BI635" s="763">
        <v>0</v>
      </c>
      <c r="BJ635" s="763">
        <v>0</v>
      </c>
      <c r="BK635" s="763">
        <v>0</v>
      </c>
      <c r="BL635" s="763">
        <v>0</v>
      </c>
      <c r="BM635" s="763">
        <v>0</v>
      </c>
      <c r="BN635" s="763">
        <v>0</v>
      </c>
      <c r="BO635" s="763">
        <v>0</v>
      </c>
      <c r="BP635" s="763">
        <v>0</v>
      </c>
      <c r="BQ635" s="763">
        <v>0</v>
      </c>
      <c r="BR635" s="763">
        <v>0</v>
      </c>
      <c r="BS635" s="762">
        <v>0</v>
      </c>
      <c r="BT635" s="762">
        <v>0</v>
      </c>
      <c r="BU635" s="762">
        <v>0</v>
      </c>
      <c r="BV635" s="762">
        <v>144.59202478757035</v>
      </c>
      <c r="BW635" s="762">
        <v>144.59202478757035</v>
      </c>
      <c r="BX635" s="762">
        <v>144.59202478757035</v>
      </c>
      <c r="BY635" s="762">
        <v>53.270745974368019</v>
      </c>
      <c r="BZ635" s="762">
        <v>53.270745974368019</v>
      </c>
      <c r="CA635" s="762">
        <v>53.270745974368019</v>
      </c>
      <c r="CB635" s="762">
        <v>53.270745974368019</v>
      </c>
      <c r="CC635" s="762">
        <v>53.270745974368019</v>
      </c>
      <c r="CD635" s="762">
        <v>53.270745974368019</v>
      </c>
      <c r="CE635" s="762">
        <v>53.270745974368019</v>
      </c>
      <c r="CF635" s="762">
        <v>53.270745974368019</v>
      </c>
      <c r="CG635" s="762">
        <v>53.270745974368019</v>
      </c>
      <c r="CH635" s="762">
        <v>0</v>
      </c>
      <c r="CI635" s="762">
        <v>0</v>
      </c>
      <c r="CJ635" s="762">
        <v>0</v>
      </c>
      <c r="CK635" s="762">
        <v>0</v>
      </c>
      <c r="CL635" s="762">
        <v>0</v>
      </c>
      <c r="CM635" s="762">
        <v>0</v>
      </c>
      <c r="CN635" s="762">
        <v>0</v>
      </c>
      <c r="CO635" s="762">
        <v>0</v>
      </c>
      <c r="CP635" s="762">
        <v>0</v>
      </c>
      <c r="CQ635" s="762">
        <v>0</v>
      </c>
      <c r="CR635" s="762">
        <v>0</v>
      </c>
    </row>
    <row r="636" spans="1:96" s="53" customFormat="1">
      <c r="A636" s="721" t="s">
        <v>3</v>
      </c>
      <c r="B636" s="723">
        <v>41915</v>
      </c>
      <c r="C636" s="721">
        <v>2014</v>
      </c>
      <c r="D636" s="713" t="s">
        <v>1</v>
      </c>
      <c r="E636" s="713" t="s">
        <v>674</v>
      </c>
      <c r="F636" s="723" t="s">
        <v>673</v>
      </c>
      <c r="G636" s="713" t="s">
        <v>58</v>
      </c>
      <c r="H636" s="723" t="s">
        <v>710</v>
      </c>
      <c r="I636" s="713" t="s">
        <v>5</v>
      </c>
      <c r="J636" s="713" t="s">
        <v>376</v>
      </c>
      <c r="K636" s="766">
        <v>6</v>
      </c>
      <c r="L636" s="766" t="s">
        <v>671</v>
      </c>
      <c r="M636" s="765" t="s">
        <v>737</v>
      </c>
      <c r="N636" s="765">
        <v>10</v>
      </c>
      <c r="O636" s="765" t="s">
        <v>7</v>
      </c>
      <c r="P636" s="735">
        <v>1</v>
      </c>
      <c r="Q636" s="713" t="s">
        <v>58</v>
      </c>
      <c r="R636" s="713" t="s">
        <v>58</v>
      </c>
      <c r="S636" s="713" t="s">
        <v>58</v>
      </c>
      <c r="T636" s="713" t="s">
        <v>58</v>
      </c>
      <c r="U636" s="764">
        <v>0.16200000000000001</v>
      </c>
      <c r="V636" s="764">
        <v>1419.12</v>
      </c>
      <c r="W636" s="764">
        <v>0.12705830411937782</v>
      </c>
      <c r="X636" s="764">
        <v>1172.4442855412485</v>
      </c>
      <c r="Y636" s="764">
        <v>11724.442855412486</v>
      </c>
      <c r="Z636" s="764">
        <v>11066.353553078499</v>
      </c>
      <c r="AA636" s="764">
        <v>1106.6353553078497</v>
      </c>
      <c r="AB636" s="764">
        <v>0.12001208941700865</v>
      </c>
      <c r="AC636" s="714">
        <v>0.82617698682369967</v>
      </c>
      <c r="AD636" s="714">
        <v>0.7843105192554185</v>
      </c>
      <c r="AE636" s="713" t="s">
        <v>58</v>
      </c>
      <c r="AF636" s="713" t="s">
        <v>58</v>
      </c>
      <c r="AG636" s="713" t="s">
        <v>58</v>
      </c>
      <c r="AH636" s="714">
        <v>0.94387031345969796</v>
      </c>
      <c r="AI636" s="713" t="s">
        <v>58</v>
      </c>
      <c r="AJ636" s="713" t="s">
        <v>58</v>
      </c>
      <c r="AK636" s="713" t="s">
        <v>58</v>
      </c>
      <c r="AL636" s="714">
        <v>0.94454345387965444</v>
      </c>
      <c r="AM636" s="713" t="s">
        <v>58</v>
      </c>
      <c r="AN636" s="713" t="s">
        <v>58</v>
      </c>
      <c r="AO636" s="713" t="s">
        <v>58</v>
      </c>
      <c r="AP636" s="747">
        <v>29</v>
      </c>
      <c r="AQ636" s="747">
        <v>174</v>
      </c>
      <c r="AR636" s="709"/>
      <c r="AS636" s="763">
        <v>0</v>
      </c>
      <c r="AT636" s="763">
        <v>0</v>
      </c>
      <c r="AU636" s="763">
        <v>0</v>
      </c>
      <c r="AV636" s="763">
        <v>0.12001208941700865</v>
      </c>
      <c r="AW636" s="763">
        <v>0.12001208941700865</v>
      </c>
      <c r="AX636" s="763">
        <v>0.12001208941700865</v>
      </c>
      <c r="AY636" s="763">
        <v>0.12001208941700865</v>
      </c>
      <c r="AZ636" s="763">
        <v>0.12001208941700865</v>
      </c>
      <c r="BA636" s="763">
        <v>0.12001208941700865</v>
      </c>
      <c r="BB636" s="763">
        <v>0.12001208941700865</v>
      </c>
      <c r="BC636" s="763">
        <v>0.12001208941700865</v>
      </c>
      <c r="BD636" s="763">
        <v>0.12001208941700865</v>
      </c>
      <c r="BE636" s="763">
        <v>0.12001208941700865</v>
      </c>
      <c r="BF636" s="763">
        <v>0</v>
      </c>
      <c r="BG636" s="763">
        <v>0</v>
      </c>
      <c r="BH636" s="763">
        <v>0</v>
      </c>
      <c r="BI636" s="763">
        <v>0</v>
      </c>
      <c r="BJ636" s="763">
        <v>0</v>
      </c>
      <c r="BK636" s="763">
        <v>0</v>
      </c>
      <c r="BL636" s="763">
        <v>0</v>
      </c>
      <c r="BM636" s="763">
        <v>0</v>
      </c>
      <c r="BN636" s="763">
        <v>0</v>
      </c>
      <c r="BO636" s="763">
        <v>0</v>
      </c>
      <c r="BP636" s="763">
        <v>0</v>
      </c>
      <c r="BQ636" s="763">
        <v>0</v>
      </c>
      <c r="BR636" s="763">
        <v>0</v>
      </c>
      <c r="BS636" s="762">
        <v>0</v>
      </c>
      <c r="BT636" s="762">
        <v>0</v>
      </c>
      <c r="BU636" s="762">
        <v>0</v>
      </c>
      <c r="BV636" s="762">
        <v>1106.6353553078497</v>
      </c>
      <c r="BW636" s="762">
        <v>1106.6353553078497</v>
      </c>
      <c r="BX636" s="762">
        <v>1106.6353553078497</v>
      </c>
      <c r="BY636" s="762">
        <v>1106.6353553078497</v>
      </c>
      <c r="BZ636" s="762">
        <v>1106.6353553078497</v>
      </c>
      <c r="CA636" s="762">
        <v>1106.6353553078497</v>
      </c>
      <c r="CB636" s="762">
        <v>1106.6353553078497</v>
      </c>
      <c r="CC636" s="762">
        <v>1106.6353553078497</v>
      </c>
      <c r="CD636" s="762">
        <v>1106.6353553078497</v>
      </c>
      <c r="CE636" s="762">
        <v>1106.6353553078497</v>
      </c>
      <c r="CF636" s="762">
        <v>0</v>
      </c>
      <c r="CG636" s="762">
        <v>0</v>
      </c>
      <c r="CH636" s="762">
        <v>0</v>
      </c>
      <c r="CI636" s="762">
        <v>0</v>
      </c>
      <c r="CJ636" s="762">
        <v>0</v>
      </c>
      <c r="CK636" s="762">
        <v>0</v>
      </c>
      <c r="CL636" s="762">
        <v>0</v>
      </c>
      <c r="CM636" s="762">
        <v>0</v>
      </c>
      <c r="CN636" s="762">
        <v>0</v>
      </c>
      <c r="CO636" s="762">
        <v>0</v>
      </c>
      <c r="CP636" s="762">
        <v>0</v>
      </c>
      <c r="CQ636" s="762">
        <v>0</v>
      </c>
      <c r="CR636" s="762">
        <v>0</v>
      </c>
    </row>
    <row r="637" spans="1:96" s="53" customFormat="1">
      <c r="A637" s="721" t="s">
        <v>3</v>
      </c>
      <c r="B637" s="723">
        <v>41915</v>
      </c>
      <c r="C637" s="721">
        <v>2014</v>
      </c>
      <c r="D637" s="713" t="s">
        <v>1</v>
      </c>
      <c r="E637" s="713" t="s">
        <v>674</v>
      </c>
      <c r="F637" s="723" t="s">
        <v>673</v>
      </c>
      <c r="G637" s="713" t="s">
        <v>58</v>
      </c>
      <c r="H637" s="723" t="s">
        <v>677</v>
      </c>
      <c r="I637" s="713" t="s">
        <v>5</v>
      </c>
      <c r="J637" s="713" t="s">
        <v>376</v>
      </c>
      <c r="K637" s="766">
        <v>1</v>
      </c>
      <c r="L637" s="766" t="s">
        <v>671</v>
      </c>
      <c r="M637" s="765" t="s">
        <v>737</v>
      </c>
      <c r="N637" s="765">
        <v>0</v>
      </c>
      <c r="O637" s="765">
        <v>0</v>
      </c>
      <c r="P637" s="735">
        <v>0</v>
      </c>
      <c r="Q637" s="713" t="s">
        <v>58</v>
      </c>
      <c r="R637" s="713" t="s">
        <v>58</v>
      </c>
      <c r="S637" s="713" t="s">
        <v>58</v>
      </c>
      <c r="T637" s="713" t="s">
        <v>58</v>
      </c>
      <c r="U637" s="764">
        <v>0</v>
      </c>
      <c r="V637" s="764">
        <v>0</v>
      </c>
      <c r="W637" s="764">
        <v>0</v>
      </c>
      <c r="X637" s="764">
        <v>0</v>
      </c>
      <c r="Y637" s="764">
        <v>0</v>
      </c>
      <c r="Z637" s="764">
        <v>0</v>
      </c>
      <c r="AA637" s="764">
        <v>0</v>
      </c>
      <c r="AB637" s="764">
        <v>0</v>
      </c>
      <c r="AC637" s="714">
        <v>0.82617698682369967</v>
      </c>
      <c r="AD637" s="714">
        <v>0.7843105192554185</v>
      </c>
      <c r="AE637" s="713" t="s">
        <v>58</v>
      </c>
      <c r="AF637" s="713" t="s">
        <v>58</v>
      </c>
      <c r="AG637" s="713" t="s">
        <v>58</v>
      </c>
      <c r="AH637" s="714">
        <v>0.94387031345969796</v>
      </c>
      <c r="AI637" s="713" t="s">
        <v>58</v>
      </c>
      <c r="AJ637" s="713" t="s">
        <v>58</v>
      </c>
      <c r="AK637" s="713" t="s">
        <v>58</v>
      </c>
      <c r="AL637" s="714">
        <v>0.94454345387965444</v>
      </c>
      <c r="AM637" s="713" t="s">
        <v>58</v>
      </c>
      <c r="AN637" s="713" t="s">
        <v>58</v>
      </c>
      <c r="AO637" s="713" t="s">
        <v>58</v>
      </c>
      <c r="AP637" s="747">
        <v>51</v>
      </c>
      <c r="AQ637" s="747">
        <v>51</v>
      </c>
      <c r="AR637" s="709"/>
      <c r="AS637" s="763">
        <v>0</v>
      </c>
      <c r="AT637" s="763">
        <v>0</v>
      </c>
      <c r="AU637" s="763">
        <v>0</v>
      </c>
      <c r="AV637" s="763">
        <v>0</v>
      </c>
      <c r="AW637" s="763">
        <v>0</v>
      </c>
      <c r="AX637" s="763">
        <v>0</v>
      </c>
      <c r="AY637" s="763">
        <v>0</v>
      </c>
      <c r="AZ637" s="763">
        <v>0</v>
      </c>
      <c r="BA637" s="763">
        <v>0</v>
      </c>
      <c r="BB637" s="763">
        <v>0</v>
      </c>
      <c r="BC637" s="763">
        <v>0</v>
      </c>
      <c r="BD637" s="763">
        <v>0</v>
      </c>
      <c r="BE637" s="763">
        <v>0</v>
      </c>
      <c r="BF637" s="763">
        <v>0</v>
      </c>
      <c r="BG637" s="763">
        <v>0</v>
      </c>
      <c r="BH637" s="763">
        <v>0</v>
      </c>
      <c r="BI637" s="763">
        <v>0</v>
      </c>
      <c r="BJ637" s="763">
        <v>0</v>
      </c>
      <c r="BK637" s="763">
        <v>0</v>
      </c>
      <c r="BL637" s="763">
        <v>0</v>
      </c>
      <c r="BM637" s="763">
        <v>0</v>
      </c>
      <c r="BN637" s="763">
        <v>0</v>
      </c>
      <c r="BO637" s="763">
        <v>0</v>
      </c>
      <c r="BP637" s="763">
        <v>0</v>
      </c>
      <c r="BQ637" s="763">
        <v>0</v>
      </c>
      <c r="BR637" s="763">
        <v>0</v>
      </c>
      <c r="BS637" s="762">
        <v>0</v>
      </c>
      <c r="BT637" s="762">
        <v>0</v>
      </c>
      <c r="BU637" s="762">
        <v>0</v>
      </c>
      <c r="BV637" s="762">
        <v>0</v>
      </c>
      <c r="BW637" s="762">
        <v>0</v>
      </c>
      <c r="BX637" s="762">
        <v>0</v>
      </c>
      <c r="BY637" s="762">
        <v>0</v>
      </c>
      <c r="BZ637" s="762">
        <v>0</v>
      </c>
      <c r="CA637" s="762">
        <v>0</v>
      </c>
      <c r="CB637" s="762">
        <v>0</v>
      </c>
      <c r="CC637" s="762">
        <v>0</v>
      </c>
      <c r="CD637" s="762">
        <v>0</v>
      </c>
      <c r="CE637" s="762">
        <v>0</v>
      </c>
      <c r="CF637" s="762">
        <v>0</v>
      </c>
      <c r="CG637" s="762">
        <v>0</v>
      </c>
      <c r="CH637" s="762">
        <v>0</v>
      </c>
      <c r="CI637" s="762">
        <v>0</v>
      </c>
      <c r="CJ637" s="762">
        <v>0</v>
      </c>
      <c r="CK637" s="762">
        <v>0</v>
      </c>
      <c r="CL637" s="762">
        <v>0</v>
      </c>
      <c r="CM637" s="762">
        <v>0</v>
      </c>
      <c r="CN637" s="762">
        <v>0</v>
      </c>
      <c r="CO637" s="762">
        <v>0</v>
      </c>
      <c r="CP637" s="762">
        <v>0</v>
      </c>
      <c r="CQ637" s="762">
        <v>0</v>
      </c>
      <c r="CR637" s="762">
        <v>0</v>
      </c>
    </row>
    <row r="638" spans="1:96" s="53" customFormat="1">
      <c r="A638" s="721" t="s">
        <v>3</v>
      </c>
      <c r="B638" s="723">
        <v>41915</v>
      </c>
      <c r="C638" s="721">
        <v>2014</v>
      </c>
      <c r="D638" s="713" t="s">
        <v>1</v>
      </c>
      <c r="E638" s="713" t="s">
        <v>674</v>
      </c>
      <c r="F638" s="723" t="s">
        <v>673</v>
      </c>
      <c r="G638" s="713" t="s">
        <v>58</v>
      </c>
      <c r="H638" s="723" t="s">
        <v>676</v>
      </c>
      <c r="I638" s="713" t="s">
        <v>5</v>
      </c>
      <c r="J638" s="713" t="s">
        <v>376</v>
      </c>
      <c r="K638" s="766">
        <v>13</v>
      </c>
      <c r="L638" s="766" t="s">
        <v>671</v>
      </c>
      <c r="M638" s="765" t="s">
        <v>737</v>
      </c>
      <c r="N638" s="765">
        <v>12</v>
      </c>
      <c r="O638" s="765">
        <v>3</v>
      </c>
      <c r="P638" s="735">
        <v>0.31578947368421051</v>
      </c>
      <c r="Q638" s="713" t="s">
        <v>58</v>
      </c>
      <c r="R638" s="713" t="s">
        <v>58</v>
      </c>
      <c r="S638" s="713" t="s">
        <v>58</v>
      </c>
      <c r="T638" s="713" t="s">
        <v>58</v>
      </c>
      <c r="U638" s="764">
        <v>0.49399999999999999</v>
      </c>
      <c r="V638" s="764">
        <v>1281.4359999999999</v>
      </c>
      <c r="W638" s="764">
        <v>0.3874493965121768</v>
      </c>
      <c r="X638" s="764">
        <v>1058.6929332874142</v>
      </c>
      <c r="Y638" s="764">
        <v>6184.9955576264729</v>
      </c>
      <c r="Z638" s="764">
        <v>5837.8336957237379</v>
      </c>
      <c r="AA638" s="764">
        <v>999.26883079955883</v>
      </c>
      <c r="AB638" s="764">
        <v>0.3659627911851992</v>
      </c>
      <c r="AC638" s="714">
        <v>0.82617698682369967</v>
      </c>
      <c r="AD638" s="714">
        <v>0.7843105192554185</v>
      </c>
      <c r="AE638" s="713" t="s">
        <v>58</v>
      </c>
      <c r="AF638" s="713" t="s">
        <v>58</v>
      </c>
      <c r="AG638" s="713" t="s">
        <v>58</v>
      </c>
      <c r="AH638" s="714">
        <v>0.94387031345969796</v>
      </c>
      <c r="AI638" s="713" t="s">
        <v>58</v>
      </c>
      <c r="AJ638" s="713" t="s">
        <v>58</v>
      </c>
      <c r="AK638" s="713" t="s">
        <v>58</v>
      </c>
      <c r="AL638" s="714">
        <v>0.94454345387965444</v>
      </c>
      <c r="AM638" s="713" t="s">
        <v>58</v>
      </c>
      <c r="AN638" s="713" t="s">
        <v>58</v>
      </c>
      <c r="AO638" s="713" t="s">
        <v>58</v>
      </c>
      <c r="AP638" s="747">
        <v>57</v>
      </c>
      <c r="AQ638" s="747">
        <v>741</v>
      </c>
      <c r="AR638" s="709"/>
      <c r="AS638" s="763">
        <v>0</v>
      </c>
      <c r="AT638" s="763">
        <v>0</v>
      </c>
      <c r="AU638" s="763">
        <v>0</v>
      </c>
      <c r="AV638" s="763">
        <v>0.3659627911851992</v>
      </c>
      <c r="AW638" s="763">
        <v>0.3659627911851992</v>
      </c>
      <c r="AX638" s="763">
        <v>0.3659627911851992</v>
      </c>
      <c r="AY638" s="763">
        <v>0.11556719721637869</v>
      </c>
      <c r="AZ638" s="763">
        <v>0.11556719721637869</v>
      </c>
      <c r="BA638" s="763">
        <v>0.11556719721637869</v>
      </c>
      <c r="BB638" s="763">
        <v>0.11556719721637869</v>
      </c>
      <c r="BC638" s="763">
        <v>0.11556719721637869</v>
      </c>
      <c r="BD638" s="763">
        <v>0.11556719721637869</v>
      </c>
      <c r="BE638" s="763">
        <v>0.11556719721637869</v>
      </c>
      <c r="BF638" s="763">
        <v>0.11556719721637869</v>
      </c>
      <c r="BG638" s="763">
        <v>0.11556719721637869</v>
      </c>
      <c r="BH638" s="763">
        <v>0</v>
      </c>
      <c r="BI638" s="763">
        <v>0</v>
      </c>
      <c r="BJ638" s="763">
        <v>0</v>
      </c>
      <c r="BK638" s="763">
        <v>0</v>
      </c>
      <c r="BL638" s="763">
        <v>0</v>
      </c>
      <c r="BM638" s="763">
        <v>0</v>
      </c>
      <c r="BN638" s="763">
        <v>0</v>
      </c>
      <c r="BO638" s="763">
        <v>0</v>
      </c>
      <c r="BP638" s="763">
        <v>0</v>
      </c>
      <c r="BQ638" s="763">
        <v>0</v>
      </c>
      <c r="BR638" s="763">
        <v>0</v>
      </c>
      <c r="BS638" s="762">
        <v>0</v>
      </c>
      <c r="BT638" s="762">
        <v>0</v>
      </c>
      <c r="BU638" s="762">
        <v>0</v>
      </c>
      <c r="BV638" s="762">
        <v>999.26883079955883</v>
      </c>
      <c r="BW638" s="762">
        <v>999.26883079955883</v>
      </c>
      <c r="BX638" s="762">
        <v>999.26883079955883</v>
      </c>
      <c r="BY638" s="762">
        <v>315.55857814722907</v>
      </c>
      <c r="BZ638" s="762">
        <v>315.55857814722907</v>
      </c>
      <c r="CA638" s="762">
        <v>315.55857814722907</v>
      </c>
      <c r="CB638" s="762">
        <v>315.55857814722907</v>
      </c>
      <c r="CC638" s="762">
        <v>315.55857814722907</v>
      </c>
      <c r="CD638" s="762">
        <v>315.55857814722907</v>
      </c>
      <c r="CE638" s="762">
        <v>315.55857814722907</v>
      </c>
      <c r="CF638" s="762">
        <v>315.55857814722907</v>
      </c>
      <c r="CG638" s="762">
        <v>315.55857814722907</v>
      </c>
      <c r="CH638" s="762">
        <v>0</v>
      </c>
      <c r="CI638" s="762">
        <v>0</v>
      </c>
      <c r="CJ638" s="762">
        <v>0</v>
      </c>
      <c r="CK638" s="762">
        <v>0</v>
      </c>
      <c r="CL638" s="762">
        <v>0</v>
      </c>
      <c r="CM638" s="762">
        <v>0</v>
      </c>
      <c r="CN638" s="762">
        <v>0</v>
      </c>
      <c r="CO638" s="762">
        <v>0</v>
      </c>
      <c r="CP638" s="762">
        <v>0</v>
      </c>
      <c r="CQ638" s="762">
        <v>0</v>
      </c>
      <c r="CR638" s="762">
        <v>0</v>
      </c>
    </row>
    <row r="639" spans="1:96" s="53" customFormat="1">
      <c r="A639" s="721" t="s">
        <v>3</v>
      </c>
      <c r="B639" s="723">
        <v>41915</v>
      </c>
      <c r="C639" s="721">
        <v>2014</v>
      </c>
      <c r="D639" s="713" t="s">
        <v>1</v>
      </c>
      <c r="E639" s="713" t="s">
        <v>674</v>
      </c>
      <c r="F639" s="723" t="s">
        <v>673</v>
      </c>
      <c r="G639" s="713" t="s">
        <v>58</v>
      </c>
      <c r="H639" s="723" t="s">
        <v>675</v>
      </c>
      <c r="I639" s="713" t="s">
        <v>5</v>
      </c>
      <c r="J639" s="713" t="s">
        <v>376</v>
      </c>
      <c r="K639" s="766">
        <v>7</v>
      </c>
      <c r="L639" s="766" t="s">
        <v>671</v>
      </c>
      <c r="M639" s="765" t="s">
        <v>737</v>
      </c>
      <c r="N639" s="765">
        <v>12</v>
      </c>
      <c r="O639" s="765">
        <v>3</v>
      </c>
      <c r="P639" s="735">
        <v>0.36842105263157893</v>
      </c>
      <c r="Q639" s="713" t="s">
        <v>58</v>
      </c>
      <c r="R639" s="713" t="s">
        <v>58</v>
      </c>
      <c r="S639" s="713" t="s">
        <v>58</v>
      </c>
      <c r="T639" s="713" t="s">
        <v>58</v>
      </c>
      <c r="U639" s="764">
        <v>0.39900000000000002</v>
      </c>
      <c r="V639" s="764">
        <v>1035.0060000000001</v>
      </c>
      <c r="W639" s="764">
        <v>0.31293989718291204</v>
      </c>
      <c r="X639" s="764">
        <v>855.0981384244501</v>
      </c>
      <c r="Y639" s="764">
        <v>5400.6198216281064</v>
      </c>
      <c r="Z639" s="764">
        <v>5097.4847239167784</v>
      </c>
      <c r="AA639" s="764">
        <v>807.10174795348996</v>
      </c>
      <c r="AB639" s="764">
        <v>0.29558533134189169</v>
      </c>
      <c r="AC639" s="714">
        <v>0.82617698682369967</v>
      </c>
      <c r="AD639" s="714">
        <v>0.7843105192554185</v>
      </c>
      <c r="AE639" s="713" t="s">
        <v>58</v>
      </c>
      <c r="AF639" s="713" t="s">
        <v>58</v>
      </c>
      <c r="AG639" s="713" t="s">
        <v>58</v>
      </c>
      <c r="AH639" s="714">
        <v>0.94387031345969796</v>
      </c>
      <c r="AI639" s="713" t="s">
        <v>58</v>
      </c>
      <c r="AJ639" s="713" t="s">
        <v>58</v>
      </c>
      <c r="AK639" s="713" t="s">
        <v>58</v>
      </c>
      <c r="AL639" s="714">
        <v>0.94454345387965444</v>
      </c>
      <c r="AM639" s="713" t="s">
        <v>58</v>
      </c>
      <c r="AN639" s="713" t="s">
        <v>58</v>
      </c>
      <c r="AO639" s="713" t="s">
        <v>58</v>
      </c>
      <c r="AP639" s="747">
        <v>73</v>
      </c>
      <c r="AQ639" s="747">
        <v>511</v>
      </c>
      <c r="AR639" s="709"/>
      <c r="AS639" s="763">
        <v>0</v>
      </c>
      <c r="AT639" s="763">
        <v>0</v>
      </c>
      <c r="AU639" s="763">
        <v>0</v>
      </c>
      <c r="AV639" s="763">
        <v>0.29558533134189169</v>
      </c>
      <c r="AW639" s="763">
        <v>0.29558533134189169</v>
      </c>
      <c r="AX639" s="763">
        <v>0.29558533134189169</v>
      </c>
      <c r="AY639" s="763">
        <v>0.10889985891543377</v>
      </c>
      <c r="AZ639" s="763">
        <v>0.10889985891543377</v>
      </c>
      <c r="BA639" s="763">
        <v>0.10889985891543377</v>
      </c>
      <c r="BB639" s="763">
        <v>0.10889985891543377</v>
      </c>
      <c r="BC639" s="763">
        <v>0.10889985891543377</v>
      </c>
      <c r="BD639" s="763">
        <v>0.10889985891543377</v>
      </c>
      <c r="BE639" s="763">
        <v>0.10889985891543377</v>
      </c>
      <c r="BF639" s="763">
        <v>0.10889985891543377</v>
      </c>
      <c r="BG639" s="763">
        <v>0.10889985891543377</v>
      </c>
      <c r="BH639" s="763">
        <v>0</v>
      </c>
      <c r="BI639" s="763">
        <v>0</v>
      </c>
      <c r="BJ639" s="763">
        <v>0</v>
      </c>
      <c r="BK639" s="763">
        <v>0</v>
      </c>
      <c r="BL639" s="763">
        <v>0</v>
      </c>
      <c r="BM639" s="763">
        <v>0</v>
      </c>
      <c r="BN639" s="763">
        <v>0</v>
      </c>
      <c r="BO639" s="763">
        <v>0</v>
      </c>
      <c r="BP639" s="763">
        <v>0</v>
      </c>
      <c r="BQ639" s="763">
        <v>0</v>
      </c>
      <c r="BR639" s="763">
        <v>0</v>
      </c>
      <c r="BS639" s="762">
        <v>0</v>
      </c>
      <c r="BT639" s="762">
        <v>0</v>
      </c>
      <c r="BU639" s="762">
        <v>0</v>
      </c>
      <c r="BV639" s="762">
        <v>807.10174795348996</v>
      </c>
      <c r="BW639" s="762">
        <v>807.10174795348996</v>
      </c>
      <c r="BX639" s="762">
        <v>807.10174795348996</v>
      </c>
      <c r="BY639" s="762">
        <v>297.3532755618121</v>
      </c>
      <c r="BZ639" s="762">
        <v>297.3532755618121</v>
      </c>
      <c r="CA639" s="762">
        <v>297.3532755618121</v>
      </c>
      <c r="CB639" s="762">
        <v>297.3532755618121</v>
      </c>
      <c r="CC639" s="762">
        <v>297.3532755618121</v>
      </c>
      <c r="CD639" s="762">
        <v>297.3532755618121</v>
      </c>
      <c r="CE639" s="762">
        <v>297.3532755618121</v>
      </c>
      <c r="CF639" s="762">
        <v>297.3532755618121</v>
      </c>
      <c r="CG639" s="762">
        <v>297.3532755618121</v>
      </c>
      <c r="CH639" s="762">
        <v>0</v>
      </c>
      <c r="CI639" s="762">
        <v>0</v>
      </c>
      <c r="CJ639" s="762">
        <v>0</v>
      </c>
      <c r="CK639" s="762">
        <v>0</v>
      </c>
      <c r="CL639" s="762">
        <v>0</v>
      </c>
      <c r="CM639" s="762">
        <v>0</v>
      </c>
      <c r="CN639" s="762">
        <v>0</v>
      </c>
      <c r="CO639" s="762">
        <v>0</v>
      </c>
      <c r="CP639" s="762">
        <v>0</v>
      </c>
      <c r="CQ639" s="762">
        <v>0</v>
      </c>
      <c r="CR639" s="762">
        <v>0</v>
      </c>
    </row>
    <row r="640" spans="1:96" s="53" customFormat="1">
      <c r="A640" s="721" t="s">
        <v>3</v>
      </c>
      <c r="B640" s="723">
        <v>41915</v>
      </c>
      <c r="C640" s="721">
        <v>2014</v>
      </c>
      <c r="D640" s="713" t="s">
        <v>1</v>
      </c>
      <c r="E640" s="713" t="s">
        <v>674</v>
      </c>
      <c r="F640" s="723" t="s">
        <v>689</v>
      </c>
      <c r="G640" s="713" t="s">
        <v>58</v>
      </c>
      <c r="H640" s="723" t="s">
        <v>677</v>
      </c>
      <c r="I640" s="713" t="s">
        <v>5</v>
      </c>
      <c r="J640" s="713" t="s">
        <v>376</v>
      </c>
      <c r="K640" s="766">
        <v>1</v>
      </c>
      <c r="L640" s="766" t="s">
        <v>671</v>
      </c>
      <c r="M640" s="765" t="s">
        <v>737</v>
      </c>
      <c r="N640" s="765">
        <v>0</v>
      </c>
      <c r="O640" s="765">
        <v>0</v>
      </c>
      <c r="P640" s="735">
        <v>0</v>
      </c>
      <c r="Q640" s="713" t="s">
        <v>58</v>
      </c>
      <c r="R640" s="713" t="s">
        <v>58</v>
      </c>
      <c r="S640" s="713" t="s">
        <v>58</v>
      </c>
      <c r="T640" s="713" t="s">
        <v>58</v>
      </c>
      <c r="U640" s="764">
        <v>0</v>
      </c>
      <c r="V640" s="764">
        <v>0</v>
      </c>
      <c r="W640" s="764">
        <v>0</v>
      </c>
      <c r="X640" s="764">
        <v>0</v>
      </c>
      <c r="Y640" s="764">
        <v>0</v>
      </c>
      <c r="Z640" s="764">
        <v>0</v>
      </c>
      <c r="AA640" s="764">
        <v>0</v>
      </c>
      <c r="AB640" s="764">
        <v>0</v>
      </c>
      <c r="AC640" s="714">
        <v>0.82617698682369967</v>
      </c>
      <c r="AD640" s="714">
        <v>0.7843105192554185</v>
      </c>
      <c r="AE640" s="713" t="s">
        <v>58</v>
      </c>
      <c r="AF640" s="713" t="s">
        <v>58</v>
      </c>
      <c r="AG640" s="713" t="s">
        <v>58</v>
      </c>
      <c r="AH640" s="714">
        <v>0.94387031345969796</v>
      </c>
      <c r="AI640" s="713" t="s">
        <v>58</v>
      </c>
      <c r="AJ640" s="713" t="s">
        <v>58</v>
      </c>
      <c r="AK640" s="713" t="s">
        <v>58</v>
      </c>
      <c r="AL640" s="714">
        <v>0.94454345387965444</v>
      </c>
      <c r="AM640" s="713" t="s">
        <v>58</v>
      </c>
      <c r="AN640" s="713" t="s">
        <v>58</v>
      </c>
      <c r="AO640" s="713" t="s">
        <v>58</v>
      </c>
      <c r="AP640" s="747">
        <v>51</v>
      </c>
      <c r="AQ640" s="747">
        <v>51</v>
      </c>
      <c r="AR640" s="709"/>
      <c r="AS640" s="763">
        <v>0</v>
      </c>
      <c r="AT640" s="763">
        <v>0</v>
      </c>
      <c r="AU640" s="763">
        <v>0</v>
      </c>
      <c r="AV640" s="763">
        <v>0</v>
      </c>
      <c r="AW640" s="763">
        <v>0</v>
      </c>
      <c r="AX640" s="763">
        <v>0</v>
      </c>
      <c r="AY640" s="763">
        <v>0</v>
      </c>
      <c r="AZ640" s="763">
        <v>0</v>
      </c>
      <c r="BA640" s="763">
        <v>0</v>
      </c>
      <c r="BB640" s="763">
        <v>0</v>
      </c>
      <c r="BC640" s="763">
        <v>0</v>
      </c>
      <c r="BD640" s="763">
        <v>0</v>
      </c>
      <c r="BE640" s="763">
        <v>0</v>
      </c>
      <c r="BF640" s="763">
        <v>0</v>
      </c>
      <c r="BG640" s="763">
        <v>0</v>
      </c>
      <c r="BH640" s="763">
        <v>0</v>
      </c>
      <c r="BI640" s="763">
        <v>0</v>
      </c>
      <c r="BJ640" s="763">
        <v>0</v>
      </c>
      <c r="BK640" s="763">
        <v>0</v>
      </c>
      <c r="BL640" s="763">
        <v>0</v>
      </c>
      <c r="BM640" s="763">
        <v>0</v>
      </c>
      <c r="BN640" s="763">
        <v>0</v>
      </c>
      <c r="BO640" s="763">
        <v>0</v>
      </c>
      <c r="BP640" s="763">
        <v>0</v>
      </c>
      <c r="BQ640" s="763">
        <v>0</v>
      </c>
      <c r="BR640" s="763">
        <v>0</v>
      </c>
      <c r="BS640" s="762">
        <v>0</v>
      </c>
      <c r="BT640" s="762">
        <v>0</v>
      </c>
      <c r="BU640" s="762">
        <v>0</v>
      </c>
      <c r="BV640" s="762">
        <v>0</v>
      </c>
      <c r="BW640" s="762">
        <v>0</v>
      </c>
      <c r="BX640" s="762">
        <v>0</v>
      </c>
      <c r="BY640" s="762">
        <v>0</v>
      </c>
      <c r="BZ640" s="762">
        <v>0</v>
      </c>
      <c r="CA640" s="762">
        <v>0</v>
      </c>
      <c r="CB640" s="762">
        <v>0</v>
      </c>
      <c r="CC640" s="762">
        <v>0</v>
      </c>
      <c r="CD640" s="762">
        <v>0</v>
      </c>
      <c r="CE640" s="762">
        <v>0</v>
      </c>
      <c r="CF640" s="762">
        <v>0</v>
      </c>
      <c r="CG640" s="762">
        <v>0</v>
      </c>
      <c r="CH640" s="762">
        <v>0</v>
      </c>
      <c r="CI640" s="762">
        <v>0</v>
      </c>
      <c r="CJ640" s="762">
        <v>0</v>
      </c>
      <c r="CK640" s="762">
        <v>0</v>
      </c>
      <c r="CL640" s="762">
        <v>0</v>
      </c>
      <c r="CM640" s="762">
        <v>0</v>
      </c>
      <c r="CN640" s="762">
        <v>0</v>
      </c>
      <c r="CO640" s="762">
        <v>0</v>
      </c>
      <c r="CP640" s="762">
        <v>0</v>
      </c>
      <c r="CQ640" s="762">
        <v>0</v>
      </c>
      <c r="CR640" s="762">
        <v>0</v>
      </c>
    </row>
    <row r="641" spans="1:96" s="53" customFormat="1">
      <c r="A641" s="721" t="s">
        <v>3</v>
      </c>
      <c r="B641" s="723">
        <v>41915</v>
      </c>
      <c r="C641" s="721">
        <v>2014</v>
      </c>
      <c r="D641" s="713" t="s">
        <v>1</v>
      </c>
      <c r="E641" s="713" t="s">
        <v>674</v>
      </c>
      <c r="F641" s="723" t="s">
        <v>689</v>
      </c>
      <c r="G641" s="713" t="s">
        <v>58</v>
      </c>
      <c r="H641" s="723" t="s">
        <v>676</v>
      </c>
      <c r="I641" s="713" t="s">
        <v>5</v>
      </c>
      <c r="J641" s="713" t="s">
        <v>376</v>
      </c>
      <c r="K641" s="766">
        <v>1</v>
      </c>
      <c r="L641" s="766" t="s">
        <v>671</v>
      </c>
      <c r="M641" s="765" t="s">
        <v>737</v>
      </c>
      <c r="N641" s="765">
        <v>12</v>
      </c>
      <c r="O641" s="765">
        <v>3</v>
      </c>
      <c r="P641" s="735">
        <v>0.31578947368421051</v>
      </c>
      <c r="Q641" s="713" t="s">
        <v>58</v>
      </c>
      <c r="R641" s="713" t="s">
        <v>58</v>
      </c>
      <c r="S641" s="713" t="s">
        <v>58</v>
      </c>
      <c r="T641" s="713" t="s">
        <v>58</v>
      </c>
      <c r="U641" s="764">
        <v>3.7999999999999999E-2</v>
      </c>
      <c r="V641" s="764">
        <v>123.614</v>
      </c>
      <c r="W641" s="764">
        <v>2.9803799731705907E-2</v>
      </c>
      <c r="X641" s="764">
        <v>102.12704204922481</v>
      </c>
      <c r="Y641" s="764">
        <v>596.63692986652381</v>
      </c>
      <c r="Z641" s="764">
        <v>563.14788601474766</v>
      </c>
      <c r="AA641" s="764">
        <v>96.394683191713582</v>
      </c>
      <c r="AB641" s="764">
        <v>2.8150983937323015E-2</v>
      </c>
      <c r="AC641" s="714">
        <v>0.82617698682369967</v>
      </c>
      <c r="AD641" s="714">
        <v>0.7843105192554185</v>
      </c>
      <c r="AE641" s="713" t="s">
        <v>58</v>
      </c>
      <c r="AF641" s="713" t="s">
        <v>58</v>
      </c>
      <c r="AG641" s="713" t="s">
        <v>58</v>
      </c>
      <c r="AH641" s="714">
        <v>0.94387031345969796</v>
      </c>
      <c r="AI641" s="713" t="s">
        <v>58</v>
      </c>
      <c r="AJ641" s="713" t="s">
        <v>58</v>
      </c>
      <c r="AK641" s="713" t="s">
        <v>58</v>
      </c>
      <c r="AL641" s="714">
        <v>0.94454345387965444</v>
      </c>
      <c r="AM641" s="713" t="s">
        <v>58</v>
      </c>
      <c r="AN641" s="713" t="s">
        <v>58</v>
      </c>
      <c r="AO641" s="713" t="s">
        <v>58</v>
      </c>
      <c r="AP641" s="747">
        <v>57</v>
      </c>
      <c r="AQ641" s="747">
        <v>57</v>
      </c>
      <c r="AR641" s="709"/>
      <c r="AS641" s="763">
        <v>0</v>
      </c>
      <c r="AT641" s="763">
        <v>0</v>
      </c>
      <c r="AU641" s="763">
        <v>0</v>
      </c>
      <c r="AV641" s="763">
        <v>2.8150983937323015E-2</v>
      </c>
      <c r="AW641" s="763">
        <v>2.8150983937323015E-2</v>
      </c>
      <c r="AX641" s="763">
        <v>2.8150983937323015E-2</v>
      </c>
      <c r="AY641" s="763">
        <v>8.8897844012598998E-3</v>
      </c>
      <c r="AZ641" s="763">
        <v>8.8897844012598998E-3</v>
      </c>
      <c r="BA641" s="763">
        <v>8.8897844012598998E-3</v>
      </c>
      <c r="BB641" s="763">
        <v>8.8897844012598998E-3</v>
      </c>
      <c r="BC641" s="763">
        <v>8.8897844012598998E-3</v>
      </c>
      <c r="BD641" s="763">
        <v>8.8897844012598998E-3</v>
      </c>
      <c r="BE641" s="763">
        <v>8.8897844012598998E-3</v>
      </c>
      <c r="BF641" s="763">
        <v>8.8897844012598998E-3</v>
      </c>
      <c r="BG641" s="763">
        <v>8.8897844012598998E-3</v>
      </c>
      <c r="BH641" s="763">
        <v>0</v>
      </c>
      <c r="BI641" s="763">
        <v>0</v>
      </c>
      <c r="BJ641" s="763">
        <v>0</v>
      </c>
      <c r="BK641" s="763">
        <v>0</v>
      </c>
      <c r="BL641" s="763">
        <v>0</v>
      </c>
      <c r="BM641" s="763">
        <v>0</v>
      </c>
      <c r="BN641" s="763">
        <v>0</v>
      </c>
      <c r="BO641" s="763">
        <v>0</v>
      </c>
      <c r="BP641" s="763">
        <v>0</v>
      </c>
      <c r="BQ641" s="763">
        <v>0</v>
      </c>
      <c r="BR641" s="763">
        <v>0</v>
      </c>
      <c r="BS641" s="762">
        <v>0</v>
      </c>
      <c r="BT641" s="762">
        <v>0</v>
      </c>
      <c r="BU641" s="762">
        <v>0</v>
      </c>
      <c r="BV641" s="762">
        <v>96.394683191713582</v>
      </c>
      <c r="BW641" s="762">
        <v>96.394683191713582</v>
      </c>
      <c r="BX641" s="762">
        <v>96.394683191713582</v>
      </c>
      <c r="BY641" s="762">
        <v>30.440426271067444</v>
      </c>
      <c r="BZ641" s="762">
        <v>30.440426271067444</v>
      </c>
      <c r="CA641" s="762">
        <v>30.440426271067444</v>
      </c>
      <c r="CB641" s="762">
        <v>30.440426271067444</v>
      </c>
      <c r="CC641" s="762">
        <v>30.440426271067444</v>
      </c>
      <c r="CD641" s="762">
        <v>30.440426271067444</v>
      </c>
      <c r="CE641" s="762">
        <v>30.440426271067444</v>
      </c>
      <c r="CF641" s="762">
        <v>30.440426271067444</v>
      </c>
      <c r="CG641" s="762">
        <v>30.440426271067444</v>
      </c>
      <c r="CH641" s="762">
        <v>0</v>
      </c>
      <c r="CI641" s="762">
        <v>0</v>
      </c>
      <c r="CJ641" s="762">
        <v>0</v>
      </c>
      <c r="CK641" s="762">
        <v>0</v>
      </c>
      <c r="CL641" s="762">
        <v>0</v>
      </c>
      <c r="CM641" s="762">
        <v>0</v>
      </c>
      <c r="CN641" s="762">
        <v>0</v>
      </c>
      <c r="CO641" s="762">
        <v>0</v>
      </c>
      <c r="CP641" s="762">
        <v>0</v>
      </c>
      <c r="CQ641" s="762">
        <v>0</v>
      </c>
      <c r="CR641" s="762">
        <v>0</v>
      </c>
    </row>
    <row r="642" spans="1:96" s="53" customFormat="1">
      <c r="A642" s="721" t="s">
        <v>3</v>
      </c>
      <c r="B642" s="723">
        <v>41915</v>
      </c>
      <c r="C642" s="721">
        <v>2014</v>
      </c>
      <c r="D642" s="713" t="s">
        <v>1</v>
      </c>
      <c r="E642" s="713" t="s">
        <v>674</v>
      </c>
      <c r="F642" s="723" t="s">
        <v>689</v>
      </c>
      <c r="G642" s="713" t="s">
        <v>58</v>
      </c>
      <c r="H642" s="723" t="s">
        <v>675</v>
      </c>
      <c r="I642" s="713" t="s">
        <v>5</v>
      </c>
      <c r="J642" s="713" t="s">
        <v>376</v>
      </c>
      <c r="K642" s="766">
        <v>19</v>
      </c>
      <c r="L642" s="766" t="s">
        <v>671</v>
      </c>
      <c r="M642" s="765" t="s">
        <v>737</v>
      </c>
      <c r="N642" s="765">
        <v>12</v>
      </c>
      <c r="O642" s="765">
        <v>3</v>
      </c>
      <c r="P642" s="735">
        <v>0.36842105263157893</v>
      </c>
      <c r="Q642" s="713" t="s">
        <v>58</v>
      </c>
      <c r="R642" s="713" t="s">
        <v>58</v>
      </c>
      <c r="S642" s="713" t="s">
        <v>58</v>
      </c>
      <c r="T642" s="713" t="s">
        <v>58</v>
      </c>
      <c r="U642" s="764">
        <v>1.083</v>
      </c>
      <c r="V642" s="764">
        <v>3522.9989999999998</v>
      </c>
      <c r="W642" s="764">
        <v>0.84940829235361825</v>
      </c>
      <c r="X642" s="764">
        <v>2910.6206984029072</v>
      </c>
      <c r="Y642" s="764">
        <v>18382.867568860467</v>
      </c>
      <c r="Z642" s="764">
        <v>17351.042974508444</v>
      </c>
      <c r="AA642" s="764">
        <v>2747.248470963837</v>
      </c>
      <c r="AB642" s="764">
        <v>0.80230304221370585</v>
      </c>
      <c r="AC642" s="714">
        <v>0.82617698682369967</v>
      </c>
      <c r="AD642" s="714">
        <v>0.7843105192554185</v>
      </c>
      <c r="AE642" s="713" t="s">
        <v>58</v>
      </c>
      <c r="AF642" s="713" t="s">
        <v>58</v>
      </c>
      <c r="AG642" s="713" t="s">
        <v>58</v>
      </c>
      <c r="AH642" s="714">
        <v>0.94387031345969796</v>
      </c>
      <c r="AI642" s="713" t="s">
        <v>58</v>
      </c>
      <c r="AJ642" s="713" t="s">
        <v>58</v>
      </c>
      <c r="AK642" s="713" t="s">
        <v>58</v>
      </c>
      <c r="AL642" s="714">
        <v>0.94454345387965444</v>
      </c>
      <c r="AM642" s="713" t="s">
        <v>58</v>
      </c>
      <c r="AN642" s="713" t="s">
        <v>58</v>
      </c>
      <c r="AO642" s="713" t="s">
        <v>58</v>
      </c>
      <c r="AP642" s="747">
        <v>73</v>
      </c>
      <c r="AQ642" s="747">
        <v>1387</v>
      </c>
      <c r="AR642" s="709"/>
      <c r="AS642" s="763">
        <v>0</v>
      </c>
      <c r="AT642" s="763">
        <v>0</v>
      </c>
      <c r="AU642" s="763">
        <v>0</v>
      </c>
      <c r="AV642" s="763">
        <v>0.80230304221370585</v>
      </c>
      <c r="AW642" s="763">
        <v>0.80230304221370585</v>
      </c>
      <c r="AX642" s="763">
        <v>0.80230304221370585</v>
      </c>
      <c r="AY642" s="763">
        <v>0.29558533134189163</v>
      </c>
      <c r="AZ642" s="763">
        <v>0.29558533134189163</v>
      </c>
      <c r="BA642" s="763">
        <v>0.29558533134189163</v>
      </c>
      <c r="BB642" s="763">
        <v>0.29558533134189163</v>
      </c>
      <c r="BC642" s="763">
        <v>0.29558533134189163</v>
      </c>
      <c r="BD642" s="763">
        <v>0.29558533134189163</v>
      </c>
      <c r="BE642" s="763">
        <v>0.29558533134189163</v>
      </c>
      <c r="BF642" s="763">
        <v>0.29558533134189163</v>
      </c>
      <c r="BG642" s="763">
        <v>0.29558533134189163</v>
      </c>
      <c r="BH642" s="763">
        <v>0</v>
      </c>
      <c r="BI642" s="763">
        <v>0</v>
      </c>
      <c r="BJ642" s="763">
        <v>0</v>
      </c>
      <c r="BK642" s="763">
        <v>0</v>
      </c>
      <c r="BL642" s="763">
        <v>0</v>
      </c>
      <c r="BM642" s="763">
        <v>0</v>
      </c>
      <c r="BN642" s="763">
        <v>0</v>
      </c>
      <c r="BO642" s="763">
        <v>0</v>
      </c>
      <c r="BP642" s="763">
        <v>0</v>
      </c>
      <c r="BQ642" s="763">
        <v>0</v>
      </c>
      <c r="BR642" s="763">
        <v>0</v>
      </c>
      <c r="BS642" s="762">
        <v>0</v>
      </c>
      <c r="BT642" s="762">
        <v>0</v>
      </c>
      <c r="BU642" s="762">
        <v>0</v>
      </c>
      <c r="BV642" s="762">
        <v>2747.248470963837</v>
      </c>
      <c r="BW642" s="762">
        <v>2747.248470963837</v>
      </c>
      <c r="BX642" s="762">
        <v>2747.248470963837</v>
      </c>
      <c r="BY642" s="762">
        <v>1012.1441735129926</v>
      </c>
      <c r="BZ642" s="762">
        <v>1012.1441735129926</v>
      </c>
      <c r="CA642" s="762">
        <v>1012.1441735129926</v>
      </c>
      <c r="CB642" s="762">
        <v>1012.1441735129926</v>
      </c>
      <c r="CC642" s="762">
        <v>1012.1441735129926</v>
      </c>
      <c r="CD642" s="762">
        <v>1012.1441735129926</v>
      </c>
      <c r="CE642" s="762">
        <v>1012.1441735129926</v>
      </c>
      <c r="CF642" s="762">
        <v>1012.1441735129926</v>
      </c>
      <c r="CG642" s="762">
        <v>1012.1441735129926</v>
      </c>
      <c r="CH642" s="762">
        <v>0</v>
      </c>
      <c r="CI642" s="762">
        <v>0</v>
      </c>
      <c r="CJ642" s="762">
        <v>0</v>
      </c>
      <c r="CK642" s="762">
        <v>0</v>
      </c>
      <c r="CL642" s="762">
        <v>0</v>
      </c>
      <c r="CM642" s="762">
        <v>0</v>
      </c>
      <c r="CN642" s="762">
        <v>0</v>
      </c>
      <c r="CO642" s="762">
        <v>0</v>
      </c>
      <c r="CP642" s="762">
        <v>0</v>
      </c>
      <c r="CQ642" s="762">
        <v>0</v>
      </c>
      <c r="CR642" s="762">
        <v>0</v>
      </c>
    </row>
    <row r="643" spans="1:96" s="53" customFormat="1">
      <c r="A643" s="721" t="s">
        <v>3</v>
      </c>
      <c r="B643" s="723">
        <v>41915</v>
      </c>
      <c r="C643" s="721">
        <v>2014</v>
      </c>
      <c r="D643" s="713" t="s">
        <v>1</v>
      </c>
      <c r="E643" s="713" t="s">
        <v>674</v>
      </c>
      <c r="F643" s="723" t="s">
        <v>689</v>
      </c>
      <c r="G643" s="713" t="s">
        <v>58</v>
      </c>
      <c r="H643" s="723" t="s">
        <v>677</v>
      </c>
      <c r="I643" s="713" t="s">
        <v>5</v>
      </c>
      <c r="J643" s="713" t="s">
        <v>376</v>
      </c>
      <c r="K643" s="766">
        <v>1</v>
      </c>
      <c r="L643" s="766" t="s">
        <v>671</v>
      </c>
      <c r="M643" s="765" t="s">
        <v>737</v>
      </c>
      <c r="N643" s="765">
        <v>0</v>
      </c>
      <c r="O643" s="765">
        <v>0</v>
      </c>
      <c r="P643" s="735">
        <v>0</v>
      </c>
      <c r="Q643" s="713" t="s">
        <v>58</v>
      </c>
      <c r="R643" s="713" t="s">
        <v>58</v>
      </c>
      <c r="S643" s="713" t="s">
        <v>58</v>
      </c>
      <c r="T643" s="713" t="s">
        <v>58</v>
      </c>
      <c r="U643" s="764">
        <v>0</v>
      </c>
      <c r="V643" s="764">
        <v>0</v>
      </c>
      <c r="W643" s="764">
        <v>0</v>
      </c>
      <c r="X643" s="764">
        <v>0</v>
      </c>
      <c r="Y643" s="764">
        <v>0</v>
      </c>
      <c r="Z643" s="764">
        <v>0</v>
      </c>
      <c r="AA643" s="764">
        <v>0</v>
      </c>
      <c r="AB643" s="764">
        <v>0</v>
      </c>
      <c r="AC643" s="714">
        <v>0.82617698682369967</v>
      </c>
      <c r="AD643" s="714">
        <v>0.7843105192554185</v>
      </c>
      <c r="AE643" s="713" t="s">
        <v>58</v>
      </c>
      <c r="AF643" s="713" t="s">
        <v>58</v>
      </c>
      <c r="AG643" s="713" t="s">
        <v>58</v>
      </c>
      <c r="AH643" s="714">
        <v>0.94387031345969796</v>
      </c>
      <c r="AI643" s="713" t="s">
        <v>58</v>
      </c>
      <c r="AJ643" s="713" t="s">
        <v>58</v>
      </c>
      <c r="AK643" s="713" t="s">
        <v>58</v>
      </c>
      <c r="AL643" s="714">
        <v>0.94454345387965444</v>
      </c>
      <c r="AM643" s="713" t="s">
        <v>58</v>
      </c>
      <c r="AN643" s="713" t="s">
        <v>58</v>
      </c>
      <c r="AO643" s="713" t="s">
        <v>58</v>
      </c>
      <c r="AP643" s="747">
        <v>51</v>
      </c>
      <c r="AQ643" s="747">
        <v>51</v>
      </c>
      <c r="AR643" s="709"/>
      <c r="AS643" s="763">
        <v>0</v>
      </c>
      <c r="AT643" s="763">
        <v>0</v>
      </c>
      <c r="AU643" s="763">
        <v>0</v>
      </c>
      <c r="AV643" s="763">
        <v>0</v>
      </c>
      <c r="AW643" s="763">
        <v>0</v>
      </c>
      <c r="AX643" s="763">
        <v>0</v>
      </c>
      <c r="AY643" s="763">
        <v>0</v>
      </c>
      <c r="AZ643" s="763">
        <v>0</v>
      </c>
      <c r="BA643" s="763">
        <v>0</v>
      </c>
      <c r="BB643" s="763">
        <v>0</v>
      </c>
      <c r="BC643" s="763">
        <v>0</v>
      </c>
      <c r="BD643" s="763">
        <v>0</v>
      </c>
      <c r="BE643" s="763">
        <v>0</v>
      </c>
      <c r="BF643" s="763">
        <v>0</v>
      </c>
      <c r="BG643" s="763">
        <v>0</v>
      </c>
      <c r="BH643" s="763">
        <v>0</v>
      </c>
      <c r="BI643" s="763">
        <v>0</v>
      </c>
      <c r="BJ643" s="763">
        <v>0</v>
      </c>
      <c r="BK643" s="763">
        <v>0</v>
      </c>
      <c r="BL643" s="763">
        <v>0</v>
      </c>
      <c r="BM643" s="763">
        <v>0</v>
      </c>
      <c r="BN643" s="763">
        <v>0</v>
      </c>
      <c r="BO643" s="763">
        <v>0</v>
      </c>
      <c r="BP643" s="763">
        <v>0</v>
      </c>
      <c r="BQ643" s="763">
        <v>0</v>
      </c>
      <c r="BR643" s="763">
        <v>0</v>
      </c>
      <c r="BS643" s="762">
        <v>0</v>
      </c>
      <c r="BT643" s="762">
        <v>0</v>
      </c>
      <c r="BU643" s="762">
        <v>0</v>
      </c>
      <c r="BV643" s="762">
        <v>0</v>
      </c>
      <c r="BW643" s="762">
        <v>0</v>
      </c>
      <c r="BX643" s="762">
        <v>0</v>
      </c>
      <c r="BY643" s="762">
        <v>0</v>
      </c>
      <c r="BZ643" s="762">
        <v>0</v>
      </c>
      <c r="CA643" s="762">
        <v>0</v>
      </c>
      <c r="CB643" s="762">
        <v>0</v>
      </c>
      <c r="CC643" s="762">
        <v>0</v>
      </c>
      <c r="CD643" s="762">
        <v>0</v>
      </c>
      <c r="CE643" s="762">
        <v>0</v>
      </c>
      <c r="CF643" s="762">
        <v>0</v>
      </c>
      <c r="CG643" s="762">
        <v>0</v>
      </c>
      <c r="CH643" s="762">
        <v>0</v>
      </c>
      <c r="CI643" s="762">
        <v>0</v>
      </c>
      <c r="CJ643" s="762">
        <v>0</v>
      </c>
      <c r="CK643" s="762">
        <v>0</v>
      </c>
      <c r="CL643" s="762">
        <v>0</v>
      </c>
      <c r="CM643" s="762">
        <v>0</v>
      </c>
      <c r="CN643" s="762">
        <v>0</v>
      </c>
      <c r="CO643" s="762">
        <v>0</v>
      </c>
      <c r="CP643" s="762">
        <v>0</v>
      </c>
      <c r="CQ643" s="762">
        <v>0</v>
      </c>
      <c r="CR643" s="762">
        <v>0</v>
      </c>
    </row>
    <row r="644" spans="1:96" s="53" customFormat="1">
      <c r="A644" s="721" t="s">
        <v>3</v>
      </c>
      <c r="B644" s="723">
        <v>41915</v>
      </c>
      <c r="C644" s="721">
        <v>2014</v>
      </c>
      <c r="D644" s="713" t="s">
        <v>1</v>
      </c>
      <c r="E644" s="713" t="s">
        <v>674</v>
      </c>
      <c r="F644" s="723" t="s">
        <v>689</v>
      </c>
      <c r="G644" s="713" t="s">
        <v>58</v>
      </c>
      <c r="H644" s="723" t="s">
        <v>676</v>
      </c>
      <c r="I644" s="713" t="s">
        <v>5</v>
      </c>
      <c r="J644" s="713" t="s">
        <v>376</v>
      </c>
      <c r="K644" s="766">
        <v>1</v>
      </c>
      <c r="L644" s="766" t="s">
        <v>671</v>
      </c>
      <c r="M644" s="765" t="s">
        <v>737</v>
      </c>
      <c r="N644" s="765">
        <v>12</v>
      </c>
      <c r="O644" s="765">
        <v>3</v>
      </c>
      <c r="P644" s="735">
        <v>0.31578947368421051</v>
      </c>
      <c r="Q644" s="713" t="s">
        <v>58</v>
      </c>
      <c r="R644" s="713" t="s">
        <v>58</v>
      </c>
      <c r="S644" s="713" t="s">
        <v>58</v>
      </c>
      <c r="T644" s="713" t="s">
        <v>58</v>
      </c>
      <c r="U644" s="764">
        <v>3.7999999999999999E-2</v>
      </c>
      <c r="V644" s="764">
        <v>123.614</v>
      </c>
      <c r="W644" s="764">
        <v>2.9803799731705907E-2</v>
      </c>
      <c r="X644" s="764">
        <v>102.12704204922481</v>
      </c>
      <c r="Y644" s="764">
        <v>596.63692986652381</v>
      </c>
      <c r="Z644" s="764">
        <v>563.14788601474766</v>
      </c>
      <c r="AA644" s="764">
        <v>96.394683191713582</v>
      </c>
      <c r="AB644" s="764">
        <v>2.8150983937323015E-2</v>
      </c>
      <c r="AC644" s="714">
        <v>0.82617698682369967</v>
      </c>
      <c r="AD644" s="714">
        <v>0.7843105192554185</v>
      </c>
      <c r="AE644" s="713" t="s">
        <v>58</v>
      </c>
      <c r="AF644" s="713" t="s">
        <v>58</v>
      </c>
      <c r="AG644" s="713" t="s">
        <v>58</v>
      </c>
      <c r="AH644" s="714">
        <v>0.94387031345969796</v>
      </c>
      <c r="AI644" s="713" t="s">
        <v>58</v>
      </c>
      <c r="AJ644" s="713" t="s">
        <v>58</v>
      </c>
      <c r="AK644" s="713" t="s">
        <v>58</v>
      </c>
      <c r="AL644" s="714">
        <v>0.94454345387965444</v>
      </c>
      <c r="AM644" s="713" t="s">
        <v>58</v>
      </c>
      <c r="AN644" s="713" t="s">
        <v>58</v>
      </c>
      <c r="AO644" s="713" t="s">
        <v>58</v>
      </c>
      <c r="AP644" s="747">
        <v>57</v>
      </c>
      <c r="AQ644" s="747">
        <v>57</v>
      </c>
      <c r="AR644" s="709"/>
      <c r="AS644" s="763">
        <v>0</v>
      </c>
      <c r="AT644" s="763">
        <v>0</v>
      </c>
      <c r="AU644" s="763">
        <v>0</v>
      </c>
      <c r="AV644" s="763">
        <v>2.8150983937323015E-2</v>
      </c>
      <c r="AW644" s="763">
        <v>2.8150983937323015E-2</v>
      </c>
      <c r="AX644" s="763">
        <v>2.8150983937323015E-2</v>
      </c>
      <c r="AY644" s="763">
        <v>8.8897844012598998E-3</v>
      </c>
      <c r="AZ644" s="763">
        <v>8.8897844012598998E-3</v>
      </c>
      <c r="BA644" s="763">
        <v>8.8897844012598998E-3</v>
      </c>
      <c r="BB644" s="763">
        <v>8.8897844012598998E-3</v>
      </c>
      <c r="BC644" s="763">
        <v>8.8897844012598998E-3</v>
      </c>
      <c r="BD644" s="763">
        <v>8.8897844012598998E-3</v>
      </c>
      <c r="BE644" s="763">
        <v>8.8897844012598998E-3</v>
      </c>
      <c r="BF644" s="763">
        <v>8.8897844012598998E-3</v>
      </c>
      <c r="BG644" s="763">
        <v>8.8897844012598998E-3</v>
      </c>
      <c r="BH644" s="763">
        <v>0</v>
      </c>
      <c r="BI644" s="763">
        <v>0</v>
      </c>
      <c r="BJ644" s="763">
        <v>0</v>
      </c>
      <c r="BK644" s="763">
        <v>0</v>
      </c>
      <c r="BL644" s="763">
        <v>0</v>
      </c>
      <c r="BM644" s="763">
        <v>0</v>
      </c>
      <c r="BN644" s="763">
        <v>0</v>
      </c>
      <c r="BO644" s="763">
        <v>0</v>
      </c>
      <c r="BP644" s="763">
        <v>0</v>
      </c>
      <c r="BQ644" s="763">
        <v>0</v>
      </c>
      <c r="BR644" s="763">
        <v>0</v>
      </c>
      <c r="BS644" s="762">
        <v>0</v>
      </c>
      <c r="BT644" s="762">
        <v>0</v>
      </c>
      <c r="BU644" s="762">
        <v>0</v>
      </c>
      <c r="BV644" s="762">
        <v>96.394683191713582</v>
      </c>
      <c r="BW644" s="762">
        <v>96.394683191713582</v>
      </c>
      <c r="BX644" s="762">
        <v>96.394683191713582</v>
      </c>
      <c r="BY644" s="762">
        <v>30.440426271067444</v>
      </c>
      <c r="BZ644" s="762">
        <v>30.440426271067444</v>
      </c>
      <c r="CA644" s="762">
        <v>30.440426271067444</v>
      </c>
      <c r="CB644" s="762">
        <v>30.440426271067444</v>
      </c>
      <c r="CC644" s="762">
        <v>30.440426271067444</v>
      </c>
      <c r="CD644" s="762">
        <v>30.440426271067444</v>
      </c>
      <c r="CE644" s="762">
        <v>30.440426271067444</v>
      </c>
      <c r="CF644" s="762">
        <v>30.440426271067444</v>
      </c>
      <c r="CG644" s="762">
        <v>30.440426271067444</v>
      </c>
      <c r="CH644" s="762">
        <v>0</v>
      </c>
      <c r="CI644" s="762">
        <v>0</v>
      </c>
      <c r="CJ644" s="762">
        <v>0</v>
      </c>
      <c r="CK644" s="762">
        <v>0</v>
      </c>
      <c r="CL644" s="762">
        <v>0</v>
      </c>
      <c r="CM644" s="762">
        <v>0</v>
      </c>
      <c r="CN644" s="762">
        <v>0</v>
      </c>
      <c r="CO644" s="762">
        <v>0</v>
      </c>
      <c r="CP644" s="762">
        <v>0</v>
      </c>
      <c r="CQ644" s="762">
        <v>0</v>
      </c>
      <c r="CR644" s="762">
        <v>0</v>
      </c>
    </row>
    <row r="645" spans="1:96" s="53" customFormat="1">
      <c r="A645" s="721" t="s">
        <v>3</v>
      </c>
      <c r="B645" s="723">
        <v>41915</v>
      </c>
      <c r="C645" s="721">
        <v>2014</v>
      </c>
      <c r="D645" s="713" t="s">
        <v>1</v>
      </c>
      <c r="E645" s="713" t="s">
        <v>674</v>
      </c>
      <c r="F645" s="723" t="s">
        <v>689</v>
      </c>
      <c r="G645" s="713" t="s">
        <v>58</v>
      </c>
      <c r="H645" s="723" t="s">
        <v>675</v>
      </c>
      <c r="I645" s="713" t="s">
        <v>5</v>
      </c>
      <c r="J645" s="713" t="s">
        <v>376</v>
      </c>
      <c r="K645" s="766">
        <v>19</v>
      </c>
      <c r="L645" s="766" t="s">
        <v>671</v>
      </c>
      <c r="M645" s="765" t="s">
        <v>737</v>
      </c>
      <c r="N645" s="765">
        <v>12</v>
      </c>
      <c r="O645" s="765">
        <v>3</v>
      </c>
      <c r="P645" s="735">
        <v>0.36842105263157893</v>
      </c>
      <c r="Q645" s="713" t="s">
        <v>58</v>
      </c>
      <c r="R645" s="713" t="s">
        <v>58</v>
      </c>
      <c r="S645" s="713" t="s">
        <v>58</v>
      </c>
      <c r="T645" s="713" t="s">
        <v>58</v>
      </c>
      <c r="U645" s="764">
        <v>1.083</v>
      </c>
      <c r="V645" s="764">
        <v>3522.9989999999998</v>
      </c>
      <c r="W645" s="764">
        <v>0.84940829235361825</v>
      </c>
      <c r="X645" s="764">
        <v>2910.6206984029072</v>
      </c>
      <c r="Y645" s="764">
        <v>18382.867568860467</v>
      </c>
      <c r="Z645" s="764">
        <v>17351.042974508444</v>
      </c>
      <c r="AA645" s="764">
        <v>2747.248470963837</v>
      </c>
      <c r="AB645" s="764">
        <v>0.80230304221370585</v>
      </c>
      <c r="AC645" s="714">
        <v>0.82617698682369967</v>
      </c>
      <c r="AD645" s="714">
        <v>0.7843105192554185</v>
      </c>
      <c r="AE645" s="713" t="s">
        <v>58</v>
      </c>
      <c r="AF645" s="713" t="s">
        <v>58</v>
      </c>
      <c r="AG645" s="713" t="s">
        <v>58</v>
      </c>
      <c r="AH645" s="714">
        <v>0.94387031345969796</v>
      </c>
      <c r="AI645" s="713" t="s">
        <v>58</v>
      </c>
      <c r="AJ645" s="713" t="s">
        <v>58</v>
      </c>
      <c r="AK645" s="713" t="s">
        <v>58</v>
      </c>
      <c r="AL645" s="714">
        <v>0.94454345387965444</v>
      </c>
      <c r="AM645" s="713" t="s">
        <v>58</v>
      </c>
      <c r="AN645" s="713" t="s">
        <v>58</v>
      </c>
      <c r="AO645" s="713" t="s">
        <v>58</v>
      </c>
      <c r="AP645" s="747">
        <v>73</v>
      </c>
      <c r="AQ645" s="747">
        <v>1387</v>
      </c>
      <c r="AR645" s="709"/>
      <c r="AS645" s="763">
        <v>0</v>
      </c>
      <c r="AT645" s="763">
        <v>0</v>
      </c>
      <c r="AU645" s="763">
        <v>0</v>
      </c>
      <c r="AV645" s="763">
        <v>0.80230304221370585</v>
      </c>
      <c r="AW645" s="763">
        <v>0.80230304221370585</v>
      </c>
      <c r="AX645" s="763">
        <v>0.80230304221370585</v>
      </c>
      <c r="AY645" s="763">
        <v>0.29558533134189163</v>
      </c>
      <c r="AZ645" s="763">
        <v>0.29558533134189163</v>
      </c>
      <c r="BA645" s="763">
        <v>0.29558533134189163</v>
      </c>
      <c r="BB645" s="763">
        <v>0.29558533134189163</v>
      </c>
      <c r="BC645" s="763">
        <v>0.29558533134189163</v>
      </c>
      <c r="BD645" s="763">
        <v>0.29558533134189163</v>
      </c>
      <c r="BE645" s="763">
        <v>0.29558533134189163</v>
      </c>
      <c r="BF645" s="763">
        <v>0.29558533134189163</v>
      </c>
      <c r="BG645" s="763">
        <v>0.29558533134189163</v>
      </c>
      <c r="BH645" s="763">
        <v>0</v>
      </c>
      <c r="BI645" s="763">
        <v>0</v>
      </c>
      <c r="BJ645" s="763">
        <v>0</v>
      </c>
      <c r="BK645" s="763">
        <v>0</v>
      </c>
      <c r="BL645" s="763">
        <v>0</v>
      </c>
      <c r="BM645" s="763">
        <v>0</v>
      </c>
      <c r="BN645" s="763">
        <v>0</v>
      </c>
      <c r="BO645" s="763">
        <v>0</v>
      </c>
      <c r="BP645" s="763">
        <v>0</v>
      </c>
      <c r="BQ645" s="763">
        <v>0</v>
      </c>
      <c r="BR645" s="763">
        <v>0</v>
      </c>
      <c r="BS645" s="762">
        <v>0</v>
      </c>
      <c r="BT645" s="762">
        <v>0</v>
      </c>
      <c r="BU645" s="762">
        <v>0</v>
      </c>
      <c r="BV645" s="762">
        <v>2747.248470963837</v>
      </c>
      <c r="BW645" s="762">
        <v>2747.248470963837</v>
      </c>
      <c r="BX645" s="762">
        <v>2747.248470963837</v>
      </c>
      <c r="BY645" s="762">
        <v>1012.1441735129926</v>
      </c>
      <c r="BZ645" s="762">
        <v>1012.1441735129926</v>
      </c>
      <c r="CA645" s="762">
        <v>1012.1441735129926</v>
      </c>
      <c r="CB645" s="762">
        <v>1012.1441735129926</v>
      </c>
      <c r="CC645" s="762">
        <v>1012.1441735129926</v>
      </c>
      <c r="CD645" s="762">
        <v>1012.1441735129926</v>
      </c>
      <c r="CE645" s="762">
        <v>1012.1441735129926</v>
      </c>
      <c r="CF645" s="762">
        <v>1012.1441735129926</v>
      </c>
      <c r="CG645" s="762">
        <v>1012.1441735129926</v>
      </c>
      <c r="CH645" s="762">
        <v>0</v>
      </c>
      <c r="CI645" s="762">
        <v>0</v>
      </c>
      <c r="CJ645" s="762">
        <v>0</v>
      </c>
      <c r="CK645" s="762">
        <v>0</v>
      </c>
      <c r="CL645" s="762">
        <v>0</v>
      </c>
      <c r="CM645" s="762">
        <v>0</v>
      </c>
      <c r="CN645" s="762">
        <v>0</v>
      </c>
      <c r="CO645" s="762">
        <v>0</v>
      </c>
      <c r="CP645" s="762">
        <v>0</v>
      </c>
      <c r="CQ645" s="762">
        <v>0</v>
      </c>
      <c r="CR645" s="762">
        <v>0</v>
      </c>
    </row>
    <row r="646" spans="1:96" s="53" customFormat="1">
      <c r="A646" s="721" t="s">
        <v>3</v>
      </c>
      <c r="B646" s="723">
        <v>41915</v>
      </c>
      <c r="C646" s="721">
        <v>2014</v>
      </c>
      <c r="D646" s="713" t="s">
        <v>1</v>
      </c>
      <c r="E646" s="713" t="s">
        <v>674</v>
      </c>
      <c r="F646" s="723" t="s">
        <v>689</v>
      </c>
      <c r="G646" s="713" t="s">
        <v>58</v>
      </c>
      <c r="H646" s="723" t="s">
        <v>710</v>
      </c>
      <c r="I646" s="713" t="s">
        <v>5</v>
      </c>
      <c r="J646" s="713" t="s">
        <v>376</v>
      </c>
      <c r="K646" s="766">
        <v>2</v>
      </c>
      <c r="L646" s="766" t="s">
        <v>671</v>
      </c>
      <c r="M646" s="765" t="s">
        <v>737</v>
      </c>
      <c r="N646" s="765">
        <v>10</v>
      </c>
      <c r="O646" s="765" t="s">
        <v>7</v>
      </c>
      <c r="P646" s="735">
        <v>1</v>
      </c>
      <c r="Q646" s="713" t="s">
        <v>58</v>
      </c>
      <c r="R646" s="713" t="s">
        <v>58</v>
      </c>
      <c r="S646" s="713" t="s">
        <v>58</v>
      </c>
      <c r="T646" s="713" t="s">
        <v>58</v>
      </c>
      <c r="U646" s="764">
        <v>5.3999999999999999E-2</v>
      </c>
      <c r="V646" s="764">
        <v>473.04</v>
      </c>
      <c r="W646" s="764">
        <v>4.2352768039792606E-2</v>
      </c>
      <c r="X646" s="764">
        <v>390.81476184708288</v>
      </c>
      <c r="Y646" s="764">
        <v>3908.147618470829</v>
      </c>
      <c r="Z646" s="764">
        <v>3688.7845176928336</v>
      </c>
      <c r="AA646" s="764">
        <v>368.87845176928334</v>
      </c>
      <c r="AB646" s="764">
        <v>4.0004029805669548E-2</v>
      </c>
      <c r="AC646" s="714">
        <v>0.82617698682369967</v>
      </c>
      <c r="AD646" s="714">
        <v>0.7843105192554185</v>
      </c>
      <c r="AE646" s="713" t="s">
        <v>58</v>
      </c>
      <c r="AF646" s="713" t="s">
        <v>58</v>
      </c>
      <c r="AG646" s="713" t="s">
        <v>58</v>
      </c>
      <c r="AH646" s="714">
        <v>0.94387031345969796</v>
      </c>
      <c r="AI646" s="713" t="s">
        <v>58</v>
      </c>
      <c r="AJ646" s="713" t="s">
        <v>58</v>
      </c>
      <c r="AK646" s="713" t="s">
        <v>58</v>
      </c>
      <c r="AL646" s="714">
        <v>0.94454345387965444</v>
      </c>
      <c r="AM646" s="713" t="s">
        <v>58</v>
      </c>
      <c r="AN646" s="713" t="s">
        <v>58</v>
      </c>
      <c r="AO646" s="713" t="s">
        <v>58</v>
      </c>
      <c r="AP646" s="747">
        <v>29</v>
      </c>
      <c r="AQ646" s="747">
        <v>58</v>
      </c>
      <c r="AR646" s="709"/>
      <c r="AS646" s="763">
        <v>0</v>
      </c>
      <c r="AT646" s="763">
        <v>0</v>
      </c>
      <c r="AU646" s="763">
        <v>0</v>
      </c>
      <c r="AV646" s="763">
        <v>4.0004029805669548E-2</v>
      </c>
      <c r="AW646" s="763">
        <v>4.0004029805669548E-2</v>
      </c>
      <c r="AX646" s="763">
        <v>4.0004029805669548E-2</v>
      </c>
      <c r="AY646" s="763">
        <v>4.0004029805669548E-2</v>
      </c>
      <c r="AZ646" s="763">
        <v>4.0004029805669548E-2</v>
      </c>
      <c r="BA646" s="763">
        <v>4.0004029805669548E-2</v>
      </c>
      <c r="BB646" s="763">
        <v>4.0004029805669548E-2</v>
      </c>
      <c r="BC646" s="763">
        <v>4.0004029805669548E-2</v>
      </c>
      <c r="BD646" s="763">
        <v>4.0004029805669548E-2</v>
      </c>
      <c r="BE646" s="763">
        <v>4.0004029805669548E-2</v>
      </c>
      <c r="BF646" s="763">
        <v>0</v>
      </c>
      <c r="BG646" s="763">
        <v>0</v>
      </c>
      <c r="BH646" s="763">
        <v>0</v>
      </c>
      <c r="BI646" s="763">
        <v>0</v>
      </c>
      <c r="BJ646" s="763">
        <v>0</v>
      </c>
      <c r="BK646" s="763">
        <v>0</v>
      </c>
      <c r="BL646" s="763">
        <v>0</v>
      </c>
      <c r="BM646" s="763">
        <v>0</v>
      </c>
      <c r="BN646" s="763">
        <v>0</v>
      </c>
      <c r="BO646" s="763">
        <v>0</v>
      </c>
      <c r="BP646" s="763">
        <v>0</v>
      </c>
      <c r="BQ646" s="763">
        <v>0</v>
      </c>
      <c r="BR646" s="763">
        <v>0</v>
      </c>
      <c r="BS646" s="762">
        <v>0</v>
      </c>
      <c r="BT646" s="762">
        <v>0</v>
      </c>
      <c r="BU646" s="762">
        <v>0</v>
      </c>
      <c r="BV646" s="762">
        <v>368.87845176928334</v>
      </c>
      <c r="BW646" s="762">
        <v>368.87845176928334</v>
      </c>
      <c r="BX646" s="762">
        <v>368.87845176928334</v>
      </c>
      <c r="BY646" s="762">
        <v>368.87845176928334</v>
      </c>
      <c r="BZ646" s="762">
        <v>368.87845176928334</v>
      </c>
      <c r="CA646" s="762">
        <v>368.87845176928334</v>
      </c>
      <c r="CB646" s="762">
        <v>368.87845176928334</v>
      </c>
      <c r="CC646" s="762">
        <v>368.87845176928334</v>
      </c>
      <c r="CD646" s="762">
        <v>368.87845176928334</v>
      </c>
      <c r="CE646" s="762">
        <v>368.87845176928334</v>
      </c>
      <c r="CF646" s="762">
        <v>0</v>
      </c>
      <c r="CG646" s="762">
        <v>0</v>
      </c>
      <c r="CH646" s="762">
        <v>0</v>
      </c>
      <c r="CI646" s="762">
        <v>0</v>
      </c>
      <c r="CJ646" s="762">
        <v>0</v>
      </c>
      <c r="CK646" s="762">
        <v>0</v>
      </c>
      <c r="CL646" s="762">
        <v>0</v>
      </c>
      <c r="CM646" s="762">
        <v>0</v>
      </c>
      <c r="CN646" s="762">
        <v>0</v>
      </c>
      <c r="CO646" s="762">
        <v>0</v>
      </c>
      <c r="CP646" s="762">
        <v>0</v>
      </c>
      <c r="CQ646" s="762">
        <v>0</v>
      </c>
      <c r="CR646" s="762">
        <v>0</v>
      </c>
    </row>
    <row r="647" spans="1:96" s="53" customFormat="1">
      <c r="A647" s="721" t="s">
        <v>3</v>
      </c>
      <c r="B647" s="723">
        <v>41915</v>
      </c>
      <c r="C647" s="721">
        <v>2014</v>
      </c>
      <c r="D647" s="713" t="s">
        <v>1</v>
      </c>
      <c r="E647" s="713" t="s">
        <v>674</v>
      </c>
      <c r="F647" s="723" t="s">
        <v>689</v>
      </c>
      <c r="G647" s="713" t="s">
        <v>58</v>
      </c>
      <c r="H647" s="723" t="s">
        <v>678</v>
      </c>
      <c r="I647" s="713" t="s">
        <v>5</v>
      </c>
      <c r="J647" s="713" t="s">
        <v>376</v>
      </c>
      <c r="K647" s="766">
        <v>1</v>
      </c>
      <c r="L647" s="766" t="s">
        <v>671</v>
      </c>
      <c r="M647" s="765" t="s">
        <v>737</v>
      </c>
      <c r="N647" s="765">
        <v>3</v>
      </c>
      <c r="O647" s="765">
        <v>2</v>
      </c>
      <c r="P647" s="735">
        <v>0.6149863305954828</v>
      </c>
      <c r="Q647" s="713" t="s">
        <v>58</v>
      </c>
      <c r="R647" s="713" t="s">
        <v>58</v>
      </c>
      <c r="S647" s="713" t="s">
        <v>58</v>
      </c>
      <c r="T647" s="713" t="s">
        <v>58</v>
      </c>
      <c r="U647" s="764">
        <v>4.7E-2</v>
      </c>
      <c r="V647" s="764">
        <v>174.887</v>
      </c>
      <c r="W647" s="764">
        <v>3.6862594405004674E-2</v>
      </c>
      <c r="X647" s="764">
        <v>144.48761469463636</v>
      </c>
      <c r="Y647" s="764">
        <v>377.83313736682112</v>
      </c>
      <c r="Z647" s="764">
        <v>356.62548180188259</v>
      </c>
      <c r="AA647" s="764">
        <v>136.37757017287049</v>
      </c>
      <c r="AB647" s="764">
        <v>3.4818322238267939E-2</v>
      </c>
      <c r="AC647" s="714">
        <v>0.82617698682369967</v>
      </c>
      <c r="AD647" s="714">
        <v>0.7843105192554185</v>
      </c>
      <c r="AE647" s="713" t="s">
        <v>58</v>
      </c>
      <c r="AF647" s="713" t="s">
        <v>58</v>
      </c>
      <c r="AG647" s="713" t="s">
        <v>58</v>
      </c>
      <c r="AH647" s="714">
        <v>0.94387031345969796</v>
      </c>
      <c r="AI647" s="713" t="s">
        <v>58</v>
      </c>
      <c r="AJ647" s="713" t="s">
        <v>58</v>
      </c>
      <c r="AK647" s="713" t="s">
        <v>58</v>
      </c>
      <c r="AL647" s="714">
        <v>0.94454345387965444</v>
      </c>
      <c r="AM647" s="713" t="s">
        <v>58</v>
      </c>
      <c r="AN647" s="713" t="s">
        <v>58</v>
      </c>
      <c r="AO647" s="713" t="s">
        <v>58</v>
      </c>
      <c r="AP647" s="747">
        <v>8</v>
      </c>
      <c r="AQ647" s="747">
        <v>8</v>
      </c>
      <c r="AR647" s="709"/>
      <c r="AS647" s="763">
        <v>0</v>
      </c>
      <c r="AT647" s="763">
        <v>0</v>
      </c>
      <c r="AU647" s="763">
        <v>0</v>
      </c>
      <c r="AV647" s="763">
        <v>3.4818322238267939E-2</v>
      </c>
      <c r="AW647" s="763">
        <v>3.4818322238267939E-2</v>
      </c>
      <c r="AX647" s="763">
        <v>2.1412792230803498E-2</v>
      </c>
      <c r="AY647" s="763">
        <v>0</v>
      </c>
      <c r="AZ647" s="763">
        <v>0</v>
      </c>
      <c r="BA647" s="763">
        <v>0</v>
      </c>
      <c r="BB647" s="763">
        <v>0</v>
      </c>
      <c r="BC647" s="763">
        <v>0</v>
      </c>
      <c r="BD647" s="763">
        <v>0</v>
      </c>
      <c r="BE647" s="763">
        <v>0</v>
      </c>
      <c r="BF647" s="763">
        <v>0</v>
      </c>
      <c r="BG647" s="763">
        <v>0</v>
      </c>
      <c r="BH647" s="763">
        <v>0</v>
      </c>
      <c r="BI647" s="763">
        <v>0</v>
      </c>
      <c r="BJ647" s="763">
        <v>0</v>
      </c>
      <c r="BK647" s="763">
        <v>0</v>
      </c>
      <c r="BL647" s="763">
        <v>0</v>
      </c>
      <c r="BM647" s="763">
        <v>0</v>
      </c>
      <c r="BN647" s="763">
        <v>0</v>
      </c>
      <c r="BO647" s="763">
        <v>0</v>
      </c>
      <c r="BP647" s="763">
        <v>0</v>
      </c>
      <c r="BQ647" s="763">
        <v>0</v>
      </c>
      <c r="BR647" s="763">
        <v>0</v>
      </c>
      <c r="BS647" s="762">
        <v>0</v>
      </c>
      <c r="BT647" s="762">
        <v>0</v>
      </c>
      <c r="BU647" s="762">
        <v>0</v>
      </c>
      <c r="BV647" s="762">
        <v>136.37757017287049</v>
      </c>
      <c r="BW647" s="762">
        <v>136.37757017287049</v>
      </c>
      <c r="BX647" s="762">
        <v>83.870341456141588</v>
      </c>
      <c r="BY647" s="762">
        <v>0</v>
      </c>
      <c r="BZ647" s="762">
        <v>0</v>
      </c>
      <c r="CA647" s="762">
        <v>0</v>
      </c>
      <c r="CB647" s="762">
        <v>0</v>
      </c>
      <c r="CC647" s="762">
        <v>0</v>
      </c>
      <c r="CD647" s="762">
        <v>0</v>
      </c>
      <c r="CE647" s="762">
        <v>0</v>
      </c>
      <c r="CF647" s="762">
        <v>0</v>
      </c>
      <c r="CG647" s="762">
        <v>0</v>
      </c>
      <c r="CH647" s="762">
        <v>0</v>
      </c>
      <c r="CI647" s="762">
        <v>0</v>
      </c>
      <c r="CJ647" s="762">
        <v>0</v>
      </c>
      <c r="CK647" s="762">
        <v>0</v>
      </c>
      <c r="CL647" s="762">
        <v>0</v>
      </c>
      <c r="CM647" s="762">
        <v>0</v>
      </c>
      <c r="CN647" s="762">
        <v>0</v>
      </c>
      <c r="CO647" s="762">
        <v>0</v>
      </c>
      <c r="CP647" s="762">
        <v>0</v>
      </c>
      <c r="CQ647" s="762">
        <v>0</v>
      </c>
      <c r="CR647" s="762">
        <v>0</v>
      </c>
    </row>
    <row r="648" spans="1:96" s="53" customFormat="1">
      <c r="A648" s="721" t="s">
        <v>3</v>
      </c>
      <c r="B648" s="723">
        <v>41915</v>
      </c>
      <c r="C648" s="721">
        <v>2014</v>
      </c>
      <c r="D648" s="713" t="s">
        <v>1</v>
      </c>
      <c r="E648" s="713" t="s">
        <v>674</v>
      </c>
      <c r="F648" s="723" t="s">
        <v>689</v>
      </c>
      <c r="G648" s="713" t="s">
        <v>58</v>
      </c>
      <c r="H648" s="723" t="s">
        <v>678</v>
      </c>
      <c r="I648" s="713" t="s">
        <v>5</v>
      </c>
      <c r="J648" s="713" t="s">
        <v>376</v>
      </c>
      <c r="K648" s="766">
        <v>4</v>
      </c>
      <c r="L648" s="766" t="s">
        <v>671</v>
      </c>
      <c r="M648" s="765" t="s">
        <v>737</v>
      </c>
      <c r="N648" s="765">
        <v>3</v>
      </c>
      <c r="O648" s="765">
        <v>2</v>
      </c>
      <c r="P648" s="735">
        <v>0.6149863305954828</v>
      </c>
      <c r="Q648" s="713" t="s">
        <v>58</v>
      </c>
      <c r="R648" s="713" t="s">
        <v>58</v>
      </c>
      <c r="S648" s="713" t="s">
        <v>58</v>
      </c>
      <c r="T648" s="713" t="s">
        <v>58</v>
      </c>
      <c r="U648" s="764">
        <v>0.188</v>
      </c>
      <c r="V648" s="764">
        <v>699.548</v>
      </c>
      <c r="W648" s="764">
        <v>0.1474503776200187</v>
      </c>
      <c r="X648" s="764">
        <v>577.95045877854545</v>
      </c>
      <c r="Y648" s="764">
        <v>1511.3325494672845</v>
      </c>
      <c r="Z648" s="764">
        <v>1426.5019272075303</v>
      </c>
      <c r="AA648" s="764">
        <v>545.51028069148197</v>
      </c>
      <c r="AB648" s="764">
        <v>0.13927328895307176</v>
      </c>
      <c r="AC648" s="714">
        <v>0.82617698682369967</v>
      </c>
      <c r="AD648" s="714">
        <v>0.7843105192554185</v>
      </c>
      <c r="AE648" s="713" t="s">
        <v>58</v>
      </c>
      <c r="AF648" s="713" t="s">
        <v>58</v>
      </c>
      <c r="AG648" s="713" t="s">
        <v>58</v>
      </c>
      <c r="AH648" s="714">
        <v>0.94387031345969796</v>
      </c>
      <c r="AI648" s="713" t="s">
        <v>58</v>
      </c>
      <c r="AJ648" s="713" t="s">
        <v>58</v>
      </c>
      <c r="AK648" s="713" t="s">
        <v>58</v>
      </c>
      <c r="AL648" s="714">
        <v>0.94454345387965444</v>
      </c>
      <c r="AM648" s="713" t="s">
        <v>58</v>
      </c>
      <c r="AN648" s="713" t="s">
        <v>58</v>
      </c>
      <c r="AO648" s="713" t="s">
        <v>58</v>
      </c>
      <c r="AP648" s="747">
        <v>8</v>
      </c>
      <c r="AQ648" s="747">
        <v>32</v>
      </c>
      <c r="AR648" s="709"/>
      <c r="AS648" s="763">
        <v>0</v>
      </c>
      <c r="AT648" s="763">
        <v>0</v>
      </c>
      <c r="AU648" s="763">
        <v>0</v>
      </c>
      <c r="AV648" s="763">
        <v>0.13927328895307176</v>
      </c>
      <c r="AW648" s="763">
        <v>0.13927328895307176</v>
      </c>
      <c r="AX648" s="763">
        <v>8.5651168923213991E-2</v>
      </c>
      <c r="AY648" s="763">
        <v>0</v>
      </c>
      <c r="AZ648" s="763">
        <v>0</v>
      </c>
      <c r="BA648" s="763">
        <v>0</v>
      </c>
      <c r="BB648" s="763">
        <v>0</v>
      </c>
      <c r="BC648" s="763">
        <v>0</v>
      </c>
      <c r="BD648" s="763">
        <v>0</v>
      </c>
      <c r="BE648" s="763">
        <v>0</v>
      </c>
      <c r="BF648" s="763">
        <v>0</v>
      </c>
      <c r="BG648" s="763">
        <v>0</v>
      </c>
      <c r="BH648" s="763">
        <v>0</v>
      </c>
      <c r="BI648" s="763">
        <v>0</v>
      </c>
      <c r="BJ648" s="763">
        <v>0</v>
      </c>
      <c r="BK648" s="763">
        <v>0</v>
      </c>
      <c r="BL648" s="763">
        <v>0</v>
      </c>
      <c r="BM648" s="763">
        <v>0</v>
      </c>
      <c r="BN648" s="763">
        <v>0</v>
      </c>
      <c r="BO648" s="763">
        <v>0</v>
      </c>
      <c r="BP648" s="763">
        <v>0</v>
      </c>
      <c r="BQ648" s="763">
        <v>0</v>
      </c>
      <c r="BR648" s="763">
        <v>0</v>
      </c>
      <c r="BS648" s="762">
        <v>0</v>
      </c>
      <c r="BT648" s="762">
        <v>0</v>
      </c>
      <c r="BU648" s="762">
        <v>0</v>
      </c>
      <c r="BV648" s="762">
        <v>545.51028069148197</v>
      </c>
      <c r="BW648" s="762">
        <v>545.51028069148197</v>
      </c>
      <c r="BX648" s="762">
        <v>335.48136582456635</v>
      </c>
      <c r="BY648" s="762">
        <v>0</v>
      </c>
      <c r="BZ648" s="762">
        <v>0</v>
      </c>
      <c r="CA648" s="762">
        <v>0</v>
      </c>
      <c r="CB648" s="762">
        <v>0</v>
      </c>
      <c r="CC648" s="762">
        <v>0</v>
      </c>
      <c r="CD648" s="762">
        <v>0</v>
      </c>
      <c r="CE648" s="762">
        <v>0</v>
      </c>
      <c r="CF648" s="762">
        <v>0</v>
      </c>
      <c r="CG648" s="762">
        <v>0</v>
      </c>
      <c r="CH648" s="762">
        <v>0</v>
      </c>
      <c r="CI648" s="762">
        <v>0</v>
      </c>
      <c r="CJ648" s="762">
        <v>0</v>
      </c>
      <c r="CK648" s="762">
        <v>0</v>
      </c>
      <c r="CL648" s="762">
        <v>0</v>
      </c>
      <c r="CM648" s="762">
        <v>0</v>
      </c>
      <c r="CN648" s="762">
        <v>0</v>
      </c>
      <c r="CO648" s="762">
        <v>0</v>
      </c>
      <c r="CP648" s="762">
        <v>0</v>
      </c>
      <c r="CQ648" s="762">
        <v>0</v>
      </c>
      <c r="CR648" s="762">
        <v>0</v>
      </c>
    </row>
    <row r="649" spans="1:96" s="53" customFormat="1">
      <c r="A649" s="721" t="s">
        <v>3</v>
      </c>
      <c r="B649" s="723">
        <v>41915</v>
      </c>
      <c r="C649" s="721">
        <v>2014</v>
      </c>
      <c r="D649" s="713" t="s">
        <v>1</v>
      </c>
      <c r="E649" s="713" t="s">
        <v>674</v>
      </c>
      <c r="F649" s="723" t="s">
        <v>689</v>
      </c>
      <c r="G649" s="713" t="s">
        <v>58</v>
      </c>
      <c r="H649" s="723" t="s">
        <v>690</v>
      </c>
      <c r="I649" s="713" t="s">
        <v>5</v>
      </c>
      <c r="J649" s="713" t="s">
        <v>376</v>
      </c>
      <c r="K649" s="766">
        <v>9</v>
      </c>
      <c r="L649" s="766" t="s">
        <v>671</v>
      </c>
      <c r="M649" s="765" t="s">
        <v>737</v>
      </c>
      <c r="N649" s="765">
        <v>3</v>
      </c>
      <c r="O649" s="765" t="s">
        <v>7</v>
      </c>
      <c r="P649" s="735">
        <v>1</v>
      </c>
      <c r="Q649" s="713" t="s">
        <v>58</v>
      </c>
      <c r="R649" s="713" t="s">
        <v>58</v>
      </c>
      <c r="S649" s="713" t="s">
        <v>58</v>
      </c>
      <c r="T649" s="713" t="s">
        <v>58</v>
      </c>
      <c r="U649" s="764">
        <v>0.40500000000000003</v>
      </c>
      <c r="V649" s="764">
        <v>1507.0050000000001</v>
      </c>
      <c r="W649" s="764">
        <v>0.31764576029844455</v>
      </c>
      <c r="X649" s="764">
        <v>1245.0528500282496</v>
      </c>
      <c r="Y649" s="764">
        <v>3735.1585500847486</v>
      </c>
      <c r="Z649" s="764">
        <v>3525.5052714901626</v>
      </c>
      <c r="AA649" s="764">
        <v>1175.1684238300543</v>
      </c>
      <c r="AB649" s="764">
        <v>0.30003022354252162</v>
      </c>
      <c r="AC649" s="714">
        <v>0.82617698682369967</v>
      </c>
      <c r="AD649" s="714">
        <v>0.7843105192554185</v>
      </c>
      <c r="AE649" s="713" t="s">
        <v>58</v>
      </c>
      <c r="AF649" s="713" t="s">
        <v>58</v>
      </c>
      <c r="AG649" s="713" t="s">
        <v>58</v>
      </c>
      <c r="AH649" s="714">
        <v>0.94387031345969796</v>
      </c>
      <c r="AI649" s="713" t="s">
        <v>58</v>
      </c>
      <c r="AJ649" s="713" t="s">
        <v>58</v>
      </c>
      <c r="AK649" s="713" t="s">
        <v>58</v>
      </c>
      <c r="AL649" s="714">
        <v>0.94454345387965444</v>
      </c>
      <c r="AM649" s="713" t="s">
        <v>58</v>
      </c>
      <c r="AN649" s="713" t="s">
        <v>58</v>
      </c>
      <c r="AO649" s="713" t="s">
        <v>58</v>
      </c>
      <c r="AP649" s="747">
        <v>13</v>
      </c>
      <c r="AQ649" s="747">
        <v>117</v>
      </c>
      <c r="AR649" s="709"/>
      <c r="AS649" s="763">
        <v>0</v>
      </c>
      <c r="AT649" s="763">
        <v>0</v>
      </c>
      <c r="AU649" s="763">
        <v>0</v>
      </c>
      <c r="AV649" s="763">
        <v>0.30003022354252162</v>
      </c>
      <c r="AW649" s="763">
        <v>0.30003022354252162</v>
      </c>
      <c r="AX649" s="763">
        <v>0.30003022354252162</v>
      </c>
      <c r="AY649" s="763">
        <v>0</v>
      </c>
      <c r="AZ649" s="763">
        <v>0</v>
      </c>
      <c r="BA649" s="763">
        <v>0</v>
      </c>
      <c r="BB649" s="763">
        <v>0</v>
      </c>
      <c r="BC649" s="763">
        <v>0</v>
      </c>
      <c r="BD649" s="763">
        <v>0</v>
      </c>
      <c r="BE649" s="763">
        <v>0</v>
      </c>
      <c r="BF649" s="763">
        <v>0</v>
      </c>
      <c r="BG649" s="763">
        <v>0</v>
      </c>
      <c r="BH649" s="763">
        <v>0</v>
      </c>
      <c r="BI649" s="763">
        <v>0</v>
      </c>
      <c r="BJ649" s="763">
        <v>0</v>
      </c>
      <c r="BK649" s="763">
        <v>0</v>
      </c>
      <c r="BL649" s="763">
        <v>0</v>
      </c>
      <c r="BM649" s="763">
        <v>0</v>
      </c>
      <c r="BN649" s="763">
        <v>0</v>
      </c>
      <c r="BO649" s="763">
        <v>0</v>
      </c>
      <c r="BP649" s="763">
        <v>0</v>
      </c>
      <c r="BQ649" s="763">
        <v>0</v>
      </c>
      <c r="BR649" s="763">
        <v>0</v>
      </c>
      <c r="BS649" s="762">
        <v>0</v>
      </c>
      <c r="BT649" s="762">
        <v>0</v>
      </c>
      <c r="BU649" s="762">
        <v>0</v>
      </c>
      <c r="BV649" s="762">
        <v>1175.1684238300543</v>
      </c>
      <c r="BW649" s="762">
        <v>1175.1684238300543</v>
      </c>
      <c r="BX649" s="762">
        <v>1175.1684238300543</v>
      </c>
      <c r="BY649" s="762">
        <v>0</v>
      </c>
      <c r="BZ649" s="762">
        <v>0</v>
      </c>
      <c r="CA649" s="762">
        <v>0</v>
      </c>
      <c r="CB649" s="762">
        <v>0</v>
      </c>
      <c r="CC649" s="762">
        <v>0</v>
      </c>
      <c r="CD649" s="762">
        <v>0</v>
      </c>
      <c r="CE649" s="762">
        <v>0</v>
      </c>
      <c r="CF649" s="762">
        <v>0</v>
      </c>
      <c r="CG649" s="762">
        <v>0</v>
      </c>
      <c r="CH649" s="762">
        <v>0</v>
      </c>
      <c r="CI649" s="762">
        <v>0</v>
      </c>
      <c r="CJ649" s="762">
        <v>0</v>
      </c>
      <c r="CK649" s="762">
        <v>0</v>
      </c>
      <c r="CL649" s="762">
        <v>0</v>
      </c>
      <c r="CM649" s="762">
        <v>0</v>
      </c>
      <c r="CN649" s="762">
        <v>0</v>
      </c>
      <c r="CO649" s="762">
        <v>0</v>
      </c>
      <c r="CP649" s="762">
        <v>0</v>
      </c>
      <c r="CQ649" s="762">
        <v>0</v>
      </c>
      <c r="CR649" s="762">
        <v>0</v>
      </c>
    </row>
    <row r="650" spans="1:96" s="53" customFormat="1">
      <c r="A650" s="721" t="s">
        <v>3</v>
      </c>
      <c r="B650" s="723">
        <v>41915</v>
      </c>
      <c r="C650" s="721">
        <v>2014</v>
      </c>
      <c r="D650" s="713" t="s">
        <v>1</v>
      </c>
      <c r="E650" s="713" t="s">
        <v>674</v>
      </c>
      <c r="F650" s="723" t="s">
        <v>689</v>
      </c>
      <c r="G650" s="713" t="s">
        <v>58</v>
      </c>
      <c r="H650" s="723" t="s">
        <v>677</v>
      </c>
      <c r="I650" s="713" t="s">
        <v>5</v>
      </c>
      <c r="J650" s="713" t="s">
        <v>376</v>
      </c>
      <c r="K650" s="766">
        <v>1</v>
      </c>
      <c r="L650" s="766" t="s">
        <v>671</v>
      </c>
      <c r="M650" s="765" t="s">
        <v>737</v>
      </c>
      <c r="N650" s="765">
        <v>0</v>
      </c>
      <c r="O650" s="765">
        <v>0</v>
      </c>
      <c r="P650" s="735">
        <v>0</v>
      </c>
      <c r="Q650" s="713" t="s">
        <v>58</v>
      </c>
      <c r="R650" s="713" t="s">
        <v>58</v>
      </c>
      <c r="S650" s="713" t="s">
        <v>58</v>
      </c>
      <c r="T650" s="713" t="s">
        <v>58</v>
      </c>
      <c r="U650" s="764">
        <v>0</v>
      </c>
      <c r="V650" s="764">
        <v>0</v>
      </c>
      <c r="W650" s="764">
        <v>0</v>
      </c>
      <c r="X650" s="764">
        <v>0</v>
      </c>
      <c r="Y650" s="764">
        <v>0</v>
      </c>
      <c r="Z650" s="764">
        <v>0</v>
      </c>
      <c r="AA650" s="764">
        <v>0</v>
      </c>
      <c r="AB650" s="764">
        <v>0</v>
      </c>
      <c r="AC650" s="714">
        <v>0.82617698682369967</v>
      </c>
      <c r="AD650" s="714">
        <v>0.7843105192554185</v>
      </c>
      <c r="AE650" s="713" t="s">
        <v>58</v>
      </c>
      <c r="AF650" s="713" t="s">
        <v>58</v>
      </c>
      <c r="AG650" s="713" t="s">
        <v>58</v>
      </c>
      <c r="AH650" s="714">
        <v>0.94387031345969796</v>
      </c>
      <c r="AI650" s="713" t="s">
        <v>58</v>
      </c>
      <c r="AJ650" s="713" t="s">
        <v>58</v>
      </c>
      <c r="AK650" s="713" t="s">
        <v>58</v>
      </c>
      <c r="AL650" s="714">
        <v>0.94454345387965444</v>
      </c>
      <c r="AM650" s="713" t="s">
        <v>58</v>
      </c>
      <c r="AN650" s="713" t="s">
        <v>58</v>
      </c>
      <c r="AO650" s="713" t="s">
        <v>58</v>
      </c>
      <c r="AP650" s="747">
        <v>51</v>
      </c>
      <c r="AQ650" s="747">
        <v>51</v>
      </c>
      <c r="AR650" s="709"/>
      <c r="AS650" s="763">
        <v>0</v>
      </c>
      <c r="AT650" s="763">
        <v>0</v>
      </c>
      <c r="AU650" s="763">
        <v>0</v>
      </c>
      <c r="AV650" s="763">
        <v>0</v>
      </c>
      <c r="AW650" s="763">
        <v>0</v>
      </c>
      <c r="AX650" s="763">
        <v>0</v>
      </c>
      <c r="AY650" s="763">
        <v>0</v>
      </c>
      <c r="AZ650" s="763">
        <v>0</v>
      </c>
      <c r="BA650" s="763">
        <v>0</v>
      </c>
      <c r="BB650" s="763">
        <v>0</v>
      </c>
      <c r="BC650" s="763">
        <v>0</v>
      </c>
      <c r="BD650" s="763">
        <v>0</v>
      </c>
      <c r="BE650" s="763">
        <v>0</v>
      </c>
      <c r="BF650" s="763">
        <v>0</v>
      </c>
      <c r="BG650" s="763">
        <v>0</v>
      </c>
      <c r="BH650" s="763">
        <v>0</v>
      </c>
      <c r="BI650" s="763">
        <v>0</v>
      </c>
      <c r="BJ650" s="763">
        <v>0</v>
      </c>
      <c r="BK650" s="763">
        <v>0</v>
      </c>
      <c r="BL650" s="763">
        <v>0</v>
      </c>
      <c r="BM650" s="763">
        <v>0</v>
      </c>
      <c r="BN650" s="763">
        <v>0</v>
      </c>
      <c r="BO650" s="763">
        <v>0</v>
      </c>
      <c r="BP650" s="763">
        <v>0</v>
      </c>
      <c r="BQ650" s="763">
        <v>0</v>
      </c>
      <c r="BR650" s="763">
        <v>0</v>
      </c>
      <c r="BS650" s="762">
        <v>0</v>
      </c>
      <c r="BT650" s="762">
        <v>0</v>
      </c>
      <c r="BU650" s="762">
        <v>0</v>
      </c>
      <c r="BV650" s="762">
        <v>0</v>
      </c>
      <c r="BW650" s="762">
        <v>0</v>
      </c>
      <c r="BX650" s="762">
        <v>0</v>
      </c>
      <c r="BY650" s="762">
        <v>0</v>
      </c>
      <c r="BZ650" s="762">
        <v>0</v>
      </c>
      <c r="CA650" s="762">
        <v>0</v>
      </c>
      <c r="CB650" s="762">
        <v>0</v>
      </c>
      <c r="CC650" s="762">
        <v>0</v>
      </c>
      <c r="CD650" s="762">
        <v>0</v>
      </c>
      <c r="CE650" s="762">
        <v>0</v>
      </c>
      <c r="CF650" s="762">
        <v>0</v>
      </c>
      <c r="CG650" s="762">
        <v>0</v>
      </c>
      <c r="CH650" s="762">
        <v>0</v>
      </c>
      <c r="CI650" s="762">
        <v>0</v>
      </c>
      <c r="CJ650" s="762">
        <v>0</v>
      </c>
      <c r="CK650" s="762">
        <v>0</v>
      </c>
      <c r="CL650" s="762">
        <v>0</v>
      </c>
      <c r="CM650" s="762">
        <v>0</v>
      </c>
      <c r="CN650" s="762">
        <v>0</v>
      </c>
      <c r="CO650" s="762">
        <v>0</v>
      </c>
      <c r="CP650" s="762">
        <v>0</v>
      </c>
      <c r="CQ650" s="762">
        <v>0</v>
      </c>
      <c r="CR650" s="762">
        <v>0</v>
      </c>
    </row>
    <row r="651" spans="1:96" s="53" customFormat="1">
      <c r="A651" s="721" t="s">
        <v>3</v>
      </c>
      <c r="B651" s="723">
        <v>41915</v>
      </c>
      <c r="C651" s="721">
        <v>2014</v>
      </c>
      <c r="D651" s="713" t="s">
        <v>1</v>
      </c>
      <c r="E651" s="713" t="s">
        <v>674</v>
      </c>
      <c r="F651" s="723" t="s">
        <v>689</v>
      </c>
      <c r="G651" s="713" t="s">
        <v>58</v>
      </c>
      <c r="H651" s="723" t="s">
        <v>676</v>
      </c>
      <c r="I651" s="713" t="s">
        <v>5</v>
      </c>
      <c r="J651" s="713" t="s">
        <v>376</v>
      </c>
      <c r="K651" s="766">
        <v>6</v>
      </c>
      <c r="L651" s="766" t="s">
        <v>671</v>
      </c>
      <c r="M651" s="765" t="s">
        <v>737</v>
      </c>
      <c r="N651" s="765">
        <v>12</v>
      </c>
      <c r="O651" s="765">
        <v>3</v>
      </c>
      <c r="P651" s="735">
        <v>0.31578947368421051</v>
      </c>
      <c r="Q651" s="713" t="s">
        <v>58</v>
      </c>
      <c r="R651" s="713" t="s">
        <v>58</v>
      </c>
      <c r="S651" s="713" t="s">
        <v>58</v>
      </c>
      <c r="T651" s="713" t="s">
        <v>58</v>
      </c>
      <c r="U651" s="764">
        <v>0.22800000000000001</v>
      </c>
      <c r="V651" s="764">
        <v>741.68399999999997</v>
      </c>
      <c r="W651" s="764">
        <v>0.17882279839023546</v>
      </c>
      <c r="X651" s="764">
        <v>612.76225229534884</v>
      </c>
      <c r="Y651" s="764">
        <v>3579.8215791991433</v>
      </c>
      <c r="Z651" s="764">
        <v>3378.8873160884864</v>
      </c>
      <c r="AA651" s="764">
        <v>578.36809915028141</v>
      </c>
      <c r="AB651" s="764">
        <v>0.16890590362393812</v>
      </c>
      <c r="AC651" s="714">
        <v>0.82617698682369967</v>
      </c>
      <c r="AD651" s="714">
        <v>0.7843105192554185</v>
      </c>
      <c r="AE651" s="713" t="s">
        <v>58</v>
      </c>
      <c r="AF651" s="713" t="s">
        <v>58</v>
      </c>
      <c r="AG651" s="713" t="s">
        <v>58</v>
      </c>
      <c r="AH651" s="714">
        <v>0.94387031345969796</v>
      </c>
      <c r="AI651" s="713" t="s">
        <v>58</v>
      </c>
      <c r="AJ651" s="713" t="s">
        <v>58</v>
      </c>
      <c r="AK651" s="713" t="s">
        <v>58</v>
      </c>
      <c r="AL651" s="714">
        <v>0.94454345387965444</v>
      </c>
      <c r="AM651" s="713" t="s">
        <v>58</v>
      </c>
      <c r="AN651" s="713" t="s">
        <v>58</v>
      </c>
      <c r="AO651" s="713" t="s">
        <v>58</v>
      </c>
      <c r="AP651" s="747">
        <v>57</v>
      </c>
      <c r="AQ651" s="747">
        <v>342</v>
      </c>
      <c r="AR651" s="709"/>
      <c r="AS651" s="763">
        <v>0</v>
      </c>
      <c r="AT651" s="763">
        <v>0</v>
      </c>
      <c r="AU651" s="763">
        <v>0</v>
      </c>
      <c r="AV651" s="763">
        <v>0.16890590362393812</v>
      </c>
      <c r="AW651" s="763">
        <v>0.16890590362393812</v>
      </c>
      <c r="AX651" s="763">
        <v>0.16890590362393812</v>
      </c>
      <c r="AY651" s="763">
        <v>5.3338706407559403E-2</v>
      </c>
      <c r="AZ651" s="763">
        <v>5.3338706407559403E-2</v>
      </c>
      <c r="BA651" s="763">
        <v>5.3338706407559403E-2</v>
      </c>
      <c r="BB651" s="763">
        <v>5.3338706407559403E-2</v>
      </c>
      <c r="BC651" s="763">
        <v>5.3338706407559403E-2</v>
      </c>
      <c r="BD651" s="763">
        <v>5.3338706407559403E-2</v>
      </c>
      <c r="BE651" s="763">
        <v>5.3338706407559403E-2</v>
      </c>
      <c r="BF651" s="763">
        <v>5.3338706407559403E-2</v>
      </c>
      <c r="BG651" s="763">
        <v>5.3338706407559403E-2</v>
      </c>
      <c r="BH651" s="763">
        <v>0</v>
      </c>
      <c r="BI651" s="763">
        <v>0</v>
      </c>
      <c r="BJ651" s="763">
        <v>0</v>
      </c>
      <c r="BK651" s="763">
        <v>0</v>
      </c>
      <c r="BL651" s="763">
        <v>0</v>
      </c>
      <c r="BM651" s="763">
        <v>0</v>
      </c>
      <c r="BN651" s="763">
        <v>0</v>
      </c>
      <c r="BO651" s="763">
        <v>0</v>
      </c>
      <c r="BP651" s="763">
        <v>0</v>
      </c>
      <c r="BQ651" s="763">
        <v>0</v>
      </c>
      <c r="BR651" s="763">
        <v>0</v>
      </c>
      <c r="BS651" s="762">
        <v>0</v>
      </c>
      <c r="BT651" s="762">
        <v>0</v>
      </c>
      <c r="BU651" s="762">
        <v>0</v>
      </c>
      <c r="BV651" s="762">
        <v>578.36809915028141</v>
      </c>
      <c r="BW651" s="762">
        <v>578.36809915028141</v>
      </c>
      <c r="BX651" s="762">
        <v>578.36809915028141</v>
      </c>
      <c r="BY651" s="762">
        <v>182.64255762640465</v>
      </c>
      <c r="BZ651" s="762">
        <v>182.64255762640465</v>
      </c>
      <c r="CA651" s="762">
        <v>182.64255762640465</v>
      </c>
      <c r="CB651" s="762">
        <v>182.64255762640465</v>
      </c>
      <c r="CC651" s="762">
        <v>182.64255762640465</v>
      </c>
      <c r="CD651" s="762">
        <v>182.64255762640465</v>
      </c>
      <c r="CE651" s="762">
        <v>182.64255762640465</v>
      </c>
      <c r="CF651" s="762">
        <v>182.64255762640465</v>
      </c>
      <c r="CG651" s="762">
        <v>182.64255762640465</v>
      </c>
      <c r="CH651" s="762">
        <v>0</v>
      </c>
      <c r="CI651" s="762">
        <v>0</v>
      </c>
      <c r="CJ651" s="762">
        <v>0</v>
      </c>
      <c r="CK651" s="762">
        <v>0</v>
      </c>
      <c r="CL651" s="762">
        <v>0</v>
      </c>
      <c r="CM651" s="762">
        <v>0</v>
      </c>
      <c r="CN651" s="762">
        <v>0</v>
      </c>
      <c r="CO651" s="762">
        <v>0</v>
      </c>
      <c r="CP651" s="762">
        <v>0</v>
      </c>
      <c r="CQ651" s="762">
        <v>0</v>
      </c>
      <c r="CR651" s="762">
        <v>0</v>
      </c>
    </row>
    <row r="652" spans="1:96" s="53" customFormat="1">
      <c r="A652" s="721" t="s">
        <v>3</v>
      </c>
      <c r="B652" s="723">
        <v>41915</v>
      </c>
      <c r="C652" s="721">
        <v>2014</v>
      </c>
      <c r="D652" s="713" t="s">
        <v>1</v>
      </c>
      <c r="E652" s="713" t="s">
        <v>674</v>
      </c>
      <c r="F652" s="723" t="s">
        <v>689</v>
      </c>
      <c r="G652" s="713" t="s">
        <v>58</v>
      </c>
      <c r="H652" s="723" t="s">
        <v>676</v>
      </c>
      <c r="I652" s="713" t="s">
        <v>5</v>
      </c>
      <c r="J652" s="713" t="s">
        <v>376</v>
      </c>
      <c r="K652" s="766">
        <v>3</v>
      </c>
      <c r="L652" s="766" t="s">
        <v>671</v>
      </c>
      <c r="M652" s="765" t="s">
        <v>737</v>
      </c>
      <c r="N652" s="765">
        <v>12</v>
      </c>
      <c r="O652" s="765">
        <v>3</v>
      </c>
      <c r="P652" s="735">
        <v>0.31578947368421051</v>
      </c>
      <c r="Q652" s="713" t="s">
        <v>58</v>
      </c>
      <c r="R652" s="713" t="s">
        <v>58</v>
      </c>
      <c r="S652" s="713" t="s">
        <v>58</v>
      </c>
      <c r="T652" s="713" t="s">
        <v>58</v>
      </c>
      <c r="U652" s="764">
        <v>0.114</v>
      </c>
      <c r="V652" s="764">
        <v>370.84199999999998</v>
      </c>
      <c r="W652" s="764">
        <v>8.941139919511773E-2</v>
      </c>
      <c r="X652" s="764">
        <v>306.38112614767442</v>
      </c>
      <c r="Y652" s="764">
        <v>1789.9107895995717</v>
      </c>
      <c r="Z652" s="764">
        <v>1689.4436580442432</v>
      </c>
      <c r="AA652" s="764">
        <v>289.1840495751407</v>
      </c>
      <c r="AB652" s="764">
        <v>8.445295181196906E-2</v>
      </c>
      <c r="AC652" s="714">
        <v>0.82617698682369967</v>
      </c>
      <c r="AD652" s="714">
        <v>0.7843105192554185</v>
      </c>
      <c r="AE652" s="713" t="s">
        <v>58</v>
      </c>
      <c r="AF652" s="713" t="s">
        <v>58</v>
      </c>
      <c r="AG652" s="713" t="s">
        <v>58</v>
      </c>
      <c r="AH652" s="714">
        <v>0.94387031345969796</v>
      </c>
      <c r="AI652" s="713" t="s">
        <v>58</v>
      </c>
      <c r="AJ652" s="713" t="s">
        <v>58</v>
      </c>
      <c r="AK652" s="713" t="s">
        <v>58</v>
      </c>
      <c r="AL652" s="714">
        <v>0.94454345387965444</v>
      </c>
      <c r="AM652" s="713" t="s">
        <v>58</v>
      </c>
      <c r="AN652" s="713" t="s">
        <v>58</v>
      </c>
      <c r="AO652" s="713" t="s">
        <v>58</v>
      </c>
      <c r="AP652" s="747">
        <v>57</v>
      </c>
      <c r="AQ652" s="747">
        <v>171</v>
      </c>
      <c r="AR652" s="709"/>
      <c r="AS652" s="763">
        <v>0</v>
      </c>
      <c r="AT652" s="763">
        <v>0</v>
      </c>
      <c r="AU652" s="763">
        <v>0</v>
      </c>
      <c r="AV652" s="763">
        <v>8.445295181196906E-2</v>
      </c>
      <c r="AW652" s="763">
        <v>8.445295181196906E-2</v>
      </c>
      <c r="AX652" s="763">
        <v>8.445295181196906E-2</v>
      </c>
      <c r="AY652" s="763">
        <v>2.6669353203779701E-2</v>
      </c>
      <c r="AZ652" s="763">
        <v>2.6669353203779701E-2</v>
      </c>
      <c r="BA652" s="763">
        <v>2.6669353203779701E-2</v>
      </c>
      <c r="BB652" s="763">
        <v>2.6669353203779701E-2</v>
      </c>
      <c r="BC652" s="763">
        <v>2.6669353203779701E-2</v>
      </c>
      <c r="BD652" s="763">
        <v>2.6669353203779701E-2</v>
      </c>
      <c r="BE652" s="763">
        <v>2.6669353203779701E-2</v>
      </c>
      <c r="BF652" s="763">
        <v>2.6669353203779701E-2</v>
      </c>
      <c r="BG652" s="763">
        <v>2.6669353203779701E-2</v>
      </c>
      <c r="BH652" s="763">
        <v>0</v>
      </c>
      <c r="BI652" s="763">
        <v>0</v>
      </c>
      <c r="BJ652" s="763">
        <v>0</v>
      </c>
      <c r="BK652" s="763">
        <v>0</v>
      </c>
      <c r="BL652" s="763">
        <v>0</v>
      </c>
      <c r="BM652" s="763">
        <v>0</v>
      </c>
      <c r="BN652" s="763">
        <v>0</v>
      </c>
      <c r="BO652" s="763">
        <v>0</v>
      </c>
      <c r="BP652" s="763">
        <v>0</v>
      </c>
      <c r="BQ652" s="763">
        <v>0</v>
      </c>
      <c r="BR652" s="763">
        <v>0</v>
      </c>
      <c r="BS652" s="762">
        <v>0</v>
      </c>
      <c r="BT652" s="762">
        <v>0</v>
      </c>
      <c r="BU652" s="762">
        <v>0</v>
      </c>
      <c r="BV652" s="762">
        <v>289.1840495751407</v>
      </c>
      <c r="BW652" s="762">
        <v>289.1840495751407</v>
      </c>
      <c r="BX652" s="762">
        <v>289.1840495751407</v>
      </c>
      <c r="BY652" s="762">
        <v>91.321278813202326</v>
      </c>
      <c r="BZ652" s="762">
        <v>91.321278813202326</v>
      </c>
      <c r="CA652" s="762">
        <v>91.321278813202326</v>
      </c>
      <c r="CB652" s="762">
        <v>91.321278813202326</v>
      </c>
      <c r="CC652" s="762">
        <v>91.321278813202326</v>
      </c>
      <c r="CD652" s="762">
        <v>91.321278813202326</v>
      </c>
      <c r="CE652" s="762">
        <v>91.321278813202326</v>
      </c>
      <c r="CF652" s="762">
        <v>91.321278813202326</v>
      </c>
      <c r="CG652" s="762">
        <v>91.321278813202326</v>
      </c>
      <c r="CH652" s="762">
        <v>0</v>
      </c>
      <c r="CI652" s="762">
        <v>0</v>
      </c>
      <c r="CJ652" s="762">
        <v>0</v>
      </c>
      <c r="CK652" s="762">
        <v>0</v>
      </c>
      <c r="CL652" s="762">
        <v>0</v>
      </c>
      <c r="CM652" s="762">
        <v>0</v>
      </c>
      <c r="CN652" s="762">
        <v>0</v>
      </c>
      <c r="CO652" s="762">
        <v>0</v>
      </c>
      <c r="CP652" s="762">
        <v>0</v>
      </c>
      <c r="CQ652" s="762">
        <v>0</v>
      </c>
      <c r="CR652" s="762">
        <v>0</v>
      </c>
    </row>
    <row r="653" spans="1:96" s="53" customFormat="1">
      <c r="A653" s="721" t="s">
        <v>3</v>
      </c>
      <c r="B653" s="723">
        <v>41915</v>
      </c>
      <c r="C653" s="721">
        <v>2014</v>
      </c>
      <c r="D653" s="713" t="s">
        <v>1</v>
      </c>
      <c r="E653" s="713" t="s">
        <v>674</v>
      </c>
      <c r="F653" s="723" t="s">
        <v>689</v>
      </c>
      <c r="G653" s="713" t="s">
        <v>58</v>
      </c>
      <c r="H653" s="723" t="s">
        <v>702</v>
      </c>
      <c r="I653" s="713" t="s">
        <v>5</v>
      </c>
      <c r="J653" s="713" t="s">
        <v>376</v>
      </c>
      <c r="K653" s="766">
        <v>14</v>
      </c>
      <c r="L653" s="766" t="s">
        <v>671</v>
      </c>
      <c r="M653" s="765" t="s">
        <v>737</v>
      </c>
      <c r="N653" s="765">
        <v>11</v>
      </c>
      <c r="O653" s="765" t="s">
        <v>7</v>
      </c>
      <c r="P653" s="735">
        <v>1</v>
      </c>
      <c r="Q653" s="713" t="s">
        <v>58</v>
      </c>
      <c r="R653" s="713" t="s">
        <v>58</v>
      </c>
      <c r="S653" s="713" t="s">
        <v>58</v>
      </c>
      <c r="T653" s="713" t="s">
        <v>58</v>
      </c>
      <c r="U653" s="764">
        <v>0.63700000000000001</v>
      </c>
      <c r="V653" s="764">
        <v>2370.277</v>
      </c>
      <c r="W653" s="764">
        <v>0.49960580076570166</v>
      </c>
      <c r="X653" s="764">
        <v>1958.2683097975184</v>
      </c>
      <c r="Y653" s="764">
        <v>21540.951407772704</v>
      </c>
      <c r="Z653" s="764">
        <v>20331.864557474542</v>
      </c>
      <c r="AA653" s="764">
        <v>1848.3513234067766</v>
      </c>
      <c r="AB653" s="764">
        <v>0.47189938863354636</v>
      </c>
      <c r="AC653" s="714">
        <v>0.82617698682369967</v>
      </c>
      <c r="AD653" s="714">
        <v>0.7843105192554185</v>
      </c>
      <c r="AE653" s="713" t="s">
        <v>58</v>
      </c>
      <c r="AF653" s="713" t="s">
        <v>58</v>
      </c>
      <c r="AG653" s="713" t="s">
        <v>58</v>
      </c>
      <c r="AH653" s="714">
        <v>0.94387031345969796</v>
      </c>
      <c r="AI653" s="713" t="s">
        <v>58</v>
      </c>
      <c r="AJ653" s="713" t="s">
        <v>58</v>
      </c>
      <c r="AK653" s="713" t="s">
        <v>58</v>
      </c>
      <c r="AL653" s="714">
        <v>0.94454345387965444</v>
      </c>
      <c r="AM653" s="713" t="s">
        <v>58</v>
      </c>
      <c r="AN653" s="713" t="s">
        <v>58</v>
      </c>
      <c r="AO653" s="713" t="s">
        <v>58</v>
      </c>
      <c r="AP653" s="747">
        <v>47</v>
      </c>
      <c r="AQ653" s="747">
        <v>658</v>
      </c>
      <c r="AR653" s="709"/>
      <c r="AS653" s="763">
        <v>0</v>
      </c>
      <c r="AT653" s="763">
        <v>0</v>
      </c>
      <c r="AU653" s="763">
        <v>0</v>
      </c>
      <c r="AV653" s="763">
        <v>0.47189938863354636</v>
      </c>
      <c r="AW653" s="763">
        <v>0.47189938863354636</v>
      </c>
      <c r="AX653" s="763">
        <v>0.47189938863354636</v>
      </c>
      <c r="AY653" s="763">
        <v>0.47189938863354636</v>
      </c>
      <c r="AZ653" s="763">
        <v>0.47189938863354636</v>
      </c>
      <c r="BA653" s="763">
        <v>0.47189938863354636</v>
      </c>
      <c r="BB653" s="763">
        <v>0.47189938863354636</v>
      </c>
      <c r="BC653" s="763">
        <v>0.47189938863354636</v>
      </c>
      <c r="BD653" s="763">
        <v>0.47189938863354636</v>
      </c>
      <c r="BE653" s="763">
        <v>0.47189938863354636</v>
      </c>
      <c r="BF653" s="763">
        <v>0.47189938863354636</v>
      </c>
      <c r="BG653" s="763">
        <v>0</v>
      </c>
      <c r="BH653" s="763">
        <v>0</v>
      </c>
      <c r="BI653" s="763">
        <v>0</v>
      </c>
      <c r="BJ653" s="763">
        <v>0</v>
      </c>
      <c r="BK653" s="763">
        <v>0</v>
      </c>
      <c r="BL653" s="763">
        <v>0</v>
      </c>
      <c r="BM653" s="763">
        <v>0</v>
      </c>
      <c r="BN653" s="763">
        <v>0</v>
      </c>
      <c r="BO653" s="763">
        <v>0</v>
      </c>
      <c r="BP653" s="763">
        <v>0</v>
      </c>
      <c r="BQ653" s="763">
        <v>0</v>
      </c>
      <c r="BR653" s="763">
        <v>0</v>
      </c>
      <c r="BS653" s="762">
        <v>0</v>
      </c>
      <c r="BT653" s="762">
        <v>0</v>
      </c>
      <c r="BU653" s="762">
        <v>0</v>
      </c>
      <c r="BV653" s="762">
        <v>1848.3513234067766</v>
      </c>
      <c r="BW653" s="762">
        <v>1848.3513234067766</v>
      </c>
      <c r="BX653" s="762">
        <v>1848.3513234067766</v>
      </c>
      <c r="BY653" s="762">
        <v>1848.3513234067766</v>
      </c>
      <c r="BZ653" s="762">
        <v>1848.3513234067766</v>
      </c>
      <c r="CA653" s="762">
        <v>1848.3513234067766</v>
      </c>
      <c r="CB653" s="762">
        <v>1848.3513234067766</v>
      </c>
      <c r="CC653" s="762">
        <v>1848.3513234067766</v>
      </c>
      <c r="CD653" s="762">
        <v>1848.3513234067766</v>
      </c>
      <c r="CE653" s="762">
        <v>1848.3513234067766</v>
      </c>
      <c r="CF653" s="762">
        <v>1848.3513234067766</v>
      </c>
      <c r="CG653" s="762">
        <v>0</v>
      </c>
      <c r="CH653" s="762">
        <v>0</v>
      </c>
      <c r="CI653" s="762">
        <v>0</v>
      </c>
      <c r="CJ653" s="762">
        <v>0</v>
      </c>
      <c r="CK653" s="762">
        <v>0</v>
      </c>
      <c r="CL653" s="762">
        <v>0</v>
      </c>
      <c r="CM653" s="762">
        <v>0</v>
      </c>
      <c r="CN653" s="762">
        <v>0</v>
      </c>
      <c r="CO653" s="762">
        <v>0</v>
      </c>
      <c r="CP653" s="762">
        <v>0</v>
      </c>
      <c r="CQ653" s="762">
        <v>0</v>
      </c>
      <c r="CR653" s="762">
        <v>0</v>
      </c>
    </row>
    <row r="654" spans="1:96" s="53" customFormat="1">
      <c r="A654" s="721" t="s">
        <v>3</v>
      </c>
      <c r="B654" s="723">
        <v>41915</v>
      </c>
      <c r="C654" s="721">
        <v>2014</v>
      </c>
      <c r="D654" s="713" t="s">
        <v>1</v>
      </c>
      <c r="E654" s="713" t="s">
        <v>674</v>
      </c>
      <c r="F654" s="723" t="s">
        <v>689</v>
      </c>
      <c r="G654" s="713" t="s">
        <v>58</v>
      </c>
      <c r="H654" s="723" t="s">
        <v>677</v>
      </c>
      <c r="I654" s="713" t="s">
        <v>5</v>
      </c>
      <c r="J654" s="713" t="s">
        <v>376</v>
      </c>
      <c r="K654" s="766">
        <v>1</v>
      </c>
      <c r="L654" s="766" t="s">
        <v>671</v>
      </c>
      <c r="M654" s="765" t="s">
        <v>737</v>
      </c>
      <c r="N654" s="765">
        <v>0</v>
      </c>
      <c r="O654" s="765">
        <v>0</v>
      </c>
      <c r="P654" s="735">
        <v>0</v>
      </c>
      <c r="Q654" s="713" t="s">
        <v>58</v>
      </c>
      <c r="R654" s="713" t="s">
        <v>58</v>
      </c>
      <c r="S654" s="713" t="s">
        <v>58</v>
      </c>
      <c r="T654" s="713" t="s">
        <v>58</v>
      </c>
      <c r="U654" s="764">
        <v>0</v>
      </c>
      <c r="V654" s="764">
        <v>0</v>
      </c>
      <c r="W654" s="764">
        <v>0</v>
      </c>
      <c r="X654" s="764">
        <v>0</v>
      </c>
      <c r="Y654" s="764">
        <v>0</v>
      </c>
      <c r="Z654" s="764">
        <v>0</v>
      </c>
      <c r="AA654" s="764">
        <v>0</v>
      </c>
      <c r="AB654" s="764">
        <v>0</v>
      </c>
      <c r="AC654" s="714">
        <v>0.82617698682369967</v>
      </c>
      <c r="AD654" s="714">
        <v>0.7843105192554185</v>
      </c>
      <c r="AE654" s="713" t="s">
        <v>58</v>
      </c>
      <c r="AF654" s="713" t="s">
        <v>58</v>
      </c>
      <c r="AG654" s="713" t="s">
        <v>58</v>
      </c>
      <c r="AH654" s="714">
        <v>0.94387031345969796</v>
      </c>
      <c r="AI654" s="713" t="s">
        <v>58</v>
      </c>
      <c r="AJ654" s="713" t="s">
        <v>58</v>
      </c>
      <c r="AK654" s="713" t="s">
        <v>58</v>
      </c>
      <c r="AL654" s="714">
        <v>0.94454345387965444</v>
      </c>
      <c r="AM654" s="713" t="s">
        <v>58</v>
      </c>
      <c r="AN654" s="713" t="s">
        <v>58</v>
      </c>
      <c r="AO654" s="713" t="s">
        <v>58</v>
      </c>
      <c r="AP654" s="747">
        <v>51</v>
      </c>
      <c r="AQ654" s="747">
        <v>51</v>
      </c>
      <c r="AR654" s="709"/>
      <c r="AS654" s="763">
        <v>0</v>
      </c>
      <c r="AT654" s="763">
        <v>0</v>
      </c>
      <c r="AU654" s="763">
        <v>0</v>
      </c>
      <c r="AV654" s="763">
        <v>0</v>
      </c>
      <c r="AW654" s="763">
        <v>0</v>
      </c>
      <c r="AX654" s="763">
        <v>0</v>
      </c>
      <c r="AY654" s="763">
        <v>0</v>
      </c>
      <c r="AZ654" s="763">
        <v>0</v>
      </c>
      <c r="BA654" s="763">
        <v>0</v>
      </c>
      <c r="BB654" s="763">
        <v>0</v>
      </c>
      <c r="BC654" s="763">
        <v>0</v>
      </c>
      <c r="BD654" s="763">
        <v>0</v>
      </c>
      <c r="BE654" s="763">
        <v>0</v>
      </c>
      <c r="BF654" s="763">
        <v>0</v>
      </c>
      <c r="BG654" s="763">
        <v>0</v>
      </c>
      <c r="BH654" s="763">
        <v>0</v>
      </c>
      <c r="BI654" s="763">
        <v>0</v>
      </c>
      <c r="BJ654" s="763">
        <v>0</v>
      </c>
      <c r="BK654" s="763">
        <v>0</v>
      </c>
      <c r="BL654" s="763">
        <v>0</v>
      </c>
      <c r="BM654" s="763">
        <v>0</v>
      </c>
      <c r="BN654" s="763">
        <v>0</v>
      </c>
      <c r="BO654" s="763">
        <v>0</v>
      </c>
      <c r="BP654" s="763">
        <v>0</v>
      </c>
      <c r="BQ654" s="763">
        <v>0</v>
      </c>
      <c r="BR654" s="763">
        <v>0</v>
      </c>
      <c r="BS654" s="762">
        <v>0</v>
      </c>
      <c r="BT654" s="762">
        <v>0</v>
      </c>
      <c r="BU654" s="762">
        <v>0</v>
      </c>
      <c r="BV654" s="762">
        <v>0</v>
      </c>
      <c r="BW654" s="762">
        <v>0</v>
      </c>
      <c r="BX654" s="762">
        <v>0</v>
      </c>
      <c r="BY654" s="762">
        <v>0</v>
      </c>
      <c r="BZ654" s="762">
        <v>0</v>
      </c>
      <c r="CA654" s="762">
        <v>0</v>
      </c>
      <c r="CB654" s="762">
        <v>0</v>
      </c>
      <c r="CC654" s="762">
        <v>0</v>
      </c>
      <c r="CD654" s="762">
        <v>0</v>
      </c>
      <c r="CE654" s="762">
        <v>0</v>
      </c>
      <c r="CF654" s="762">
        <v>0</v>
      </c>
      <c r="CG654" s="762">
        <v>0</v>
      </c>
      <c r="CH654" s="762">
        <v>0</v>
      </c>
      <c r="CI654" s="762">
        <v>0</v>
      </c>
      <c r="CJ654" s="762">
        <v>0</v>
      </c>
      <c r="CK654" s="762">
        <v>0</v>
      </c>
      <c r="CL654" s="762">
        <v>0</v>
      </c>
      <c r="CM654" s="762">
        <v>0</v>
      </c>
      <c r="CN654" s="762">
        <v>0</v>
      </c>
      <c r="CO654" s="762">
        <v>0</v>
      </c>
      <c r="CP654" s="762">
        <v>0</v>
      </c>
      <c r="CQ654" s="762">
        <v>0</v>
      </c>
      <c r="CR654" s="762">
        <v>0</v>
      </c>
    </row>
    <row r="655" spans="1:96" s="53" customFormat="1">
      <c r="A655" s="721" t="s">
        <v>3</v>
      </c>
      <c r="B655" s="723">
        <v>41915</v>
      </c>
      <c r="C655" s="721">
        <v>2014</v>
      </c>
      <c r="D655" s="713" t="s">
        <v>1</v>
      </c>
      <c r="E655" s="713" t="s">
        <v>674</v>
      </c>
      <c r="F655" s="723" t="s">
        <v>689</v>
      </c>
      <c r="G655" s="713" t="s">
        <v>58</v>
      </c>
      <c r="H655" s="723" t="s">
        <v>702</v>
      </c>
      <c r="I655" s="713" t="s">
        <v>5</v>
      </c>
      <c r="J655" s="713" t="s">
        <v>376</v>
      </c>
      <c r="K655" s="766">
        <v>15</v>
      </c>
      <c r="L655" s="766" t="s">
        <v>671</v>
      </c>
      <c r="M655" s="765" t="s">
        <v>737</v>
      </c>
      <c r="N655" s="765">
        <v>11</v>
      </c>
      <c r="O655" s="765" t="s">
        <v>7</v>
      </c>
      <c r="P655" s="735">
        <v>1</v>
      </c>
      <c r="Q655" s="713" t="s">
        <v>58</v>
      </c>
      <c r="R655" s="713" t="s">
        <v>58</v>
      </c>
      <c r="S655" s="713" t="s">
        <v>58</v>
      </c>
      <c r="T655" s="713" t="s">
        <v>58</v>
      </c>
      <c r="U655" s="764">
        <v>0.6825</v>
      </c>
      <c r="V655" s="764">
        <v>2539.5825</v>
      </c>
      <c r="W655" s="764">
        <v>0.53529192939182324</v>
      </c>
      <c r="X655" s="764">
        <v>2098.1446176401982</v>
      </c>
      <c r="Y655" s="764">
        <v>23079.590794042182</v>
      </c>
      <c r="Z655" s="764">
        <v>21784.140597294154</v>
      </c>
      <c r="AA655" s="764">
        <v>1980.376417935832</v>
      </c>
      <c r="AB655" s="764">
        <v>0.50560648782165685</v>
      </c>
      <c r="AC655" s="714">
        <v>0.82617698682369967</v>
      </c>
      <c r="AD655" s="714">
        <v>0.7843105192554185</v>
      </c>
      <c r="AE655" s="713" t="s">
        <v>58</v>
      </c>
      <c r="AF655" s="713" t="s">
        <v>58</v>
      </c>
      <c r="AG655" s="713" t="s">
        <v>58</v>
      </c>
      <c r="AH655" s="714">
        <v>0.94387031345969796</v>
      </c>
      <c r="AI655" s="713" t="s">
        <v>58</v>
      </c>
      <c r="AJ655" s="713" t="s">
        <v>58</v>
      </c>
      <c r="AK655" s="713" t="s">
        <v>58</v>
      </c>
      <c r="AL655" s="714">
        <v>0.94454345387965444</v>
      </c>
      <c r="AM655" s="713" t="s">
        <v>58</v>
      </c>
      <c r="AN655" s="713" t="s">
        <v>58</v>
      </c>
      <c r="AO655" s="713" t="s">
        <v>58</v>
      </c>
      <c r="AP655" s="747">
        <v>47</v>
      </c>
      <c r="AQ655" s="747">
        <v>705</v>
      </c>
      <c r="AR655" s="709"/>
      <c r="AS655" s="763">
        <v>0</v>
      </c>
      <c r="AT655" s="763">
        <v>0</v>
      </c>
      <c r="AU655" s="763">
        <v>0</v>
      </c>
      <c r="AV655" s="763">
        <v>0.50560648782165685</v>
      </c>
      <c r="AW655" s="763">
        <v>0.50560648782165685</v>
      </c>
      <c r="AX655" s="763">
        <v>0.50560648782165685</v>
      </c>
      <c r="AY655" s="763">
        <v>0.50560648782165685</v>
      </c>
      <c r="AZ655" s="763">
        <v>0.50560648782165685</v>
      </c>
      <c r="BA655" s="763">
        <v>0.50560648782165685</v>
      </c>
      <c r="BB655" s="763">
        <v>0.50560648782165685</v>
      </c>
      <c r="BC655" s="763">
        <v>0.50560648782165685</v>
      </c>
      <c r="BD655" s="763">
        <v>0.50560648782165685</v>
      </c>
      <c r="BE655" s="763">
        <v>0.50560648782165685</v>
      </c>
      <c r="BF655" s="763">
        <v>0.50560648782165685</v>
      </c>
      <c r="BG655" s="763">
        <v>0</v>
      </c>
      <c r="BH655" s="763">
        <v>0</v>
      </c>
      <c r="BI655" s="763">
        <v>0</v>
      </c>
      <c r="BJ655" s="763">
        <v>0</v>
      </c>
      <c r="BK655" s="763">
        <v>0</v>
      </c>
      <c r="BL655" s="763">
        <v>0</v>
      </c>
      <c r="BM655" s="763">
        <v>0</v>
      </c>
      <c r="BN655" s="763">
        <v>0</v>
      </c>
      <c r="BO655" s="763">
        <v>0</v>
      </c>
      <c r="BP655" s="763">
        <v>0</v>
      </c>
      <c r="BQ655" s="763">
        <v>0</v>
      </c>
      <c r="BR655" s="763">
        <v>0</v>
      </c>
      <c r="BS655" s="762">
        <v>0</v>
      </c>
      <c r="BT655" s="762">
        <v>0</v>
      </c>
      <c r="BU655" s="762">
        <v>0</v>
      </c>
      <c r="BV655" s="762">
        <v>1980.376417935832</v>
      </c>
      <c r="BW655" s="762">
        <v>1980.376417935832</v>
      </c>
      <c r="BX655" s="762">
        <v>1980.376417935832</v>
      </c>
      <c r="BY655" s="762">
        <v>1980.376417935832</v>
      </c>
      <c r="BZ655" s="762">
        <v>1980.376417935832</v>
      </c>
      <c r="CA655" s="762">
        <v>1980.376417935832</v>
      </c>
      <c r="CB655" s="762">
        <v>1980.376417935832</v>
      </c>
      <c r="CC655" s="762">
        <v>1980.376417935832</v>
      </c>
      <c r="CD655" s="762">
        <v>1980.376417935832</v>
      </c>
      <c r="CE655" s="762">
        <v>1980.376417935832</v>
      </c>
      <c r="CF655" s="762">
        <v>1980.376417935832</v>
      </c>
      <c r="CG655" s="762">
        <v>0</v>
      </c>
      <c r="CH655" s="762">
        <v>0</v>
      </c>
      <c r="CI655" s="762">
        <v>0</v>
      </c>
      <c r="CJ655" s="762">
        <v>0</v>
      </c>
      <c r="CK655" s="762">
        <v>0</v>
      </c>
      <c r="CL655" s="762">
        <v>0</v>
      </c>
      <c r="CM655" s="762">
        <v>0</v>
      </c>
      <c r="CN655" s="762">
        <v>0</v>
      </c>
      <c r="CO655" s="762">
        <v>0</v>
      </c>
      <c r="CP655" s="762">
        <v>0</v>
      </c>
      <c r="CQ655" s="762">
        <v>0</v>
      </c>
      <c r="CR655" s="762">
        <v>0</v>
      </c>
    </row>
    <row r="656" spans="1:96" s="53" customFormat="1">
      <c r="A656" s="721" t="s">
        <v>3</v>
      </c>
      <c r="B656" s="723">
        <v>41915</v>
      </c>
      <c r="C656" s="721">
        <v>2014</v>
      </c>
      <c r="D656" s="713" t="s">
        <v>1</v>
      </c>
      <c r="E656" s="713" t="s">
        <v>674</v>
      </c>
      <c r="F656" s="723" t="s">
        <v>689</v>
      </c>
      <c r="G656" s="713" t="s">
        <v>58</v>
      </c>
      <c r="H656" s="723" t="s">
        <v>702</v>
      </c>
      <c r="I656" s="713" t="s">
        <v>5</v>
      </c>
      <c r="J656" s="713" t="s">
        <v>376</v>
      </c>
      <c r="K656" s="766">
        <v>15</v>
      </c>
      <c r="L656" s="766" t="s">
        <v>671</v>
      </c>
      <c r="M656" s="765" t="s">
        <v>737</v>
      </c>
      <c r="N656" s="765">
        <v>11</v>
      </c>
      <c r="O656" s="765" t="s">
        <v>7</v>
      </c>
      <c r="P656" s="735">
        <v>1</v>
      </c>
      <c r="Q656" s="713" t="s">
        <v>58</v>
      </c>
      <c r="R656" s="713" t="s">
        <v>58</v>
      </c>
      <c r="S656" s="713" t="s">
        <v>58</v>
      </c>
      <c r="T656" s="713" t="s">
        <v>58</v>
      </c>
      <c r="U656" s="764">
        <v>0.6825</v>
      </c>
      <c r="V656" s="764">
        <v>2539.5825</v>
      </c>
      <c r="W656" s="764">
        <v>0.53529192939182324</v>
      </c>
      <c r="X656" s="764">
        <v>2098.1446176401982</v>
      </c>
      <c r="Y656" s="764">
        <v>23079.590794042182</v>
      </c>
      <c r="Z656" s="764">
        <v>21784.140597294154</v>
      </c>
      <c r="AA656" s="764">
        <v>1980.376417935832</v>
      </c>
      <c r="AB656" s="764">
        <v>0.50560648782165685</v>
      </c>
      <c r="AC656" s="714">
        <v>0.82617698682369967</v>
      </c>
      <c r="AD656" s="714">
        <v>0.7843105192554185</v>
      </c>
      <c r="AE656" s="713" t="s">
        <v>58</v>
      </c>
      <c r="AF656" s="713" t="s">
        <v>58</v>
      </c>
      <c r="AG656" s="713" t="s">
        <v>58</v>
      </c>
      <c r="AH656" s="714">
        <v>0.94387031345969796</v>
      </c>
      <c r="AI656" s="713" t="s">
        <v>58</v>
      </c>
      <c r="AJ656" s="713" t="s">
        <v>58</v>
      </c>
      <c r="AK656" s="713" t="s">
        <v>58</v>
      </c>
      <c r="AL656" s="714">
        <v>0.94454345387965444</v>
      </c>
      <c r="AM656" s="713" t="s">
        <v>58</v>
      </c>
      <c r="AN656" s="713" t="s">
        <v>58</v>
      </c>
      <c r="AO656" s="713" t="s">
        <v>58</v>
      </c>
      <c r="AP656" s="747">
        <v>47</v>
      </c>
      <c r="AQ656" s="747">
        <v>705</v>
      </c>
      <c r="AR656" s="709"/>
      <c r="AS656" s="763">
        <v>0</v>
      </c>
      <c r="AT656" s="763">
        <v>0</v>
      </c>
      <c r="AU656" s="763">
        <v>0</v>
      </c>
      <c r="AV656" s="763">
        <v>0.50560648782165685</v>
      </c>
      <c r="AW656" s="763">
        <v>0.50560648782165685</v>
      </c>
      <c r="AX656" s="763">
        <v>0.50560648782165685</v>
      </c>
      <c r="AY656" s="763">
        <v>0.50560648782165685</v>
      </c>
      <c r="AZ656" s="763">
        <v>0.50560648782165685</v>
      </c>
      <c r="BA656" s="763">
        <v>0.50560648782165685</v>
      </c>
      <c r="BB656" s="763">
        <v>0.50560648782165685</v>
      </c>
      <c r="BC656" s="763">
        <v>0.50560648782165685</v>
      </c>
      <c r="BD656" s="763">
        <v>0.50560648782165685</v>
      </c>
      <c r="BE656" s="763">
        <v>0.50560648782165685</v>
      </c>
      <c r="BF656" s="763">
        <v>0.50560648782165685</v>
      </c>
      <c r="BG656" s="763">
        <v>0</v>
      </c>
      <c r="BH656" s="763">
        <v>0</v>
      </c>
      <c r="BI656" s="763">
        <v>0</v>
      </c>
      <c r="BJ656" s="763">
        <v>0</v>
      </c>
      <c r="BK656" s="763">
        <v>0</v>
      </c>
      <c r="BL656" s="763">
        <v>0</v>
      </c>
      <c r="BM656" s="763">
        <v>0</v>
      </c>
      <c r="BN656" s="763">
        <v>0</v>
      </c>
      <c r="BO656" s="763">
        <v>0</v>
      </c>
      <c r="BP656" s="763">
        <v>0</v>
      </c>
      <c r="BQ656" s="763">
        <v>0</v>
      </c>
      <c r="BR656" s="763">
        <v>0</v>
      </c>
      <c r="BS656" s="762">
        <v>0</v>
      </c>
      <c r="BT656" s="762">
        <v>0</v>
      </c>
      <c r="BU656" s="762">
        <v>0</v>
      </c>
      <c r="BV656" s="762">
        <v>1980.376417935832</v>
      </c>
      <c r="BW656" s="762">
        <v>1980.376417935832</v>
      </c>
      <c r="BX656" s="762">
        <v>1980.376417935832</v>
      </c>
      <c r="BY656" s="762">
        <v>1980.376417935832</v>
      </c>
      <c r="BZ656" s="762">
        <v>1980.376417935832</v>
      </c>
      <c r="CA656" s="762">
        <v>1980.376417935832</v>
      </c>
      <c r="CB656" s="762">
        <v>1980.376417935832</v>
      </c>
      <c r="CC656" s="762">
        <v>1980.376417935832</v>
      </c>
      <c r="CD656" s="762">
        <v>1980.376417935832</v>
      </c>
      <c r="CE656" s="762">
        <v>1980.376417935832</v>
      </c>
      <c r="CF656" s="762">
        <v>1980.376417935832</v>
      </c>
      <c r="CG656" s="762">
        <v>0</v>
      </c>
      <c r="CH656" s="762">
        <v>0</v>
      </c>
      <c r="CI656" s="762">
        <v>0</v>
      </c>
      <c r="CJ656" s="762">
        <v>0</v>
      </c>
      <c r="CK656" s="762">
        <v>0</v>
      </c>
      <c r="CL656" s="762">
        <v>0</v>
      </c>
      <c r="CM656" s="762">
        <v>0</v>
      </c>
      <c r="CN656" s="762">
        <v>0</v>
      </c>
      <c r="CO656" s="762">
        <v>0</v>
      </c>
      <c r="CP656" s="762">
        <v>0</v>
      </c>
      <c r="CQ656" s="762">
        <v>0</v>
      </c>
      <c r="CR656" s="762">
        <v>0</v>
      </c>
    </row>
    <row r="657" spans="1:96" s="53" customFormat="1">
      <c r="A657" s="721" t="s">
        <v>3</v>
      </c>
      <c r="B657" s="723">
        <v>41915</v>
      </c>
      <c r="C657" s="721">
        <v>2014</v>
      </c>
      <c r="D657" s="713" t="s">
        <v>1</v>
      </c>
      <c r="E657" s="713" t="s">
        <v>674</v>
      </c>
      <c r="F657" s="723" t="s">
        <v>689</v>
      </c>
      <c r="G657" s="713" t="s">
        <v>58</v>
      </c>
      <c r="H657" s="723" t="s">
        <v>702</v>
      </c>
      <c r="I657" s="713" t="s">
        <v>5</v>
      </c>
      <c r="J657" s="713" t="s">
        <v>376</v>
      </c>
      <c r="K657" s="766">
        <v>6</v>
      </c>
      <c r="L657" s="766" t="s">
        <v>671</v>
      </c>
      <c r="M657" s="765" t="s">
        <v>737</v>
      </c>
      <c r="N657" s="765">
        <v>11</v>
      </c>
      <c r="O657" s="765" t="s">
        <v>7</v>
      </c>
      <c r="P657" s="735">
        <v>1</v>
      </c>
      <c r="Q657" s="713" t="s">
        <v>58</v>
      </c>
      <c r="R657" s="713" t="s">
        <v>58</v>
      </c>
      <c r="S657" s="713" t="s">
        <v>58</v>
      </c>
      <c r="T657" s="713" t="s">
        <v>58</v>
      </c>
      <c r="U657" s="764">
        <v>0.27300000000000002</v>
      </c>
      <c r="V657" s="764">
        <v>1015.833</v>
      </c>
      <c r="W657" s="764">
        <v>0.2141167717567293</v>
      </c>
      <c r="X657" s="764">
        <v>839.2578470560793</v>
      </c>
      <c r="Y657" s="764">
        <v>9231.8363176168714</v>
      </c>
      <c r="Z657" s="764">
        <v>8713.6562389176597</v>
      </c>
      <c r="AA657" s="764">
        <v>792.15056717433276</v>
      </c>
      <c r="AB657" s="764">
        <v>0.20224259512866274</v>
      </c>
      <c r="AC657" s="714">
        <v>0.82617698682369967</v>
      </c>
      <c r="AD657" s="714">
        <v>0.7843105192554185</v>
      </c>
      <c r="AE657" s="713" t="s">
        <v>58</v>
      </c>
      <c r="AF657" s="713" t="s">
        <v>58</v>
      </c>
      <c r="AG657" s="713" t="s">
        <v>58</v>
      </c>
      <c r="AH657" s="714">
        <v>0.94387031345969796</v>
      </c>
      <c r="AI657" s="713" t="s">
        <v>58</v>
      </c>
      <c r="AJ657" s="713" t="s">
        <v>58</v>
      </c>
      <c r="AK657" s="713" t="s">
        <v>58</v>
      </c>
      <c r="AL657" s="714">
        <v>0.94454345387965444</v>
      </c>
      <c r="AM657" s="713" t="s">
        <v>58</v>
      </c>
      <c r="AN657" s="713" t="s">
        <v>58</v>
      </c>
      <c r="AO657" s="713" t="s">
        <v>58</v>
      </c>
      <c r="AP657" s="747">
        <v>11</v>
      </c>
      <c r="AQ657" s="747">
        <v>66</v>
      </c>
      <c r="AR657" s="709"/>
      <c r="AS657" s="763">
        <v>0</v>
      </c>
      <c r="AT657" s="763">
        <v>0</v>
      </c>
      <c r="AU657" s="763">
        <v>0</v>
      </c>
      <c r="AV657" s="763">
        <v>0.20224259512866274</v>
      </c>
      <c r="AW657" s="763">
        <v>0.20224259512866274</v>
      </c>
      <c r="AX657" s="763">
        <v>0.20224259512866274</v>
      </c>
      <c r="AY657" s="763">
        <v>0.20224259512866274</v>
      </c>
      <c r="AZ657" s="763">
        <v>0.20224259512866274</v>
      </c>
      <c r="BA657" s="763">
        <v>0.20224259512866274</v>
      </c>
      <c r="BB657" s="763">
        <v>0.20224259512866274</v>
      </c>
      <c r="BC657" s="763">
        <v>0.20224259512866274</v>
      </c>
      <c r="BD657" s="763">
        <v>0.20224259512866274</v>
      </c>
      <c r="BE657" s="763">
        <v>0.20224259512866274</v>
      </c>
      <c r="BF657" s="763">
        <v>0.20224259512866274</v>
      </c>
      <c r="BG657" s="763">
        <v>0</v>
      </c>
      <c r="BH657" s="763">
        <v>0</v>
      </c>
      <c r="BI657" s="763">
        <v>0</v>
      </c>
      <c r="BJ657" s="763">
        <v>0</v>
      </c>
      <c r="BK657" s="763">
        <v>0</v>
      </c>
      <c r="BL657" s="763">
        <v>0</v>
      </c>
      <c r="BM657" s="763">
        <v>0</v>
      </c>
      <c r="BN657" s="763">
        <v>0</v>
      </c>
      <c r="BO657" s="763">
        <v>0</v>
      </c>
      <c r="BP657" s="763">
        <v>0</v>
      </c>
      <c r="BQ657" s="763">
        <v>0</v>
      </c>
      <c r="BR657" s="763">
        <v>0</v>
      </c>
      <c r="BS657" s="762">
        <v>0</v>
      </c>
      <c r="BT657" s="762">
        <v>0</v>
      </c>
      <c r="BU657" s="762">
        <v>0</v>
      </c>
      <c r="BV657" s="762">
        <v>792.15056717433276</v>
      </c>
      <c r="BW657" s="762">
        <v>792.15056717433276</v>
      </c>
      <c r="BX657" s="762">
        <v>792.15056717433276</v>
      </c>
      <c r="BY657" s="762">
        <v>792.15056717433276</v>
      </c>
      <c r="BZ657" s="762">
        <v>792.15056717433276</v>
      </c>
      <c r="CA657" s="762">
        <v>792.15056717433276</v>
      </c>
      <c r="CB657" s="762">
        <v>792.15056717433276</v>
      </c>
      <c r="CC657" s="762">
        <v>792.15056717433276</v>
      </c>
      <c r="CD657" s="762">
        <v>792.15056717433276</v>
      </c>
      <c r="CE657" s="762">
        <v>792.15056717433276</v>
      </c>
      <c r="CF657" s="762">
        <v>792.15056717433276</v>
      </c>
      <c r="CG657" s="762">
        <v>0</v>
      </c>
      <c r="CH657" s="762">
        <v>0</v>
      </c>
      <c r="CI657" s="762">
        <v>0</v>
      </c>
      <c r="CJ657" s="762">
        <v>0</v>
      </c>
      <c r="CK657" s="762">
        <v>0</v>
      </c>
      <c r="CL657" s="762">
        <v>0</v>
      </c>
      <c r="CM657" s="762">
        <v>0</v>
      </c>
      <c r="CN657" s="762">
        <v>0</v>
      </c>
      <c r="CO657" s="762">
        <v>0</v>
      </c>
      <c r="CP657" s="762">
        <v>0</v>
      </c>
      <c r="CQ657" s="762">
        <v>0</v>
      </c>
      <c r="CR657" s="762">
        <v>0</v>
      </c>
    </row>
    <row r="658" spans="1:96" s="53" customFormat="1">
      <c r="A658" s="721" t="s">
        <v>3</v>
      </c>
      <c r="B658" s="723">
        <v>41916</v>
      </c>
      <c r="C658" s="721">
        <v>2014</v>
      </c>
      <c r="D658" s="713" t="s">
        <v>1</v>
      </c>
      <c r="E658" s="713" t="s">
        <v>674</v>
      </c>
      <c r="F658" s="723" t="s">
        <v>673</v>
      </c>
      <c r="G658" s="713" t="s">
        <v>58</v>
      </c>
      <c r="H658" s="723" t="s">
        <v>677</v>
      </c>
      <c r="I658" s="713" t="s">
        <v>5</v>
      </c>
      <c r="J658" s="713" t="s">
        <v>376</v>
      </c>
      <c r="K658" s="766">
        <v>1</v>
      </c>
      <c r="L658" s="766" t="s">
        <v>671</v>
      </c>
      <c r="M658" s="765" t="s">
        <v>773</v>
      </c>
      <c r="N658" s="765">
        <v>0</v>
      </c>
      <c r="O658" s="765">
        <v>0</v>
      </c>
      <c r="P658" s="735">
        <v>0</v>
      </c>
      <c r="Q658" s="713" t="s">
        <v>58</v>
      </c>
      <c r="R658" s="713" t="s">
        <v>58</v>
      </c>
      <c r="S658" s="713" t="s">
        <v>58</v>
      </c>
      <c r="T658" s="713" t="s">
        <v>58</v>
      </c>
      <c r="U658" s="764">
        <v>0</v>
      </c>
      <c r="V658" s="764">
        <v>0</v>
      </c>
      <c r="W658" s="764">
        <v>0</v>
      </c>
      <c r="X658" s="764">
        <v>0</v>
      </c>
      <c r="Y658" s="764">
        <v>0</v>
      </c>
      <c r="Z658" s="764">
        <v>0</v>
      </c>
      <c r="AA658" s="764">
        <v>0</v>
      </c>
      <c r="AB658" s="764">
        <v>0</v>
      </c>
      <c r="AC658" s="714">
        <v>0.82617698682369967</v>
      </c>
      <c r="AD658" s="714">
        <v>0.7843105192554185</v>
      </c>
      <c r="AE658" s="713" t="s">
        <v>58</v>
      </c>
      <c r="AF658" s="713" t="s">
        <v>58</v>
      </c>
      <c r="AG658" s="713" t="s">
        <v>58</v>
      </c>
      <c r="AH658" s="714">
        <v>0.94387031345969796</v>
      </c>
      <c r="AI658" s="713" t="s">
        <v>58</v>
      </c>
      <c r="AJ658" s="713" t="s">
        <v>58</v>
      </c>
      <c r="AK658" s="713" t="s">
        <v>58</v>
      </c>
      <c r="AL658" s="714">
        <v>0.94454345387965444</v>
      </c>
      <c r="AM658" s="713" t="s">
        <v>58</v>
      </c>
      <c r="AN658" s="713" t="s">
        <v>58</v>
      </c>
      <c r="AO658" s="713" t="s">
        <v>58</v>
      </c>
      <c r="AP658" s="747">
        <v>51</v>
      </c>
      <c r="AQ658" s="747">
        <v>51</v>
      </c>
      <c r="AR658" s="709"/>
      <c r="AS658" s="763">
        <v>0</v>
      </c>
      <c r="AT658" s="763">
        <v>0</v>
      </c>
      <c r="AU658" s="763">
        <v>0</v>
      </c>
      <c r="AV658" s="763">
        <v>0</v>
      </c>
      <c r="AW658" s="763">
        <v>0</v>
      </c>
      <c r="AX658" s="763">
        <v>0</v>
      </c>
      <c r="AY658" s="763">
        <v>0</v>
      </c>
      <c r="AZ658" s="763">
        <v>0</v>
      </c>
      <c r="BA658" s="763">
        <v>0</v>
      </c>
      <c r="BB658" s="763">
        <v>0</v>
      </c>
      <c r="BC658" s="763">
        <v>0</v>
      </c>
      <c r="BD658" s="763">
        <v>0</v>
      </c>
      <c r="BE658" s="763">
        <v>0</v>
      </c>
      <c r="BF658" s="763">
        <v>0</v>
      </c>
      <c r="BG658" s="763">
        <v>0</v>
      </c>
      <c r="BH658" s="763">
        <v>0</v>
      </c>
      <c r="BI658" s="763">
        <v>0</v>
      </c>
      <c r="BJ658" s="763">
        <v>0</v>
      </c>
      <c r="BK658" s="763">
        <v>0</v>
      </c>
      <c r="BL658" s="763">
        <v>0</v>
      </c>
      <c r="BM658" s="763">
        <v>0</v>
      </c>
      <c r="BN658" s="763">
        <v>0</v>
      </c>
      <c r="BO658" s="763">
        <v>0</v>
      </c>
      <c r="BP658" s="763">
        <v>0</v>
      </c>
      <c r="BQ658" s="763">
        <v>0</v>
      </c>
      <c r="BR658" s="763">
        <v>0</v>
      </c>
      <c r="BS658" s="762">
        <v>0</v>
      </c>
      <c r="BT658" s="762">
        <v>0</v>
      </c>
      <c r="BU658" s="762">
        <v>0</v>
      </c>
      <c r="BV658" s="762">
        <v>0</v>
      </c>
      <c r="BW658" s="762">
        <v>0</v>
      </c>
      <c r="BX658" s="762">
        <v>0</v>
      </c>
      <c r="BY658" s="762">
        <v>0</v>
      </c>
      <c r="BZ658" s="762">
        <v>0</v>
      </c>
      <c r="CA658" s="762">
        <v>0</v>
      </c>
      <c r="CB658" s="762">
        <v>0</v>
      </c>
      <c r="CC658" s="762">
        <v>0</v>
      </c>
      <c r="CD658" s="762">
        <v>0</v>
      </c>
      <c r="CE658" s="762">
        <v>0</v>
      </c>
      <c r="CF658" s="762">
        <v>0</v>
      </c>
      <c r="CG658" s="762">
        <v>0</v>
      </c>
      <c r="CH658" s="762">
        <v>0</v>
      </c>
      <c r="CI658" s="762">
        <v>0</v>
      </c>
      <c r="CJ658" s="762">
        <v>0</v>
      </c>
      <c r="CK658" s="762">
        <v>0</v>
      </c>
      <c r="CL658" s="762">
        <v>0</v>
      </c>
      <c r="CM658" s="762">
        <v>0</v>
      </c>
      <c r="CN658" s="762">
        <v>0</v>
      </c>
      <c r="CO658" s="762">
        <v>0</v>
      </c>
      <c r="CP658" s="762">
        <v>0</v>
      </c>
      <c r="CQ658" s="762">
        <v>0</v>
      </c>
      <c r="CR658" s="762">
        <v>0</v>
      </c>
    </row>
    <row r="659" spans="1:96" s="53" customFormat="1">
      <c r="A659" s="721" t="s">
        <v>3</v>
      </c>
      <c r="B659" s="723">
        <v>41916</v>
      </c>
      <c r="C659" s="721">
        <v>2014</v>
      </c>
      <c r="D659" s="713" t="s">
        <v>1</v>
      </c>
      <c r="E659" s="713" t="s">
        <v>674</v>
      </c>
      <c r="F659" s="723" t="s">
        <v>673</v>
      </c>
      <c r="G659" s="713" t="s">
        <v>58</v>
      </c>
      <c r="H659" s="723" t="s">
        <v>676</v>
      </c>
      <c r="I659" s="713" t="s">
        <v>5</v>
      </c>
      <c r="J659" s="713" t="s">
        <v>376</v>
      </c>
      <c r="K659" s="766">
        <v>1</v>
      </c>
      <c r="L659" s="766" t="s">
        <v>671</v>
      </c>
      <c r="M659" s="765" t="s">
        <v>773</v>
      </c>
      <c r="N659" s="765">
        <v>12</v>
      </c>
      <c r="O659" s="765">
        <v>3</v>
      </c>
      <c r="P659" s="735">
        <v>0.31578947368421051</v>
      </c>
      <c r="Q659" s="713" t="s">
        <v>58</v>
      </c>
      <c r="R659" s="713" t="s">
        <v>58</v>
      </c>
      <c r="S659" s="713" t="s">
        <v>58</v>
      </c>
      <c r="T659" s="713" t="s">
        <v>58</v>
      </c>
      <c r="U659" s="764">
        <v>3.7999999999999999E-2</v>
      </c>
      <c r="V659" s="764">
        <v>98.572000000000003</v>
      </c>
      <c r="W659" s="764">
        <v>2.9803799731705907E-2</v>
      </c>
      <c r="X659" s="764">
        <v>81.437917945185717</v>
      </c>
      <c r="Y659" s="764">
        <v>475.7688890481902</v>
      </c>
      <c r="Z659" s="764">
        <v>449.06413044028756</v>
      </c>
      <c r="AA659" s="764">
        <v>76.866833138427609</v>
      </c>
      <c r="AB659" s="764">
        <v>2.8150983937323015E-2</v>
      </c>
      <c r="AC659" s="714">
        <v>0.82617698682369967</v>
      </c>
      <c r="AD659" s="714">
        <v>0.7843105192554185</v>
      </c>
      <c r="AE659" s="713" t="s">
        <v>58</v>
      </c>
      <c r="AF659" s="713" t="s">
        <v>58</v>
      </c>
      <c r="AG659" s="713" t="s">
        <v>58</v>
      </c>
      <c r="AH659" s="714">
        <v>0.94387031345969796</v>
      </c>
      <c r="AI659" s="713" t="s">
        <v>58</v>
      </c>
      <c r="AJ659" s="713" t="s">
        <v>58</v>
      </c>
      <c r="AK659" s="713" t="s">
        <v>58</v>
      </c>
      <c r="AL659" s="714">
        <v>0.94454345387965444</v>
      </c>
      <c r="AM659" s="713" t="s">
        <v>58</v>
      </c>
      <c r="AN659" s="713" t="s">
        <v>58</v>
      </c>
      <c r="AO659" s="713" t="s">
        <v>58</v>
      </c>
      <c r="AP659" s="747">
        <v>57</v>
      </c>
      <c r="AQ659" s="747">
        <v>57</v>
      </c>
      <c r="AR659" s="709"/>
      <c r="AS659" s="763">
        <v>0</v>
      </c>
      <c r="AT659" s="763">
        <v>0</v>
      </c>
      <c r="AU659" s="763">
        <v>0</v>
      </c>
      <c r="AV659" s="763">
        <v>2.8150983937323015E-2</v>
      </c>
      <c r="AW659" s="763">
        <v>2.8150983937323015E-2</v>
      </c>
      <c r="AX659" s="763">
        <v>2.8150983937323015E-2</v>
      </c>
      <c r="AY659" s="763">
        <v>8.8897844012598998E-3</v>
      </c>
      <c r="AZ659" s="763">
        <v>8.8897844012598998E-3</v>
      </c>
      <c r="BA659" s="763">
        <v>8.8897844012598998E-3</v>
      </c>
      <c r="BB659" s="763">
        <v>8.8897844012598998E-3</v>
      </c>
      <c r="BC659" s="763">
        <v>8.8897844012598998E-3</v>
      </c>
      <c r="BD659" s="763">
        <v>8.8897844012598998E-3</v>
      </c>
      <c r="BE659" s="763">
        <v>8.8897844012598998E-3</v>
      </c>
      <c r="BF659" s="763">
        <v>8.8897844012598998E-3</v>
      </c>
      <c r="BG659" s="763">
        <v>8.8897844012598998E-3</v>
      </c>
      <c r="BH659" s="763">
        <v>0</v>
      </c>
      <c r="BI659" s="763">
        <v>0</v>
      </c>
      <c r="BJ659" s="763">
        <v>0</v>
      </c>
      <c r="BK659" s="763">
        <v>0</v>
      </c>
      <c r="BL659" s="763">
        <v>0</v>
      </c>
      <c r="BM659" s="763">
        <v>0</v>
      </c>
      <c r="BN659" s="763">
        <v>0</v>
      </c>
      <c r="BO659" s="763">
        <v>0</v>
      </c>
      <c r="BP659" s="763">
        <v>0</v>
      </c>
      <c r="BQ659" s="763">
        <v>0</v>
      </c>
      <c r="BR659" s="763">
        <v>0</v>
      </c>
      <c r="BS659" s="762">
        <v>0</v>
      </c>
      <c r="BT659" s="762">
        <v>0</v>
      </c>
      <c r="BU659" s="762">
        <v>0</v>
      </c>
      <c r="BV659" s="762">
        <v>76.866833138427609</v>
      </c>
      <c r="BW659" s="762">
        <v>76.866833138427609</v>
      </c>
      <c r="BX659" s="762">
        <v>76.866833138427609</v>
      </c>
      <c r="BY659" s="762">
        <v>24.273736780556085</v>
      </c>
      <c r="BZ659" s="762">
        <v>24.273736780556085</v>
      </c>
      <c r="CA659" s="762">
        <v>24.273736780556085</v>
      </c>
      <c r="CB659" s="762">
        <v>24.273736780556085</v>
      </c>
      <c r="CC659" s="762">
        <v>24.273736780556085</v>
      </c>
      <c r="CD659" s="762">
        <v>24.273736780556085</v>
      </c>
      <c r="CE659" s="762">
        <v>24.273736780556085</v>
      </c>
      <c r="CF659" s="762">
        <v>24.273736780556085</v>
      </c>
      <c r="CG659" s="762">
        <v>24.273736780556085</v>
      </c>
      <c r="CH659" s="762">
        <v>0</v>
      </c>
      <c r="CI659" s="762">
        <v>0</v>
      </c>
      <c r="CJ659" s="762">
        <v>0</v>
      </c>
      <c r="CK659" s="762">
        <v>0</v>
      </c>
      <c r="CL659" s="762">
        <v>0</v>
      </c>
      <c r="CM659" s="762">
        <v>0</v>
      </c>
      <c r="CN659" s="762">
        <v>0</v>
      </c>
      <c r="CO659" s="762">
        <v>0</v>
      </c>
      <c r="CP659" s="762">
        <v>0</v>
      </c>
      <c r="CQ659" s="762">
        <v>0</v>
      </c>
      <c r="CR659" s="762">
        <v>0</v>
      </c>
    </row>
    <row r="660" spans="1:96" s="53" customFormat="1">
      <c r="A660" s="721" t="s">
        <v>3</v>
      </c>
      <c r="B660" s="723">
        <v>41916</v>
      </c>
      <c r="C660" s="721">
        <v>2014</v>
      </c>
      <c r="D660" s="713" t="s">
        <v>1</v>
      </c>
      <c r="E660" s="713" t="s">
        <v>674</v>
      </c>
      <c r="F660" s="723" t="s">
        <v>673</v>
      </c>
      <c r="G660" s="713" t="s">
        <v>58</v>
      </c>
      <c r="H660" s="723" t="s">
        <v>675</v>
      </c>
      <c r="I660" s="713" t="s">
        <v>5</v>
      </c>
      <c r="J660" s="713" t="s">
        <v>376</v>
      </c>
      <c r="K660" s="766">
        <v>19</v>
      </c>
      <c r="L660" s="766" t="s">
        <v>671</v>
      </c>
      <c r="M660" s="765" t="s">
        <v>773</v>
      </c>
      <c r="N660" s="765">
        <v>12</v>
      </c>
      <c r="O660" s="765">
        <v>3</v>
      </c>
      <c r="P660" s="735">
        <v>0.36842105263157893</v>
      </c>
      <c r="Q660" s="713" t="s">
        <v>58</v>
      </c>
      <c r="R660" s="713" t="s">
        <v>58</v>
      </c>
      <c r="S660" s="713" t="s">
        <v>58</v>
      </c>
      <c r="T660" s="713" t="s">
        <v>58</v>
      </c>
      <c r="U660" s="764">
        <v>1.083</v>
      </c>
      <c r="V660" s="764">
        <v>2809.3020000000001</v>
      </c>
      <c r="W660" s="764">
        <v>0.84940829235361825</v>
      </c>
      <c r="X660" s="764">
        <v>2320.9806614377931</v>
      </c>
      <c r="Y660" s="764">
        <v>14658.825230133429</v>
      </c>
      <c r="Z660" s="764">
        <v>13836.029964916968</v>
      </c>
      <c r="AA660" s="764">
        <v>2190.7047444451869</v>
      </c>
      <c r="AB660" s="764">
        <v>0.80230304221370585</v>
      </c>
      <c r="AC660" s="714">
        <v>0.82617698682369967</v>
      </c>
      <c r="AD660" s="714">
        <v>0.7843105192554185</v>
      </c>
      <c r="AE660" s="713" t="s">
        <v>58</v>
      </c>
      <c r="AF660" s="713" t="s">
        <v>58</v>
      </c>
      <c r="AG660" s="713" t="s">
        <v>58</v>
      </c>
      <c r="AH660" s="714">
        <v>0.94387031345969796</v>
      </c>
      <c r="AI660" s="713" t="s">
        <v>58</v>
      </c>
      <c r="AJ660" s="713" t="s">
        <v>58</v>
      </c>
      <c r="AK660" s="713" t="s">
        <v>58</v>
      </c>
      <c r="AL660" s="714">
        <v>0.94454345387965444</v>
      </c>
      <c r="AM660" s="713" t="s">
        <v>58</v>
      </c>
      <c r="AN660" s="713" t="s">
        <v>58</v>
      </c>
      <c r="AO660" s="713" t="s">
        <v>58</v>
      </c>
      <c r="AP660" s="747">
        <v>73</v>
      </c>
      <c r="AQ660" s="747">
        <v>1387</v>
      </c>
      <c r="AR660" s="709"/>
      <c r="AS660" s="763">
        <v>0</v>
      </c>
      <c r="AT660" s="763">
        <v>0</v>
      </c>
      <c r="AU660" s="763">
        <v>0</v>
      </c>
      <c r="AV660" s="763">
        <v>0.80230304221370585</v>
      </c>
      <c r="AW660" s="763">
        <v>0.80230304221370585</v>
      </c>
      <c r="AX660" s="763">
        <v>0.80230304221370585</v>
      </c>
      <c r="AY660" s="763">
        <v>0.29558533134189163</v>
      </c>
      <c r="AZ660" s="763">
        <v>0.29558533134189163</v>
      </c>
      <c r="BA660" s="763">
        <v>0.29558533134189163</v>
      </c>
      <c r="BB660" s="763">
        <v>0.29558533134189163</v>
      </c>
      <c r="BC660" s="763">
        <v>0.29558533134189163</v>
      </c>
      <c r="BD660" s="763">
        <v>0.29558533134189163</v>
      </c>
      <c r="BE660" s="763">
        <v>0.29558533134189163</v>
      </c>
      <c r="BF660" s="763">
        <v>0.29558533134189163</v>
      </c>
      <c r="BG660" s="763">
        <v>0.29558533134189163</v>
      </c>
      <c r="BH660" s="763">
        <v>0</v>
      </c>
      <c r="BI660" s="763">
        <v>0</v>
      </c>
      <c r="BJ660" s="763">
        <v>0</v>
      </c>
      <c r="BK660" s="763">
        <v>0</v>
      </c>
      <c r="BL660" s="763">
        <v>0</v>
      </c>
      <c r="BM660" s="763">
        <v>0</v>
      </c>
      <c r="BN660" s="763">
        <v>0</v>
      </c>
      <c r="BO660" s="763">
        <v>0</v>
      </c>
      <c r="BP660" s="763">
        <v>0</v>
      </c>
      <c r="BQ660" s="763">
        <v>0</v>
      </c>
      <c r="BR660" s="763">
        <v>0</v>
      </c>
      <c r="BS660" s="762">
        <v>0</v>
      </c>
      <c r="BT660" s="762">
        <v>0</v>
      </c>
      <c r="BU660" s="762">
        <v>0</v>
      </c>
      <c r="BV660" s="762">
        <v>2190.7047444451869</v>
      </c>
      <c r="BW660" s="762">
        <v>2190.7047444451869</v>
      </c>
      <c r="BX660" s="762">
        <v>2190.7047444451869</v>
      </c>
      <c r="BY660" s="762">
        <v>807.10174795348985</v>
      </c>
      <c r="BZ660" s="762">
        <v>807.10174795348985</v>
      </c>
      <c r="CA660" s="762">
        <v>807.10174795348985</v>
      </c>
      <c r="CB660" s="762">
        <v>807.10174795348985</v>
      </c>
      <c r="CC660" s="762">
        <v>807.10174795348985</v>
      </c>
      <c r="CD660" s="762">
        <v>807.10174795348985</v>
      </c>
      <c r="CE660" s="762">
        <v>807.10174795348985</v>
      </c>
      <c r="CF660" s="762">
        <v>807.10174795348985</v>
      </c>
      <c r="CG660" s="762">
        <v>807.10174795348985</v>
      </c>
      <c r="CH660" s="762">
        <v>0</v>
      </c>
      <c r="CI660" s="762">
        <v>0</v>
      </c>
      <c r="CJ660" s="762">
        <v>0</v>
      </c>
      <c r="CK660" s="762">
        <v>0</v>
      </c>
      <c r="CL660" s="762">
        <v>0</v>
      </c>
      <c r="CM660" s="762">
        <v>0</v>
      </c>
      <c r="CN660" s="762">
        <v>0</v>
      </c>
      <c r="CO660" s="762">
        <v>0</v>
      </c>
      <c r="CP660" s="762">
        <v>0</v>
      </c>
      <c r="CQ660" s="762">
        <v>0</v>
      </c>
      <c r="CR660" s="762">
        <v>0</v>
      </c>
    </row>
    <row r="661" spans="1:96" s="53" customFormat="1">
      <c r="A661" s="721" t="s">
        <v>3</v>
      </c>
      <c r="B661" s="723">
        <v>41674</v>
      </c>
      <c r="C661" s="721">
        <v>2014</v>
      </c>
      <c r="D661" s="713" t="s">
        <v>1</v>
      </c>
      <c r="E661" s="713" t="s">
        <v>674</v>
      </c>
      <c r="F661" s="723" t="s">
        <v>673</v>
      </c>
      <c r="G661" s="713" t="s">
        <v>58</v>
      </c>
      <c r="H661" s="723" t="s">
        <v>704</v>
      </c>
      <c r="I661" s="713" t="s">
        <v>5</v>
      </c>
      <c r="J661" s="713" t="s">
        <v>376</v>
      </c>
      <c r="K661" s="766">
        <v>2</v>
      </c>
      <c r="L661" s="766" t="s">
        <v>671</v>
      </c>
      <c r="M661" s="765" t="s">
        <v>777</v>
      </c>
      <c r="N661" s="765">
        <v>12</v>
      </c>
      <c r="O661" s="765">
        <v>3</v>
      </c>
      <c r="P661" s="735">
        <v>4.5454545454545456E-2</v>
      </c>
      <c r="Q661" s="713" t="s">
        <v>58</v>
      </c>
      <c r="R661" s="713" t="s">
        <v>58</v>
      </c>
      <c r="S661" s="713" t="s">
        <v>58</v>
      </c>
      <c r="T661" s="713" t="s">
        <v>58</v>
      </c>
      <c r="U661" s="764">
        <v>4.3999999999999997E-2</v>
      </c>
      <c r="V661" s="764">
        <v>114.136</v>
      </c>
      <c r="W661" s="764">
        <v>3.4509662847238415E-2</v>
      </c>
      <c r="X661" s="764">
        <v>94.296536568109772</v>
      </c>
      <c r="Y661" s="764">
        <v>321.46546557310148</v>
      </c>
      <c r="Z661" s="764">
        <v>303.42170975695103</v>
      </c>
      <c r="AA661" s="764">
        <v>89.003701528705648</v>
      </c>
      <c r="AB661" s="764">
        <v>3.2595876137952964E-2</v>
      </c>
      <c r="AC661" s="714">
        <v>0.82617698682369967</v>
      </c>
      <c r="AD661" s="714">
        <v>0.7843105192554185</v>
      </c>
      <c r="AE661" s="713" t="s">
        <v>58</v>
      </c>
      <c r="AF661" s="713" t="s">
        <v>58</v>
      </c>
      <c r="AG661" s="713" t="s">
        <v>58</v>
      </c>
      <c r="AH661" s="714">
        <v>0.94387031345969796</v>
      </c>
      <c r="AI661" s="713" t="s">
        <v>58</v>
      </c>
      <c r="AJ661" s="713" t="s">
        <v>58</v>
      </c>
      <c r="AK661" s="713" t="s">
        <v>58</v>
      </c>
      <c r="AL661" s="714">
        <v>0.94454345387965444</v>
      </c>
      <c r="AM661" s="713" t="s">
        <v>58</v>
      </c>
      <c r="AN661" s="713" t="s">
        <v>58</v>
      </c>
      <c r="AO661" s="713" t="s">
        <v>58</v>
      </c>
      <c r="AP661" s="747">
        <v>75</v>
      </c>
      <c r="AQ661" s="747">
        <v>150</v>
      </c>
      <c r="AR661" s="709"/>
      <c r="AS661" s="763">
        <v>0</v>
      </c>
      <c r="AT661" s="763">
        <v>0</v>
      </c>
      <c r="AU661" s="763">
        <v>0</v>
      </c>
      <c r="AV661" s="763">
        <v>3.2595876137952964E-2</v>
      </c>
      <c r="AW661" s="763">
        <v>3.2595876137952964E-2</v>
      </c>
      <c r="AX661" s="763">
        <v>3.2595876137952964E-2</v>
      </c>
      <c r="AY661" s="763">
        <v>1.4816307335433166E-3</v>
      </c>
      <c r="AZ661" s="763">
        <v>1.4816307335433166E-3</v>
      </c>
      <c r="BA661" s="763">
        <v>1.4816307335433166E-3</v>
      </c>
      <c r="BB661" s="763">
        <v>1.4816307335433166E-3</v>
      </c>
      <c r="BC661" s="763">
        <v>1.4816307335433166E-3</v>
      </c>
      <c r="BD661" s="763">
        <v>1.4816307335433166E-3</v>
      </c>
      <c r="BE661" s="763">
        <v>1.4816307335433166E-3</v>
      </c>
      <c r="BF661" s="763">
        <v>1.4816307335433166E-3</v>
      </c>
      <c r="BG661" s="763">
        <v>1.4816307335433166E-3</v>
      </c>
      <c r="BH661" s="763">
        <v>0</v>
      </c>
      <c r="BI661" s="763">
        <v>0</v>
      </c>
      <c r="BJ661" s="763">
        <v>0</v>
      </c>
      <c r="BK661" s="763">
        <v>0</v>
      </c>
      <c r="BL661" s="763">
        <v>0</v>
      </c>
      <c r="BM661" s="763">
        <v>0</v>
      </c>
      <c r="BN661" s="763">
        <v>0</v>
      </c>
      <c r="BO661" s="763">
        <v>0</v>
      </c>
      <c r="BP661" s="763">
        <v>0</v>
      </c>
      <c r="BQ661" s="763">
        <v>0</v>
      </c>
      <c r="BR661" s="763">
        <v>0</v>
      </c>
      <c r="BS661" s="762">
        <v>0</v>
      </c>
      <c r="BT661" s="762">
        <v>0</v>
      </c>
      <c r="BU661" s="762">
        <v>0</v>
      </c>
      <c r="BV661" s="762">
        <v>89.003701528705648</v>
      </c>
      <c r="BW661" s="762">
        <v>89.003701528705648</v>
      </c>
      <c r="BX661" s="762">
        <v>89.003701528705648</v>
      </c>
      <c r="BY661" s="762">
        <v>4.0456227967593481</v>
      </c>
      <c r="BZ661" s="762">
        <v>4.0456227967593481</v>
      </c>
      <c r="CA661" s="762">
        <v>4.0456227967593481</v>
      </c>
      <c r="CB661" s="762">
        <v>4.0456227967593481</v>
      </c>
      <c r="CC661" s="762">
        <v>4.0456227967593481</v>
      </c>
      <c r="CD661" s="762">
        <v>4.0456227967593481</v>
      </c>
      <c r="CE661" s="762">
        <v>4.0456227967593481</v>
      </c>
      <c r="CF661" s="762">
        <v>4.0456227967593481</v>
      </c>
      <c r="CG661" s="762">
        <v>4.0456227967593481</v>
      </c>
      <c r="CH661" s="762">
        <v>0</v>
      </c>
      <c r="CI661" s="762">
        <v>0</v>
      </c>
      <c r="CJ661" s="762">
        <v>0</v>
      </c>
      <c r="CK661" s="762">
        <v>0</v>
      </c>
      <c r="CL661" s="762">
        <v>0</v>
      </c>
      <c r="CM661" s="762">
        <v>0</v>
      </c>
      <c r="CN661" s="762">
        <v>0</v>
      </c>
      <c r="CO661" s="762">
        <v>0</v>
      </c>
      <c r="CP661" s="762">
        <v>0</v>
      </c>
      <c r="CQ661" s="762">
        <v>0</v>
      </c>
      <c r="CR661" s="762">
        <v>0</v>
      </c>
    </row>
    <row r="662" spans="1:96" s="53" customFormat="1">
      <c r="A662" s="721" t="s">
        <v>3</v>
      </c>
      <c r="B662" s="723">
        <v>41674</v>
      </c>
      <c r="C662" s="721">
        <v>2014</v>
      </c>
      <c r="D662" s="713" t="s">
        <v>1</v>
      </c>
      <c r="E662" s="713" t="s">
        <v>674</v>
      </c>
      <c r="F662" s="723" t="s">
        <v>673</v>
      </c>
      <c r="G662" s="713" t="s">
        <v>58</v>
      </c>
      <c r="H662" s="723" t="s">
        <v>678</v>
      </c>
      <c r="I662" s="713" t="s">
        <v>5</v>
      </c>
      <c r="J662" s="713" t="s">
        <v>376</v>
      </c>
      <c r="K662" s="766">
        <v>9</v>
      </c>
      <c r="L662" s="766" t="s">
        <v>671</v>
      </c>
      <c r="M662" s="765" t="s">
        <v>777</v>
      </c>
      <c r="N662" s="765">
        <v>3</v>
      </c>
      <c r="O662" s="765">
        <v>2</v>
      </c>
      <c r="P662" s="735">
        <v>0.6149863305954828</v>
      </c>
      <c r="Q662" s="713" t="s">
        <v>58</v>
      </c>
      <c r="R662" s="713" t="s">
        <v>58</v>
      </c>
      <c r="S662" s="713" t="s">
        <v>58</v>
      </c>
      <c r="T662" s="713" t="s">
        <v>58</v>
      </c>
      <c r="U662" s="764">
        <v>0.42299999999999999</v>
      </c>
      <c r="V662" s="764">
        <v>1303.6859999999999</v>
      </c>
      <c r="W662" s="764">
        <v>0.33176334964504206</v>
      </c>
      <c r="X662" s="764">
        <v>1077.0753712442415</v>
      </c>
      <c r="Y662" s="764">
        <v>2816.5373728247464</v>
      </c>
      <c r="Z662" s="764">
        <v>2658.4460129590475</v>
      </c>
      <c r="AA662" s="764">
        <v>1016.6194682760228</v>
      </c>
      <c r="AB662" s="764">
        <v>0.31336490014441143</v>
      </c>
      <c r="AC662" s="714">
        <v>0.82617698682369967</v>
      </c>
      <c r="AD662" s="714">
        <v>0.7843105192554185</v>
      </c>
      <c r="AE662" s="713" t="s">
        <v>58</v>
      </c>
      <c r="AF662" s="713" t="s">
        <v>58</v>
      </c>
      <c r="AG662" s="713" t="s">
        <v>58</v>
      </c>
      <c r="AH662" s="714">
        <v>0.94387031345969796</v>
      </c>
      <c r="AI662" s="713" t="s">
        <v>58</v>
      </c>
      <c r="AJ662" s="713" t="s">
        <v>58</v>
      </c>
      <c r="AK662" s="713" t="s">
        <v>58</v>
      </c>
      <c r="AL662" s="714">
        <v>0.94454345387965444</v>
      </c>
      <c r="AM662" s="713" t="s">
        <v>58</v>
      </c>
      <c r="AN662" s="713" t="s">
        <v>58</v>
      </c>
      <c r="AO662" s="713" t="s">
        <v>58</v>
      </c>
      <c r="AP662" s="747">
        <v>8</v>
      </c>
      <c r="AQ662" s="747">
        <v>72</v>
      </c>
      <c r="AR662" s="709"/>
      <c r="AS662" s="763">
        <v>0</v>
      </c>
      <c r="AT662" s="763">
        <v>0</v>
      </c>
      <c r="AU662" s="763">
        <v>0</v>
      </c>
      <c r="AV662" s="763">
        <v>0.31336490014441143</v>
      </c>
      <c r="AW662" s="763">
        <v>0.31336490014441143</v>
      </c>
      <c r="AX662" s="763">
        <v>0.19271513007723146</v>
      </c>
      <c r="AY662" s="763">
        <v>0</v>
      </c>
      <c r="AZ662" s="763">
        <v>0</v>
      </c>
      <c r="BA662" s="763">
        <v>0</v>
      </c>
      <c r="BB662" s="763">
        <v>0</v>
      </c>
      <c r="BC662" s="763">
        <v>0</v>
      </c>
      <c r="BD662" s="763">
        <v>0</v>
      </c>
      <c r="BE662" s="763">
        <v>0</v>
      </c>
      <c r="BF662" s="763">
        <v>0</v>
      </c>
      <c r="BG662" s="763">
        <v>0</v>
      </c>
      <c r="BH662" s="763">
        <v>0</v>
      </c>
      <c r="BI662" s="763">
        <v>0</v>
      </c>
      <c r="BJ662" s="763">
        <v>0</v>
      </c>
      <c r="BK662" s="763">
        <v>0</v>
      </c>
      <c r="BL662" s="763">
        <v>0</v>
      </c>
      <c r="BM662" s="763">
        <v>0</v>
      </c>
      <c r="BN662" s="763">
        <v>0</v>
      </c>
      <c r="BO662" s="763">
        <v>0</v>
      </c>
      <c r="BP662" s="763">
        <v>0</v>
      </c>
      <c r="BQ662" s="763">
        <v>0</v>
      </c>
      <c r="BR662" s="763">
        <v>0</v>
      </c>
      <c r="BS662" s="762">
        <v>0</v>
      </c>
      <c r="BT662" s="762">
        <v>0</v>
      </c>
      <c r="BU662" s="762">
        <v>0</v>
      </c>
      <c r="BV662" s="762">
        <v>1016.6194682760228</v>
      </c>
      <c r="BW662" s="762">
        <v>1016.6194682760228</v>
      </c>
      <c r="BX662" s="762">
        <v>625.20707640700209</v>
      </c>
      <c r="BY662" s="762">
        <v>0</v>
      </c>
      <c r="BZ662" s="762">
        <v>0</v>
      </c>
      <c r="CA662" s="762">
        <v>0</v>
      </c>
      <c r="CB662" s="762">
        <v>0</v>
      </c>
      <c r="CC662" s="762">
        <v>0</v>
      </c>
      <c r="CD662" s="762">
        <v>0</v>
      </c>
      <c r="CE662" s="762">
        <v>0</v>
      </c>
      <c r="CF662" s="762">
        <v>0</v>
      </c>
      <c r="CG662" s="762">
        <v>0</v>
      </c>
      <c r="CH662" s="762">
        <v>0</v>
      </c>
      <c r="CI662" s="762">
        <v>0</v>
      </c>
      <c r="CJ662" s="762">
        <v>0</v>
      </c>
      <c r="CK662" s="762">
        <v>0</v>
      </c>
      <c r="CL662" s="762">
        <v>0</v>
      </c>
      <c r="CM662" s="762">
        <v>0</v>
      </c>
      <c r="CN662" s="762">
        <v>0</v>
      </c>
      <c r="CO662" s="762">
        <v>0</v>
      </c>
      <c r="CP662" s="762">
        <v>0</v>
      </c>
      <c r="CQ662" s="762">
        <v>0</v>
      </c>
      <c r="CR662" s="762">
        <v>0</v>
      </c>
    </row>
    <row r="663" spans="1:96" s="53" customFormat="1">
      <c r="A663" s="721" t="s">
        <v>3</v>
      </c>
      <c r="B663" s="723">
        <v>41674</v>
      </c>
      <c r="C663" s="721">
        <v>2014</v>
      </c>
      <c r="D663" s="713" t="s">
        <v>1</v>
      </c>
      <c r="E663" s="713" t="s">
        <v>674</v>
      </c>
      <c r="F663" s="723" t="s">
        <v>673</v>
      </c>
      <c r="G663" s="713" t="s">
        <v>58</v>
      </c>
      <c r="H663" s="723" t="s">
        <v>703</v>
      </c>
      <c r="I663" s="713" t="s">
        <v>5</v>
      </c>
      <c r="J663" s="713" t="s">
        <v>376</v>
      </c>
      <c r="K663" s="766">
        <v>2</v>
      </c>
      <c r="L663" s="766" t="s">
        <v>671</v>
      </c>
      <c r="M663" s="765" t="s">
        <v>777</v>
      </c>
      <c r="N663" s="765">
        <v>3</v>
      </c>
      <c r="O663" s="765">
        <v>1</v>
      </c>
      <c r="P663" s="735">
        <v>0.60014709718448678</v>
      </c>
      <c r="Q663" s="713" t="s">
        <v>58</v>
      </c>
      <c r="R663" s="713" t="s">
        <v>58</v>
      </c>
      <c r="S663" s="713" t="s">
        <v>58</v>
      </c>
      <c r="T663" s="713" t="s">
        <v>58</v>
      </c>
      <c r="U663" s="764">
        <v>0.154</v>
      </c>
      <c r="V663" s="764">
        <v>474.62799999999999</v>
      </c>
      <c r="W663" s="764">
        <v>0.12078381996533447</v>
      </c>
      <c r="X663" s="764">
        <v>392.1267309021589</v>
      </c>
      <c r="Y663" s="764">
        <v>862.79416946090498</v>
      </c>
      <c r="Z663" s="764">
        <v>814.36580318026415</v>
      </c>
      <c r="AA663" s="764">
        <v>370.11678041254737</v>
      </c>
      <c r="AB663" s="764">
        <v>0.11408556648283538</v>
      </c>
      <c r="AC663" s="714">
        <v>0.82617698682369967</v>
      </c>
      <c r="AD663" s="714">
        <v>0.7843105192554185</v>
      </c>
      <c r="AE663" s="713" t="s">
        <v>58</v>
      </c>
      <c r="AF663" s="713" t="s">
        <v>58</v>
      </c>
      <c r="AG663" s="713" t="s">
        <v>58</v>
      </c>
      <c r="AH663" s="714">
        <v>0.94387031345969796</v>
      </c>
      <c r="AI663" s="713" t="s">
        <v>58</v>
      </c>
      <c r="AJ663" s="713" t="s">
        <v>58</v>
      </c>
      <c r="AK663" s="713" t="s">
        <v>58</v>
      </c>
      <c r="AL663" s="714">
        <v>0.94454345387965444</v>
      </c>
      <c r="AM663" s="713" t="s">
        <v>58</v>
      </c>
      <c r="AN663" s="713" t="s">
        <v>58</v>
      </c>
      <c r="AO663" s="713" t="s">
        <v>58</v>
      </c>
      <c r="AP663" s="747">
        <v>9.85</v>
      </c>
      <c r="AQ663" s="747">
        <v>19.7</v>
      </c>
      <c r="AR663" s="709"/>
      <c r="AS663" s="763">
        <v>0</v>
      </c>
      <c r="AT663" s="763">
        <v>0</v>
      </c>
      <c r="AU663" s="763">
        <v>0</v>
      </c>
      <c r="AV663" s="763">
        <v>0.11408556648283538</v>
      </c>
      <c r="AW663" s="763">
        <v>6.8468121555321435E-2</v>
      </c>
      <c r="AX663" s="763">
        <v>6.8468121555321435E-2</v>
      </c>
      <c r="AY663" s="763">
        <v>0</v>
      </c>
      <c r="AZ663" s="763">
        <v>0</v>
      </c>
      <c r="BA663" s="763">
        <v>0</v>
      </c>
      <c r="BB663" s="763">
        <v>0</v>
      </c>
      <c r="BC663" s="763">
        <v>0</v>
      </c>
      <c r="BD663" s="763">
        <v>0</v>
      </c>
      <c r="BE663" s="763">
        <v>0</v>
      </c>
      <c r="BF663" s="763">
        <v>0</v>
      </c>
      <c r="BG663" s="763">
        <v>0</v>
      </c>
      <c r="BH663" s="763">
        <v>0</v>
      </c>
      <c r="BI663" s="763">
        <v>0</v>
      </c>
      <c r="BJ663" s="763">
        <v>0</v>
      </c>
      <c r="BK663" s="763">
        <v>0</v>
      </c>
      <c r="BL663" s="763">
        <v>0</v>
      </c>
      <c r="BM663" s="763">
        <v>0</v>
      </c>
      <c r="BN663" s="763">
        <v>0</v>
      </c>
      <c r="BO663" s="763">
        <v>0</v>
      </c>
      <c r="BP663" s="763">
        <v>0</v>
      </c>
      <c r="BQ663" s="763">
        <v>0</v>
      </c>
      <c r="BR663" s="763">
        <v>0</v>
      </c>
      <c r="BS663" s="762">
        <v>0</v>
      </c>
      <c r="BT663" s="762">
        <v>0</v>
      </c>
      <c r="BU663" s="762">
        <v>0</v>
      </c>
      <c r="BV663" s="762">
        <v>370.11678041254737</v>
      </c>
      <c r="BW663" s="762">
        <v>222.12451138385842</v>
      </c>
      <c r="BX663" s="762">
        <v>222.12451138385842</v>
      </c>
      <c r="BY663" s="762">
        <v>0</v>
      </c>
      <c r="BZ663" s="762">
        <v>0</v>
      </c>
      <c r="CA663" s="762">
        <v>0</v>
      </c>
      <c r="CB663" s="762">
        <v>0</v>
      </c>
      <c r="CC663" s="762">
        <v>0</v>
      </c>
      <c r="CD663" s="762">
        <v>0</v>
      </c>
      <c r="CE663" s="762">
        <v>0</v>
      </c>
      <c r="CF663" s="762">
        <v>0</v>
      </c>
      <c r="CG663" s="762">
        <v>0</v>
      </c>
      <c r="CH663" s="762">
        <v>0</v>
      </c>
      <c r="CI663" s="762">
        <v>0</v>
      </c>
      <c r="CJ663" s="762">
        <v>0</v>
      </c>
      <c r="CK663" s="762">
        <v>0</v>
      </c>
      <c r="CL663" s="762">
        <v>0</v>
      </c>
      <c r="CM663" s="762">
        <v>0</v>
      </c>
      <c r="CN663" s="762">
        <v>0</v>
      </c>
      <c r="CO663" s="762">
        <v>0</v>
      </c>
      <c r="CP663" s="762">
        <v>0</v>
      </c>
      <c r="CQ663" s="762">
        <v>0</v>
      </c>
      <c r="CR663" s="762">
        <v>0</v>
      </c>
    </row>
    <row r="664" spans="1:96" s="53" customFormat="1">
      <c r="A664" s="721" t="s">
        <v>3</v>
      </c>
      <c r="B664" s="723">
        <v>41674</v>
      </c>
      <c r="C664" s="721">
        <v>2014</v>
      </c>
      <c r="D664" s="713" t="s">
        <v>1</v>
      </c>
      <c r="E664" s="713" t="s">
        <v>674</v>
      </c>
      <c r="F664" s="723" t="s">
        <v>673</v>
      </c>
      <c r="G664" s="713" t="s">
        <v>58</v>
      </c>
      <c r="H664" s="723" t="s">
        <v>677</v>
      </c>
      <c r="I664" s="713" t="s">
        <v>5</v>
      </c>
      <c r="J664" s="713" t="s">
        <v>376</v>
      </c>
      <c r="K664" s="766">
        <v>1</v>
      </c>
      <c r="L664" s="766" t="s">
        <v>671</v>
      </c>
      <c r="M664" s="765" t="s">
        <v>777</v>
      </c>
      <c r="N664" s="765">
        <v>0</v>
      </c>
      <c r="O664" s="765">
        <v>0</v>
      </c>
      <c r="P664" s="735">
        <v>0</v>
      </c>
      <c r="Q664" s="713" t="s">
        <v>58</v>
      </c>
      <c r="R664" s="713" t="s">
        <v>58</v>
      </c>
      <c r="S664" s="713" t="s">
        <v>58</v>
      </c>
      <c r="T664" s="713" t="s">
        <v>58</v>
      </c>
      <c r="U664" s="764">
        <v>0</v>
      </c>
      <c r="V664" s="764">
        <v>0</v>
      </c>
      <c r="W664" s="764">
        <v>0</v>
      </c>
      <c r="X664" s="764">
        <v>0</v>
      </c>
      <c r="Y664" s="764">
        <v>0</v>
      </c>
      <c r="Z664" s="764">
        <v>0</v>
      </c>
      <c r="AA664" s="764">
        <v>0</v>
      </c>
      <c r="AB664" s="764">
        <v>0</v>
      </c>
      <c r="AC664" s="714">
        <v>0.82617698682369967</v>
      </c>
      <c r="AD664" s="714">
        <v>0.7843105192554185</v>
      </c>
      <c r="AE664" s="713" t="s">
        <v>58</v>
      </c>
      <c r="AF664" s="713" t="s">
        <v>58</v>
      </c>
      <c r="AG664" s="713" t="s">
        <v>58</v>
      </c>
      <c r="AH664" s="714">
        <v>0.94387031345969796</v>
      </c>
      <c r="AI664" s="713" t="s">
        <v>58</v>
      </c>
      <c r="AJ664" s="713" t="s">
        <v>58</v>
      </c>
      <c r="AK664" s="713" t="s">
        <v>58</v>
      </c>
      <c r="AL664" s="714">
        <v>0.94454345387965444</v>
      </c>
      <c r="AM664" s="713" t="s">
        <v>58</v>
      </c>
      <c r="AN664" s="713" t="s">
        <v>58</v>
      </c>
      <c r="AO664" s="713" t="s">
        <v>58</v>
      </c>
      <c r="AP664" s="747">
        <v>51</v>
      </c>
      <c r="AQ664" s="747">
        <v>51</v>
      </c>
      <c r="AR664" s="709"/>
      <c r="AS664" s="763">
        <v>0</v>
      </c>
      <c r="AT664" s="763">
        <v>0</v>
      </c>
      <c r="AU664" s="763">
        <v>0</v>
      </c>
      <c r="AV664" s="763">
        <v>0</v>
      </c>
      <c r="AW664" s="763">
        <v>0</v>
      </c>
      <c r="AX664" s="763">
        <v>0</v>
      </c>
      <c r="AY664" s="763">
        <v>0</v>
      </c>
      <c r="AZ664" s="763">
        <v>0</v>
      </c>
      <c r="BA664" s="763">
        <v>0</v>
      </c>
      <c r="BB664" s="763">
        <v>0</v>
      </c>
      <c r="BC664" s="763">
        <v>0</v>
      </c>
      <c r="BD664" s="763">
        <v>0</v>
      </c>
      <c r="BE664" s="763">
        <v>0</v>
      </c>
      <c r="BF664" s="763">
        <v>0</v>
      </c>
      <c r="BG664" s="763">
        <v>0</v>
      </c>
      <c r="BH664" s="763">
        <v>0</v>
      </c>
      <c r="BI664" s="763">
        <v>0</v>
      </c>
      <c r="BJ664" s="763">
        <v>0</v>
      </c>
      <c r="BK664" s="763">
        <v>0</v>
      </c>
      <c r="BL664" s="763">
        <v>0</v>
      </c>
      <c r="BM664" s="763">
        <v>0</v>
      </c>
      <c r="BN664" s="763">
        <v>0</v>
      </c>
      <c r="BO664" s="763">
        <v>0</v>
      </c>
      <c r="BP664" s="763">
        <v>0</v>
      </c>
      <c r="BQ664" s="763">
        <v>0</v>
      </c>
      <c r="BR664" s="763">
        <v>0</v>
      </c>
      <c r="BS664" s="762">
        <v>0</v>
      </c>
      <c r="BT664" s="762">
        <v>0</v>
      </c>
      <c r="BU664" s="762">
        <v>0</v>
      </c>
      <c r="BV664" s="762">
        <v>0</v>
      </c>
      <c r="BW664" s="762">
        <v>0</v>
      </c>
      <c r="BX664" s="762">
        <v>0</v>
      </c>
      <c r="BY664" s="762">
        <v>0</v>
      </c>
      <c r="BZ664" s="762">
        <v>0</v>
      </c>
      <c r="CA664" s="762">
        <v>0</v>
      </c>
      <c r="CB664" s="762">
        <v>0</v>
      </c>
      <c r="CC664" s="762">
        <v>0</v>
      </c>
      <c r="CD664" s="762">
        <v>0</v>
      </c>
      <c r="CE664" s="762">
        <v>0</v>
      </c>
      <c r="CF664" s="762">
        <v>0</v>
      </c>
      <c r="CG664" s="762">
        <v>0</v>
      </c>
      <c r="CH664" s="762">
        <v>0</v>
      </c>
      <c r="CI664" s="762">
        <v>0</v>
      </c>
      <c r="CJ664" s="762">
        <v>0</v>
      </c>
      <c r="CK664" s="762">
        <v>0</v>
      </c>
      <c r="CL664" s="762">
        <v>0</v>
      </c>
      <c r="CM664" s="762">
        <v>0</v>
      </c>
      <c r="CN664" s="762">
        <v>0</v>
      </c>
      <c r="CO664" s="762">
        <v>0</v>
      </c>
      <c r="CP664" s="762">
        <v>0</v>
      </c>
      <c r="CQ664" s="762">
        <v>0</v>
      </c>
      <c r="CR664" s="762">
        <v>0</v>
      </c>
    </row>
    <row r="665" spans="1:96" s="53" customFormat="1">
      <c r="A665" s="721" t="s">
        <v>3</v>
      </c>
      <c r="B665" s="723">
        <v>41674</v>
      </c>
      <c r="C665" s="721">
        <v>2014</v>
      </c>
      <c r="D665" s="713" t="s">
        <v>1</v>
      </c>
      <c r="E665" s="713" t="s">
        <v>674</v>
      </c>
      <c r="F665" s="723" t="s">
        <v>673</v>
      </c>
      <c r="G665" s="713" t="s">
        <v>58</v>
      </c>
      <c r="H665" s="723" t="s">
        <v>735</v>
      </c>
      <c r="I665" s="713" t="s">
        <v>5</v>
      </c>
      <c r="J665" s="713" t="s">
        <v>376</v>
      </c>
      <c r="K665" s="766">
        <v>2</v>
      </c>
      <c r="L665" s="766" t="s">
        <v>671</v>
      </c>
      <c r="M665" s="765" t="s">
        <v>777</v>
      </c>
      <c r="N665" s="765">
        <v>12</v>
      </c>
      <c r="O665" s="765">
        <v>3</v>
      </c>
      <c r="P665" s="735">
        <v>0.6097560975609756</v>
      </c>
      <c r="Q665" s="713" t="s">
        <v>58</v>
      </c>
      <c r="R665" s="713" t="s">
        <v>58</v>
      </c>
      <c r="S665" s="713" t="s">
        <v>58</v>
      </c>
      <c r="T665" s="713" t="s">
        <v>58</v>
      </c>
      <c r="U665" s="764">
        <v>8.2000000000000003E-2</v>
      </c>
      <c r="V665" s="764">
        <v>212.708</v>
      </c>
      <c r="W665" s="764">
        <v>6.4313462578944339E-2</v>
      </c>
      <c r="X665" s="764">
        <v>175.7344545132955</v>
      </c>
      <c r="Y665" s="764">
        <v>1491.599760259191</v>
      </c>
      <c r="Z665" s="764">
        <v>1407.876733272253</v>
      </c>
      <c r="AA665" s="764">
        <v>165.87053466713326</v>
      </c>
      <c r="AB665" s="764">
        <v>6.0746860075275994E-2</v>
      </c>
      <c r="AC665" s="714">
        <v>0.82617698682369967</v>
      </c>
      <c r="AD665" s="714">
        <v>0.7843105192554185</v>
      </c>
      <c r="AE665" s="713" t="s">
        <v>58</v>
      </c>
      <c r="AF665" s="713" t="s">
        <v>58</v>
      </c>
      <c r="AG665" s="713" t="s">
        <v>58</v>
      </c>
      <c r="AH665" s="714">
        <v>0.94387031345969796</v>
      </c>
      <c r="AI665" s="713" t="s">
        <v>58</v>
      </c>
      <c r="AJ665" s="713" t="s">
        <v>58</v>
      </c>
      <c r="AK665" s="713" t="s">
        <v>58</v>
      </c>
      <c r="AL665" s="714">
        <v>0.94454345387965444</v>
      </c>
      <c r="AM665" s="713" t="s">
        <v>58</v>
      </c>
      <c r="AN665" s="713" t="s">
        <v>58</v>
      </c>
      <c r="AO665" s="713" t="s">
        <v>58</v>
      </c>
      <c r="AP665" s="747">
        <v>119</v>
      </c>
      <c r="AQ665" s="747">
        <v>238</v>
      </c>
      <c r="AR665" s="709"/>
      <c r="AS665" s="763">
        <v>0</v>
      </c>
      <c r="AT665" s="763">
        <v>0</v>
      </c>
      <c r="AU665" s="763">
        <v>0</v>
      </c>
      <c r="AV665" s="763">
        <v>6.0746860075275994E-2</v>
      </c>
      <c r="AW665" s="763">
        <v>6.0746860075275994E-2</v>
      </c>
      <c r="AX665" s="763">
        <v>6.0746860075275994E-2</v>
      </c>
      <c r="AY665" s="763">
        <v>3.704076833858292E-2</v>
      </c>
      <c r="AZ665" s="763">
        <v>3.704076833858292E-2</v>
      </c>
      <c r="BA665" s="763">
        <v>3.704076833858292E-2</v>
      </c>
      <c r="BB665" s="763">
        <v>3.704076833858292E-2</v>
      </c>
      <c r="BC665" s="763">
        <v>3.704076833858292E-2</v>
      </c>
      <c r="BD665" s="763">
        <v>3.704076833858292E-2</v>
      </c>
      <c r="BE665" s="763">
        <v>3.704076833858292E-2</v>
      </c>
      <c r="BF665" s="763">
        <v>3.704076833858292E-2</v>
      </c>
      <c r="BG665" s="763">
        <v>3.704076833858292E-2</v>
      </c>
      <c r="BH665" s="763">
        <v>0</v>
      </c>
      <c r="BI665" s="763">
        <v>0</v>
      </c>
      <c r="BJ665" s="763">
        <v>0</v>
      </c>
      <c r="BK665" s="763">
        <v>0</v>
      </c>
      <c r="BL665" s="763">
        <v>0</v>
      </c>
      <c r="BM665" s="763">
        <v>0</v>
      </c>
      <c r="BN665" s="763">
        <v>0</v>
      </c>
      <c r="BO665" s="763">
        <v>0</v>
      </c>
      <c r="BP665" s="763">
        <v>0</v>
      </c>
      <c r="BQ665" s="763">
        <v>0</v>
      </c>
      <c r="BR665" s="763">
        <v>0</v>
      </c>
      <c r="BS665" s="762">
        <v>0</v>
      </c>
      <c r="BT665" s="762">
        <v>0</v>
      </c>
      <c r="BU665" s="762">
        <v>0</v>
      </c>
      <c r="BV665" s="762">
        <v>165.87053466713326</v>
      </c>
      <c r="BW665" s="762">
        <v>165.87053466713326</v>
      </c>
      <c r="BX665" s="762">
        <v>165.87053466713326</v>
      </c>
      <c r="BY665" s="762">
        <v>101.14056991898369</v>
      </c>
      <c r="BZ665" s="762">
        <v>101.14056991898369</v>
      </c>
      <c r="CA665" s="762">
        <v>101.14056991898369</v>
      </c>
      <c r="CB665" s="762">
        <v>101.14056991898369</v>
      </c>
      <c r="CC665" s="762">
        <v>101.14056991898369</v>
      </c>
      <c r="CD665" s="762">
        <v>101.14056991898369</v>
      </c>
      <c r="CE665" s="762">
        <v>101.14056991898369</v>
      </c>
      <c r="CF665" s="762">
        <v>101.14056991898369</v>
      </c>
      <c r="CG665" s="762">
        <v>101.14056991898369</v>
      </c>
      <c r="CH665" s="762">
        <v>0</v>
      </c>
      <c r="CI665" s="762">
        <v>0</v>
      </c>
      <c r="CJ665" s="762">
        <v>0</v>
      </c>
      <c r="CK665" s="762">
        <v>0</v>
      </c>
      <c r="CL665" s="762">
        <v>0</v>
      </c>
      <c r="CM665" s="762">
        <v>0</v>
      </c>
      <c r="CN665" s="762">
        <v>0</v>
      </c>
      <c r="CO665" s="762">
        <v>0</v>
      </c>
      <c r="CP665" s="762">
        <v>0</v>
      </c>
      <c r="CQ665" s="762">
        <v>0</v>
      </c>
      <c r="CR665" s="762">
        <v>0</v>
      </c>
    </row>
    <row r="666" spans="1:96" s="53" customFormat="1">
      <c r="A666" s="721" t="s">
        <v>3</v>
      </c>
      <c r="B666" s="723">
        <v>41674</v>
      </c>
      <c r="C666" s="721">
        <v>2014</v>
      </c>
      <c r="D666" s="713" t="s">
        <v>1</v>
      </c>
      <c r="E666" s="713" t="s">
        <v>674</v>
      </c>
      <c r="F666" s="723" t="s">
        <v>673</v>
      </c>
      <c r="G666" s="713" t="s">
        <v>58</v>
      </c>
      <c r="H666" s="723" t="s">
        <v>675</v>
      </c>
      <c r="I666" s="713" t="s">
        <v>5</v>
      </c>
      <c r="J666" s="713" t="s">
        <v>376</v>
      </c>
      <c r="K666" s="766">
        <v>2</v>
      </c>
      <c r="L666" s="766" t="s">
        <v>671</v>
      </c>
      <c r="M666" s="765" t="s">
        <v>777</v>
      </c>
      <c r="N666" s="765">
        <v>12</v>
      </c>
      <c r="O666" s="765">
        <v>3</v>
      </c>
      <c r="P666" s="735">
        <v>0.36842105263157893</v>
      </c>
      <c r="Q666" s="713" t="s">
        <v>58</v>
      </c>
      <c r="R666" s="713" t="s">
        <v>58</v>
      </c>
      <c r="S666" s="713" t="s">
        <v>58</v>
      </c>
      <c r="T666" s="713" t="s">
        <v>58</v>
      </c>
      <c r="U666" s="764">
        <v>0.114</v>
      </c>
      <c r="V666" s="764">
        <v>295.71600000000001</v>
      </c>
      <c r="W666" s="764">
        <v>8.941139919511773E-2</v>
      </c>
      <c r="X666" s="764">
        <v>244.31375383555718</v>
      </c>
      <c r="Y666" s="764">
        <v>1543.0342347508872</v>
      </c>
      <c r="Z666" s="764">
        <v>1456.4242068333651</v>
      </c>
      <c r="AA666" s="764">
        <v>230.60049941528283</v>
      </c>
      <c r="AB666" s="764">
        <v>8.445295181196906E-2</v>
      </c>
      <c r="AC666" s="714">
        <v>0.82617698682369967</v>
      </c>
      <c r="AD666" s="714">
        <v>0.7843105192554185</v>
      </c>
      <c r="AE666" s="713" t="s">
        <v>58</v>
      </c>
      <c r="AF666" s="713" t="s">
        <v>58</v>
      </c>
      <c r="AG666" s="713" t="s">
        <v>58</v>
      </c>
      <c r="AH666" s="714">
        <v>0.94387031345969796</v>
      </c>
      <c r="AI666" s="713" t="s">
        <v>58</v>
      </c>
      <c r="AJ666" s="713" t="s">
        <v>58</v>
      </c>
      <c r="AK666" s="713" t="s">
        <v>58</v>
      </c>
      <c r="AL666" s="714">
        <v>0.94454345387965444</v>
      </c>
      <c r="AM666" s="713" t="s">
        <v>58</v>
      </c>
      <c r="AN666" s="713" t="s">
        <v>58</v>
      </c>
      <c r="AO666" s="713" t="s">
        <v>58</v>
      </c>
      <c r="AP666" s="747">
        <v>73</v>
      </c>
      <c r="AQ666" s="747">
        <v>146</v>
      </c>
      <c r="AR666" s="709"/>
      <c r="AS666" s="763">
        <v>0</v>
      </c>
      <c r="AT666" s="763">
        <v>0</v>
      </c>
      <c r="AU666" s="763">
        <v>0</v>
      </c>
      <c r="AV666" s="763">
        <v>8.445295181196906E-2</v>
      </c>
      <c r="AW666" s="763">
        <v>8.445295181196906E-2</v>
      </c>
      <c r="AX666" s="763">
        <v>8.445295181196906E-2</v>
      </c>
      <c r="AY666" s="763">
        <v>3.111424540440965E-2</v>
      </c>
      <c r="AZ666" s="763">
        <v>3.111424540440965E-2</v>
      </c>
      <c r="BA666" s="763">
        <v>3.111424540440965E-2</v>
      </c>
      <c r="BB666" s="763">
        <v>3.111424540440965E-2</v>
      </c>
      <c r="BC666" s="763">
        <v>3.111424540440965E-2</v>
      </c>
      <c r="BD666" s="763">
        <v>3.111424540440965E-2</v>
      </c>
      <c r="BE666" s="763">
        <v>3.111424540440965E-2</v>
      </c>
      <c r="BF666" s="763">
        <v>3.111424540440965E-2</v>
      </c>
      <c r="BG666" s="763">
        <v>3.111424540440965E-2</v>
      </c>
      <c r="BH666" s="763">
        <v>0</v>
      </c>
      <c r="BI666" s="763">
        <v>0</v>
      </c>
      <c r="BJ666" s="763">
        <v>0</v>
      </c>
      <c r="BK666" s="763">
        <v>0</v>
      </c>
      <c r="BL666" s="763">
        <v>0</v>
      </c>
      <c r="BM666" s="763">
        <v>0</v>
      </c>
      <c r="BN666" s="763">
        <v>0</v>
      </c>
      <c r="BO666" s="763">
        <v>0</v>
      </c>
      <c r="BP666" s="763">
        <v>0</v>
      </c>
      <c r="BQ666" s="763">
        <v>0</v>
      </c>
      <c r="BR666" s="763">
        <v>0</v>
      </c>
      <c r="BS666" s="762">
        <v>0</v>
      </c>
      <c r="BT666" s="762">
        <v>0</v>
      </c>
      <c r="BU666" s="762">
        <v>0</v>
      </c>
      <c r="BV666" s="762">
        <v>230.60049941528283</v>
      </c>
      <c r="BW666" s="762">
        <v>230.60049941528283</v>
      </c>
      <c r="BX666" s="762">
        <v>230.60049941528283</v>
      </c>
      <c r="BY666" s="762">
        <v>84.958078731946301</v>
      </c>
      <c r="BZ666" s="762">
        <v>84.958078731946301</v>
      </c>
      <c r="CA666" s="762">
        <v>84.958078731946301</v>
      </c>
      <c r="CB666" s="762">
        <v>84.958078731946301</v>
      </c>
      <c r="CC666" s="762">
        <v>84.958078731946301</v>
      </c>
      <c r="CD666" s="762">
        <v>84.958078731946301</v>
      </c>
      <c r="CE666" s="762">
        <v>84.958078731946301</v>
      </c>
      <c r="CF666" s="762">
        <v>84.958078731946301</v>
      </c>
      <c r="CG666" s="762">
        <v>84.958078731946301</v>
      </c>
      <c r="CH666" s="762">
        <v>0</v>
      </c>
      <c r="CI666" s="762">
        <v>0</v>
      </c>
      <c r="CJ666" s="762">
        <v>0</v>
      </c>
      <c r="CK666" s="762">
        <v>0</v>
      </c>
      <c r="CL666" s="762">
        <v>0</v>
      </c>
      <c r="CM666" s="762">
        <v>0</v>
      </c>
      <c r="CN666" s="762">
        <v>0</v>
      </c>
      <c r="CO666" s="762">
        <v>0</v>
      </c>
      <c r="CP666" s="762">
        <v>0</v>
      </c>
      <c r="CQ666" s="762">
        <v>0</v>
      </c>
      <c r="CR666" s="762">
        <v>0</v>
      </c>
    </row>
    <row r="667" spans="1:96" s="53" customFormat="1">
      <c r="A667" s="721" t="s">
        <v>3</v>
      </c>
      <c r="B667" s="723">
        <v>41674</v>
      </c>
      <c r="C667" s="721">
        <v>2014</v>
      </c>
      <c r="D667" s="713" t="s">
        <v>1</v>
      </c>
      <c r="E667" s="713" t="s">
        <v>674</v>
      </c>
      <c r="F667" s="723" t="s">
        <v>673</v>
      </c>
      <c r="G667" s="713" t="s">
        <v>58</v>
      </c>
      <c r="H667" s="723" t="s">
        <v>675</v>
      </c>
      <c r="I667" s="713" t="s">
        <v>5</v>
      </c>
      <c r="J667" s="713" t="s">
        <v>376</v>
      </c>
      <c r="K667" s="766">
        <v>9</v>
      </c>
      <c r="L667" s="766" t="s">
        <v>671</v>
      </c>
      <c r="M667" s="765" t="s">
        <v>777</v>
      </c>
      <c r="N667" s="765">
        <v>12</v>
      </c>
      <c r="O667" s="765">
        <v>3</v>
      </c>
      <c r="P667" s="735">
        <v>0.36842105263157893</v>
      </c>
      <c r="Q667" s="713" t="s">
        <v>58</v>
      </c>
      <c r="R667" s="713" t="s">
        <v>58</v>
      </c>
      <c r="S667" s="713" t="s">
        <v>58</v>
      </c>
      <c r="T667" s="713" t="s">
        <v>58</v>
      </c>
      <c r="U667" s="764">
        <v>0.51300000000000001</v>
      </c>
      <c r="V667" s="764">
        <v>1330.722</v>
      </c>
      <c r="W667" s="764">
        <v>0.40235129637802974</v>
      </c>
      <c r="X667" s="764">
        <v>1099.4118922600073</v>
      </c>
      <c r="Y667" s="764">
        <v>6943.6540563789931</v>
      </c>
      <c r="Z667" s="764">
        <v>6553.9089307501436</v>
      </c>
      <c r="AA667" s="764">
        <v>1037.7022473687728</v>
      </c>
      <c r="AB667" s="764">
        <v>0.38003828315386073</v>
      </c>
      <c r="AC667" s="714">
        <v>0.82617698682369967</v>
      </c>
      <c r="AD667" s="714">
        <v>0.7843105192554185</v>
      </c>
      <c r="AE667" s="713" t="s">
        <v>58</v>
      </c>
      <c r="AF667" s="713" t="s">
        <v>58</v>
      </c>
      <c r="AG667" s="713" t="s">
        <v>58</v>
      </c>
      <c r="AH667" s="714">
        <v>0.94387031345969796</v>
      </c>
      <c r="AI667" s="713" t="s">
        <v>58</v>
      </c>
      <c r="AJ667" s="713" t="s">
        <v>58</v>
      </c>
      <c r="AK667" s="713" t="s">
        <v>58</v>
      </c>
      <c r="AL667" s="714">
        <v>0.94454345387965444</v>
      </c>
      <c r="AM667" s="713" t="s">
        <v>58</v>
      </c>
      <c r="AN667" s="713" t="s">
        <v>58</v>
      </c>
      <c r="AO667" s="713" t="s">
        <v>58</v>
      </c>
      <c r="AP667" s="747">
        <v>73</v>
      </c>
      <c r="AQ667" s="747">
        <v>657</v>
      </c>
      <c r="AR667" s="709"/>
      <c r="AS667" s="763">
        <v>0</v>
      </c>
      <c r="AT667" s="763">
        <v>0</v>
      </c>
      <c r="AU667" s="763">
        <v>0</v>
      </c>
      <c r="AV667" s="763">
        <v>0.38003828315386073</v>
      </c>
      <c r="AW667" s="763">
        <v>0.38003828315386073</v>
      </c>
      <c r="AX667" s="763">
        <v>0.38003828315386073</v>
      </c>
      <c r="AY667" s="763">
        <v>0.14001410431984343</v>
      </c>
      <c r="AZ667" s="763">
        <v>0.14001410431984343</v>
      </c>
      <c r="BA667" s="763">
        <v>0.14001410431984343</v>
      </c>
      <c r="BB667" s="763">
        <v>0.14001410431984343</v>
      </c>
      <c r="BC667" s="763">
        <v>0.14001410431984343</v>
      </c>
      <c r="BD667" s="763">
        <v>0.14001410431984343</v>
      </c>
      <c r="BE667" s="763">
        <v>0.14001410431984343</v>
      </c>
      <c r="BF667" s="763">
        <v>0.14001410431984343</v>
      </c>
      <c r="BG667" s="763">
        <v>0.14001410431984343</v>
      </c>
      <c r="BH667" s="763">
        <v>0</v>
      </c>
      <c r="BI667" s="763">
        <v>0</v>
      </c>
      <c r="BJ667" s="763">
        <v>0</v>
      </c>
      <c r="BK667" s="763">
        <v>0</v>
      </c>
      <c r="BL667" s="763">
        <v>0</v>
      </c>
      <c r="BM667" s="763">
        <v>0</v>
      </c>
      <c r="BN667" s="763">
        <v>0</v>
      </c>
      <c r="BO667" s="763">
        <v>0</v>
      </c>
      <c r="BP667" s="763">
        <v>0</v>
      </c>
      <c r="BQ667" s="763">
        <v>0</v>
      </c>
      <c r="BR667" s="763">
        <v>0</v>
      </c>
      <c r="BS667" s="762">
        <v>0</v>
      </c>
      <c r="BT667" s="762">
        <v>0</v>
      </c>
      <c r="BU667" s="762">
        <v>0</v>
      </c>
      <c r="BV667" s="762">
        <v>1037.7022473687728</v>
      </c>
      <c r="BW667" s="762">
        <v>1037.7022473687728</v>
      </c>
      <c r="BX667" s="762">
        <v>1037.7022473687728</v>
      </c>
      <c r="BY667" s="762">
        <v>382.31135429375837</v>
      </c>
      <c r="BZ667" s="762">
        <v>382.31135429375837</v>
      </c>
      <c r="CA667" s="762">
        <v>382.31135429375837</v>
      </c>
      <c r="CB667" s="762">
        <v>382.31135429375837</v>
      </c>
      <c r="CC667" s="762">
        <v>382.31135429375837</v>
      </c>
      <c r="CD667" s="762">
        <v>382.31135429375837</v>
      </c>
      <c r="CE667" s="762">
        <v>382.31135429375837</v>
      </c>
      <c r="CF667" s="762">
        <v>382.31135429375837</v>
      </c>
      <c r="CG667" s="762">
        <v>382.31135429375837</v>
      </c>
      <c r="CH667" s="762">
        <v>0</v>
      </c>
      <c r="CI667" s="762">
        <v>0</v>
      </c>
      <c r="CJ667" s="762">
        <v>0</v>
      </c>
      <c r="CK667" s="762">
        <v>0</v>
      </c>
      <c r="CL667" s="762">
        <v>0</v>
      </c>
      <c r="CM667" s="762">
        <v>0</v>
      </c>
      <c r="CN667" s="762">
        <v>0</v>
      </c>
      <c r="CO667" s="762">
        <v>0</v>
      </c>
      <c r="CP667" s="762">
        <v>0</v>
      </c>
      <c r="CQ667" s="762">
        <v>0</v>
      </c>
      <c r="CR667" s="762">
        <v>0</v>
      </c>
    </row>
    <row r="668" spans="1:96" s="53" customFormat="1">
      <c r="A668" s="721" t="s">
        <v>3</v>
      </c>
      <c r="B668" s="723">
        <v>41674</v>
      </c>
      <c r="C668" s="721">
        <v>2014</v>
      </c>
      <c r="D668" s="713" t="s">
        <v>1</v>
      </c>
      <c r="E668" s="713" t="s">
        <v>674</v>
      </c>
      <c r="F668" s="723" t="s">
        <v>673</v>
      </c>
      <c r="G668" s="713" t="s">
        <v>58</v>
      </c>
      <c r="H668" s="723" t="s">
        <v>697</v>
      </c>
      <c r="I668" s="713" t="s">
        <v>5</v>
      </c>
      <c r="J668" s="713" t="s">
        <v>376</v>
      </c>
      <c r="K668" s="766">
        <v>1</v>
      </c>
      <c r="L668" s="766" t="s">
        <v>671</v>
      </c>
      <c r="M668" s="765" t="s">
        <v>777</v>
      </c>
      <c r="N668" s="765">
        <v>0</v>
      </c>
      <c r="O668" s="765">
        <v>0</v>
      </c>
      <c r="P668" s="735">
        <v>0</v>
      </c>
      <c r="Q668" s="713" t="s">
        <v>58</v>
      </c>
      <c r="R668" s="713" t="s">
        <v>58</v>
      </c>
      <c r="S668" s="713" t="s">
        <v>58</v>
      </c>
      <c r="T668" s="713" t="s">
        <v>58</v>
      </c>
      <c r="U668" s="764">
        <v>0</v>
      </c>
      <c r="V668" s="764">
        <v>0</v>
      </c>
      <c r="W668" s="764">
        <v>0</v>
      </c>
      <c r="X668" s="764">
        <v>0</v>
      </c>
      <c r="Y668" s="764">
        <v>0</v>
      </c>
      <c r="Z668" s="764">
        <v>0</v>
      </c>
      <c r="AA668" s="764">
        <v>0</v>
      </c>
      <c r="AB668" s="764">
        <v>0</v>
      </c>
      <c r="AC668" s="714">
        <v>0.82617698682369967</v>
      </c>
      <c r="AD668" s="714">
        <v>0.7843105192554185</v>
      </c>
      <c r="AE668" s="713" t="s">
        <v>58</v>
      </c>
      <c r="AF668" s="713" t="s">
        <v>58</v>
      </c>
      <c r="AG668" s="713" t="s">
        <v>58</v>
      </c>
      <c r="AH668" s="714">
        <v>0.94387031345969796</v>
      </c>
      <c r="AI668" s="713" t="s">
        <v>58</v>
      </c>
      <c r="AJ668" s="713" t="s">
        <v>58</v>
      </c>
      <c r="AK668" s="713" t="s">
        <v>58</v>
      </c>
      <c r="AL668" s="714">
        <v>0.94454345387965444</v>
      </c>
      <c r="AM668" s="713" t="s">
        <v>58</v>
      </c>
      <c r="AN668" s="713" t="s">
        <v>58</v>
      </c>
      <c r="AO668" s="713" t="s">
        <v>58</v>
      </c>
      <c r="AP668" s="747">
        <v>26</v>
      </c>
      <c r="AQ668" s="747">
        <v>26</v>
      </c>
      <c r="AR668" s="709"/>
      <c r="AS668" s="763">
        <v>0</v>
      </c>
      <c r="AT668" s="763">
        <v>0</v>
      </c>
      <c r="AU668" s="763">
        <v>0</v>
      </c>
      <c r="AV668" s="763">
        <v>0</v>
      </c>
      <c r="AW668" s="763">
        <v>0</v>
      </c>
      <c r="AX668" s="763">
        <v>0</v>
      </c>
      <c r="AY668" s="763">
        <v>0</v>
      </c>
      <c r="AZ668" s="763">
        <v>0</v>
      </c>
      <c r="BA668" s="763">
        <v>0</v>
      </c>
      <c r="BB668" s="763">
        <v>0</v>
      </c>
      <c r="BC668" s="763">
        <v>0</v>
      </c>
      <c r="BD668" s="763">
        <v>0</v>
      </c>
      <c r="BE668" s="763">
        <v>0</v>
      </c>
      <c r="BF668" s="763">
        <v>0</v>
      </c>
      <c r="BG668" s="763">
        <v>0</v>
      </c>
      <c r="BH668" s="763">
        <v>0</v>
      </c>
      <c r="BI668" s="763">
        <v>0</v>
      </c>
      <c r="BJ668" s="763">
        <v>0</v>
      </c>
      <c r="BK668" s="763">
        <v>0</v>
      </c>
      <c r="BL668" s="763">
        <v>0</v>
      </c>
      <c r="BM668" s="763">
        <v>0</v>
      </c>
      <c r="BN668" s="763">
        <v>0</v>
      </c>
      <c r="BO668" s="763">
        <v>0</v>
      </c>
      <c r="BP668" s="763">
        <v>0</v>
      </c>
      <c r="BQ668" s="763">
        <v>0</v>
      </c>
      <c r="BR668" s="763">
        <v>0</v>
      </c>
      <c r="BS668" s="762">
        <v>0</v>
      </c>
      <c r="BT668" s="762">
        <v>0</v>
      </c>
      <c r="BU668" s="762">
        <v>0</v>
      </c>
      <c r="BV668" s="762">
        <v>0</v>
      </c>
      <c r="BW668" s="762">
        <v>0</v>
      </c>
      <c r="BX668" s="762">
        <v>0</v>
      </c>
      <c r="BY668" s="762">
        <v>0</v>
      </c>
      <c r="BZ668" s="762">
        <v>0</v>
      </c>
      <c r="CA668" s="762">
        <v>0</v>
      </c>
      <c r="CB668" s="762">
        <v>0</v>
      </c>
      <c r="CC668" s="762">
        <v>0</v>
      </c>
      <c r="CD668" s="762">
        <v>0</v>
      </c>
      <c r="CE668" s="762">
        <v>0</v>
      </c>
      <c r="CF668" s="762">
        <v>0</v>
      </c>
      <c r="CG668" s="762">
        <v>0</v>
      </c>
      <c r="CH668" s="762">
        <v>0</v>
      </c>
      <c r="CI668" s="762">
        <v>0</v>
      </c>
      <c r="CJ668" s="762">
        <v>0</v>
      </c>
      <c r="CK668" s="762">
        <v>0</v>
      </c>
      <c r="CL668" s="762">
        <v>0</v>
      </c>
      <c r="CM668" s="762">
        <v>0</v>
      </c>
      <c r="CN668" s="762">
        <v>0</v>
      </c>
      <c r="CO668" s="762">
        <v>0</v>
      </c>
      <c r="CP668" s="762">
        <v>0</v>
      </c>
      <c r="CQ668" s="762">
        <v>0</v>
      </c>
      <c r="CR668" s="762">
        <v>0</v>
      </c>
    </row>
    <row r="669" spans="1:96" s="53" customFormat="1">
      <c r="A669" s="721" t="s">
        <v>3</v>
      </c>
      <c r="B669" s="723">
        <v>41674</v>
      </c>
      <c r="C669" s="721">
        <v>2014</v>
      </c>
      <c r="D669" s="713" t="s">
        <v>1</v>
      </c>
      <c r="E669" s="713" t="s">
        <v>674</v>
      </c>
      <c r="F669" s="723" t="s">
        <v>673</v>
      </c>
      <c r="G669" s="713" t="s">
        <v>58</v>
      </c>
      <c r="H669" s="723" t="s">
        <v>676</v>
      </c>
      <c r="I669" s="713" t="s">
        <v>5</v>
      </c>
      <c r="J669" s="713" t="s">
        <v>376</v>
      </c>
      <c r="K669" s="766">
        <v>8</v>
      </c>
      <c r="L669" s="766" t="s">
        <v>671</v>
      </c>
      <c r="M669" s="765" t="s">
        <v>777</v>
      </c>
      <c r="N669" s="765">
        <v>12</v>
      </c>
      <c r="O669" s="765">
        <v>3</v>
      </c>
      <c r="P669" s="735">
        <v>0.31578947368421051</v>
      </c>
      <c r="Q669" s="713" t="s">
        <v>58</v>
      </c>
      <c r="R669" s="713" t="s">
        <v>58</v>
      </c>
      <c r="S669" s="713" t="s">
        <v>58</v>
      </c>
      <c r="T669" s="713" t="s">
        <v>58</v>
      </c>
      <c r="U669" s="764">
        <v>0.30399999999999999</v>
      </c>
      <c r="V669" s="764">
        <v>788.57600000000002</v>
      </c>
      <c r="W669" s="764">
        <v>0.23843039785364725</v>
      </c>
      <c r="X669" s="764">
        <v>651.50334356148574</v>
      </c>
      <c r="Y669" s="764">
        <v>3806.1511123855216</v>
      </c>
      <c r="Z669" s="764">
        <v>3592.5130435223004</v>
      </c>
      <c r="AA669" s="764">
        <v>614.93466510742087</v>
      </c>
      <c r="AB669" s="764">
        <v>0.22520787149858412</v>
      </c>
      <c r="AC669" s="714">
        <v>0.82617698682369967</v>
      </c>
      <c r="AD669" s="714">
        <v>0.7843105192554185</v>
      </c>
      <c r="AE669" s="713" t="s">
        <v>58</v>
      </c>
      <c r="AF669" s="713" t="s">
        <v>58</v>
      </c>
      <c r="AG669" s="713" t="s">
        <v>58</v>
      </c>
      <c r="AH669" s="714">
        <v>0.94387031345969796</v>
      </c>
      <c r="AI669" s="713" t="s">
        <v>58</v>
      </c>
      <c r="AJ669" s="713" t="s">
        <v>58</v>
      </c>
      <c r="AK669" s="713" t="s">
        <v>58</v>
      </c>
      <c r="AL669" s="714">
        <v>0.94454345387965444</v>
      </c>
      <c r="AM669" s="713" t="s">
        <v>58</v>
      </c>
      <c r="AN669" s="713" t="s">
        <v>58</v>
      </c>
      <c r="AO669" s="713" t="s">
        <v>58</v>
      </c>
      <c r="AP669" s="747">
        <v>57</v>
      </c>
      <c r="AQ669" s="747">
        <v>456</v>
      </c>
      <c r="AR669" s="709"/>
      <c r="AS669" s="763">
        <v>0</v>
      </c>
      <c r="AT669" s="763">
        <v>0</v>
      </c>
      <c r="AU669" s="763">
        <v>0</v>
      </c>
      <c r="AV669" s="763">
        <v>0.22520787149858412</v>
      </c>
      <c r="AW669" s="763">
        <v>0.22520787149858412</v>
      </c>
      <c r="AX669" s="763">
        <v>0.22520787149858412</v>
      </c>
      <c r="AY669" s="763">
        <v>7.1118275210079199E-2</v>
      </c>
      <c r="AZ669" s="763">
        <v>7.1118275210079199E-2</v>
      </c>
      <c r="BA669" s="763">
        <v>7.1118275210079199E-2</v>
      </c>
      <c r="BB669" s="763">
        <v>7.1118275210079199E-2</v>
      </c>
      <c r="BC669" s="763">
        <v>7.1118275210079199E-2</v>
      </c>
      <c r="BD669" s="763">
        <v>7.1118275210079199E-2</v>
      </c>
      <c r="BE669" s="763">
        <v>7.1118275210079199E-2</v>
      </c>
      <c r="BF669" s="763">
        <v>7.1118275210079199E-2</v>
      </c>
      <c r="BG669" s="763">
        <v>7.1118275210079199E-2</v>
      </c>
      <c r="BH669" s="763">
        <v>0</v>
      </c>
      <c r="BI669" s="763">
        <v>0</v>
      </c>
      <c r="BJ669" s="763">
        <v>0</v>
      </c>
      <c r="BK669" s="763">
        <v>0</v>
      </c>
      <c r="BL669" s="763">
        <v>0</v>
      </c>
      <c r="BM669" s="763">
        <v>0</v>
      </c>
      <c r="BN669" s="763">
        <v>0</v>
      </c>
      <c r="BO669" s="763">
        <v>0</v>
      </c>
      <c r="BP669" s="763">
        <v>0</v>
      </c>
      <c r="BQ669" s="763">
        <v>0</v>
      </c>
      <c r="BR669" s="763">
        <v>0</v>
      </c>
      <c r="BS669" s="762">
        <v>0</v>
      </c>
      <c r="BT669" s="762">
        <v>0</v>
      </c>
      <c r="BU669" s="762">
        <v>0</v>
      </c>
      <c r="BV669" s="762">
        <v>614.93466510742087</v>
      </c>
      <c r="BW669" s="762">
        <v>614.93466510742087</v>
      </c>
      <c r="BX669" s="762">
        <v>614.93466510742087</v>
      </c>
      <c r="BY669" s="762">
        <v>194.18989424444868</v>
      </c>
      <c r="BZ669" s="762">
        <v>194.18989424444868</v>
      </c>
      <c r="CA669" s="762">
        <v>194.18989424444868</v>
      </c>
      <c r="CB669" s="762">
        <v>194.18989424444868</v>
      </c>
      <c r="CC669" s="762">
        <v>194.18989424444868</v>
      </c>
      <c r="CD669" s="762">
        <v>194.18989424444868</v>
      </c>
      <c r="CE669" s="762">
        <v>194.18989424444868</v>
      </c>
      <c r="CF669" s="762">
        <v>194.18989424444868</v>
      </c>
      <c r="CG669" s="762">
        <v>194.18989424444868</v>
      </c>
      <c r="CH669" s="762">
        <v>0</v>
      </c>
      <c r="CI669" s="762">
        <v>0</v>
      </c>
      <c r="CJ669" s="762">
        <v>0</v>
      </c>
      <c r="CK669" s="762">
        <v>0</v>
      </c>
      <c r="CL669" s="762">
        <v>0</v>
      </c>
      <c r="CM669" s="762">
        <v>0</v>
      </c>
      <c r="CN669" s="762">
        <v>0</v>
      </c>
      <c r="CO669" s="762">
        <v>0</v>
      </c>
      <c r="CP669" s="762">
        <v>0</v>
      </c>
      <c r="CQ669" s="762">
        <v>0</v>
      </c>
      <c r="CR669" s="762">
        <v>0</v>
      </c>
    </row>
    <row r="670" spans="1:96" s="53" customFormat="1">
      <c r="A670" s="721" t="s">
        <v>3</v>
      </c>
      <c r="B670" s="723">
        <v>41674</v>
      </c>
      <c r="C670" s="721">
        <v>2014</v>
      </c>
      <c r="D670" s="713" t="s">
        <v>1</v>
      </c>
      <c r="E670" s="713" t="s">
        <v>674</v>
      </c>
      <c r="F670" s="723" t="s">
        <v>673</v>
      </c>
      <c r="G670" s="713" t="s">
        <v>58</v>
      </c>
      <c r="H670" s="723" t="s">
        <v>697</v>
      </c>
      <c r="I670" s="713" t="s">
        <v>5</v>
      </c>
      <c r="J670" s="713" t="s">
        <v>376</v>
      </c>
      <c r="K670" s="766">
        <v>1</v>
      </c>
      <c r="L670" s="766" t="s">
        <v>671</v>
      </c>
      <c r="M670" s="765" t="s">
        <v>777</v>
      </c>
      <c r="N670" s="765">
        <v>0</v>
      </c>
      <c r="O670" s="765">
        <v>0</v>
      </c>
      <c r="P670" s="735">
        <v>0</v>
      </c>
      <c r="Q670" s="713" t="s">
        <v>58</v>
      </c>
      <c r="R670" s="713" t="s">
        <v>58</v>
      </c>
      <c r="S670" s="713" t="s">
        <v>58</v>
      </c>
      <c r="T670" s="713" t="s">
        <v>58</v>
      </c>
      <c r="U670" s="764">
        <v>0</v>
      </c>
      <c r="V670" s="764">
        <v>0</v>
      </c>
      <c r="W670" s="764">
        <v>0</v>
      </c>
      <c r="X670" s="764">
        <v>0</v>
      </c>
      <c r="Y670" s="764">
        <v>0</v>
      </c>
      <c r="Z670" s="764">
        <v>0</v>
      </c>
      <c r="AA670" s="764">
        <v>0</v>
      </c>
      <c r="AB670" s="764">
        <v>0</v>
      </c>
      <c r="AC670" s="714">
        <v>0.82617698682369967</v>
      </c>
      <c r="AD670" s="714">
        <v>0.7843105192554185</v>
      </c>
      <c r="AE670" s="713" t="s">
        <v>58</v>
      </c>
      <c r="AF670" s="713" t="s">
        <v>58</v>
      </c>
      <c r="AG670" s="713" t="s">
        <v>58</v>
      </c>
      <c r="AH670" s="714">
        <v>0.94387031345969796</v>
      </c>
      <c r="AI670" s="713" t="s">
        <v>58</v>
      </c>
      <c r="AJ670" s="713" t="s">
        <v>58</v>
      </c>
      <c r="AK670" s="713" t="s">
        <v>58</v>
      </c>
      <c r="AL670" s="714">
        <v>0.94454345387965444</v>
      </c>
      <c r="AM670" s="713" t="s">
        <v>58</v>
      </c>
      <c r="AN670" s="713" t="s">
        <v>58</v>
      </c>
      <c r="AO670" s="713" t="s">
        <v>58</v>
      </c>
      <c r="AP670" s="747">
        <v>26</v>
      </c>
      <c r="AQ670" s="747">
        <v>26</v>
      </c>
      <c r="AR670" s="709"/>
      <c r="AS670" s="763">
        <v>0</v>
      </c>
      <c r="AT670" s="763">
        <v>0</v>
      </c>
      <c r="AU670" s="763">
        <v>0</v>
      </c>
      <c r="AV670" s="763">
        <v>0</v>
      </c>
      <c r="AW670" s="763">
        <v>0</v>
      </c>
      <c r="AX670" s="763">
        <v>0</v>
      </c>
      <c r="AY670" s="763">
        <v>0</v>
      </c>
      <c r="AZ670" s="763">
        <v>0</v>
      </c>
      <c r="BA670" s="763">
        <v>0</v>
      </c>
      <c r="BB670" s="763">
        <v>0</v>
      </c>
      <c r="BC670" s="763">
        <v>0</v>
      </c>
      <c r="BD670" s="763">
        <v>0</v>
      </c>
      <c r="BE670" s="763">
        <v>0</v>
      </c>
      <c r="BF670" s="763">
        <v>0</v>
      </c>
      <c r="BG670" s="763">
        <v>0</v>
      </c>
      <c r="BH670" s="763">
        <v>0</v>
      </c>
      <c r="BI670" s="763">
        <v>0</v>
      </c>
      <c r="BJ670" s="763">
        <v>0</v>
      </c>
      <c r="BK670" s="763">
        <v>0</v>
      </c>
      <c r="BL670" s="763">
        <v>0</v>
      </c>
      <c r="BM670" s="763">
        <v>0</v>
      </c>
      <c r="BN670" s="763">
        <v>0</v>
      </c>
      <c r="BO670" s="763">
        <v>0</v>
      </c>
      <c r="BP670" s="763">
        <v>0</v>
      </c>
      <c r="BQ670" s="763">
        <v>0</v>
      </c>
      <c r="BR670" s="763">
        <v>0</v>
      </c>
      <c r="BS670" s="762">
        <v>0</v>
      </c>
      <c r="BT670" s="762">
        <v>0</v>
      </c>
      <c r="BU670" s="762">
        <v>0</v>
      </c>
      <c r="BV670" s="762">
        <v>0</v>
      </c>
      <c r="BW670" s="762">
        <v>0</v>
      </c>
      <c r="BX670" s="762">
        <v>0</v>
      </c>
      <c r="BY670" s="762">
        <v>0</v>
      </c>
      <c r="BZ670" s="762">
        <v>0</v>
      </c>
      <c r="CA670" s="762">
        <v>0</v>
      </c>
      <c r="CB670" s="762">
        <v>0</v>
      </c>
      <c r="CC670" s="762">
        <v>0</v>
      </c>
      <c r="CD670" s="762">
        <v>0</v>
      </c>
      <c r="CE670" s="762">
        <v>0</v>
      </c>
      <c r="CF670" s="762">
        <v>0</v>
      </c>
      <c r="CG670" s="762">
        <v>0</v>
      </c>
      <c r="CH670" s="762">
        <v>0</v>
      </c>
      <c r="CI670" s="762">
        <v>0</v>
      </c>
      <c r="CJ670" s="762">
        <v>0</v>
      </c>
      <c r="CK670" s="762">
        <v>0</v>
      </c>
      <c r="CL670" s="762">
        <v>0</v>
      </c>
      <c r="CM670" s="762">
        <v>0</v>
      </c>
      <c r="CN670" s="762">
        <v>0</v>
      </c>
      <c r="CO670" s="762">
        <v>0</v>
      </c>
      <c r="CP670" s="762">
        <v>0</v>
      </c>
      <c r="CQ670" s="762">
        <v>0</v>
      </c>
      <c r="CR670" s="762">
        <v>0</v>
      </c>
    </row>
    <row r="671" spans="1:96" s="53" customFormat="1">
      <c r="A671" s="721" t="s">
        <v>3</v>
      </c>
      <c r="B671" s="723">
        <v>41674</v>
      </c>
      <c r="C671" s="721">
        <v>2014</v>
      </c>
      <c r="D671" s="713" t="s">
        <v>1</v>
      </c>
      <c r="E671" s="713" t="s">
        <v>674</v>
      </c>
      <c r="F671" s="723" t="s">
        <v>673</v>
      </c>
      <c r="G671" s="713" t="s">
        <v>58</v>
      </c>
      <c r="H671" s="723" t="s">
        <v>675</v>
      </c>
      <c r="I671" s="713" t="s">
        <v>5</v>
      </c>
      <c r="J671" s="713" t="s">
        <v>376</v>
      </c>
      <c r="K671" s="766">
        <v>5</v>
      </c>
      <c r="L671" s="766" t="s">
        <v>671</v>
      </c>
      <c r="M671" s="765" t="s">
        <v>777</v>
      </c>
      <c r="N671" s="765">
        <v>12</v>
      </c>
      <c r="O671" s="765">
        <v>3</v>
      </c>
      <c r="P671" s="735">
        <v>0.36842105263157893</v>
      </c>
      <c r="Q671" s="713" t="s">
        <v>58</v>
      </c>
      <c r="R671" s="713" t="s">
        <v>58</v>
      </c>
      <c r="S671" s="713" t="s">
        <v>58</v>
      </c>
      <c r="T671" s="713" t="s">
        <v>58</v>
      </c>
      <c r="U671" s="764">
        <v>0.28499999999999998</v>
      </c>
      <c r="V671" s="764">
        <v>739.29</v>
      </c>
      <c r="W671" s="764">
        <v>0.22352849798779428</v>
      </c>
      <c r="X671" s="764">
        <v>610.78438458889286</v>
      </c>
      <c r="Y671" s="764">
        <v>3857.5855868772178</v>
      </c>
      <c r="Z671" s="764">
        <v>3641.0605170834124</v>
      </c>
      <c r="AA671" s="764">
        <v>576.50124853820705</v>
      </c>
      <c r="AB671" s="764">
        <v>0.21113237952992259</v>
      </c>
      <c r="AC671" s="714">
        <v>0.82617698682369967</v>
      </c>
      <c r="AD671" s="714">
        <v>0.7843105192554185</v>
      </c>
      <c r="AE671" s="713" t="s">
        <v>58</v>
      </c>
      <c r="AF671" s="713" t="s">
        <v>58</v>
      </c>
      <c r="AG671" s="713" t="s">
        <v>58</v>
      </c>
      <c r="AH671" s="714">
        <v>0.94387031345969796</v>
      </c>
      <c r="AI671" s="713" t="s">
        <v>58</v>
      </c>
      <c r="AJ671" s="713" t="s">
        <v>58</v>
      </c>
      <c r="AK671" s="713" t="s">
        <v>58</v>
      </c>
      <c r="AL671" s="714">
        <v>0.94454345387965444</v>
      </c>
      <c r="AM671" s="713" t="s">
        <v>58</v>
      </c>
      <c r="AN671" s="713" t="s">
        <v>58</v>
      </c>
      <c r="AO671" s="713" t="s">
        <v>58</v>
      </c>
      <c r="AP671" s="747">
        <v>73</v>
      </c>
      <c r="AQ671" s="747">
        <v>365</v>
      </c>
      <c r="AR671" s="709"/>
      <c r="AS671" s="763">
        <v>0</v>
      </c>
      <c r="AT671" s="763">
        <v>0</v>
      </c>
      <c r="AU671" s="763">
        <v>0</v>
      </c>
      <c r="AV671" s="763">
        <v>0.21113237952992259</v>
      </c>
      <c r="AW671" s="763">
        <v>0.21113237952992259</v>
      </c>
      <c r="AX671" s="763">
        <v>0.21113237952992259</v>
      </c>
      <c r="AY671" s="763">
        <v>7.7785613511024101E-2</v>
      </c>
      <c r="AZ671" s="763">
        <v>7.7785613511024101E-2</v>
      </c>
      <c r="BA671" s="763">
        <v>7.7785613511024101E-2</v>
      </c>
      <c r="BB671" s="763">
        <v>7.7785613511024101E-2</v>
      </c>
      <c r="BC671" s="763">
        <v>7.7785613511024101E-2</v>
      </c>
      <c r="BD671" s="763">
        <v>7.7785613511024101E-2</v>
      </c>
      <c r="BE671" s="763">
        <v>7.7785613511024101E-2</v>
      </c>
      <c r="BF671" s="763">
        <v>7.7785613511024101E-2</v>
      </c>
      <c r="BG671" s="763">
        <v>7.7785613511024101E-2</v>
      </c>
      <c r="BH671" s="763">
        <v>0</v>
      </c>
      <c r="BI671" s="763">
        <v>0</v>
      </c>
      <c r="BJ671" s="763">
        <v>0</v>
      </c>
      <c r="BK671" s="763">
        <v>0</v>
      </c>
      <c r="BL671" s="763">
        <v>0</v>
      </c>
      <c r="BM671" s="763">
        <v>0</v>
      </c>
      <c r="BN671" s="763">
        <v>0</v>
      </c>
      <c r="BO671" s="763">
        <v>0</v>
      </c>
      <c r="BP671" s="763">
        <v>0</v>
      </c>
      <c r="BQ671" s="763">
        <v>0</v>
      </c>
      <c r="BR671" s="763">
        <v>0</v>
      </c>
      <c r="BS671" s="762">
        <v>0</v>
      </c>
      <c r="BT671" s="762">
        <v>0</v>
      </c>
      <c r="BU671" s="762">
        <v>0</v>
      </c>
      <c r="BV671" s="762">
        <v>576.50124853820705</v>
      </c>
      <c r="BW671" s="762">
        <v>576.50124853820705</v>
      </c>
      <c r="BX671" s="762">
        <v>576.50124853820705</v>
      </c>
      <c r="BY671" s="762">
        <v>212.39519682986574</v>
      </c>
      <c r="BZ671" s="762">
        <v>212.39519682986574</v>
      </c>
      <c r="CA671" s="762">
        <v>212.39519682986574</v>
      </c>
      <c r="CB671" s="762">
        <v>212.39519682986574</v>
      </c>
      <c r="CC671" s="762">
        <v>212.39519682986574</v>
      </c>
      <c r="CD671" s="762">
        <v>212.39519682986574</v>
      </c>
      <c r="CE671" s="762">
        <v>212.39519682986574</v>
      </c>
      <c r="CF671" s="762">
        <v>212.39519682986574</v>
      </c>
      <c r="CG671" s="762">
        <v>212.39519682986574</v>
      </c>
      <c r="CH671" s="762">
        <v>0</v>
      </c>
      <c r="CI671" s="762">
        <v>0</v>
      </c>
      <c r="CJ671" s="762">
        <v>0</v>
      </c>
      <c r="CK671" s="762">
        <v>0</v>
      </c>
      <c r="CL671" s="762">
        <v>0</v>
      </c>
      <c r="CM671" s="762">
        <v>0</v>
      </c>
      <c r="CN671" s="762">
        <v>0</v>
      </c>
      <c r="CO671" s="762">
        <v>0</v>
      </c>
      <c r="CP671" s="762">
        <v>0</v>
      </c>
      <c r="CQ671" s="762">
        <v>0</v>
      </c>
      <c r="CR671" s="762">
        <v>0</v>
      </c>
    </row>
    <row r="672" spans="1:96" s="53" customFormat="1">
      <c r="A672" s="721" t="s">
        <v>3</v>
      </c>
      <c r="B672" s="723">
        <v>41674</v>
      </c>
      <c r="C672" s="721">
        <v>2014</v>
      </c>
      <c r="D672" s="713" t="s">
        <v>1</v>
      </c>
      <c r="E672" s="713" t="s">
        <v>674</v>
      </c>
      <c r="F672" s="723" t="s">
        <v>673</v>
      </c>
      <c r="G672" s="713" t="s">
        <v>58</v>
      </c>
      <c r="H672" s="723" t="s">
        <v>684</v>
      </c>
      <c r="I672" s="713" t="s">
        <v>5</v>
      </c>
      <c r="J672" s="713" t="s">
        <v>376</v>
      </c>
      <c r="K672" s="766">
        <v>1</v>
      </c>
      <c r="L672" s="766" t="s">
        <v>671</v>
      </c>
      <c r="M672" s="765" t="s">
        <v>777</v>
      </c>
      <c r="N672" s="765">
        <v>11</v>
      </c>
      <c r="O672" s="765">
        <v>2</v>
      </c>
      <c r="P672" s="735">
        <v>0.43976996379393668</v>
      </c>
      <c r="Q672" s="713" t="s">
        <v>58</v>
      </c>
      <c r="R672" s="713" t="s">
        <v>58</v>
      </c>
      <c r="S672" s="713" t="s">
        <v>58</v>
      </c>
      <c r="T672" s="713" t="s">
        <v>58</v>
      </c>
      <c r="U672" s="764">
        <v>6.8000000000000005E-2</v>
      </c>
      <c r="V672" s="764">
        <v>209.57599999999999</v>
      </c>
      <c r="W672" s="764">
        <v>5.3333115309368469E-2</v>
      </c>
      <c r="X672" s="764">
        <v>173.14686819056365</v>
      </c>
      <c r="Y672" s="764">
        <v>1031.5968639779067</v>
      </c>
      <c r="Z672" s="764">
        <v>973.69365536686814</v>
      </c>
      <c r="AA672" s="764">
        <v>163.42818875359231</v>
      </c>
      <c r="AB672" s="764">
        <v>5.0375444940472767E-2</v>
      </c>
      <c r="AC672" s="714">
        <v>0.82617698682369967</v>
      </c>
      <c r="AD672" s="714">
        <v>0.7843105192554185</v>
      </c>
      <c r="AE672" s="713" t="s">
        <v>58</v>
      </c>
      <c r="AF672" s="713" t="s">
        <v>58</v>
      </c>
      <c r="AG672" s="713" t="s">
        <v>58</v>
      </c>
      <c r="AH672" s="714">
        <v>0.94387031345969796</v>
      </c>
      <c r="AI672" s="713" t="s">
        <v>58</v>
      </c>
      <c r="AJ672" s="713" t="s">
        <v>58</v>
      </c>
      <c r="AK672" s="713" t="s">
        <v>58</v>
      </c>
      <c r="AL672" s="714">
        <v>0.94454345387965444</v>
      </c>
      <c r="AM672" s="713" t="s">
        <v>58</v>
      </c>
      <c r="AN672" s="713" t="s">
        <v>58</v>
      </c>
      <c r="AO672" s="713" t="s">
        <v>58</v>
      </c>
      <c r="AP672" s="747">
        <v>48</v>
      </c>
      <c r="AQ672" s="747">
        <v>48</v>
      </c>
      <c r="AR672" s="709"/>
      <c r="AS672" s="763">
        <v>0</v>
      </c>
      <c r="AT672" s="763">
        <v>0</v>
      </c>
      <c r="AU672" s="763">
        <v>0</v>
      </c>
      <c r="AV672" s="763">
        <v>5.0375444940472767E-2</v>
      </c>
      <c r="AW672" s="763">
        <v>5.0375444940472767E-2</v>
      </c>
      <c r="AX672" s="763">
        <v>2.2153607597575158E-2</v>
      </c>
      <c r="AY672" s="763">
        <v>2.2153607597575158E-2</v>
      </c>
      <c r="AZ672" s="763">
        <v>2.2153607597575158E-2</v>
      </c>
      <c r="BA672" s="763">
        <v>2.2153607597575158E-2</v>
      </c>
      <c r="BB672" s="763">
        <v>2.2153607597575158E-2</v>
      </c>
      <c r="BC672" s="763">
        <v>2.2153607597575158E-2</v>
      </c>
      <c r="BD672" s="763">
        <v>2.2153607597575158E-2</v>
      </c>
      <c r="BE672" s="763">
        <v>2.2153607597575158E-2</v>
      </c>
      <c r="BF672" s="763">
        <v>2.2153607597575158E-2</v>
      </c>
      <c r="BG672" s="763">
        <v>0</v>
      </c>
      <c r="BH672" s="763">
        <v>0</v>
      </c>
      <c r="BI672" s="763">
        <v>0</v>
      </c>
      <c r="BJ672" s="763">
        <v>0</v>
      </c>
      <c r="BK672" s="763">
        <v>0</v>
      </c>
      <c r="BL672" s="763">
        <v>0</v>
      </c>
      <c r="BM672" s="763">
        <v>0</v>
      </c>
      <c r="BN672" s="763">
        <v>0</v>
      </c>
      <c r="BO672" s="763">
        <v>0</v>
      </c>
      <c r="BP672" s="763">
        <v>0</v>
      </c>
      <c r="BQ672" s="763">
        <v>0</v>
      </c>
      <c r="BR672" s="763">
        <v>0</v>
      </c>
      <c r="BS672" s="762">
        <v>0</v>
      </c>
      <c r="BT672" s="762">
        <v>0</v>
      </c>
      <c r="BU672" s="762">
        <v>0</v>
      </c>
      <c r="BV672" s="762">
        <v>163.42818875359231</v>
      </c>
      <c r="BW672" s="762">
        <v>163.42818875359231</v>
      </c>
      <c r="BX672" s="762">
        <v>71.870808651075933</v>
      </c>
      <c r="BY672" s="762">
        <v>71.870808651075933</v>
      </c>
      <c r="BZ672" s="762">
        <v>71.870808651075933</v>
      </c>
      <c r="CA672" s="762">
        <v>71.870808651075933</v>
      </c>
      <c r="CB672" s="762">
        <v>71.870808651075933</v>
      </c>
      <c r="CC672" s="762">
        <v>71.870808651075933</v>
      </c>
      <c r="CD672" s="762">
        <v>71.870808651075933</v>
      </c>
      <c r="CE672" s="762">
        <v>71.870808651075933</v>
      </c>
      <c r="CF672" s="762">
        <v>71.870808651075933</v>
      </c>
      <c r="CG672" s="762">
        <v>0</v>
      </c>
      <c r="CH672" s="762">
        <v>0</v>
      </c>
      <c r="CI672" s="762">
        <v>0</v>
      </c>
      <c r="CJ672" s="762">
        <v>0</v>
      </c>
      <c r="CK672" s="762">
        <v>0</v>
      </c>
      <c r="CL672" s="762">
        <v>0</v>
      </c>
      <c r="CM672" s="762">
        <v>0</v>
      </c>
      <c r="CN672" s="762">
        <v>0</v>
      </c>
      <c r="CO672" s="762">
        <v>0</v>
      </c>
      <c r="CP672" s="762">
        <v>0</v>
      </c>
      <c r="CQ672" s="762">
        <v>0</v>
      </c>
      <c r="CR672" s="762">
        <v>0</v>
      </c>
    </row>
    <row r="673" spans="1:96" s="53" customFormat="1">
      <c r="A673" s="721" t="s">
        <v>3</v>
      </c>
      <c r="B673" s="723">
        <v>41674</v>
      </c>
      <c r="C673" s="721">
        <v>2014</v>
      </c>
      <c r="D673" s="713" t="s">
        <v>1</v>
      </c>
      <c r="E673" s="713" t="s">
        <v>674</v>
      </c>
      <c r="F673" s="723" t="s">
        <v>673</v>
      </c>
      <c r="G673" s="713" t="s">
        <v>58</v>
      </c>
      <c r="H673" s="723" t="s">
        <v>704</v>
      </c>
      <c r="I673" s="713" t="s">
        <v>5</v>
      </c>
      <c r="J673" s="713" t="s">
        <v>376</v>
      </c>
      <c r="K673" s="766">
        <v>5</v>
      </c>
      <c r="L673" s="766" t="s">
        <v>671</v>
      </c>
      <c r="M673" s="765" t="s">
        <v>777</v>
      </c>
      <c r="N673" s="765">
        <v>12</v>
      </c>
      <c r="O673" s="765">
        <v>3</v>
      </c>
      <c r="P673" s="735">
        <v>4.5454545454545456E-2</v>
      </c>
      <c r="Q673" s="713" t="s">
        <v>58</v>
      </c>
      <c r="R673" s="713" t="s">
        <v>58</v>
      </c>
      <c r="S673" s="713" t="s">
        <v>58</v>
      </c>
      <c r="T673" s="713" t="s">
        <v>58</v>
      </c>
      <c r="U673" s="764">
        <v>0.11</v>
      </c>
      <c r="V673" s="764">
        <v>285.33999999999997</v>
      </c>
      <c r="W673" s="764">
        <v>8.6274157118096037E-2</v>
      </c>
      <c r="X673" s="764">
        <v>235.74134142027441</v>
      </c>
      <c r="Y673" s="764">
        <v>803.66366393275359</v>
      </c>
      <c r="Z673" s="764">
        <v>758.55427439237747</v>
      </c>
      <c r="AA673" s="764">
        <v>222.50925382176408</v>
      </c>
      <c r="AB673" s="764">
        <v>8.1489690344882404E-2</v>
      </c>
      <c r="AC673" s="714">
        <v>0.82617698682369967</v>
      </c>
      <c r="AD673" s="714">
        <v>0.7843105192554185</v>
      </c>
      <c r="AE673" s="713" t="s">
        <v>58</v>
      </c>
      <c r="AF673" s="713" t="s">
        <v>58</v>
      </c>
      <c r="AG673" s="713" t="s">
        <v>58</v>
      </c>
      <c r="AH673" s="714">
        <v>0.94387031345969796</v>
      </c>
      <c r="AI673" s="713" t="s">
        <v>58</v>
      </c>
      <c r="AJ673" s="713" t="s">
        <v>58</v>
      </c>
      <c r="AK673" s="713" t="s">
        <v>58</v>
      </c>
      <c r="AL673" s="714">
        <v>0.94454345387965444</v>
      </c>
      <c r="AM673" s="713" t="s">
        <v>58</v>
      </c>
      <c r="AN673" s="713" t="s">
        <v>58</v>
      </c>
      <c r="AO673" s="713" t="s">
        <v>58</v>
      </c>
      <c r="AP673" s="747">
        <v>75</v>
      </c>
      <c r="AQ673" s="747">
        <v>375</v>
      </c>
      <c r="AR673" s="709"/>
      <c r="AS673" s="763">
        <v>0</v>
      </c>
      <c r="AT673" s="763">
        <v>0</v>
      </c>
      <c r="AU673" s="763">
        <v>0</v>
      </c>
      <c r="AV673" s="763">
        <v>8.1489690344882404E-2</v>
      </c>
      <c r="AW673" s="763">
        <v>8.1489690344882404E-2</v>
      </c>
      <c r="AX673" s="763">
        <v>8.1489690344882404E-2</v>
      </c>
      <c r="AY673" s="763">
        <v>3.7040768338582912E-3</v>
      </c>
      <c r="AZ673" s="763">
        <v>3.7040768338582912E-3</v>
      </c>
      <c r="BA673" s="763">
        <v>3.7040768338582912E-3</v>
      </c>
      <c r="BB673" s="763">
        <v>3.7040768338582912E-3</v>
      </c>
      <c r="BC673" s="763">
        <v>3.7040768338582912E-3</v>
      </c>
      <c r="BD673" s="763">
        <v>3.7040768338582912E-3</v>
      </c>
      <c r="BE673" s="763">
        <v>3.7040768338582912E-3</v>
      </c>
      <c r="BF673" s="763">
        <v>3.7040768338582912E-3</v>
      </c>
      <c r="BG673" s="763">
        <v>3.7040768338582912E-3</v>
      </c>
      <c r="BH673" s="763">
        <v>0</v>
      </c>
      <c r="BI673" s="763">
        <v>0</v>
      </c>
      <c r="BJ673" s="763">
        <v>0</v>
      </c>
      <c r="BK673" s="763">
        <v>0</v>
      </c>
      <c r="BL673" s="763">
        <v>0</v>
      </c>
      <c r="BM673" s="763">
        <v>0</v>
      </c>
      <c r="BN673" s="763">
        <v>0</v>
      </c>
      <c r="BO673" s="763">
        <v>0</v>
      </c>
      <c r="BP673" s="763">
        <v>0</v>
      </c>
      <c r="BQ673" s="763">
        <v>0</v>
      </c>
      <c r="BR673" s="763">
        <v>0</v>
      </c>
      <c r="BS673" s="762">
        <v>0</v>
      </c>
      <c r="BT673" s="762">
        <v>0</v>
      </c>
      <c r="BU673" s="762">
        <v>0</v>
      </c>
      <c r="BV673" s="762">
        <v>222.50925382176408</v>
      </c>
      <c r="BW673" s="762">
        <v>222.50925382176408</v>
      </c>
      <c r="BX673" s="762">
        <v>222.50925382176408</v>
      </c>
      <c r="BY673" s="762">
        <v>10.114056991898368</v>
      </c>
      <c r="BZ673" s="762">
        <v>10.114056991898368</v>
      </c>
      <c r="CA673" s="762">
        <v>10.114056991898368</v>
      </c>
      <c r="CB673" s="762">
        <v>10.114056991898368</v>
      </c>
      <c r="CC673" s="762">
        <v>10.114056991898368</v>
      </c>
      <c r="CD673" s="762">
        <v>10.114056991898368</v>
      </c>
      <c r="CE673" s="762">
        <v>10.114056991898368</v>
      </c>
      <c r="CF673" s="762">
        <v>10.114056991898368</v>
      </c>
      <c r="CG673" s="762">
        <v>10.114056991898368</v>
      </c>
      <c r="CH673" s="762">
        <v>0</v>
      </c>
      <c r="CI673" s="762">
        <v>0</v>
      </c>
      <c r="CJ673" s="762">
        <v>0</v>
      </c>
      <c r="CK673" s="762">
        <v>0</v>
      </c>
      <c r="CL673" s="762">
        <v>0</v>
      </c>
      <c r="CM673" s="762">
        <v>0</v>
      </c>
      <c r="CN673" s="762">
        <v>0</v>
      </c>
      <c r="CO673" s="762">
        <v>0</v>
      </c>
      <c r="CP673" s="762">
        <v>0</v>
      </c>
      <c r="CQ673" s="762">
        <v>0</v>
      </c>
      <c r="CR673" s="762">
        <v>0</v>
      </c>
    </row>
    <row r="674" spans="1:96" s="53" customFormat="1">
      <c r="A674" s="721" t="s">
        <v>3</v>
      </c>
      <c r="B674" s="723">
        <v>41674</v>
      </c>
      <c r="C674" s="721">
        <v>2014</v>
      </c>
      <c r="D674" s="713" t="s">
        <v>1</v>
      </c>
      <c r="E674" s="713" t="s">
        <v>674</v>
      </c>
      <c r="F674" s="723" t="s">
        <v>673</v>
      </c>
      <c r="G674" s="713" t="s">
        <v>58</v>
      </c>
      <c r="H674" s="723" t="s">
        <v>677</v>
      </c>
      <c r="I674" s="713" t="s">
        <v>5</v>
      </c>
      <c r="J674" s="713" t="s">
        <v>376</v>
      </c>
      <c r="K674" s="766">
        <v>1</v>
      </c>
      <c r="L674" s="766" t="s">
        <v>671</v>
      </c>
      <c r="M674" s="765" t="s">
        <v>777</v>
      </c>
      <c r="N674" s="765">
        <v>0</v>
      </c>
      <c r="O674" s="765">
        <v>0</v>
      </c>
      <c r="P674" s="735">
        <v>0</v>
      </c>
      <c r="Q674" s="713" t="s">
        <v>58</v>
      </c>
      <c r="R674" s="713" t="s">
        <v>58</v>
      </c>
      <c r="S674" s="713" t="s">
        <v>58</v>
      </c>
      <c r="T674" s="713" t="s">
        <v>58</v>
      </c>
      <c r="U674" s="764">
        <v>0</v>
      </c>
      <c r="V674" s="764">
        <v>0</v>
      </c>
      <c r="W674" s="764">
        <v>0</v>
      </c>
      <c r="X674" s="764">
        <v>0</v>
      </c>
      <c r="Y674" s="764">
        <v>0</v>
      </c>
      <c r="Z674" s="764">
        <v>0</v>
      </c>
      <c r="AA674" s="764">
        <v>0</v>
      </c>
      <c r="AB674" s="764">
        <v>0</v>
      </c>
      <c r="AC674" s="714">
        <v>0.82617698682369967</v>
      </c>
      <c r="AD674" s="714">
        <v>0.7843105192554185</v>
      </c>
      <c r="AE674" s="713" t="s">
        <v>58</v>
      </c>
      <c r="AF674" s="713" t="s">
        <v>58</v>
      </c>
      <c r="AG674" s="713" t="s">
        <v>58</v>
      </c>
      <c r="AH674" s="714">
        <v>0.94387031345969796</v>
      </c>
      <c r="AI674" s="713" t="s">
        <v>58</v>
      </c>
      <c r="AJ674" s="713" t="s">
        <v>58</v>
      </c>
      <c r="AK674" s="713" t="s">
        <v>58</v>
      </c>
      <c r="AL674" s="714">
        <v>0.94454345387965444</v>
      </c>
      <c r="AM674" s="713" t="s">
        <v>58</v>
      </c>
      <c r="AN674" s="713" t="s">
        <v>58</v>
      </c>
      <c r="AO674" s="713" t="s">
        <v>58</v>
      </c>
      <c r="AP674" s="747">
        <v>51</v>
      </c>
      <c r="AQ674" s="747">
        <v>51</v>
      </c>
      <c r="AR674" s="709"/>
      <c r="AS674" s="763">
        <v>0</v>
      </c>
      <c r="AT674" s="763">
        <v>0</v>
      </c>
      <c r="AU674" s="763">
        <v>0</v>
      </c>
      <c r="AV674" s="763">
        <v>0</v>
      </c>
      <c r="AW674" s="763">
        <v>0</v>
      </c>
      <c r="AX674" s="763">
        <v>0</v>
      </c>
      <c r="AY674" s="763">
        <v>0</v>
      </c>
      <c r="AZ674" s="763">
        <v>0</v>
      </c>
      <c r="BA674" s="763">
        <v>0</v>
      </c>
      <c r="BB674" s="763">
        <v>0</v>
      </c>
      <c r="BC674" s="763">
        <v>0</v>
      </c>
      <c r="BD674" s="763">
        <v>0</v>
      </c>
      <c r="BE674" s="763">
        <v>0</v>
      </c>
      <c r="BF674" s="763">
        <v>0</v>
      </c>
      <c r="BG674" s="763">
        <v>0</v>
      </c>
      <c r="BH674" s="763">
        <v>0</v>
      </c>
      <c r="BI674" s="763">
        <v>0</v>
      </c>
      <c r="BJ674" s="763">
        <v>0</v>
      </c>
      <c r="BK674" s="763">
        <v>0</v>
      </c>
      <c r="BL674" s="763">
        <v>0</v>
      </c>
      <c r="BM674" s="763">
        <v>0</v>
      </c>
      <c r="BN674" s="763">
        <v>0</v>
      </c>
      <c r="BO674" s="763">
        <v>0</v>
      </c>
      <c r="BP674" s="763">
        <v>0</v>
      </c>
      <c r="BQ674" s="763">
        <v>0</v>
      </c>
      <c r="BR674" s="763">
        <v>0</v>
      </c>
      <c r="BS674" s="762">
        <v>0</v>
      </c>
      <c r="BT674" s="762">
        <v>0</v>
      </c>
      <c r="BU674" s="762">
        <v>0</v>
      </c>
      <c r="BV674" s="762">
        <v>0</v>
      </c>
      <c r="BW674" s="762">
        <v>0</v>
      </c>
      <c r="BX674" s="762">
        <v>0</v>
      </c>
      <c r="BY674" s="762">
        <v>0</v>
      </c>
      <c r="BZ674" s="762">
        <v>0</v>
      </c>
      <c r="CA674" s="762">
        <v>0</v>
      </c>
      <c r="CB674" s="762">
        <v>0</v>
      </c>
      <c r="CC674" s="762">
        <v>0</v>
      </c>
      <c r="CD674" s="762">
        <v>0</v>
      </c>
      <c r="CE674" s="762">
        <v>0</v>
      </c>
      <c r="CF674" s="762">
        <v>0</v>
      </c>
      <c r="CG674" s="762">
        <v>0</v>
      </c>
      <c r="CH674" s="762">
        <v>0</v>
      </c>
      <c r="CI674" s="762">
        <v>0</v>
      </c>
      <c r="CJ674" s="762">
        <v>0</v>
      </c>
      <c r="CK674" s="762">
        <v>0</v>
      </c>
      <c r="CL674" s="762">
        <v>0</v>
      </c>
      <c r="CM674" s="762">
        <v>0</v>
      </c>
      <c r="CN674" s="762">
        <v>0</v>
      </c>
      <c r="CO674" s="762">
        <v>0</v>
      </c>
      <c r="CP674" s="762">
        <v>0</v>
      </c>
      <c r="CQ674" s="762">
        <v>0</v>
      </c>
      <c r="CR674" s="762">
        <v>0</v>
      </c>
    </row>
    <row r="675" spans="1:96" s="53" customFormat="1">
      <c r="A675" s="721" t="s">
        <v>3</v>
      </c>
      <c r="B675" s="723">
        <v>41674</v>
      </c>
      <c r="C675" s="721">
        <v>2014</v>
      </c>
      <c r="D675" s="713" t="s">
        <v>1</v>
      </c>
      <c r="E675" s="713" t="s">
        <v>674</v>
      </c>
      <c r="F675" s="723" t="s">
        <v>673</v>
      </c>
      <c r="G675" s="713" t="s">
        <v>58</v>
      </c>
      <c r="H675" s="723" t="s">
        <v>682</v>
      </c>
      <c r="I675" s="713" t="s">
        <v>5</v>
      </c>
      <c r="J675" s="713" t="s">
        <v>376</v>
      </c>
      <c r="K675" s="766">
        <v>2</v>
      </c>
      <c r="L675" s="766" t="s">
        <v>671</v>
      </c>
      <c r="M675" s="765" t="s">
        <v>777</v>
      </c>
      <c r="N675" s="765">
        <v>12</v>
      </c>
      <c r="O675" s="765">
        <v>3</v>
      </c>
      <c r="P675" s="735">
        <v>0.4</v>
      </c>
      <c r="Q675" s="713" t="s">
        <v>58</v>
      </c>
      <c r="R675" s="713" t="s">
        <v>58</v>
      </c>
      <c r="S675" s="713" t="s">
        <v>58</v>
      </c>
      <c r="T675" s="713" t="s">
        <v>58</v>
      </c>
      <c r="U675" s="764">
        <v>0.05</v>
      </c>
      <c r="V675" s="764">
        <v>129.69999999999999</v>
      </c>
      <c r="W675" s="764">
        <v>3.9215525962770927E-2</v>
      </c>
      <c r="X675" s="764">
        <v>107.15515519103383</v>
      </c>
      <c r="Y675" s="764">
        <v>707.22402426082328</v>
      </c>
      <c r="Z675" s="764">
        <v>667.52776146529231</v>
      </c>
      <c r="AA675" s="764">
        <v>101.14056991898369</v>
      </c>
      <c r="AB675" s="764">
        <v>3.7040768338582913E-2</v>
      </c>
      <c r="AC675" s="714">
        <v>0.82617698682369967</v>
      </c>
      <c r="AD675" s="714">
        <v>0.7843105192554185</v>
      </c>
      <c r="AE675" s="713" t="s">
        <v>58</v>
      </c>
      <c r="AF675" s="713" t="s">
        <v>58</v>
      </c>
      <c r="AG675" s="713" t="s">
        <v>58</v>
      </c>
      <c r="AH675" s="714">
        <v>0.94387031345969796</v>
      </c>
      <c r="AI675" s="713" t="s">
        <v>58</v>
      </c>
      <c r="AJ675" s="713" t="s">
        <v>58</v>
      </c>
      <c r="AK675" s="713" t="s">
        <v>58</v>
      </c>
      <c r="AL675" s="714">
        <v>0.94454345387965444</v>
      </c>
      <c r="AM675" s="713" t="s">
        <v>58</v>
      </c>
      <c r="AN675" s="713" t="s">
        <v>58</v>
      </c>
      <c r="AO675" s="713" t="s">
        <v>58</v>
      </c>
      <c r="AP675" s="747">
        <v>47</v>
      </c>
      <c r="AQ675" s="747">
        <v>94</v>
      </c>
      <c r="AR675" s="709"/>
      <c r="AS675" s="763">
        <v>0</v>
      </c>
      <c r="AT675" s="763">
        <v>0</v>
      </c>
      <c r="AU675" s="763">
        <v>0</v>
      </c>
      <c r="AV675" s="763">
        <v>3.7040768338582913E-2</v>
      </c>
      <c r="AW675" s="763">
        <v>3.7040768338582913E-2</v>
      </c>
      <c r="AX675" s="763">
        <v>3.7040768338582913E-2</v>
      </c>
      <c r="AY675" s="763">
        <v>1.4816307335433166E-2</v>
      </c>
      <c r="AZ675" s="763">
        <v>1.4816307335433166E-2</v>
      </c>
      <c r="BA675" s="763">
        <v>1.4816307335433166E-2</v>
      </c>
      <c r="BB675" s="763">
        <v>1.4816307335433166E-2</v>
      </c>
      <c r="BC675" s="763">
        <v>1.4816307335433166E-2</v>
      </c>
      <c r="BD675" s="763">
        <v>1.4816307335433166E-2</v>
      </c>
      <c r="BE675" s="763">
        <v>1.4816307335433166E-2</v>
      </c>
      <c r="BF675" s="763">
        <v>1.4816307335433166E-2</v>
      </c>
      <c r="BG675" s="763">
        <v>1.4816307335433166E-2</v>
      </c>
      <c r="BH675" s="763">
        <v>0</v>
      </c>
      <c r="BI675" s="763">
        <v>0</v>
      </c>
      <c r="BJ675" s="763">
        <v>0</v>
      </c>
      <c r="BK675" s="763">
        <v>0</v>
      </c>
      <c r="BL675" s="763">
        <v>0</v>
      </c>
      <c r="BM675" s="763">
        <v>0</v>
      </c>
      <c r="BN675" s="763">
        <v>0</v>
      </c>
      <c r="BO675" s="763">
        <v>0</v>
      </c>
      <c r="BP675" s="763">
        <v>0</v>
      </c>
      <c r="BQ675" s="763">
        <v>0</v>
      </c>
      <c r="BR675" s="763">
        <v>0</v>
      </c>
      <c r="BS675" s="762">
        <v>0</v>
      </c>
      <c r="BT675" s="762">
        <v>0</v>
      </c>
      <c r="BU675" s="762">
        <v>0</v>
      </c>
      <c r="BV675" s="762">
        <v>101.14056991898369</v>
      </c>
      <c r="BW675" s="762">
        <v>101.14056991898369</v>
      </c>
      <c r="BX675" s="762">
        <v>101.14056991898369</v>
      </c>
      <c r="BY675" s="762">
        <v>40.456227967593478</v>
      </c>
      <c r="BZ675" s="762">
        <v>40.456227967593478</v>
      </c>
      <c r="CA675" s="762">
        <v>40.456227967593478</v>
      </c>
      <c r="CB675" s="762">
        <v>40.456227967593478</v>
      </c>
      <c r="CC675" s="762">
        <v>40.456227967593478</v>
      </c>
      <c r="CD675" s="762">
        <v>40.456227967593478</v>
      </c>
      <c r="CE675" s="762">
        <v>40.456227967593478</v>
      </c>
      <c r="CF675" s="762">
        <v>40.456227967593478</v>
      </c>
      <c r="CG675" s="762">
        <v>40.456227967593478</v>
      </c>
      <c r="CH675" s="762">
        <v>0</v>
      </c>
      <c r="CI675" s="762">
        <v>0</v>
      </c>
      <c r="CJ675" s="762">
        <v>0</v>
      </c>
      <c r="CK675" s="762">
        <v>0</v>
      </c>
      <c r="CL675" s="762">
        <v>0</v>
      </c>
      <c r="CM675" s="762">
        <v>0</v>
      </c>
      <c r="CN675" s="762">
        <v>0</v>
      </c>
      <c r="CO675" s="762">
        <v>0</v>
      </c>
      <c r="CP675" s="762">
        <v>0</v>
      </c>
      <c r="CQ675" s="762">
        <v>0</v>
      </c>
      <c r="CR675" s="762">
        <v>0</v>
      </c>
    </row>
    <row r="676" spans="1:96" s="53" customFormat="1">
      <c r="A676" s="721" t="s">
        <v>3</v>
      </c>
      <c r="B676" s="723">
        <v>41674</v>
      </c>
      <c r="C676" s="721">
        <v>2014</v>
      </c>
      <c r="D676" s="713" t="s">
        <v>1</v>
      </c>
      <c r="E676" s="713" t="s">
        <v>674</v>
      </c>
      <c r="F676" s="723" t="s">
        <v>673</v>
      </c>
      <c r="G676" s="713" t="s">
        <v>58</v>
      </c>
      <c r="H676" s="723" t="s">
        <v>675</v>
      </c>
      <c r="I676" s="713" t="s">
        <v>5</v>
      </c>
      <c r="J676" s="713" t="s">
        <v>376</v>
      </c>
      <c r="K676" s="766">
        <v>7</v>
      </c>
      <c r="L676" s="766" t="s">
        <v>671</v>
      </c>
      <c r="M676" s="765" t="s">
        <v>777</v>
      </c>
      <c r="N676" s="765">
        <v>12</v>
      </c>
      <c r="O676" s="765">
        <v>3</v>
      </c>
      <c r="P676" s="735">
        <v>0.36842105263157893</v>
      </c>
      <c r="Q676" s="713" t="s">
        <v>58</v>
      </c>
      <c r="R676" s="713" t="s">
        <v>58</v>
      </c>
      <c r="S676" s="713" t="s">
        <v>58</v>
      </c>
      <c r="T676" s="713" t="s">
        <v>58</v>
      </c>
      <c r="U676" s="764">
        <v>0.39900000000000002</v>
      </c>
      <c r="V676" s="764">
        <v>1035.0060000000001</v>
      </c>
      <c r="W676" s="764">
        <v>0.31293989718291204</v>
      </c>
      <c r="X676" s="764">
        <v>855.0981384244501</v>
      </c>
      <c r="Y676" s="764">
        <v>5400.6198216281064</v>
      </c>
      <c r="Z676" s="764">
        <v>5097.4847239167784</v>
      </c>
      <c r="AA676" s="764">
        <v>807.10174795348996</v>
      </c>
      <c r="AB676" s="764">
        <v>0.29558533134189169</v>
      </c>
      <c r="AC676" s="714">
        <v>0.82617698682369967</v>
      </c>
      <c r="AD676" s="714">
        <v>0.7843105192554185</v>
      </c>
      <c r="AE676" s="713" t="s">
        <v>58</v>
      </c>
      <c r="AF676" s="713" t="s">
        <v>58</v>
      </c>
      <c r="AG676" s="713" t="s">
        <v>58</v>
      </c>
      <c r="AH676" s="714">
        <v>0.94387031345969796</v>
      </c>
      <c r="AI676" s="713" t="s">
        <v>58</v>
      </c>
      <c r="AJ676" s="713" t="s">
        <v>58</v>
      </c>
      <c r="AK676" s="713" t="s">
        <v>58</v>
      </c>
      <c r="AL676" s="714">
        <v>0.94454345387965444</v>
      </c>
      <c r="AM676" s="713" t="s">
        <v>58</v>
      </c>
      <c r="AN676" s="713" t="s">
        <v>58</v>
      </c>
      <c r="AO676" s="713" t="s">
        <v>58</v>
      </c>
      <c r="AP676" s="747">
        <v>73</v>
      </c>
      <c r="AQ676" s="747">
        <v>511</v>
      </c>
      <c r="AR676" s="709"/>
      <c r="AS676" s="763">
        <v>0</v>
      </c>
      <c r="AT676" s="763">
        <v>0</v>
      </c>
      <c r="AU676" s="763">
        <v>0</v>
      </c>
      <c r="AV676" s="763">
        <v>0.29558533134189169</v>
      </c>
      <c r="AW676" s="763">
        <v>0.29558533134189169</v>
      </c>
      <c r="AX676" s="763">
        <v>0.29558533134189169</v>
      </c>
      <c r="AY676" s="763">
        <v>0.10889985891543377</v>
      </c>
      <c r="AZ676" s="763">
        <v>0.10889985891543377</v>
      </c>
      <c r="BA676" s="763">
        <v>0.10889985891543377</v>
      </c>
      <c r="BB676" s="763">
        <v>0.10889985891543377</v>
      </c>
      <c r="BC676" s="763">
        <v>0.10889985891543377</v>
      </c>
      <c r="BD676" s="763">
        <v>0.10889985891543377</v>
      </c>
      <c r="BE676" s="763">
        <v>0.10889985891543377</v>
      </c>
      <c r="BF676" s="763">
        <v>0.10889985891543377</v>
      </c>
      <c r="BG676" s="763">
        <v>0.10889985891543377</v>
      </c>
      <c r="BH676" s="763">
        <v>0</v>
      </c>
      <c r="BI676" s="763">
        <v>0</v>
      </c>
      <c r="BJ676" s="763">
        <v>0</v>
      </c>
      <c r="BK676" s="763">
        <v>0</v>
      </c>
      <c r="BL676" s="763">
        <v>0</v>
      </c>
      <c r="BM676" s="763">
        <v>0</v>
      </c>
      <c r="BN676" s="763">
        <v>0</v>
      </c>
      <c r="BO676" s="763">
        <v>0</v>
      </c>
      <c r="BP676" s="763">
        <v>0</v>
      </c>
      <c r="BQ676" s="763">
        <v>0</v>
      </c>
      <c r="BR676" s="763">
        <v>0</v>
      </c>
      <c r="BS676" s="762">
        <v>0</v>
      </c>
      <c r="BT676" s="762">
        <v>0</v>
      </c>
      <c r="BU676" s="762">
        <v>0</v>
      </c>
      <c r="BV676" s="762">
        <v>807.10174795348996</v>
      </c>
      <c r="BW676" s="762">
        <v>807.10174795348996</v>
      </c>
      <c r="BX676" s="762">
        <v>807.10174795348996</v>
      </c>
      <c r="BY676" s="762">
        <v>297.3532755618121</v>
      </c>
      <c r="BZ676" s="762">
        <v>297.3532755618121</v>
      </c>
      <c r="CA676" s="762">
        <v>297.3532755618121</v>
      </c>
      <c r="CB676" s="762">
        <v>297.3532755618121</v>
      </c>
      <c r="CC676" s="762">
        <v>297.3532755618121</v>
      </c>
      <c r="CD676" s="762">
        <v>297.3532755618121</v>
      </c>
      <c r="CE676" s="762">
        <v>297.3532755618121</v>
      </c>
      <c r="CF676" s="762">
        <v>297.3532755618121</v>
      </c>
      <c r="CG676" s="762">
        <v>297.3532755618121</v>
      </c>
      <c r="CH676" s="762">
        <v>0</v>
      </c>
      <c r="CI676" s="762">
        <v>0</v>
      </c>
      <c r="CJ676" s="762">
        <v>0</v>
      </c>
      <c r="CK676" s="762">
        <v>0</v>
      </c>
      <c r="CL676" s="762">
        <v>0</v>
      </c>
      <c r="CM676" s="762">
        <v>0</v>
      </c>
      <c r="CN676" s="762">
        <v>0</v>
      </c>
      <c r="CO676" s="762">
        <v>0</v>
      </c>
      <c r="CP676" s="762">
        <v>0</v>
      </c>
      <c r="CQ676" s="762">
        <v>0</v>
      </c>
      <c r="CR676" s="762">
        <v>0</v>
      </c>
    </row>
    <row r="677" spans="1:96" s="53" customFormat="1">
      <c r="A677" s="721" t="s">
        <v>3</v>
      </c>
      <c r="B677" s="723">
        <v>41674</v>
      </c>
      <c r="C677" s="721">
        <v>2014</v>
      </c>
      <c r="D677" s="713" t="s">
        <v>1</v>
      </c>
      <c r="E677" s="713" t="s">
        <v>674</v>
      </c>
      <c r="F677" s="723" t="s">
        <v>673</v>
      </c>
      <c r="G677" s="713" t="s">
        <v>58</v>
      </c>
      <c r="H677" s="723" t="s">
        <v>688</v>
      </c>
      <c r="I677" s="713" t="s">
        <v>5</v>
      </c>
      <c r="J677" s="713" t="s">
        <v>376</v>
      </c>
      <c r="K677" s="766">
        <v>6</v>
      </c>
      <c r="L677" s="766" t="s">
        <v>671</v>
      </c>
      <c r="M677" s="765" t="s">
        <v>777</v>
      </c>
      <c r="N677" s="765">
        <v>11</v>
      </c>
      <c r="O677" s="765" t="s">
        <v>7</v>
      </c>
      <c r="P677" s="735">
        <v>1</v>
      </c>
      <c r="Q677" s="713" t="s">
        <v>58</v>
      </c>
      <c r="R677" s="713" t="s">
        <v>58</v>
      </c>
      <c r="S677" s="713" t="s">
        <v>58</v>
      </c>
      <c r="T677" s="713" t="s">
        <v>58</v>
      </c>
      <c r="U677" s="764">
        <v>0.20399999999999999</v>
      </c>
      <c r="V677" s="764">
        <v>628.72799999999995</v>
      </c>
      <c r="W677" s="764">
        <v>0.15999934592810541</v>
      </c>
      <c r="X677" s="764">
        <v>519.44060457169098</v>
      </c>
      <c r="Y677" s="764">
        <v>5713.8466502886004</v>
      </c>
      <c r="Z677" s="764">
        <v>5393.1302288685465</v>
      </c>
      <c r="AA677" s="764">
        <v>490.28456626077701</v>
      </c>
      <c r="AB677" s="764">
        <v>0.15112633482141832</v>
      </c>
      <c r="AC677" s="714">
        <v>0.82617698682369967</v>
      </c>
      <c r="AD677" s="714">
        <v>0.7843105192554185</v>
      </c>
      <c r="AE677" s="713" t="s">
        <v>58</v>
      </c>
      <c r="AF677" s="713" t="s">
        <v>58</v>
      </c>
      <c r="AG677" s="713" t="s">
        <v>58</v>
      </c>
      <c r="AH677" s="714">
        <v>0.94387031345969796</v>
      </c>
      <c r="AI677" s="713" t="s">
        <v>58</v>
      </c>
      <c r="AJ677" s="713" t="s">
        <v>58</v>
      </c>
      <c r="AK677" s="713" t="s">
        <v>58</v>
      </c>
      <c r="AL677" s="714">
        <v>0.94454345387965444</v>
      </c>
      <c r="AM677" s="713" t="s">
        <v>58</v>
      </c>
      <c r="AN677" s="713" t="s">
        <v>58</v>
      </c>
      <c r="AO677" s="713" t="s">
        <v>58</v>
      </c>
      <c r="AP677" s="747">
        <v>47</v>
      </c>
      <c r="AQ677" s="747">
        <v>282</v>
      </c>
      <c r="AR677" s="709"/>
      <c r="AS677" s="763">
        <v>0</v>
      </c>
      <c r="AT677" s="763">
        <v>0</v>
      </c>
      <c r="AU677" s="763">
        <v>0</v>
      </c>
      <c r="AV677" s="763">
        <v>0.15112633482141832</v>
      </c>
      <c r="AW677" s="763">
        <v>0.15112633482141832</v>
      </c>
      <c r="AX677" s="763">
        <v>0.15112633482141832</v>
      </c>
      <c r="AY677" s="763">
        <v>0.15112633482141832</v>
      </c>
      <c r="AZ677" s="763">
        <v>0.15112633482141832</v>
      </c>
      <c r="BA677" s="763">
        <v>0.15112633482141832</v>
      </c>
      <c r="BB677" s="763">
        <v>0.15112633482141832</v>
      </c>
      <c r="BC677" s="763">
        <v>0.15112633482141832</v>
      </c>
      <c r="BD677" s="763">
        <v>0.15112633482141832</v>
      </c>
      <c r="BE677" s="763">
        <v>0.15112633482141832</v>
      </c>
      <c r="BF677" s="763">
        <v>0.15112633482141832</v>
      </c>
      <c r="BG677" s="763">
        <v>0</v>
      </c>
      <c r="BH677" s="763">
        <v>0</v>
      </c>
      <c r="BI677" s="763">
        <v>0</v>
      </c>
      <c r="BJ677" s="763">
        <v>0</v>
      </c>
      <c r="BK677" s="763">
        <v>0</v>
      </c>
      <c r="BL677" s="763">
        <v>0</v>
      </c>
      <c r="BM677" s="763">
        <v>0</v>
      </c>
      <c r="BN677" s="763">
        <v>0</v>
      </c>
      <c r="BO677" s="763">
        <v>0</v>
      </c>
      <c r="BP677" s="763">
        <v>0</v>
      </c>
      <c r="BQ677" s="763">
        <v>0</v>
      </c>
      <c r="BR677" s="763">
        <v>0</v>
      </c>
      <c r="BS677" s="762">
        <v>0</v>
      </c>
      <c r="BT677" s="762">
        <v>0</v>
      </c>
      <c r="BU677" s="762">
        <v>0</v>
      </c>
      <c r="BV677" s="762">
        <v>490.28456626077701</v>
      </c>
      <c r="BW677" s="762">
        <v>490.28456626077701</v>
      </c>
      <c r="BX677" s="762">
        <v>490.28456626077701</v>
      </c>
      <c r="BY677" s="762">
        <v>490.28456626077701</v>
      </c>
      <c r="BZ677" s="762">
        <v>490.28456626077701</v>
      </c>
      <c r="CA677" s="762">
        <v>490.28456626077701</v>
      </c>
      <c r="CB677" s="762">
        <v>490.28456626077701</v>
      </c>
      <c r="CC677" s="762">
        <v>490.28456626077701</v>
      </c>
      <c r="CD677" s="762">
        <v>490.28456626077701</v>
      </c>
      <c r="CE677" s="762">
        <v>490.28456626077701</v>
      </c>
      <c r="CF677" s="762">
        <v>490.28456626077701</v>
      </c>
      <c r="CG677" s="762">
        <v>0</v>
      </c>
      <c r="CH677" s="762">
        <v>0</v>
      </c>
      <c r="CI677" s="762">
        <v>0</v>
      </c>
      <c r="CJ677" s="762">
        <v>0</v>
      </c>
      <c r="CK677" s="762">
        <v>0</v>
      </c>
      <c r="CL677" s="762">
        <v>0</v>
      </c>
      <c r="CM677" s="762">
        <v>0</v>
      </c>
      <c r="CN677" s="762">
        <v>0</v>
      </c>
      <c r="CO677" s="762">
        <v>0</v>
      </c>
      <c r="CP677" s="762">
        <v>0</v>
      </c>
      <c r="CQ677" s="762">
        <v>0</v>
      </c>
      <c r="CR677" s="762">
        <v>0</v>
      </c>
    </row>
    <row r="678" spans="1:96" s="53" customFormat="1">
      <c r="A678" s="721" t="s">
        <v>3</v>
      </c>
      <c r="B678" s="723">
        <v>41886</v>
      </c>
      <c r="C678" s="721">
        <v>2014</v>
      </c>
      <c r="D678" s="713" t="s">
        <v>1</v>
      </c>
      <c r="E678" s="713" t="s">
        <v>674</v>
      </c>
      <c r="F678" s="723" t="s">
        <v>673</v>
      </c>
      <c r="G678" s="713" t="s">
        <v>58</v>
      </c>
      <c r="H678" s="723" t="s">
        <v>678</v>
      </c>
      <c r="I678" s="713" t="s">
        <v>5</v>
      </c>
      <c r="J678" s="713" t="s">
        <v>376</v>
      </c>
      <c r="K678" s="766">
        <v>36</v>
      </c>
      <c r="L678" s="766" t="s">
        <v>671</v>
      </c>
      <c r="M678" s="765" t="s">
        <v>738</v>
      </c>
      <c r="N678" s="765">
        <v>3</v>
      </c>
      <c r="O678" s="765">
        <v>2</v>
      </c>
      <c r="P678" s="735">
        <v>0.6149863305954828</v>
      </c>
      <c r="Q678" s="713" t="s">
        <v>58</v>
      </c>
      <c r="R678" s="713" t="s">
        <v>58</v>
      </c>
      <c r="S678" s="713" t="s">
        <v>58</v>
      </c>
      <c r="T678" s="713" t="s">
        <v>58</v>
      </c>
      <c r="U678" s="764">
        <v>1.6919999999999999</v>
      </c>
      <c r="V678" s="764">
        <v>5214.7439999999997</v>
      </c>
      <c r="W678" s="764">
        <v>1.3270533985801682</v>
      </c>
      <c r="X678" s="764">
        <v>4308.3014849769661</v>
      </c>
      <c r="Y678" s="764">
        <v>11266.149491298986</v>
      </c>
      <c r="Z678" s="764">
        <v>10633.78405183619</v>
      </c>
      <c r="AA678" s="764">
        <v>4066.477873104091</v>
      </c>
      <c r="AB678" s="764">
        <v>1.2534596005776457</v>
      </c>
      <c r="AC678" s="714">
        <v>0.82617698682369967</v>
      </c>
      <c r="AD678" s="714">
        <v>0.7843105192554185</v>
      </c>
      <c r="AE678" s="713" t="s">
        <v>58</v>
      </c>
      <c r="AF678" s="713" t="s">
        <v>58</v>
      </c>
      <c r="AG678" s="713" t="s">
        <v>58</v>
      </c>
      <c r="AH678" s="714">
        <v>0.94387031345969796</v>
      </c>
      <c r="AI678" s="713" t="s">
        <v>58</v>
      </c>
      <c r="AJ678" s="713" t="s">
        <v>58</v>
      </c>
      <c r="AK678" s="713" t="s">
        <v>58</v>
      </c>
      <c r="AL678" s="714">
        <v>0.94454345387965444</v>
      </c>
      <c r="AM678" s="713" t="s">
        <v>58</v>
      </c>
      <c r="AN678" s="713" t="s">
        <v>58</v>
      </c>
      <c r="AO678" s="713" t="s">
        <v>58</v>
      </c>
      <c r="AP678" s="747">
        <v>8</v>
      </c>
      <c r="AQ678" s="747">
        <v>288</v>
      </c>
      <c r="AR678" s="709"/>
      <c r="AS678" s="763">
        <v>0</v>
      </c>
      <c r="AT678" s="763">
        <v>0</v>
      </c>
      <c r="AU678" s="763">
        <v>0</v>
      </c>
      <c r="AV678" s="763">
        <v>1.2534596005776457</v>
      </c>
      <c r="AW678" s="763">
        <v>1.2534596005776457</v>
      </c>
      <c r="AX678" s="763">
        <v>0.77086052030892582</v>
      </c>
      <c r="AY678" s="763">
        <v>0</v>
      </c>
      <c r="AZ678" s="763">
        <v>0</v>
      </c>
      <c r="BA678" s="763">
        <v>0</v>
      </c>
      <c r="BB678" s="763">
        <v>0</v>
      </c>
      <c r="BC678" s="763">
        <v>0</v>
      </c>
      <c r="BD678" s="763">
        <v>0</v>
      </c>
      <c r="BE678" s="763">
        <v>0</v>
      </c>
      <c r="BF678" s="763">
        <v>0</v>
      </c>
      <c r="BG678" s="763">
        <v>0</v>
      </c>
      <c r="BH678" s="763">
        <v>0</v>
      </c>
      <c r="BI678" s="763">
        <v>0</v>
      </c>
      <c r="BJ678" s="763">
        <v>0</v>
      </c>
      <c r="BK678" s="763">
        <v>0</v>
      </c>
      <c r="BL678" s="763">
        <v>0</v>
      </c>
      <c r="BM678" s="763">
        <v>0</v>
      </c>
      <c r="BN678" s="763">
        <v>0</v>
      </c>
      <c r="BO678" s="763">
        <v>0</v>
      </c>
      <c r="BP678" s="763">
        <v>0</v>
      </c>
      <c r="BQ678" s="763">
        <v>0</v>
      </c>
      <c r="BR678" s="763">
        <v>0</v>
      </c>
      <c r="BS678" s="762">
        <v>0</v>
      </c>
      <c r="BT678" s="762">
        <v>0</v>
      </c>
      <c r="BU678" s="762">
        <v>0</v>
      </c>
      <c r="BV678" s="762">
        <v>4066.477873104091</v>
      </c>
      <c r="BW678" s="762">
        <v>4066.477873104091</v>
      </c>
      <c r="BX678" s="762">
        <v>2500.8283056280084</v>
      </c>
      <c r="BY678" s="762">
        <v>0</v>
      </c>
      <c r="BZ678" s="762">
        <v>0</v>
      </c>
      <c r="CA678" s="762">
        <v>0</v>
      </c>
      <c r="CB678" s="762">
        <v>0</v>
      </c>
      <c r="CC678" s="762">
        <v>0</v>
      </c>
      <c r="CD678" s="762">
        <v>0</v>
      </c>
      <c r="CE678" s="762">
        <v>0</v>
      </c>
      <c r="CF678" s="762">
        <v>0</v>
      </c>
      <c r="CG678" s="762">
        <v>0</v>
      </c>
      <c r="CH678" s="762">
        <v>0</v>
      </c>
      <c r="CI678" s="762">
        <v>0</v>
      </c>
      <c r="CJ678" s="762">
        <v>0</v>
      </c>
      <c r="CK678" s="762">
        <v>0</v>
      </c>
      <c r="CL678" s="762">
        <v>0</v>
      </c>
      <c r="CM678" s="762">
        <v>0</v>
      </c>
      <c r="CN678" s="762">
        <v>0</v>
      </c>
      <c r="CO678" s="762">
        <v>0</v>
      </c>
      <c r="CP678" s="762">
        <v>0</v>
      </c>
      <c r="CQ678" s="762">
        <v>0</v>
      </c>
      <c r="CR678" s="762">
        <v>0</v>
      </c>
    </row>
    <row r="679" spans="1:96" s="53" customFormat="1">
      <c r="A679" s="721" t="s">
        <v>3</v>
      </c>
      <c r="B679" s="723">
        <v>41886</v>
      </c>
      <c r="C679" s="721">
        <v>2014</v>
      </c>
      <c r="D679" s="713" t="s">
        <v>1</v>
      </c>
      <c r="E679" s="713" t="s">
        <v>674</v>
      </c>
      <c r="F679" s="723" t="s">
        <v>673</v>
      </c>
      <c r="G679" s="713" t="s">
        <v>58</v>
      </c>
      <c r="H679" s="723" t="s">
        <v>697</v>
      </c>
      <c r="I679" s="713" t="s">
        <v>5</v>
      </c>
      <c r="J679" s="713" t="s">
        <v>376</v>
      </c>
      <c r="K679" s="766">
        <v>1</v>
      </c>
      <c r="L679" s="766" t="s">
        <v>671</v>
      </c>
      <c r="M679" s="765" t="s">
        <v>738</v>
      </c>
      <c r="N679" s="765">
        <v>0</v>
      </c>
      <c r="O679" s="765">
        <v>0</v>
      </c>
      <c r="P679" s="735">
        <v>0</v>
      </c>
      <c r="Q679" s="713" t="s">
        <v>58</v>
      </c>
      <c r="R679" s="713" t="s">
        <v>58</v>
      </c>
      <c r="S679" s="713" t="s">
        <v>58</v>
      </c>
      <c r="T679" s="713" t="s">
        <v>58</v>
      </c>
      <c r="U679" s="764">
        <v>0</v>
      </c>
      <c r="V679" s="764">
        <v>0</v>
      </c>
      <c r="W679" s="764">
        <v>0</v>
      </c>
      <c r="X679" s="764">
        <v>0</v>
      </c>
      <c r="Y679" s="764">
        <v>0</v>
      </c>
      <c r="Z679" s="764">
        <v>0</v>
      </c>
      <c r="AA679" s="764">
        <v>0</v>
      </c>
      <c r="AB679" s="764">
        <v>0</v>
      </c>
      <c r="AC679" s="714">
        <v>0.82617698682369967</v>
      </c>
      <c r="AD679" s="714">
        <v>0.7843105192554185</v>
      </c>
      <c r="AE679" s="713" t="s">
        <v>58</v>
      </c>
      <c r="AF679" s="713" t="s">
        <v>58</v>
      </c>
      <c r="AG679" s="713" t="s">
        <v>58</v>
      </c>
      <c r="AH679" s="714">
        <v>0.94387031345969796</v>
      </c>
      <c r="AI679" s="713" t="s">
        <v>58</v>
      </c>
      <c r="AJ679" s="713" t="s">
        <v>58</v>
      </c>
      <c r="AK679" s="713" t="s">
        <v>58</v>
      </c>
      <c r="AL679" s="714">
        <v>0.94454345387965444</v>
      </c>
      <c r="AM679" s="713" t="s">
        <v>58</v>
      </c>
      <c r="AN679" s="713" t="s">
        <v>58</v>
      </c>
      <c r="AO679" s="713" t="s">
        <v>58</v>
      </c>
      <c r="AP679" s="747">
        <v>26</v>
      </c>
      <c r="AQ679" s="747">
        <v>26</v>
      </c>
      <c r="AR679" s="709"/>
      <c r="AS679" s="763">
        <v>0</v>
      </c>
      <c r="AT679" s="763">
        <v>0</v>
      </c>
      <c r="AU679" s="763">
        <v>0</v>
      </c>
      <c r="AV679" s="763">
        <v>0</v>
      </c>
      <c r="AW679" s="763">
        <v>0</v>
      </c>
      <c r="AX679" s="763">
        <v>0</v>
      </c>
      <c r="AY679" s="763">
        <v>0</v>
      </c>
      <c r="AZ679" s="763">
        <v>0</v>
      </c>
      <c r="BA679" s="763">
        <v>0</v>
      </c>
      <c r="BB679" s="763">
        <v>0</v>
      </c>
      <c r="BC679" s="763">
        <v>0</v>
      </c>
      <c r="BD679" s="763">
        <v>0</v>
      </c>
      <c r="BE679" s="763">
        <v>0</v>
      </c>
      <c r="BF679" s="763">
        <v>0</v>
      </c>
      <c r="BG679" s="763">
        <v>0</v>
      </c>
      <c r="BH679" s="763">
        <v>0</v>
      </c>
      <c r="BI679" s="763">
        <v>0</v>
      </c>
      <c r="BJ679" s="763">
        <v>0</v>
      </c>
      <c r="BK679" s="763">
        <v>0</v>
      </c>
      <c r="BL679" s="763">
        <v>0</v>
      </c>
      <c r="BM679" s="763">
        <v>0</v>
      </c>
      <c r="BN679" s="763">
        <v>0</v>
      </c>
      <c r="BO679" s="763">
        <v>0</v>
      </c>
      <c r="BP679" s="763">
        <v>0</v>
      </c>
      <c r="BQ679" s="763">
        <v>0</v>
      </c>
      <c r="BR679" s="763">
        <v>0</v>
      </c>
      <c r="BS679" s="762">
        <v>0</v>
      </c>
      <c r="BT679" s="762">
        <v>0</v>
      </c>
      <c r="BU679" s="762">
        <v>0</v>
      </c>
      <c r="BV679" s="762">
        <v>0</v>
      </c>
      <c r="BW679" s="762">
        <v>0</v>
      </c>
      <c r="BX679" s="762">
        <v>0</v>
      </c>
      <c r="BY679" s="762">
        <v>0</v>
      </c>
      <c r="BZ679" s="762">
        <v>0</v>
      </c>
      <c r="CA679" s="762">
        <v>0</v>
      </c>
      <c r="CB679" s="762">
        <v>0</v>
      </c>
      <c r="CC679" s="762">
        <v>0</v>
      </c>
      <c r="CD679" s="762">
        <v>0</v>
      </c>
      <c r="CE679" s="762">
        <v>0</v>
      </c>
      <c r="CF679" s="762">
        <v>0</v>
      </c>
      <c r="CG679" s="762">
        <v>0</v>
      </c>
      <c r="CH679" s="762">
        <v>0</v>
      </c>
      <c r="CI679" s="762">
        <v>0</v>
      </c>
      <c r="CJ679" s="762">
        <v>0</v>
      </c>
      <c r="CK679" s="762">
        <v>0</v>
      </c>
      <c r="CL679" s="762">
        <v>0</v>
      </c>
      <c r="CM679" s="762">
        <v>0</v>
      </c>
      <c r="CN679" s="762">
        <v>0</v>
      </c>
      <c r="CO679" s="762">
        <v>0</v>
      </c>
      <c r="CP679" s="762">
        <v>0</v>
      </c>
      <c r="CQ679" s="762">
        <v>0</v>
      </c>
      <c r="CR679" s="762">
        <v>0</v>
      </c>
    </row>
    <row r="680" spans="1:96" s="53" customFormat="1">
      <c r="A680" s="721" t="s">
        <v>3</v>
      </c>
      <c r="B680" s="723">
        <v>41674</v>
      </c>
      <c r="C680" s="721">
        <v>2014</v>
      </c>
      <c r="D680" s="713" t="s">
        <v>1</v>
      </c>
      <c r="E680" s="713" t="s">
        <v>674</v>
      </c>
      <c r="F680" s="723" t="s">
        <v>673</v>
      </c>
      <c r="G680" s="713" t="s">
        <v>58</v>
      </c>
      <c r="H680" s="723" t="s">
        <v>704</v>
      </c>
      <c r="I680" s="713" t="s">
        <v>5</v>
      </c>
      <c r="J680" s="713" t="s">
        <v>376</v>
      </c>
      <c r="K680" s="766">
        <v>6</v>
      </c>
      <c r="L680" s="766" t="s">
        <v>671</v>
      </c>
      <c r="M680" s="765" t="s">
        <v>777</v>
      </c>
      <c r="N680" s="765">
        <v>12</v>
      </c>
      <c r="O680" s="765">
        <v>3</v>
      </c>
      <c r="P680" s="735">
        <v>4.5454545454545456E-2</v>
      </c>
      <c r="Q680" s="713" t="s">
        <v>58</v>
      </c>
      <c r="R680" s="713" t="s">
        <v>58</v>
      </c>
      <c r="S680" s="713" t="s">
        <v>58</v>
      </c>
      <c r="T680" s="713" t="s">
        <v>58</v>
      </c>
      <c r="U680" s="764">
        <v>0.13200000000000001</v>
      </c>
      <c r="V680" s="764">
        <v>342.40800000000002</v>
      </c>
      <c r="W680" s="764">
        <v>0.10352898854171526</v>
      </c>
      <c r="X680" s="764">
        <v>282.88960970432936</v>
      </c>
      <c r="Y680" s="764">
        <v>964.39639671930468</v>
      </c>
      <c r="Z680" s="764">
        <v>910.26512927085332</v>
      </c>
      <c r="AA680" s="764">
        <v>267.01110458611697</v>
      </c>
      <c r="AB680" s="764">
        <v>9.7787628413858893E-2</v>
      </c>
      <c r="AC680" s="714">
        <v>0.82617698682369967</v>
      </c>
      <c r="AD680" s="714">
        <v>0.7843105192554185</v>
      </c>
      <c r="AE680" s="713" t="s">
        <v>58</v>
      </c>
      <c r="AF680" s="713" t="s">
        <v>58</v>
      </c>
      <c r="AG680" s="713" t="s">
        <v>58</v>
      </c>
      <c r="AH680" s="714">
        <v>0.94387031345969796</v>
      </c>
      <c r="AI680" s="713" t="s">
        <v>58</v>
      </c>
      <c r="AJ680" s="713" t="s">
        <v>58</v>
      </c>
      <c r="AK680" s="713" t="s">
        <v>58</v>
      </c>
      <c r="AL680" s="714">
        <v>0.94454345387965444</v>
      </c>
      <c r="AM680" s="713" t="s">
        <v>58</v>
      </c>
      <c r="AN680" s="713" t="s">
        <v>58</v>
      </c>
      <c r="AO680" s="713" t="s">
        <v>58</v>
      </c>
      <c r="AP680" s="747">
        <v>17</v>
      </c>
      <c r="AQ680" s="747">
        <v>102</v>
      </c>
      <c r="AR680" s="709"/>
      <c r="AS680" s="763">
        <v>0</v>
      </c>
      <c r="AT680" s="763">
        <v>0</v>
      </c>
      <c r="AU680" s="763">
        <v>0</v>
      </c>
      <c r="AV680" s="763">
        <v>9.7787628413858893E-2</v>
      </c>
      <c r="AW680" s="763">
        <v>9.7787628413858893E-2</v>
      </c>
      <c r="AX680" s="763">
        <v>9.7787628413858893E-2</v>
      </c>
      <c r="AY680" s="763">
        <v>4.4448922006299499E-3</v>
      </c>
      <c r="AZ680" s="763">
        <v>4.4448922006299499E-3</v>
      </c>
      <c r="BA680" s="763">
        <v>4.4448922006299499E-3</v>
      </c>
      <c r="BB680" s="763">
        <v>4.4448922006299499E-3</v>
      </c>
      <c r="BC680" s="763">
        <v>4.4448922006299499E-3</v>
      </c>
      <c r="BD680" s="763">
        <v>4.4448922006299499E-3</v>
      </c>
      <c r="BE680" s="763">
        <v>4.4448922006299499E-3</v>
      </c>
      <c r="BF680" s="763">
        <v>4.4448922006299499E-3</v>
      </c>
      <c r="BG680" s="763">
        <v>4.4448922006299499E-3</v>
      </c>
      <c r="BH680" s="763">
        <v>0</v>
      </c>
      <c r="BI680" s="763">
        <v>0</v>
      </c>
      <c r="BJ680" s="763">
        <v>0</v>
      </c>
      <c r="BK680" s="763">
        <v>0</v>
      </c>
      <c r="BL680" s="763">
        <v>0</v>
      </c>
      <c r="BM680" s="763">
        <v>0</v>
      </c>
      <c r="BN680" s="763">
        <v>0</v>
      </c>
      <c r="BO680" s="763">
        <v>0</v>
      </c>
      <c r="BP680" s="763">
        <v>0</v>
      </c>
      <c r="BQ680" s="763">
        <v>0</v>
      </c>
      <c r="BR680" s="763">
        <v>0</v>
      </c>
      <c r="BS680" s="762">
        <v>0</v>
      </c>
      <c r="BT680" s="762">
        <v>0</v>
      </c>
      <c r="BU680" s="762">
        <v>0</v>
      </c>
      <c r="BV680" s="762">
        <v>267.01110458611697</v>
      </c>
      <c r="BW680" s="762">
        <v>267.01110458611697</v>
      </c>
      <c r="BX680" s="762">
        <v>267.01110458611697</v>
      </c>
      <c r="BY680" s="762">
        <v>12.136868390278044</v>
      </c>
      <c r="BZ680" s="762">
        <v>12.136868390278044</v>
      </c>
      <c r="CA680" s="762">
        <v>12.136868390278044</v>
      </c>
      <c r="CB680" s="762">
        <v>12.136868390278044</v>
      </c>
      <c r="CC680" s="762">
        <v>12.136868390278044</v>
      </c>
      <c r="CD680" s="762">
        <v>12.136868390278044</v>
      </c>
      <c r="CE680" s="762">
        <v>12.136868390278044</v>
      </c>
      <c r="CF680" s="762">
        <v>12.136868390278044</v>
      </c>
      <c r="CG680" s="762">
        <v>12.136868390278044</v>
      </c>
      <c r="CH680" s="762">
        <v>0</v>
      </c>
      <c r="CI680" s="762">
        <v>0</v>
      </c>
      <c r="CJ680" s="762">
        <v>0</v>
      </c>
      <c r="CK680" s="762">
        <v>0</v>
      </c>
      <c r="CL680" s="762">
        <v>0</v>
      </c>
      <c r="CM680" s="762">
        <v>0</v>
      </c>
      <c r="CN680" s="762">
        <v>0</v>
      </c>
      <c r="CO680" s="762">
        <v>0</v>
      </c>
      <c r="CP680" s="762">
        <v>0</v>
      </c>
      <c r="CQ680" s="762">
        <v>0</v>
      </c>
      <c r="CR680" s="762">
        <v>0</v>
      </c>
    </row>
    <row r="681" spans="1:96" s="53" customFormat="1">
      <c r="A681" s="721" t="s">
        <v>3</v>
      </c>
      <c r="B681" s="723">
        <v>41674</v>
      </c>
      <c r="C681" s="721">
        <v>2014</v>
      </c>
      <c r="D681" s="713" t="s">
        <v>1</v>
      </c>
      <c r="E681" s="713" t="s">
        <v>674</v>
      </c>
      <c r="F681" s="723" t="s">
        <v>673</v>
      </c>
      <c r="G681" s="713" t="s">
        <v>58</v>
      </c>
      <c r="H681" s="723" t="s">
        <v>704</v>
      </c>
      <c r="I681" s="713" t="s">
        <v>5</v>
      </c>
      <c r="J681" s="713" t="s">
        <v>376</v>
      </c>
      <c r="K681" s="766">
        <v>4</v>
      </c>
      <c r="L681" s="766" t="s">
        <v>671</v>
      </c>
      <c r="M681" s="765" t="s">
        <v>777</v>
      </c>
      <c r="N681" s="765">
        <v>12</v>
      </c>
      <c r="O681" s="765">
        <v>3</v>
      </c>
      <c r="P681" s="735">
        <v>4.5454545454545456E-2</v>
      </c>
      <c r="Q681" s="713" t="s">
        <v>58</v>
      </c>
      <c r="R681" s="713" t="s">
        <v>58</v>
      </c>
      <c r="S681" s="713" t="s">
        <v>58</v>
      </c>
      <c r="T681" s="713" t="s">
        <v>58</v>
      </c>
      <c r="U681" s="764">
        <v>8.7999999999999995E-2</v>
      </c>
      <c r="V681" s="764">
        <v>228.27199999999999</v>
      </c>
      <c r="W681" s="764">
        <v>6.901932569447683E-2</v>
      </c>
      <c r="X681" s="764">
        <v>188.59307313621954</v>
      </c>
      <c r="Y681" s="764">
        <v>642.93093114620297</v>
      </c>
      <c r="Z681" s="764">
        <v>606.84341951390206</v>
      </c>
      <c r="AA681" s="764">
        <v>178.0074030574113</v>
      </c>
      <c r="AB681" s="764">
        <v>6.5191752275905929E-2</v>
      </c>
      <c r="AC681" s="714">
        <v>0.82617698682369967</v>
      </c>
      <c r="AD681" s="714">
        <v>0.7843105192554185</v>
      </c>
      <c r="AE681" s="713" t="s">
        <v>58</v>
      </c>
      <c r="AF681" s="713" t="s">
        <v>58</v>
      </c>
      <c r="AG681" s="713" t="s">
        <v>58</v>
      </c>
      <c r="AH681" s="714">
        <v>0.94387031345969796</v>
      </c>
      <c r="AI681" s="713" t="s">
        <v>58</v>
      </c>
      <c r="AJ681" s="713" t="s">
        <v>58</v>
      </c>
      <c r="AK681" s="713" t="s">
        <v>58</v>
      </c>
      <c r="AL681" s="714">
        <v>0.94454345387965444</v>
      </c>
      <c r="AM681" s="713" t="s">
        <v>58</v>
      </c>
      <c r="AN681" s="713" t="s">
        <v>58</v>
      </c>
      <c r="AO681" s="713" t="s">
        <v>58</v>
      </c>
      <c r="AP681" s="747">
        <v>75</v>
      </c>
      <c r="AQ681" s="747">
        <v>300</v>
      </c>
      <c r="AR681" s="709"/>
      <c r="AS681" s="763">
        <v>0</v>
      </c>
      <c r="AT681" s="763">
        <v>0</v>
      </c>
      <c r="AU681" s="763">
        <v>0</v>
      </c>
      <c r="AV681" s="763">
        <v>6.5191752275905929E-2</v>
      </c>
      <c r="AW681" s="763">
        <v>6.5191752275905929E-2</v>
      </c>
      <c r="AX681" s="763">
        <v>6.5191752275905929E-2</v>
      </c>
      <c r="AY681" s="763">
        <v>2.9632614670866333E-3</v>
      </c>
      <c r="AZ681" s="763">
        <v>2.9632614670866333E-3</v>
      </c>
      <c r="BA681" s="763">
        <v>2.9632614670866333E-3</v>
      </c>
      <c r="BB681" s="763">
        <v>2.9632614670866333E-3</v>
      </c>
      <c r="BC681" s="763">
        <v>2.9632614670866333E-3</v>
      </c>
      <c r="BD681" s="763">
        <v>2.9632614670866333E-3</v>
      </c>
      <c r="BE681" s="763">
        <v>2.9632614670866333E-3</v>
      </c>
      <c r="BF681" s="763">
        <v>2.9632614670866333E-3</v>
      </c>
      <c r="BG681" s="763">
        <v>2.9632614670866333E-3</v>
      </c>
      <c r="BH681" s="763">
        <v>0</v>
      </c>
      <c r="BI681" s="763">
        <v>0</v>
      </c>
      <c r="BJ681" s="763">
        <v>0</v>
      </c>
      <c r="BK681" s="763">
        <v>0</v>
      </c>
      <c r="BL681" s="763">
        <v>0</v>
      </c>
      <c r="BM681" s="763">
        <v>0</v>
      </c>
      <c r="BN681" s="763">
        <v>0</v>
      </c>
      <c r="BO681" s="763">
        <v>0</v>
      </c>
      <c r="BP681" s="763">
        <v>0</v>
      </c>
      <c r="BQ681" s="763">
        <v>0</v>
      </c>
      <c r="BR681" s="763">
        <v>0</v>
      </c>
      <c r="BS681" s="762">
        <v>0</v>
      </c>
      <c r="BT681" s="762">
        <v>0</v>
      </c>
      <c r="BU681" s="762">
        <v>0</v>
      </c>
      <c r="BV681" s="762">
        <v>178.0074030574113</v>
      </c>
      <c r="BW681" s="762">
        <v>178.0074030574113</v>
      </c>
      <c r="BX681" s="762">
        <v>178.0074030574113</v>
      </c>
      <c r="BY681" s="762">
        <v>8.0912455935186962</v>
      </c>
      <c r="BZ681" s="762">
        <v>8.0912455935186962</v>
      </c>
      <c r="CA681" s="762">
        <v>8.0912455935186962</v>
      </c>
      <c r="CB681" s="762">
        <v>8.0912455935186962</v>
      </c>
      <c r="CC681" s="762">
        <v>8.0912455935186962</v>
      </c>
      <c r="CD681" s="762">
        <v>8.0912455935186962</v>
      </c>
      <c r="CE681" s="762">
        <v>8.0912455935186962</v>
      </c>
      <c r="CF681" s="762">
        <v>8.0912455935186962</v>
      </c>
      <c r="CG681" s="762">
        <v>8.0912455935186962</v>
      </c>
      <c r="CH681" s="762">
        <v>0</v>
      </c>
      <c r="CI681" s="762">
        <v>0</v>
      </c>
      <c r="CJ681" s="762">
        <v>0</v>
      </c>
      <c r="CK681" s="762">
        <v>0</v>
      </c>
      <c r="CL681" s="762">
        <v>0</v>
      </c>
      <c r="CM681" s="762">
        <v>0</v>
      </c>
      <c r="CN681" s="762">
        <v>0</v>
      </c>
      <c r="CO681" s="762">
        <v>0</v>
      </c>
      <c r="CP681" s="762">
        <v>0</v>
      </c>
      <c r="CQ681" s="762">
        <v>0</v>
      </c>
      <c r="CR681" s="762">
        <v>0</v>
      </c>
    </row>
    <row r="682" spans="1:96" s="53" customFormat="1">
      <c r="A682" s="721" t="s">
        <v>3</v>
      </c>
      <c r="B682" s="723">
        <v>41674</v>
      </c>
      <c r="C682" s="721">
        <v>2014</v>
      </c>
      <c r="D682" s="713" t="s">
        <v>1</v>
      </c>
      <c r="E682" s="713" t="s">
        <v>674</v>
      </c>
      <c r="F682" s="723" t="s">
        <v>673</v>
      </c>
      <c r="G682" s="713" t="s">
        <v>58</v>
      </c>
      <c r="H682" s="723" t="s">
        <v>677</v>
      </c>
      <c r="I682" s="713" t="s">
        <v>5</v>
      </c>
      <c r="J682" s="713" t="s">
        <v>376</v>
      </c>
      <c r="K682" s="766">
        <v>1</v>
      </c>
      <c r="L682" s="766" t="s">
        <v>671</v>
      </c>
      <c r="M682" s="765" t="s">
        <v>777</v>
      </c>
      <c r="N682" s="765">
        <v>0</v>
      </c>
      <c r="O682" s="765">
        <v>0</v>
      </c>
      <c r="P682" s="735">
        <v>0</v>
      </c>
      <c r="Q682" s="713" t="s">
        <v>58</v>
      </c>
      <c r="R682" s="713" t="s">
        <v>58</v>
      </c>
      <c r="S682" s="713" t="s">
        <v>58</v>
      </c>
      <c r="T682" s="713" t="s">
        <v>58</v>
      </c>
      <c r="U682" s="764">
        <v>0</v>
      </c>
      <c r="V682" s="764">
        <v>0</v>
      </c>
      <c r="W682" s="764">
        <v>0</v>
      </c>
      <c r="X682" s="764">
        <v>0</v>
      </c>
      <c r="Y682" s="764">
        <v>0</v>
      </c>
      <c r="Z682" s="764">
        <v>0</v>
      </c>
      <c r="AA682" s="764">
        <v>0</v>
      </c>
      <c r="AB682" s="764">
        <v>0</v>
      </c>
      <c r="AC682" s="714">
        <v>0.82617698682369967</v>
      </c>
      <c r="AD682" s="714">
        <v>0.7843105192554185</v>
      </c>
      <c r="AE682" s="713" t="s">
        <v>58</v>
      </c>
      <c r="AF682" s="713" t="s">
        <v>58</v>
      </c>
      <c r="AG682" s="713" t="s">
        <v>58</v>
      </c>
      <c r="AH682" s="714">
        <v>0.94387031345969796</v>
      </c>
      <c r="AI682" s="713" t="s">
        <v>58</v>
      </c>
      <c r="AJ682" s="713" t="s">
        <v>58</v>
      </c>
      <c r="AK682" s="713" t="s">
        <v>58</v>
      </c>
      <c r="AL682" s="714">
        <v>0.94454345387965444</v>
      </c>
      <c r="AM682" s="713" t="s">
        <v>58</v>
      </c>
      <c r="AN682" s="713" t="s">
        <v>58</v>
      </c>
      <c r="AO682" s="713" t="s">
        <v>58</v>
      </c>
      <c r="AP682" s="747">
        <v>51</v>
      </c>
      <c r="AQ682" s="747">
        <v>51</v>
      </c>
      <c r="AR682" s="709"/>
      <c r="AS682" s="763">
        <v>0</v>
      </c>
      <c r="AT682" s="763">
        <v>0</v>
      </c>
      <c r="AU682" s="763">
        <v>0</v>
      </c>
      <c r="AV682" s="763">
        <v>0</v>
      </c>
      <c r="AW682" s="763">
        <v>0</v>
      </c>
      <c r="AX682" s="763">
        <v>0</v>
      </c>
      <c r="AY682" s="763">
        <v>0</v>
      </c>
      <c r="AZ682" s="763">
        <v>0</v>
      </c>
      <c r="BA682" s="763">
        <v>0</v>
      </c>
      <c r="BB682" s="763">
        <v>0</v>
      </c>
      <c r="BC682" s="763">
        <v>0</v>
      </c>
      <c r="BD682" s="763">
        <v>0</v>
      </c>
      <c r="BE682" s="763">
        <v>0</v>
      </c>
      <c r="BF682" s="763">
        <v>0</v>
      </c>
      <c r="BG682" s="763">
        <v>0</v>
      </c>
      <c r="BH682" s="763">
        <v>0</v>
      </c>
      <c r="BI682" s="763">
        <v>0</v>
      </c>
      <c r="BJ682" s="763">
        <v>0</v>
      </c>
      <c r="BK682" s="763">
        <v>0</v>
      </c>
      <c r="BL682" s="763">
        <v>0</v>
      </c>
      <c r="BM682" s="763">
        <v>0</v>
      </c>
      <c r="BN682" s="763">
        <v>0</v>
      </c>
      <c r="BO682" s="763">
        <v>0</v>
      </c>
      <c r="BP682" s="763">
        <v>0</v>
      </c>
      <c r="BQ682" s="763">
        <v>0</v>
      </c>
      <c r="BR682" s="763">
        <v>0</v>
      </c>
      <c r="BS682" s="762">
        <v>0</v>
      </c>
      <c r="BT682" s="762">
        <v>0</v>
      </c>
      <c r="BU682" s="762">
        <v>0</v>
      </c>
      <c r="BV682" s="762">
        <v>0</v>
      </c>
      <c r="BW682" s="762">
        <v>0</v>
      </c>
      <c r="BX682" s="762">
        <v>0</v>
      </c>
      <c r="BY682" s="762">
        <v>0</v>
      </c>
      <c r="BZ682" s="762">
        <v>0</v>
      </c>
      <c r="CA682" s="762">
        <v>0</v>
      </c>
      <c r="CB682" s="762">
        <v>0</v>
      </c>
      <c r="CC682" s="762">
        <v>0</v>
      </c>
      <c r="CD682" s="762">
        <v>0</v>
      </c>
      <c r="CE682" s="762">
        <v>0</v>
      </c>
      <c r="CF682" s="762">
        <v>0</v>
      </c>
      <c r="CG682" s="762">
        <v>0</v>
      </c>
      <c r="CH682" s="762">
        <v>0</v>
      </c>
      <c r="CI682" s="762">
        <v>0</v>
      </c>
      <c r="CJ682" s="762">
        <v>0</v>
      </c>
      <c r="CK682" s="762">
        <v>0</v>
      </c>
      <c r="CL682" s="762">
        <v>0</v>
      </c>
      <c r="CM682" s="762">
        <v>0</v>
      </c>
      <c r="CN682" s="762">
        <v>0</v>
      </c>
      <c r="CO682" s="762">
        <v>0</v>
      </c>
      <c r="CP682" s="762">
        <v>0</v>
      </c>
      <c r="CQ682" s="762">
        <v>0</v>
      </c>
      <c r="CR682" s="762">
        <v>0</v>
      </c>
    </row>
    <row r="683" spans="1:96" s="53" customFormat="1">
      <c r="A683" s="721" t="s">
        <v>3</v>
      </c>
      <c r="B683" s="723">
        <v>41674</v>
      </c>
      <c r="C683" s="721">
        <v>2014</v>
      </c>
      <c r="D683" s="713" t="s">
        <v>1</v>
      </c>
      <c r="E683" s="713" t="s">
        <v>674</v>
      </c>
      <c r="F683" s="723" t="s">
        <v>673</v>
      </c>
      <c r="G683" s="713" t="s">
        <v>58</v>
      </c>
      <c r="H683" s="723" t="s">
        <v>712</v>
      </c>
      <c r="I683" s="713" t="s">
        <v>5</v>
      </c>
      <c r="J683" s="713" t="s">
        <v>376</v>
      </c>
      <c r="K683" s="766">
        <v>1</v>
      </c>
      <c r="L683" s="766" t="s">
        <v>671</v>
      </c>
      <c r="M683" s="765" t="s">
        <v>777</v>
      </c>
      <c r="N683" s="765">
        <v>0</v>
      </c>
      <c r="O683" s="765">
        <v>0</v>
      </c>
      <c r="P683" s="735">
        <v>0</v>
      </c>
      <c r="Q683" s="713" t="s">
        <v>58</v>
      </c>
      <c r="R683" s="713" t="s">
        <v>58</v>
      </c>
      <c r="S683" s="713" t="s">
        <v>58</v>
      </c>
      <c r="T683" s="713" t="s">
        <v>58</v>
      </c>
      <c r="U683" s="764">
        <v>0</v>
      </c>
      <c r="V683" s="764">
        <v>0</v>
      </c>
      <c r="W683" s="764">
        <v>0</v>
      </c>
      <c r="X683" s="764">
        <v>0</v>
      </c>
      <c r="Y683" s="764">
        <v>0</v>
      </c>
      <c r="Z683" s="764">
        <v>0</v>
      </c>
      <c r="AA683" s="764">
        <v>0</v>
      </c>
      <c r="AB683" s="764">
        <v>0</v>
      </c>
      <c r="AC683" s="714">
        <v>0.82617698682369967</v>
      </c>
      <c r="AD683" s="714">
        <v>0.7843105192554185</v>
      </c>
      <c r="AE683" s="713" t="s">
        <v>58</v>
      </c>
      <c r="AF683" s="713" t="s">
        <v>58</v>
      </c>
      <c r="AG683" s="713" t="s">
        <v>58</v>
      </c>
      <c r="AH683" s="714">
        <v>0.94387031345969796</v>
      </c>
      <c r="AI683" s="713" t="s">
        <v>58</v>
      </c>
      <c r="AJ683" s="713" t="s">
        <v>58</v>
      </c>
      <c r="AK683" s="713" t="s">
        <v>58</v>
      </c>
      <c r="AL683" s="714">
        <v>0.94454345387965444</v>
      </c>
      <c r="AM683" s="713" t="s">
        <v>58</v>
      </c>
      <c r="AN683" s="713" t="s">
        <v>58</v>
      </c>
      <c r="AO683" s="713" t="s">
        <v>58</v>
      </c>
      <c r="AP683" s="747">
        <v>0</v>
      </c>
      <c r="AQ683" s="747">
        <v>0</v>
      </c>
      <c r="AR683" s="709"/>
      <c r="AS683" s="763">
        <v>0</v>
      </c>
      <c r="AT683" s="763">
        <v>0</v>
      </c>
      <c r="AU683" s="763">
        <v>0</v>
      </c>
      <c r="AV683" s="763">
        <v>0</v>
      </c>
      <c r="AW683" s="763">
        <v>0</v>
      </c>
      <c r="AX683" s="763">
        <v>0</v>
      </c>
      <c r="AY683" s="763">
        <v>0</v>
      </c>
      <c r="AZ683" s="763">
        <v>0</v>
      </c>
      <c r="BA683" s="763">
        <v>0</v>
      </c>
      <c r="BB683" s="763">
        <v>0</v>
      </c>
      <c r="BC683" s="763">
        <v>0</v>
      </c>
      <c r="BD683" s="763">
        <v>0</v>
      </c>
      <c r="BE683" s="763">
        <v>0</v>
      </c>
      <c r="BF683" s="763">
        <v>0</v>
      </c>
      <c r="BG683" s="763">
        <v>0</v>
      </c>
      <c r="BH683" s="763">
        <v>0</v>
      </c>
      <c r="BI683" s="763">
        <v>0</v>
      </c>
      <c r="BJ683" s="763">
        <v>0</v>
      </c>
      <c r="BK683" s="763">
        <v>0</v>
      </c>
      <c r="BL683" s="763">
        <v>0</v>
      </c>
      <c r="BM683" s="763">
        <v>0</v>
      </c>
      <c r="BN683" s="763">
        <v>0</v>
      </c>
      <c r="BO683" s="763">
        <v>0</v>
      </c>
      <c r="BP683" s="763">
        <v>0</v>
      </c>
      <c r="BQ683" s="763">
        <v>0</v>
      </c>
      <c r="BR683" s="763">
        <v>0</v>
      </c>
      <c r="BS683" s="762">
        <v>0</v>
      </c>
      <c r="BT683" s="762">
        <v>0</v>
      </c>
      <c r="BU683" s="762">
        <v>0</v>
      </c>
      <c r="BV683" s="762">
        <v>0</v>
      </c>
      <c r="BW683" s="762">
        <v>0</v>
      </c>
      <c r="BX683" s="762">
        <v>0</v>
      </c>
      <c r="BY683" s="762">
        <v>0</v>
      </c>
      <c r="BZ683" s="762">
        <v>0</v>
      </c>
      <c r="CA683" s="762">
        <v>0</v>
      </c>
      <c r="CB683" s="762">
        <v>0</v>
      </c>
      <c r="CC683" s="762">
        <v>0</v>
      </c>
      <c r="CD683" s="762">
        <v>0</v>
      </c>
      <c r="CE683" s="762">
        <v>0</v>
      </c>
      <c r="CF683" s="762">
        <v>0</v>
      </c>
      <c r="CG683" s="762">
        <v>0</v>
      </c>
      <c r="CH683" s="762">
        <v>0</v>
      </c>
      <c r="CI683" s="762">
        <v>0</v>
      </c>
      <c r="CJ683" s="762">
        <v>0</v>
      </c>
      <c r="CK683" s="762">
        <v>0</v>
      </c>
      <c r="CL683" s="762">
        <v>0</v>
      </c>
      <c r="CM683" s="762">
        <v>0</v>
      </c>
      <c r="CN683" s="762">
        <v>0</v>
      </c>
      <c r="CO683" s="762">
        <v>0</v>
      </c>
      <c r="CP683" s="762">
        <v>0</v>
      </c>
      <c r="CQ683" s="762">
        <v>0</v>
      </c>
      <c r="CR683" s="762">
        <v>0</v>
      </c>
    </row>
    <row r="684" spans="1:96" s="53" customFormat="1">
      <c r="A684" s="721" t="s">
        <v>3</v>
      </c>
      <c r="B684" s="723">
        <v>41674</v>
      </c>
      <c r="C684" s="721">
        <v>2014</v>
      </c>
      <c r="D684" s="713" t="s">
        <v>1</v>
      </c>
      <c r="E684" s="713" t="s">
        <v>674</v>
      </c>
      <c r="F684" s="723" t="s">
        <v>673</v>
      </c>
      <c r="G684" s="713" t="s">
        <v>58</v>
      </c>
      <c r="H684" s="723" t="s">
        <v>682</v>
      </c>
      <c r="I684" s="713" t="s">
        <v>5</v>
      </c>
      <c r="J684" s="713" t="s">
        <v>376</v>
      </c>
      <c r="K684" s="766">
        <v>1</v>
      </c>
      <c r="L684" s="766" t="s">
        <v>671</v>
      </c>
      <c r="M684" s="765" t="s">
        <v>777</v>
      </c>
      <c r="N684" s="765">
        <v>12</v>
      </c>
      <c r="O684" s="765">
        <v>3</v>
      </c>
      <c r="P684" s="735">
        <v>0.4</v>
      </c>
      <c r="Q684" s="713" t="s">
        <v>58</v>
      </c>
      <c r="R684" s="713" t="s">
        <v>58</v>
      </c>
      <c r="S684" s="713" t="s">
        <v>58</v>
      </c>
      <c r="T684" s="713" t="s">
        <v>58</v>
      </c>
      <c r="U684" s="764">
        <v>2.5000000000000001E-2</v>
      </c>
      <c r="V684" s="764">
        <v>64.849999999999994</v>
      </c>
      <c r="W684" s="764">
        <v>1.9607762981385463E-2</v>
      </c>
      <c r="X684" s="764">
        <v>53.577577595516914</v>
      </c>
      <c r="Y684" s="764">
        <v>353.61201213041164</v>
      </c>
      <c r="Z684" s="764">
        <v>333.76388073264616</v>
      </c>
      <c r="AA684" s="764">
        <v>50.570284959491843</v>
      </c>
      <c r="AB684" s="764">
        <v>1.8520384169291457E-2</v>
      </c>
      <c r="AC684" s="714">
        <v>0.82617698682369967</v>
      </c>
      <c r="AD684" s="714">
        <v>0.7843105192554185</v>
      </c>
      <c r="AE684" s="713" t="s">
        <v>58</v>
      </c>
      <c r="AF684" s="713" t="s">
        <v>58</v>
      </c>
      <c r="AG684" s="713" t="s">
        <v>58</v>
      </c>
      <c r="AH684" s="714">
        <v>0.94387031345969796</v>
      </c>
      <c r="AI684" s="713" t="s">
        <v>58</v>
      </c>
      <c r="AJ684" s="713" t="s">
        <v>58</v>
      </c>
      <c r="AK684" s="713" t="s">
        <v>58</v>
      </c>
      <c r="AL684" s="714">
        <v>0.94454345387965444</v>
      </c>
      <c r="AM684" s="713" t="s">
        <v>58</v>
      </c>
      <c r="AN684" s="713" t="s">
        <v>58</v>
      </c>
      <c r="AO684" s="713" t="s">
        <v>58</v>
      </c>
      <c r="AP684" s="747">
        <v>47</v>
      </c>
      <c r="AQ684" s="747">
        <v>47</v>
      </c>
      <c r="AR684" s="709"/>
      <c r="AS684" s="763">
        <v>0</v>
      </c>
      <c r="AT684" s="763">
        <v>0</v>
      </c>
      <c r="AU684" s="763">
        <v>0</v>
      </c>
      <c r="AV684" s="763">
        <v>1.8520384169291457E-2</v>
      </c>
      <c r="AW684" s="763">
        <v>1.8520384169291457E-2</v>
      </c>
      <c r="AX684" s="763">
        <v>1.8520384169291457E-2</v>
      </c>
      <c r="AY684" s="763">
        <v>7.4081536677165832E-3</v>
      </c>
      <c r="AZ684" s="763">
        <v>7.4081536677165832E-3</v>
      </c>
      <c r="BA684" s="763">
        <v>7.4081536677165832E-3</v>
      </c>
      <c r="BB684" s="763">
        <v>7.4081536677165832E-3</v>
      </c>
      <c r="BC684" s="763">
        <v>7.4081536677165832E-3</v>
      </c>
      <c r="BD684" s="763">
        <v>7.4081536677165832E-3</v>
      </c>
      <c r="BE684" s="763">
        <v>7.4081536677165832E-3</v>
      </c>
      <c r="BF684" s="763">
        <v>7.4081536677165832E-3</v>
      </c>
      <c r="BG684" s="763">
        <v>7.4081536677165832E-3</v>
      </c>
      <c r="BH684" s="763">
        <v>0</v>
      </c>
      <c r="BI684" s="763">
        <v>0</v>
      </c>
      <c r="BJ684" s="763">
        <v>0</v>
      </c>
      <c r="BK684" s="763">
        <v>0</v>
      </c>
      <c r="BL684" s="763">
        <v>0</v>
      </c>
      <c r="BM684" s="763">
        <v>0</v>
      </c>
      <c r="BN684" s="763">
        <v>0</v>
      </c>
      <c r="BO684" s="763">
        <v>0</v>
      </c>
      <c r="BP684" s="763">
        <v>0</v>
      </c>
      <c r="BQ684" s="763">
        <v>0</v>
      </c>
      <c r="BR684" s="763">
        <v>0</v>
      </c>
      <c r="BS684" s="762">
        <v>0</v>
      </c>
      <c r="BT684" s="762">
        <v>0</v>
      </c>
      <c r="BU684" s="762">
        <v>0</v>
      </c>
      <c r="BV684" s="762">
        <v>50.570284959491843</v>
      </c>
      <c r="BW684" s="762">
        <v>50.570284959491843</v>
      </c>
      <c r="BX684" s="762">
        <v>50.570284959491843</v>
      </c>
      <c r="BY684" s="762">
        <v>20.228113983796739</v>
      </c>
      <c r="BZ684" s="762">
        <v>20.228113983796739</v>
      </c>
      <c r="CA684" s="762">
        <v>20.228113983796739</v>
      </c>
      <c r="CB684" s="762">
        <v>20.228113983796739</v>
      </c>
      <c r="CC684" s="762">
        <v>20.228113983796739</v>
      </c>
      <c r="CD684" s="762">
        <v>20.228113983796739</v>
      </c>
      <c r="CE684" s="762">
        <v>20.228113983796739</v>
      </c>
      <c r="CF684" s="762">
        <v>20.228113983796739</v>
      </c>
      <c r="CG684" s="762">
        <v>20.228113983796739</v>
      </c>
      <c r="CH684" s="762">
        <v>0</v>
      </c>
      <c r="CI684" s="762">
        <v>0</v>
      </c>
      <c r="CJ684" s="762">
        <v>0</v>
      </c>
      <c r="CK684" s="762">
        <v>0</v>
      </c>
      <c r="CL684" s="762">
        <v>0</v>
      </c>
      <c r="CM684" s="762">
        <v>0</v>
      </c>
      <c r="CN684" s="762">
        <v>0</v>
      </c>
      <c r="CO684" s="762">
        <v>0</v>
      </c>
      <c r="CP684" s="762">
        <v>0</v>
      </c>
      <c r="CQ684" s="762">
        <v>0</v>
      </c>
      <c r="CR684" s="762">
        <v>0</v>
      </c>
    </row>
    <row r="685" spans="1:96" s="53" customFormat="1">
      <c r="A685" s="721" t="s">
        <v>3</v>
      </c>
      <c r="B685" s="723">
        <v>41674</v>
      </c>
      <c r="C685" s="721">
        <v>2014</v>
      </c>
      <c r="D685" s="713" t="s">
        <v>1</v>
      </c>
      <c r="E685" s="713" t="s">
        <v>674</v>
      </c>
      <c r="F685" s="723" t="s">
        <v>673</v>
      </c>
      <c r="G685" s="713" t="s">
        <v>58</v>
      </c>
      <c r="H685" s="723" t="s">
        <v>675</v>
      </c>
      <c r="I685" s="713" t="s">
        <v>5</v>
      </c>
      <c r="J685" s="713" t="s">
        <v>376</v>
      </c>
      <c r="K685" s="766">
        <v>10</v>
      </c>
      <c r="L685" s="766" t="s">
        <v>671</v>
      </c>
      <c r="M685" s="765" t="s">
        <v>777</v>
      </c>
      <c r="N685" s="765">
        <v>12</v>
      </c>
      <c r="O685" s="765">
        <v>3</v>
      </c>
      <c r="P685" s="735">
        <v>0.36842105263157893</v>
      </c>
      <c r="Q685" s="713" t="s">
        <v>58</v>
      </c>
      <c r="R685" s="713" t="s">
        <v>58</v>
      </c>
      <c r="S685" s="713" t="s">
        <v>58</v>
      </c>
      <c r="T685" s="713" t="s">
        <v>58</v>
      </c>
      <c r="U685" s="764">
        <v>0.56999999999999995</v>
      </c>
      <c r="V685" s="764">
        <v>1478.58</v>
      </c>
      <c r="W685" s="764">
        <v>0.44705699597558857</v>
      </c>
      <c r="X685" s="764">
        <v>1221.5687691777857</v>
      </c>
      <c r="Y685" s="764">
        <v>7715.1711737544356</v>
      </c>
      <c r="Z685" s="764">
        <v>7282.1210341668248</v>
      </c>
      <c r="AA685" s="764">
        <v>1153.0024970764141</v>
      </c>
      <c r="AB685" s="764">
        <v>0.42226475905984517</v>
      </c>
      <c r="AC685" s="714">
        <v>0.82617698682369967</v>
      </c>
      <c r="AD685" s="714">
        <v>0.7843105192554185</v>
      </c>
      <c r="AE685" s="713" t="s">
        <v>58</v>
      </c>
      <c r="AF685" s="713" t="s">
        <v>58</v>
      </c>
      <c r="AG685" s="713" t="s">
        <v>58</v>
      </c>
      <c r="AH685" s="714">
        <v>0.94387031345969796</v>
      </c>
      <c r="AI685" s="713" t="s">
        <v>58</v>
      </c>
      <c r="AJ685" s="713" t="s">
        <v>58</v>
      </c>
      <c r="AK685" s="713" t="s">
        <v>58</v>
      </c>
      <c r="AL685" s="714">
        <v>0.94454345387965444</v>
      </c>
      <c r="AM685" s="713" t="s">
        <v>58</v>
      </c>
      <c r="AN685" s="713" t="s">
        <v>58</v>
      </c>
      <c r="AO685" s="713" t="s">
        <v>58</v>
      </c>
      <c r="AP685" s="747">
        <v>17</v>
      </c>
      <c r="AQ685" s="747">
        <v>170</v>
      </c>
      <c r="AR685" s="709"/>
      <c r="AS685" s="763">
        <v>0</v>
      </c>
      <c r="AT685" s="763">
        <v>0</v>
      </c>
      <c r="AU685" s="763">
        <v>0</v>
      </c>
      <c r="AV685" s="763">
        <v>0.42226475905984517</v>
      </c>
      <c r="AW685" s="763">
        <v>0.42226475905984517</v>
      </c>
      <c r="AX685" s="763">
        <v>0.42226475905984517</v>
      </c>
      <c r="AY685" s="763">
        <v>0.1555712270220482</v>
      </c>
      <c r="AZ685" s="763">
        <v>0.1555712270220482</v>
      </c>
      <c r="BA685" s="763">
        <v>0.1555712270220482</v>
      </c>
      <c r="BB685" s="763">
        <v>0.1555712270220482</v>
      </c>
      <c r="BC685" s="763">
        <v>0.1555712270220482</v>
      </c>
      <c r="BD685" s="763">
        <v>0.1555712270220482</v>
      </c>
      <c r="BE685" s="763">
        <v>0.1555712270220482</v>
      </c>
      <c r="BF685" s="763">
        <v>0.1555712270220482</v>
      </c>
      <c r="BG685" s="763">
        <v>0.1555712270220482</v>
      </c>
      <c r="BH685" s="763">
        <v>0</v>
      </c>
      <c r="BI685" s="763">
        <v>0</v>
      </c>
      <c r="BJ685" s="763">
        <v>0</v>
      </c>
      <c r="BK685" s="763">
        <v>0</v>
      </c>
      <c r="BL685" s="763">
        <v>0</v>
      </c>
      <c r="BM685" s="763">
        <v>0</v>
      </c>
      <c r="BN685" s="763">
        <v>0</v>
      </c>
      <c r="BO685" s="763">
        <v>0</v>
      </c>
      <c r="BP685" s="763">
        <v>0</v>
      </c>
      <c r="BQ685" s="763">
        <v>0</v>
      </c>
      <c r="BR685" s="763">
        <v>0</v>
      </c>
      <c r="BS685" s="762">
        <v>0</v>
      </c>
      <c r="BT685" s="762">
        <v>0</v>
      </c>
      <c r="BU685" s="762">
        <v>0</v>
      </c>
      <c r="BV685" s="762">
        <v>1153.0024970764141</v>
      </c>
      <c r="BW685" s="762">
        <v>1153.0024970764141</v>
      </c>
      <c r="BX685" s="762">
        <v>1153.0024970764141</v>
      </c>
      <c r="BY685" s="762">
        <v>424.79039365973148</v>
      </c>
      <c r="BZ685" s="762">
        <v>424.79039365973148</v>
      </c>
      <c r="CA685" s="762">
        <v>424.79039365973148</v>
      </c>
      <c r="CB685" s="762">
        <v>424.79039365973148</v>
      </c>
      <c r="CC685" s="762">
        <v>424.79039365973148</v>
      </c>
      <c r="CD685" s="762">
        <v>424.79039365973148</v>
      </c>
      <c r="CE685" s="762">
        <v>424.79039365973148</v>
      </c>
      <c r="CF685" s="762">
        <v>424.79039365973148</v>
      </c>
      <c r="CG685" s="762">
        <v>424.79039365973148</v>
      </c>
      <c r="CH685" s="762">
        <v>0</v>
      </c>
      <c r="CI685" s="762">
        <v>0</v>
      </c>
      <c r="CJ685" s="762">
        <v>0</v>
      </c>
      <c r="CK685" s="762">
        <v>0</v>
      </c>
      <c r="CL685" s="762">
        <v>0</v>
      </c>
      <c r="CM685" s="762">
        <v>0</v>
      </c>
      <c r="CN685" s="762">
        <v>0</v>
      </c>
      <c r="CO685" s="762">
        <v>0</v>
      </c>
      <c r="CP685" s="762">
        <v>0</v>
      </c>
      <c r="CQ685" s="762">
        <v>0</v>
      </c>
      <c r="CR685" s="762">
        <v>0</v>
      </c>
    </row>
    <row r="686" spans="1:96" s="53" customFormat="1">
      <c r="A686" s="721" t="s">
        <v>3</v>
      </c>
      <c r="B686" s="723">
        <v>41674</v>
      </c>
      <c r="C686" s="721">
        <v>2014</v>
      </c>
      <c r="D686" s="713" t="s">
        <v>1</v>
      </c>
      <c r="E686" s="713" t="s">
        <v>674</v>
      </c>
      <c r="F686" s="723" t="s">
        <v>673</v>
      </c>
      <c r="G686" s="713" t="s">
        <v>58</v>
      </c>
      <c r="H686" s="723" t="s">
        <v>675</v>
      </c>
      <c r="I686" s="713" t="s">
        <v>5</v>
      </c>
      <c r="J686" s="713" t="s">
        <v>376</v>
      </c>
      <c r="K686" s="766">
        <v>13</v>
      </c>
      <c r="L686" s="766" t="s">
        <v>671</v>
      </c>
      <c r="M686" s="765" t="s">
        <v>777</v>
      </c>
      <c r="N686" s="765">
        <v>12</v>
      </c>
      <c r="O686" s="765">
        <v>3</v>
      </c>
      <c r="P686" s="735">
        <v>0.36842105263157893</v>
      </c>
      <c r="Q686" s="713" t="s">
        <v>58</v>
      </c>
      <c r="R686" s="713" t="s">
        <v>58</v>
      </c>
      <c r="S686" s="713" t="s">
        <v>58</v>
      </c>
      <c r="T686" s="713" t="s">
        <v>58</v>
      </c>
      <c r="U686" s="764">
        <v>0.74099999999999999</v>
      </c>
      <c r="V686" s="764">
        <v>1922.154</v>
      </c>
      <c r="W686" s="764">
        <v>0.58117409476826509</v>
      </c>
      <c r="X686" s="764">
        <v>1588.0393999311216</v>
      </c>
      <c r="Y686" s="764">
        <v>10029.722525880767</v>
      </c>
      <c r="Z686" s="764">
        <v>9466.757344416872</v>
      </c>
      <c r="AA686" s="764">
        <v>1498.9032461993384</v>
      </c>
      <c r="AB686" s="764">
        <v>0.54894418677779877</v>
      </c>
      <c r="AC686" s="714">
        <v>0.82617698682369967</v>
      </c>
      <c r="AD686" s="714">
        <v>0.7843105192554185</v>
      </c>
      <c r="AE686" s="713" t="s">
        <v>58</v>
      </c>
      <c r="AF686" s="713" t="s">
        <v>58</v>
      </c>
      <c r="AG686" s="713" t="s">
        <v>58</v>
      </c>
      <c r="AH686" s="714">
        <v>0.94387031345969796</v>
      </c>
      <c r="AI686" s="713" t="s">
        <v>58</v>
      </c>
      <c r="AJ686" s="713" t="s">
        <v>58</v>
      </c>
      <c r="AK686" s="713" t="s">
        <v>58</v>
      </c>
      <c r="AL686" s="714">
        <v>0.94454345387965444</v>
      </c>
      <c r="AM686" s="713" t="s">
        <v>58</v>
      </c>
      <c r="AN686" s="713" t="s">
        <v>58</v>
      </c>
      <c r="AO686" s="713" t="s">
        <v>58</v>
      </c>
      <c r="AP686" s="747">
        <v>17</v>
      </c>
      <c r="AQ686" s="747">
        <v>221</v>
      </c>
      <c r="AR686" s="709"/>
      <c r="AS686" s="763">
        <v>0</v>
      </c>
      <c r="AT686" s="763">
        <v>0</v>
      </c>
      <c r="AU686" s="763">
        <v>0</v>
      </c>
      <c r="AV686" s="763">
        <v>0.54894418677779877</v>
      </c>
      <c r="AW686" s="763">
        <v>0.54894418677779877</v>
      </c>
      <c r="AX686" s="763">
        <v>0.54894418677779877</v>
      </c>
      <c r="AY686" s="763">
        <v>0.20224259512866269</v>
      </c>
      <c r="AZ686" s="763">
        <v>0.20224259512866269</v>
      </c>
      <c r="BA686" s="763">
        <v>0.20224259512866269</v>
      </c>
      <c r="BB686" s="763">
        <v>0.20224259512866269</v>
      </c>
      <c r="BC686" s="763">
        <v>0.20224259512866269</v>
      </c>
      <c r="BD686" s="763">
        <v>0.20224259512866269</v>
      </c>
      <c r="BE686" s="763">
        <v>0.20224259512866269</v>
      </c>
      <c r="BF686" s="763">
        <v>0.20224259512866269</v>
      </c>
      <c r="BG686" s="763">
        <v>0.20224259512866269</v>
      </c>
      <c r="BH686" s="763">
        <v>0</v>
      </c>
      <c r="BI686" s="763">
        <v>0</v>
      </c>
      <c r="BJ686" s="763">
        <v>0</v>
      </c>
      <c r="BK686" s="763">
        <v>0</v>
      </c>
      <c r="BL686" s="763">
        <v>0</v>
      </c>
      <c r="BM686" s="763">
        <v>0</v>
      </c>
      <c r="BN686" s="763">
        <v>0</v>
      </c>
      <c r="BO686" s="763">
        <v>0</v>
      </c>
      <c r="BP686" s="763">
        <v>0</v>
      </c>
      <c r="BQ686" s="763">
        <v>0</v>
      </c>
      <c r="BR686" s="763">
        <v>0</v>
      </c>
      <c r="BS686" s="762">
        <v>0</v>
      </c>
      <c r="BT686" s="762">
        <v>0</v>
      </c>
      <c r="BU686" s="762">
        <v>0</v>
      </c>
      <c r="BV686" s="762">
        <v>1498.9032461993384</v>
      </c>
      <c r="BW686" s="762">
        <v>1498.9032461993384</v>
      </c>
      <c r="BX686" s="762">
        <v>1498.9032461993384</v>
      </c>
      <c r="BY686" s="762">
        <v>552.22751175765097</v>
      </c>
      <c r="BZ686" s="762">
        <v>552.22751175765097</v>
      </c>
      <c r="CA686" s="762">
        <v>552.22751175765097</v>
      </c>
      <c r="CB686" s="762">
        <v>552.22751175765097</v>
      </c>
      <c r="CC686" s="762">
        <v>552.22751175765097</v>
      </c>
      <c r="CD686" s="762">
        <v>552.22751175765097</v>
      </c>
      <c r="CE686" s="762">
        <v>552.22751175765097</v>
      </c>
      <c r="CF686" s="762">
        <v>552.22751175765097</v>
      </c>
      <c r="CG686" s="762">
        <v>552.22751175765097</v>
      </c>
      <c r="CH686" s="762">
        <v>0</v>
      </c>
      <c r="CI686" s="762">
        <v>0</v>
      </c>
      <c r="CJ686" s="762">
        <v>0</v>
      </c>
      <c r="CK686" s="762">
        <v>0</v>
      </c>
      <c r="CL686" s="762">
        <v>0</v>
      </c>
      <c r="CM686" s="762">
        <v>0</v>
      </c>
      <c r="CN686" s="762">
        <v>0</v>
      </c>
      <c r="CO686" s="762">
        <v>0</v>
      </c>
      <c r="CP686" s="762">
        <v>0</v>
      </c>
      <c r="CQ686" s="762">
        <v>0</v>
      </c>
      <c r="CR686" s="762">
        <v>0</v>
      </c>
    </row>
    <row r="687" spans="1:96" s="53" customFormat="1">
      <c r="A687" s="721" t="s">
        <v>3</v>
      </c>
      <c r="B687" s="723">
        <v>41674</v>
      </c>
      <c r="C687" s="721">
        <v>2014</v>
      </c>
      <c r="D687" s="713" t="s">
        <v>1</v>
      </c>
      <c r="E687" s="713" t="s">
        <v>674</v>
      </c>
      <c r="F687" s="723" t="s">
        <v>673</v>
      </c>
      <c r="G687" s="713" t="s">
        <v>58</v>
      </c>
      <c r="H687" s="723" t="s">
        <v>675</v>
      </c>
      <c r="I687" s="713" t="s">
        <v>5</v>
      </c>
      <c r="J687" s="713" t="s">
        <v>376</v>
      </c>
      <c r="K687" s="766">
        <v>15</v>
      </c>
      <c r="L687" s="766" t="s">
        <v>671</v>
      </c>
      <c r="M687" s="765" t="s">
        <v>777</v>
      </c>
      <c r="N687" s="765">
        <v>12</v>
      </c>
      <c r="O687" s="765">
        <v>3</v>
      </c>
      <c r="P687" s="735">
        <v>0.36842105263157893</v>
      </c>
      <c r="Q687" s="713" t="s">
        <v>58</v>
      </c>
      <c r="R687" s="713" t="s">
        <v>58</v>
      </c>
      <c r="S687" s="713" t="s">
        <v>58</v>
      </c>
      <c r="T687" s="713" t="s">
        <v>58</v>
      </c>
      <c r="U687" s="764">
        <v>0.85499999999999998</v>
      </c>
      <c r="V687" s="764">
        <v>2217.87</v>
      </c>
      <c r="W687" s="764">
        <v>0.67058549396338285</v>
      </c>
      <c r="X687" s="764">
        <v>1832.3531537666786</v>
      </c>
      <c r="Y687" s="764">
        <v>11572.756760631655</v>
      </c>
      <c r="Z687" s="764">
        <v>10923.18155125024</v>
      </c>
      <c r="AA687" s="764">
        <v>1729.503745614621</v>
      </c>
      <c r="AB687" s="764">
        <v>0.63339713858976776</v>
      </c>
      <c r="AC687" s="714">
        <v>0.82617698682369967</v>
      </c>
      <c r="AD687" s="714">
        <v>0.7843105192554185</v>
      </c>
      <c r="AE687" s="713" t="s">
        <v>58</v>
      </c>
      <c r="AF687" s="713" t="s">
        <v>58</v>
      </c>
      <c r="AG687" s="713" t="s">
        <v>58</v>
      </c>
      <c r="AH687" s="714">
        <v>0.94387031345969796</v>
      </c>
      <c r="AI687" s="713" t="s">
        <v>58</v>
      </c>
      <c r="AJ687" s="713" t="s">
        <v>58</v>
      </c>
      <c r="AK687" s="713" t="s">
        <v>58</v>
      </c>
      <c r="AL687" s="714">
        <v>0.94454345387965444</v>
      </c>
      <c r="AM687" s="713" t="s">
        <v>58</v>
      </c>
      <c r="AN687" s="713" t="s">
        <v>58</v>
      </c>
      <c r="AO687" s="713" t="s">
        <v>58</v>
      </c>
      <c r="AP687" s="747">
        <v>73</v>
      </c>
      <c r="AQ687" s="747">
        <v>1095</v>
      </c>
      <c r="AR687" s="709"/>
      <c r="AS687" s="763">
        <v>0</v>
      </c>
      <c r="AT687" s="763">
        <v>0</v>
      </c>
      <c r="AU687" s="763">
        <v>0</v>
      </c>
      <c r="AV687" s="763">
        <v>0.63339713858976776</v>
      </c>
      <c r="AW687" s="763">
        <v>0.63339713858976776</v>
      </c>
      <c r="AX687" s="763">
        <v>0.63339713858976776</v>
      </c>
      <c r="AY687" s="763">
        <v>0.23335684053307232</v>
      </c>
      <c r="AZ687" s="763">
        <v>0.23335684053307232</v>
      </c>
      <c r="BA687" s="763">
        <v>0.23335684053307232</v>
      </c>
      <c r="BB687" s="763">
        <v>0.23335684053307232</v>
      </c>
      <c r="BC687" s="763">
        <v>0.23335684053307232</v>
      </c>
      <c r="BD687" s="763">
        <v>0.23335684053307232</v>
      </c>
      <c r="BE687" s="763">
        <v>0.23335684053307232</v>
      </c>
      <c r="BF687" s="763">
        <v>0.23335684053307232</v>
      </c>
      <c r="BG687" s="763">
        <v>0.23335684053307232</v>
      </c>
      <c r="BH687" s="763">
        <v>0</v>
      </c>
      <c r="BI687" s="763">
        <v>0</v>
      </c>
      <c r="BJ687" s="763">
        <v>0</v>
      </c>
      <c r="BK687" s="763">
        <v>0</v>
      </c>
      <c r="BL687" s="763">
        <v>0</v>
      </c>
      <c r="BM687" s="763">
        <v>0</v>
      </c>
      <c r="BN687" s="763">
        <v>0</v>
      </c>
      <c r="BO687" s="763">
        <v>0</v>
      </c>
      <c r="BP687" s="763">
        <v>0</v>
      </c>
      <c r="BQ687" s="763">
        <v>0</v>
      </c>
      <c r="BR687" s="763">
        <v>0</v>
      </c>
      <c r="BS687" s="762">
        <v>0</v>
      </c>
      <c r="BT687" s="762">
        <v>0</v>
      </c>
      <c r="BU687" s="762">
        <v>0</v>
      </c>
      <c r="BV687" s="762">
        <v>1729.503745614621</v>
      </c>
      <c r="BW687" s="762">
        <v>1729.503745614621</v>
      </c>
      <c r="BX687" s="762">
        <v>1729.503745614621</v>
      </c>
      <c r="BY687" s="762">
        <v>637.18559048959719</v>
      </c>
      <c r="BZ687" s="762">
        <v>637.18559048959719</v>
      </c>
      <c r="CA687" s="762">
        <v>637.18559048959719</v>
      </c>
      <c r="CB687" s="762">
        <v>637.18559048959719</v>
      </c>
      <c r="CC687" s="762">
        <v>637.18559048959719</v>
      </c>
      <c r="CD687" s="762">
        <v>637.18559048959719</v>
      </c>
      <c r="CE687" s="762">
        <v>637.18559048959719</v>
      </c>
      <c r="CF687" s="762">
        <v>637.18559048959719</v>
      </c>
      <c r="CG687" s="762">
        <v>637.18559048959719</v>
      </c>
      <c r="CH687" s="762">
        <v>0</v>
      </c>
      <c r="CI687" s="762">
        <v>0</v>
      </c>
      <c r="CJ687" s="762">
        <v>0</v>
      </c>
      <c r="CK687" s="762">
        <v>0</v>
      </c>
      <c r="CL687" s="762">
        <v>0</v>
      </c>
      <c r="CM687" s="762">
        <v>0</v>
      </c>
      <c r="CN687" s="762">
        <v>0</v>
      </c>
      <c r="CO687" s="762">
        <v>0</v>
      </c>
      <c r="CP687" s="762">
        <v>0</v>
      </c>
      <c r="CQ687" s="762">
        <v>0</v>
      </c>
      <c r="CR687" s="762">
        <v>0</v>
      </c>
    </row>
    <row r="688" spans="1:96" s="53" customFormat="1">
      <c r="A688" s="721" t="s">
        <v>3</v>
      </c>
      <c r="B688" s="723">
        <v>41725</v>
      </c>
      <c r="C688" s="721">
        <v>2014</v>
      </c>
      <c r="D688" s="713" t="s">
        <v>1</v>
      </c>
      <c r="E688" s="713" t="s">
        <v>674</v>
      </c>
      <c r="F688" s="723" t="s">
        <v>123</v>
      </c>
      <c r="G688" s="713" t="s">
        <v>58</v>
      </c>
      <c r="H688" s="723" t="s">
        <v>677</v>
      </c>
      <c r="I688" s="713" t="s">
        <v>5</v>
      </c>
      <c r="J688" s="713" t="s">
        <v>376</v>
      </c>
      <c r="K688" s="766">
        <v>1</v>
      </c>
      <c r="L688" s="766" t="s">
        <v>671</v>
      </c>
      <c r="M688" s="765" t="s">
        <v>776</v>
      </c>
      <c r="N688" s="765">
        <v>0</v>
      </c>
      <c r="O688" s="765">
        <v>0</v>
      </c>
      <c r="P688" s="735">
        <v>0</v>
      </c>
      <c r="Q688" s="713" t="s">
        <v>58</v>
      </c>
      <c r="R688" s="713" t="s">
        <v>58</v>
      </c>
      <c r="S688" s="713" t="s">
        <v>58</v>
      </c>
      <c r="T688" s="713" t="s">
        <v>58</v>
      </c>
      <c r="U688" s="764">
        <v>0</v>
      </c>
      <c r="V688" s="764">
        <v>0</v>
      </c>
      <c r="W688" s="764">
        <v>0</v>
      </c>
      <c r="X688" s="764">
        <v>0</v>
      </c>
      <c r="Y688" s="764">
        <v>0</v>
      </c>
      <c r="Z688" s="764">
        <v>0</v>
      </c>
      <c r="AA688" s="764">
        <v>0</v>
      </c>
      <c r="AB688" s="764">
        <v>0</v>
      </c>
      <c r="AC688" s="714">
        <v>0.82617698682369967</v>
      </c>
      <c r="AD688" s="714">
        <v>0.7843105192554185</v>
      </c>
      <c r="AE688" s="713" t="s">
        <v>58</v>
      </c>
      <c r="AF688" s="713" t="s">
        <v>58</v>
      </c>
      <c r="AG688" s="713" t="s">
        <v>58</v>
      </c>
      <c r="AH688" s="714">
        <v>0.94387031345969796</v>
      </c>
      <c r="AI688" s="713" t="s">
        <v>58</v>
      </c>
      <c r="AJ688" s="713" t="s">
        <v>58</v>
      </c>
      <c r="AK688" s="713" t="s">
        <v>58</v>
      </c>
      <c r="AL688" s="714">
        <v>0.94454345387965444</v>
      </c>
      <c r="AM688" s="713" t="s">
        <v>58</v>
      </c>
      <c r="AN688" s="713" t="s">
        <v>58</v>
      </c>
      <c r="AO688" s="713" t="s">
        <v>58</v>
      </c>
      <c r="AP688" s="747">
        <v>51</v>
      </c>
      <c r="AQ688" s="747">
        <v>51</v>
      </c>
      <c r="AR688" s="709"/>
      <c r="AS688" s="763">
        <v>0</v>
      </c>
      <c r="AT688" s="763">
        <v>0</v>
      </c>
      <c r="AU688" s="763">
        <v>0</v>
      </c>
      <c r="AV688" s="763">
        <v>0</v>
      </c>
      <c r="AW688" s="763">
        <v>0</v>
      </c>
      <c r="AX688" s="763">
        <v>0</v>
      </c>
      <c r="AY688" s="763">
        <v>0</v>
      </c>
      <c r="AZ688" s="763">
        <v>0</v>
      </c>
      <c r="BA688" s="763">
        <v>0</v>
      </c>
      <c r="BB688" s="763">
        <v>0</v>
      </c>
      <c r="BC688" s="763">
        <v>0</v>
      </c>
      <c r="BD688" s="763">
        <v>0</v>
      </c>
      <c r="BE688" s="763">
        <v>0</v>
      </c>
      <c r="BF688" s="763">
        <v>0</v>
      </c>
      <c r="BG688" s="763">
        <v>0</v>
      </c>
      <c r="BH688" s="763">
        <v>0</v>
      </c>
      <c r="BI688" s="763">
        <v>0</v>
      </c>
      <c r="BJ688" s="763">
        <v>0</v>
      </c>
      <c r="BK688" s="763">
        <v>0</v>
      </c>
      <c r="BL688" s="763">
        <v>0</v>
      </c>
      <c r="BM688" s="763">
        <v>0</v>
      </c>
      <c r="BN688" s="763">
        <v>0</v>
      </c>
      <c r="BO688" s="763">
        <v>0</v>
      </c>
      <c r="BP688" s="763">
        <v>0</v>
      </c>
      <c r="BQ688" s="763">
        <v>0</v>
      </c>
      <c r="BR688" s="763">
        <v>0</v>
      </c>
      <c r="BS688" s="762">
        <v>0</v>
      </c>
      <c r="BT688" s="762">
        <v>0</v>
      </c>
      <c r="BU688" s="762">
        <v>0</v>
      </c>
      <c r="BV688" s="762">
        <v>0</v>
      </c>
      <c r="BW688" s="762">
        <v>0</v>
      </c>
      <c r="BX688" s="762">
        <v>0</v>
      </c>
      <c r="BY688" s="762">
        <v>0</v>
      </c>
      <c r="BZ688" s="762">
        <v>0</v>
      </c>
      <c r="CA688" s="762">
        <v>0</v>
      </c>
      <c r="CB688" s="762">
        <v>0</v>
      </c>
      <c r="CC688" s="762">
        <v>0</v>
      </c>
      <c r="CD688" s="762">
        <v>0</v>
      </c>
      <c r="CE688" s="762">
        <v>0</v>
      </c>
      <c r="CF688" s="762">
        <v>0</v>
      </c>
      <c r="CG688" s="762">
        <v>0</v>
      </c>
      <c r="CH688" s="762">
        <v>0</v>
      </c>
      <c r="CI688" s="762">
        <v>0</v>
      </c>
      <c r="CJ688" s="762">
        <v>0</v>
      </c>
      <c r="CK688" s="762">
        <v>0</v>
      </c>
      <c r="CL688" s="762">
        <v>0</v>
      </c>
      <c r="CM688" s="762">
        <v>0</v>
      </c>
      <c r="CN688" s="762">
        <v>0</v>
      </c>
      <c r="CO688" s="762">
        <v>0</v>
      </c>
      <c r="CP688" s="762">
        <v>0</v>
      </c>
      <c r="CQ688" s="762">
        <v>0</v>
      </c>
      <c r="CR688" s="762">
        <v>0</v>
      </c>
    </row>
    <row r="689" spans="1:96" s="53" customFormat="1">
      <c r="A689" s="721" t="s">
        <v>3</v>
      </c>
      <c r="B689" s="723">
        <v>41725</v>
      </c>
      <c r="C689" s="721">
        <v>2014</v>
      </c>
      <c r="D689" s="713" t="s">
        <v>1</v>
      </c>
      <c r="E689" s="713" t="s">
        <v>674</v>
      </c>
      <c r="F689" s="723" t="s">
        <v>123</v>
      </c>
      <c r="G689" s="713" t="s">
        <v>58</v>
      </c>
      <c r="H689" s="723" t="s">
        <v>712</v>
      </c>
      <c r="I689" s="713" t="s">
        <v>5</v>
      </c>
      <c r="J689" s="713" t="s">
        <v>376</v>
      </c>
      <c r="K689" s="766">
        <v>1</v>
      </c>
      <c r="L689" s="766" t="s">
        <v>671</v>
      </c>
      <c r="M689" s="765" t="s">
        <v>776</v>
      </c>
      <c r="N689" s="765">
        <v>0</v>
      </c>
      <c r="O689" s="765">
        <v>0</v>
      </c>
      <c r="P689" s="735">
        <v>0</v>
      </c>
      <c r="Q689" s="713" t="s">
        <v>58</v>
      </c>
      <c r="R689" s="713" t="s">
        <v>58</v>
      </c>
      <c r="S689" s="713" t="s">
        <v>58</v>
      </c>
      <c r="T689" s="713" t="s">
        <v>58</v>
      </c>
      <c r="U689" s="764">
        <v>0</v>
      </c>
      <c r="V689" s="764">
        <v>0</v>
      </c>
      <c r="W689" s="764">
        <v>0</v>
      </c>
      <c r="X689" s="764">
        <v>0</v>
      </c>
      <c r="Y689" s="764">
        <v>0</v>
      </c>
      <c r="Z689" s="764">
        <v>0</v>
      </c>
      <c r="AA689" s="764">
        <v>0</v>
      </c>
      <c r="AB689" s="764">
        <v>0</v>
      </c>
      <c r="AC689" s="714">
        <v>0.82617698682369967</v>
      </c>
      <c r="AD689" s="714">
        <v>0.7843105192554185</v>
      </c>
      <c r="AE689" s="713" t="s">
        <v>58</v>
      </c>
      <c r="AF689" s="713" t="s">
        <v>58</v>
      </c>
      <c r="AG689" s="713" t="s">
        <v>58</v>
      </c>
      <c r="AH689" s="714">
        <v>0.94387031345969796</v>
      </c>
      <c r="AI689" s="713" t="s">
        <v>58</v>
      </c>
      <c r="AJ689" s="713" t="s">
        <v>58</v>
      </c>
      <c r="AK689" s="713" t="s">
        <v>58</v>
      </c>
      <c r="AL689" s="714">
        <v>0.94454345387965444</v>
      </c>
      <c r="AM689" s="713" t="s">
        <v>58</v>
      </c>
      <c r="AN689" s="713" t="s">
        <v>58</v>
      </c>
      <c r="AO689" s="713" t="s">
        <v>58</v>
      </c>
      <c r="AP689" s="747">
        <v>0</v>
      </c>
      <c r="AQ689" s="747">
        <v>0</v>
      </c>
      <c r="AR689" s="709"/>
      <c r="AS689" s="763">
        <v>0</v>
      </c>
      <c r="AT689" s="763">
        <v>0</v>
      </c>
      <c r="AU689" s="763">
        <v>0</v>
      </c>
      <c r="AV689" s="763">
        <v>0</v>
      </c>
      <c r="AW689" s="763">
        <v>0</v>
      </c>
      <c r="AX689" s="763">
        <v>0</v>
      </c>
      <c r="AY689" s="763">
        <v>0</v>
      </c>
      <c r="AZ689" s="763">
        <v>0</v>
      </c>
      <c r="BA689" s="763">
        <v>0</v>
      </c>
      <c r="BB689" s="763">
        <v>0</v>
      </c>
      <c r="BC689" s="763">
        <v>0</v>
      </c>
      <c r="BD689" s="763">
        <v>0</v>
      </c>
      <c r="BE689" s="763">
        <v>0</v>
      </c>
      <c r="BF689" s="763">
        <v>0</v>
      </c>
      <c r="BG689" s="763">
        <v>0</v>
      </c>
      <c r="BH689" s="763">
        <v>0</v>
      </c>
      <c r="BI689" s="763">
        <v>0</v>
      </c>
      <c r="BJ689" s="763">
        <v>0</v>
      </c>
      <c r="BK689" s="763">
        <v>0</v>
      </c>
      <c r="BL689" s="763">
        <v>0</v>
      </c>
      <c r="BM689" s="763">
        <v>0</v>
      </c>
      <c r="BN689" s="763">
        <v>0</v>
      </c>
      <c r="BO689" s="763">
        <v>0</v>
      </c>
      <c r="BP689" s="763">
        <v>0</v>
      </c>
      <c r="BQ689" s="763">
        <v>0</v>
      </c>
      <c r="BR689" s="763">
        <v>0</v>
      </c>
      <c r="BS689" s="762">
        <v>0</v>
      </c>
      <c r="BT689" s="762">
        <v>0</v>
      </c>
      <c r="BU689" s="762">
        <v>0</v>
      </c>
      <c r="BV689" s="762">
        <v>0</v>
      </c>
      <c r="BW689" s="762">
        <v>0</v>
      </c>
      <c r="BX689" s="762">
        <v>0</v>
      </c>
      <c r="BY689" s="762">
        <v>0</v>
      </c>
      <c r="BZ689" s="762">
        <v>0</v>
      </c>
      <c r="CA689" s="762">
        <v>0</v>
      </c>
      <c r="CB689" s="762">
        <v>0</v>
      </c>
      <c r="CC689" s="762">
        <v>0</v>
      </c>
      <c r="CD689" s="762">
        <v>0</v>
      </c>
      <c r="CE689" s="762">
        <v>0</v>
      </c>
      <c r="CF689" s="762">
        <v>0</v>
      </c>
      <c r="CG689" s="762">
        <v>0</v>
      </c>
      <c r="CH689" s="762">
        <v>0</v>
      </c>
      <c r="CI689" s="762">
        <v>0</v>
      </c>
      <c r="CJ689" s="762">
        <v>0</v>
      </c>
      <c r="CK689" s="762">
        <v>0</v>
      </c>
      <c r="CL689" s="762">
        <v>0</v>
      </c>
      <c r="CM689" s="762">
        <v>0</v>
      </c>
      <c r="CN689" s="762">
        <v>0</v>
      </c>
      <c r="CO689" s="762">
        <v>0</v>
      </c>
      <c r="CP689" s="762">
        <v>0</v>
      </c>
      <c r="CQ689" s="762">
        <v>0</v>
      </c>
      <c r="CR689" s="762">
        <v>0</v>
      </c>
    </row>
    <row r="690" spans="1:96" s="53" customFormat="1">
      <c r="A690" s="721" t="s">
        <v>3</v>
      </c>
      <c r="B690" s="723">
        <v>41725</v>
      </c>
      <c r="C690" s="721">
        <v>2014</v>
      </c>
      <c r="D690" s="713" t="s">
        <v>1</v>
      </c>
      <c r="E690" s="713" t="s">
        <v>674</v>
      </c>
      <c r="F690" s="723" t="s">
        <v>123</v>
      </c>
      <c r="G690" s="713" t="s">
        <v>58</v>
      </c>
      <c r="H690" s="723" t="s">
        <v>676</v>
      </c>
      <c r="I690" s="713" t="s">
        <v>5</v>
      </c>
      <c r="J690" s="713" t="s">
        <v>376</v>
      </c>
      <c r="K690" s="766">
        <v>11</v>
      </c>
      <c r="L690" s="766" t="s">
        <v>671</v>
      </c>
      <c r="M690" s="765" t="s">
        <v>776</v>
      </c>
      <c r="N690" s="765">
        <v>12</v>
      </c>
      <c r="O690" s="765">
        <v>3</v>
      </c>
      <c r="P690" s="735">
        <v>0.31578947368421051</v>
      </c>
      <c r="Q690" s="713" t="s">
        <v>58</v>
      </c>
      <c r="R690" s="713" t="s">
        <v>58</v>
      </c>
      <c r="S690" s="713" t="s">
        <v>58</v>
      </c>
      <c r="T690" s="713" t="s">
        <v>58</v>
      </c>
      <c r="U690" s="764">
        <v>0.41799999999999998</v>
      </c>
      <c r="V690" s="764">
        <v>1425.38</v>
      </c>
      <c r="W690" s="764">
        <v>0.32784179704876498</v>
      </c>
      <c r="X690" s="764">
        <v>1177.6161534787652</v>
      </c>
      <c r="Y690" s="764">
        <v>6879.7575282180496</v>
      </c>
      <c r="Z690" s="764">
        <v>6493.598894685887</v>
      </c>
      <c r="AA690" s="764">
        <v>1111.516927919206</v>
      </c>
      <c r="AB690" s="764">
        <v>0.30966082331055317</v>
      </c>
      <c r="AC690" s="714">
        <v>0.82617698682369967</v>
      </c>
      <c r="AD690" s="714">
        <v>0.7843105192554185</v>
      </c>
      <c r="AE690" s="713" t="s">
        <v>58</v>
      </c>
      <c r="AF690" s="713" t="s">
        <v>58</v>
      </c>
      <c r="AG690" s="713" t="s">
        <v>58</v>
      </c>
      <c r="AH690" s="714">
        <v>0.94387031345969796</v>
      </c>
      <c r="AI690" s="713" t="s">
        <v>58</v>
      </c>
      <c r="AJ690" s="713" t="s">
        <v>58</v>
      </c>
      <c r="AK690" s="713" t="s">
        <v>58</v>
      </c>
      <c r="AL690" s="714">
        <v>0.94454345387965444</v>
      </c>
      <c r="AM690" s="713" t="s">
        <v>58</v>
      </c>
      <c r="AN690" s="713" t="s">
        <v>58</v>
      </c>
      <c r="AO690" s="713" t="s">
        <v>58</v>
      </c>
      <c r="AP690" s="747">
        <v>17</v>
      </c>
      <c r="AQ690" s="747">
        <v>187</v>
      </c>
      <c r="AR690" s="709"/>
      <c r="AS690" s="763">
        <v>0</v>
      </c>
      <c r="AT690" s="763">
        <v>0</v>
      </c>
      <c r="AU690" s="763">
        <v>0</v>
      </c>
      <c r="AV690" s="763">
        <v>0.30966082331055317</v>
      </c>
      <c r="AW690" s="763">
        <v>0.30966082331055317</v>
      </c>
      <c r="AX690" s="763">
        <v>0.30966082331055317</v>
      </c>
      <c r="AY690" s="763">
        <v>9.7787628413858893E-2</v>
      </c>
      <c r="AZ690" s="763">
        <v>9.7787628413858893E-2</v>
      </c>
      <c r="BA690" s="763">
        <v>9.7787628413858893E-2</v>
      </c>
      <c r="BB690" s="763">
        <v>9.7787628413858893E-2</v>
      </c>
      <c r="BC690" s="763">
        <v>9.7787628413858893E-2</v>
      </c>
      <c r="BD690" s="763">
        <v>9.7787628413858893E-2</v>
      </c>
      <c r="BE690" s="763">
        <v>9.7787628413858893E-2</v>
      </c>
      <c r="BF690" s="763">
        <v>9.7787628413858893E-2</v>
      </c>
      <c r="BG690" s="763">
        <v>9.7787628413858893E-2</v>
      </c>
      <c r="BH690" s="763">
        <v>0</v>
      </c>
      <c r="BI690" s="763">
        <v>0</v>
      </c>
      <c r="BJ690" s="763">
        <v>0</v>
      </c>
      <c r="BK690" s="763">
        <v>0</v>
      </c>
      <c r="BL690" s="763">
        <v>0</v>
      </c>
      <c r="BM690" s="763">
        <v>0</v>
      </c>
      <c r="BN690" s="763">
        <v>0</v>
      </c>
      <c r="BO690" s="763">
        <v>0</v>
      </c>
      <c r="BP690" s="763">
        <v>0</v>
      </c>
      <c r="BQ690" s="763">
        <v>0</v>
      </c>
      <c r="BR690" s="763">
        <v>0</v>
      </c>
      <c r="BS690" s="762">
        <v>0</v>
      </c>
      <c r="BT690" s="762">
        <v>0</v>
      </c>
      <c r="BU690" s="762">
        <v>0</v>
      </c>
      <c r="BV690" s="762">
        <v>1111.516927919206</v>
      </c>
      <c r="BW690" s="762">
        <v>1111.516927919206</v>
      </c>
      <c r="BX690" s="762">
        <v>1111.516927919206</v>
      </c>
      <c r="BY690" s="762">
        <v>351.00534565869657</v>
      </c>
      <c r="BZ690" s="762">
        <v>351.00534565869657</v>
      </c>
      <c r="CA690" s="762">
        <v>351.00534565869657</v>
      </c>
      <c r="CB690" s="762">
        <v>351.00534565869657</v>
      </c>
      <c r="CC690" s="762">
        <v>351.00534565869657</v>
      </c>
      <c r="CD690" s="762">
        <v>351.00534565869657</v>
      </c>
      <c r="CE690" s="762">
        <v>351.00534565869657</v>
      </c>
      <c r="CF690" s="762">
        <v>351.00534565869657</v>
      </c>
      <c r="CG690" s="762">
        <v>351.00534565869657</v>
      </c>
      <c r="CH690" s="762">
        <v>0</v>
      </c>
      <c r="CI690" s="762">
        <v>0</v>
      </c>
      <c r="CJ690" s="762">
        <v>0</v>
      </c>
      <c r="CK690" s="762">
        <v>0</v>
      </c>
      <c r="CL690" s="762">
        <v>0</v>
      </c>
      <c r="CM690" s="762">
        <v>0</v>
      </c>
      <c r="CN690" s="762">
        <v>0</v>
      </c>
      <c r="CO690" s="762">
        <v>0</v>
      </c>
      <c r="CP690" s="762">
        <v>0</v>
      </c>
      <c r="CQ690" s="762">
        <v>0</v>
      </c>
      <c r="CR690" s="762">
        <v>0</v>
      </c>
    </row>
    <row r="691" spans="1:96" s="53" customFormat="1">
      <c r="A691" s="721" t="s">
        <v>3</v>
      </c>
      <c r="B691" s="723">
        <v>41725</v>
      </c>
      <c r="C691" s="721">
        <v>2014</v>
      </c>
      <c r="D691" s="713" t="s">
        <v>1</v>
      </c>
      <c r="E691" s="713" t="s">
        <v>674</v>
      </c>
      <c r="F691" s="723" t="s">
        <v>123</v>
      </c>
      <c r="G691" s="713" t="s">
        <v>58</v>
      </c>
      <c r="H691" s="723" t="s">
        <v>676</v>
      </c>
      <c r="I691" s="713" t="s">
        <v>5</v>
      </c>
      <c r="J691" s="713" t="s">
        <v>376</v>
      </c>
      <c r="K691" s="766">
        <v>22</v>
      </c>
      <c r="L691" s="766" t="s">
        <v>671</v>
      </c>
      <c r="M691" s="765" t="s">
        <v>776</v>
      </c>
      <c r="N691" s="765">
        <v>12</v>
      </c>
      <c r="O691" s="765">
        <v>3</v>
      </c>
      <c r="P691" s="735">
        <v>0.31578947368421051</v>
      </c>
      <c r="Q691" s="713" t="s">
        <v>58</v>
      </c>
      <c r="R691" s="713" t="s">
        <v>58</v>
      </c>
      <c r="S691" s="713" t="s">
        <v>58</v>
      </c>
      <c r="T691" s="713" t="s">
        <v>58</v>
      </c>
      <c r="U691" s="764">
        <v>0.83599999999999997</v>
      </c>
      <c r="V691" s="764">
        <v>2850.76</v>
      </c>
      <c r="W691" s="764">
        <v>0.65568359409752996</v>
      </c>
      <c r="X691" s="764">
        <v>2355.2323069575305</v>
      </c>
      <c r="Y691" s="764">
        <v>13759.515056436099</v>
      </c>
      <c r="Z691" s="764">
        <v>12987.197789371774</v>
      </c>
      <c r="AA691" s="764">
        <v>2223.0338558384119</v>
      </c>
      <c r="AB691" s="764">
        <v>0.61932164662110634</v>
      </c>
      <c r="AC691" s="714">
        <v>0.82617698682369967</v>
      </c>
      <c r="AD691" s="714">
        <v>0.7843105192554185</v>
      </c>
      <c r="AE691" s="713" t="s">
        <v>58</v>
      </c>
      <c r="AF691" s="713" t="s">
        <v>58</v>
      </c>
      <c r="AG691" s="713" t="s">
        <v>58</v>
      </c>
      <c r="AH691" s="714">
        <v>0.94387031345969796</v>
      </c>
      <c r="AI691" s="713" t="s">
        <v>58</v>
      </c>
      <c r="AJ691" s="713" t="s">
        <v>58</v>
      </c>
      <c r="AK691" s="713" t="s">
        <v>58</v>
      </c>
      <c r="AL691" s="714">
        <v>0.94454345387965444</v>
      </c>
      <c r="AM691" s="713" t="s">
        <v>58</v>
      </c>
      <c r="AN691" s="713" t="s">
        <v>58</v>
      </c>
      <c r="AO691" s="713" t="s">
        <v>58</v>
      </c>
      <c r="AP691" s="747">
        <v>57</v>
      </c>
      <c r="AQ691" s="747">
        <v>1254</v>
      </c>
      <c r="AR691" s="709"/>
      <c r="AS691" s="763">
        <v>0</v>
      </c>
      <c r="AT691" s="763">
        <v>0</v>
      </c>
      <c r="AU691" s="763">
        <v>0</v>
      </c>
      <c r="AV691" s="763">
        <v>0.61932164662110634</v>
      </c>
      <c r="AW691" s="763">
        <v>0.61932164662110634</v>
      </c>
      <c r="AX691" s="763">
        <v>0.61932164662110634</v>
      </c>
      <c r="AY691" s="763">
        <v>0.19557525682771779</v>
      </c>
      <c r="AZ691" s="763">
        <v>0.19557525682771779</v>
      </c>
      <c r="BA691" s="763">
        <v>0.19557525682771779</v>
      </c>
      <c r="BB691" s="763">
        <v>0.19557525682771779</v>
      </c>
      <c r="BC691" s="763">
        <v>0.19557525682771779</v>
      </c>
      <c r="BD691" s="763">
        <v>0.19557525682771779</v>
      </c>
      <c r="BE691" s="763">
        <v>0.19557525682771779</v>
      </c>
      <c r="BF691" s="763">
        <v>0.19557525682771779</v>
      </c>
      <c r="BG691" s="763">
        <v>0.19557525682771779</v>
      </c>
      <c r="BH691" s="763">
        <v>0</v>
      </c>
      <c r="BI691" s="763">
        <v>0</v>
      </c>
      <c r="BJ691" s="763">
        <v>0</v>
      </c>
      <c r="BK691" s="763">
        <v>0</v>
      </c>
      <c r="BL691" s="763">
        <v>0</v>
      </c>
      <c r="BM691" s="763">
        <v>0</v>
      </c>
      <c r="BN691" s="763">
        <v>0</v>
      </c>
      <c r="BO691" s="763">
        <v>0</v>
      </c>
      <c r="BP691" s="763">
        <v>0</v>
      </c>
      <c r="BQ691" s="763">
        <v>0</v>
      </c>
      <c r="BR691" s="763">
        <v>0</v>
      </c>
      <c r="BS691" s="762">
        <v>0</v>
      </c>
      <c r="BT691" s="762">
        <v>0</v>
      </c>
      <c r="BU691" s="762">
        <v>0</v>
      </c>
      <c r="BV691" s="762">
        <v>2223.0338558384119</v>
      </c>
      <c r="BW691" s="762">
        <v>2223.0338558384119</v>
      </c>
      <c r="BX691" s="762">
        <v>2223.0338558384119</v>
      </c>
      <c r="BY691" s="762">
        <v>702.01069131739314</v>
      </c>
      <c r="BZ691" s="762">
        <v>702.01069131739314</v>
      </c>
      <c r="CA691" s="762">
        <v>702.01069131739314</v>
      </c>
      <c r="CB691" s="762">
        <v>702.01069131739314</v>
      </c>
      <c r="CC691" s="762">
        <v>702.01069131739314</v>
      </c>
      <c r="CD691" s="762">
        <v>702.01069131739314</v>
      </c>
      <c r="CE691" s="762">
        <v>702.01069131739314</v>
      </c>
      <c r="CF691" s="762">
        <v>702.01069131739314</v>
      </c>
      <c r="CG691" s="762">
        <v>702.01069131739314</v>
      </c>
      <c r="CH691" s="762">
        <v>0</v>
      </c>
      <c r="CI691" s="762">
        <v>0</v>
      </c>
      <c r="CJ691" s="762">
        <v>0</v>
      </c>
      <c r="CK691" s="762">
        <v>0</v>
      </c>
      <c r="CL691" s="762">
        <v>0</v>
      </c>
      <c r="CM691" s="762">
        <v>0</v>
      </c>
      <c r="CN691" s="762">
        <v>0</v>
      </c>
      <c r="CO691" s="762">
        <v>0</v>
      </c>
      <c r="CP691" s="762">
        <v>0</v>
      </c>
      <c r="CQ691" s="762">
        <v>0</v>
      </c>
      <c r="CR691" s="762">
        <v>0</v>
      </c>
    </row>
    <row r="692" spans="1:96" s="53" customFormat="1">
      <c r="A692" s="721" t="s">
        <v>3</v>
      </c>
      <c r="B692" s="723">
        <v>41725</v>
      </c>
      <c r="C692" s="721">
        <v>2014</v>
      </c>
      <c r="D692" s="713" t="s">
        <v>1</v>
      </c>
      <c r="E692" s="713" t="s">
        <v>674</v>
      </c>
      <c r="F692" s="723" t="s">
        <v>123</v>
      </c>
      <c r="G692" s="713" t="s">
        <v>58</v>
      </c>
      <c r="H692" s="723" t="s">
        <v>676</v>
      </c>
      <c r="I692" s="713" t="s">
        <v>5</v>
      </c>
      <c r="J692" s="713" t="s">
        <v>376</v>
      </c>
      <c r="K692" s="766">
        <v>4</v>
      </c>
      <c r="L692" s="766" t="s">
        <v>671</v>
      </c>
      <c r="M692" s="765" t="s">
        <v>776</v>
      </c>
      <c r="N692" s="765">
        <v>12</v>
      </c>
      <c r="O692" s="765">
        <v>3</v>
      </c>
      <c r="P692" s="735">
        <v>0.31578947368421051</v>
      </c>
      <c r="Q692" s="713" t="s">
        <v>58</v>
      </c>
      <c r="R692" s="713" t="s">
        <v>58</v>
      </c>
      <c r="S692" s="713" t="s">
        <v>58</v>
      </c>
      <c r="T692" s="713" t="s">
        <v>58</v>
      </c>
      <c r="U692" s="764">
        <v>0.152</v>
      </c>
      <c r="V692" s="764">
        <v>518.32000000000005</v>
      </c>
      <c r="W692" s="764">
        <v>0.11921519892682363</v>
      </c>
      <c r="X692" s="764">
        <v>428.22405581046007</v>
      </c>
      <c r="Y692" s="764">
        <v>2501.7300102611089</v>
      </c>
      <c r="Z692" s="764">
        <v>2361.3086889766864</v>
      </c>
      <c r="AA692" s="764">
        <v>404.18797378880214</v>
      </c>
      <c r="AB692" s="764">
        <v>0.11260393574929206</v>
      </c>
      <c r="AC692" s="714">
        <v>0.82617698682369967</v>
      </c>
      <c r="AD692" s="714">
        <v>0.7843105192554185</v>
      </c>
      <c r="AE692" s="713" t="s">
        <v>58</v>
      </c>
      <c r="AF692" s="713" t="s">
        <v>58</v>
      </c>
      <c r="AG692" s="713" t="s">
        <v>58</v>
      </c>
      <c r="AH692" s="714">
        <v>0.94387031345969796</v>
      </c>
      <c r="AI692" s="713" t="s">
        <v>58</v>
      </c>
      <c r="AJ692" s="713" t="s">
        <v>58</v>
      </c>
      <c r="AK692" s="713" t="s">
        <v>58</v>
      </c>
      <c r="AL692" s="714">
        <v>0.94454345387965444</v>
      </c>
      <c r="AM692" s="713" t="s">
        <v>58</v>
      </c>
      <c r="AN692" s="713" t="s">
        <v>58</v>
      </c>
      <c r="AO692" s="713" t="s">
        <v>58</v>
      </c>
      <c r="AP692" s="747">
        <v>17</v>
      </c>
      <c r="AQ692" s="747">
        <v>68</v>
      </c>
      <c r="AR692" s="709"/>
      <c r="AS692" s="763">
        <v>0</v>
      </c>
      <c r="AT692" s="763">
        <v>0</v>
      </c>
      <c r="AU692" s="763">
        <v>0</v>
      </c>
      <c r="AV692" s="763">
        <v>0.11260393574929206</v>
      </c>
      <c r="AW692" s="763">
        <v>0.11260393574929206</v>
      </c>
      <c r="AX692" s="763">
        <v>0.11260393574929206</v>
      </c>
      <c r="AY692" s="763">
        <v>3.5559137605039599E-2</v>
      </c>
      <c r="AZ692" s="763">
        <v>3.5559137605039599E-2</v>
      </c>
      <c r="BA692" s="763">
        <v>3.5559137605039599E-2</v>
      </c>
      <c r="BB692" s="763">
        <v>3.5559137605039599E-2</v>
      </c>
      <c r="BC692" s="763">
        <v>3.5559137605039599E-2</v>
      </c>
      <c r="BD692" s="763">
        <v>3.5559137605039599E-2</v>
      </c>
      <c r="BE692" s="763">
        <v>3.5559137605039599E-2</v>
      </c>
      <c r="BF692" s="763">
        <v>3.5559137605039599E-2</v>
      </c>
      <c r="BG692" s="763">
        <v>3.5559137605039599E-2</v>
      </c>
      <c r="BH692" s="763">
        <v>0</v>
      </c>
      <c r="BI692" s="763">
        <v>0</v>
      </c>
      <c r="BJ692" s="763">
        <v>0</v>
      </c>
      <c r="BK692" s="763">
        <v>0</v>
      </c>
      <c r="BL692" s="763">
        <v>0</v>
      </c>
      <c r="BM692" s="763">
        <v>0</v>
      </c>
      <c r="BN692" s="763">
        <v>0</v>
      </c>
      <c r="BO692" s="763">
        <v>0</v>
      </c>
      <c r="BP692" s="763">
        <v>0</v>
      </c>
      <c r="BQ692" s="763">
        <v>0</v>
      </c>
      <c r="BR692" s="763">
        <v>0</v>
      </c>
      <c r="BS692" s="762">
        <v>0</v>
      </c>
      <c r="BT692" s="762">
        <v>0</v>
      </c>
      <c r="BU692" s="762">
        <v>0</v>
      </c>
      <c r="BV692" s="762">
        <v>404.18797378880214</v>
      </c>
      <c r="BW692" s="762">
        <v>404.18797378880214</v>
      </c>
      <c r="BX692" s="762">
        <v>404.18797378880214</v>
      </c>
      <c r="BY692" s="762">
        <v>127.63830751225331</v>
      </c>
      <c r="BZ692" s="762">
        <v>127.63830751225331</v>
      </c>
      <c r="CA692" s="762">
        <v>127.63830751225331</v>
      </c>
      <c r="CB692" s="762">
        <v>127.63830751225331</v>
      </c>
      <c r="CC692" s="762">
        <v>127.63830751225331</v>
      </c>
      <c r="CD692" s="762">
        <v>127.63830751225331</v>
      </c>
      <c r="CE692" s="762">
        <v>127.63830751225331</v>
      </c>
      <c r="CF692" s="762">
        <v>127.63830751225331</v>
      </c>
      <c r="CG692" s="762">
        <v>127.63830751225331</v>
      </c>
      <c r="CH692" s="762">
        <v>0</v>
      </c>
      <c r="CI692" s="762">
        <v>0</v>
      </c>
      <c r="CJ692" s="762">
        <v>0</v>
      </c>
      <c r="CK692" s="762">
        <v>0</v>
      </c>
      <c r="CL692" s="762">
        <v>0</v>
      </c>
      <c r="CM692" s="762">
        <v>0</v>
      </c>
      <c r="CN692" s="762">
        <v>0</v>
      </c>
      <c r="CO692" s="762">
        <v>0</v>
      </c>
      <c r="CP692" s="762">
        <v>0</v>
      </c>
      <c r="CQ692" s="762">
        <v>0</v>
      </c>
      <c r="CR692" s="762">
        <v>0</v>
      </c>
    </row>
    <row r="693" spans="1:96" s="53" customFormat="1">
      <c r="A693" s="721" t="s">
        <v>3</v>
      </c>
      <c r="B693" s="723">
        <v>41725</v>
      </c>
      <c r="C693" s="721">
        <v>2014</v>
      </c>
      <c r="D693" s="713" t="s">
        <v>1</v>
      </c>
      <c r="E693" s="713" t="s">
        <v>674</v>
      </c>
      <c r="F693" s="723" t="s">
        <v>123</v>
      </c>
      <c r="G693" s="713" t="s">
        <v>58</v>
      </c>
      <c r="H693" s="723" t="s">
        <v>676</v>
      </c>
      <c r="I693" s="713" t="s">
        <v>5</v>
      </c>
      <c r="J693" s="713" t="s">
        <v>376</v>
      </c>
      <c r="K693" s="766">
        <v>4</v>
      </c>
      <c r="L693" s="766" t="s">
        <v>671</v>
      </c>
      <c r="M693" s="765" t="s">
        <v>776</v>
      </c>
      <c r="N693" s="765">
        <v>12</v>
      </c>
      <c r="O693" s="765">
        <v>3</v>
      </c>
      <c r="P693" s="735">
        <v>0.31578947368421051</v>
      </c>
      <c r="Q693" s="713" t="s">
        <v>58</v>
      </c>
      <c r="R693" s="713" t="s">
        <v>58</v>
      </c>
      <c r="S693" s="713" t="s">
        <v>58</v>
      </c>
      <c r="T693" s="713" t="s">
        <v>58</v>
      </c>
      <c r="U693" s="764">
        <v>0.152</v>
      </c>
      <c r="V693" s="764">
        <v>518.32000000000005</v>
      </c>
      <c r="W693" s="764">
        <v>0.11921519892682363</v>
      </c>
      <c r="X693" s="764">
        <v>428.22405581046007</v>
      </c>
      <c r="Y693" s="764">
        <v>2501.7300102611089</v>
      </c>
      <c r="Z693" s="764">
        <v>2361.3086889766864</v>
      </c>
      <c r="AA693" s="764">
        <v>404.18797378880214</v>
      </c>
      <c r="AB693" s="764">
        <v>0.11260393574929206</v>
      </c>
      <c r="AC693" s="714">
        <v>0.82617698682369967</v>
      </c>
      <c r="AD693" s="714">
        <v>0.7843105192554185</v>
      </c>
      <c r="AE693" s="713" t="s">
        <v>58</v>
      </c>
      <c r="AF693" s="713" t="s">
        <v>58</v>
      </c>
      <c r="AG693" s="713" t="s">
        <v>58</v>
      </c>
      <c r="AH693" s="714">
        <v>0.94387031345969796</v>
      </c>
      <c r="AI693" s="713" t="s">
        <v>58</v>
      </c>
      <c r="AJ693" s="713" t="s">
        <v>58</v>
      </c>
      <c r="AK693" s="713" t="s">
        <v>58</v>
      </c>
      <c r="AL693" s="714">
        <v>0.94454345387965444</v>
      </c>
      <c r="AM693" s="713" t="s">
        <v>58</v>
      </c>
      <c r="AN693" s="713" t="s">
        <v>58</v>
      </c>
      <c r="AO693" s="713" t="s">
        <v>58</v>
      </c>
      <c r="AP693" s="747">
        <v>57</v>
      </c>
      <c r="AQ693" s="747">
        <v>228</v>
      </c>
      <c r="AR693" s="709"/>
      <c r="AS693" s="763">
        <v>0</v>
      </c>
      <c r="AT693" s="763">
        <v>0</v>
      </c>
      <c r="AU693" s="763">
        <v>0</v>
      </c>
      <c r="AV693" s="763">
        <v>0.11260393574929206</v>
      </c>
      <c r="AW693" s="763">
        <v>0.11260393574929206</v>
      </c>
      <c r="AX693" s="763">
        <v>0.11260393574929206</v>
      </c>
      <c r="AY693" s="763">
        <v>3.5559137605039599E-2</v>
      </c>
      <c r="AZ693" s="763">
        <v>3.5559137605039599E-2</v>
      </c>
      <c r="BA693" s="763">
        <v>3.5559137605039599E-2</v>
      </c>
      <c r="BB693" s="763">
        <v>3.5559137605039599E-2</v>
      </c>
      <c r="BC693" s="763">
        <v>3.5559137605039599E-2</v>
      </c>
      <c r="BD693" s="763">
        <v>3.5559137605039599E-2</v>
      </c>
      <c r="BE693" s="763">
        <v>3.5559137605039599E-2</v>
      </c>
      <c r="BF693" s="763">
        <v>3.5559137605039599E-2</v>
      </c>
      <c r="BG693" s="763">
        <v>3.5559137605039599E-2</v>
      </c>
      <c r="BH693" s="763">
        <v>0</v>
      </c>
      <c r="BI693" s="763">
        <v>0</v>
      </c>
      <c r="BJ693" s="763">
        <v>0</v>
      </c>
      <c r="BK693" s="763">
        <v>0</v>
      </c>
      <c r="BL693" s="763">
        <v>0</v>
      </c>
      <c r="BM693" s="763">
        <v>0</v>
      </c>
      <c r="BN693" s="763">
        <v>0</v>
      </c>
      <c r="BO693" s="763">
        <v>0</v>
      </c>
      <c r="BP693" s="763">
        <v>0</v>
      </c>
      <c r="BQ693" s="763">
        <v>0</v>
      </c>
      <c r="BR693" s="763">
        <v>0</v>
      </c>
      <c r="BS693" s="762">
        <v>0</v>
      </c>
      <c r="BT693" s="762">
        <v>0</v>
      </c>
      <c r="BU693" s="762">
        <v>0</v>
      </c>
      <c r="BV693" s="762">
        <v>404.18797378880214</v>
      </c>
      <c r="BW693" s="762">
        <v>404.18797378880214</v>
      </c>
      <c r="BX693" s="762">
        <v>404.18797378880214</v>
      </c>
      <c r="BY693" s="762">
        <v>127.63830751225331</v>
      </c>
      <c r="BZ693" s="762">
        <v>127.63830751225331</v>
      </c>
      <c r="CA693" s="762">
        <v>127.63830751225331</v>
      </c>
      <c r="CB693" s="762">
        <v>127.63830751225331</v>
      </c>
      <c r="CC693" s="762">
        <v>127.63830751225331</v>
      </c>
      <c r="CD693" s="762">
        <v>127.63830751225331</v>
      </c>
      <c r="CE693" s="762">
        <v>127.63830751225331</v>
      </c>
      <c r="CF693" s="762">
        <v>127.63830751225331</v>
      </c>
      <c r="CG693" s="762">
        <v>127.63830751225331</v>
      </c>
      <c r="CH693" s="762">
        <v>0</v>
      </c>
      <c r="CI693" s="762">
        <v>0</v>
      </c>
      <c r="CJ693" s="762">
        <v>0</v>
      </c>
      <c r="CK693" s="762">
        <v>0</v>
      </c>
      <c r="CL693" s="762">
        <v>0</v>
      </c>
      <c r="CM693" s="762">
        <v>0</v>
      </c>
      <c r="CN693" s="762">
        <v>0</v>
      </c>
      <c r="CO693" s="762">
        <v>0</v>
      </c>
      <c r="CP693" s="762">
        <v>0</v>
      </c>
      <c r="CQ693" s="762">
        <v>0</v>
      </c>
      <c r="CR693" s="762">
        <v>0</v>
      </c>
    </row>
    <row r="694" spans="1:96" s="53" customFormat="1">
      <c r="A694" s="721" t="s">
        <v>3</v>
      </c>
      <c r="B694" s="723">
        <v>41725</v>
      </c>
      <c r="C694" s="721">
        <v>2014</v>
      </c>
      <c r="D694" s="713" t="s">
        <v>1</v>
      </c>
      <c r="E694" s="713" t="s">
        <v>674</v>
      </c>
      <c r="F694" s="723" t="s">
        <v>123</v>
      </c>
      <c r="G694" s="713" t="s">
        <v>58</v>
      </c>
      <c r="H694" s="723" t="s">
        <v>676</v>
      </c>
      <c r="I694" s="713" t="s">
        <v>5</v>
      </c>
      <c r="J694" s="713" t="s">
        <v>376</v>
      </c>
      <c r="K694" s="766">
        <v>20</v>
      </c>
      <c r="L694" s="766" t="s">
        <v>671</v>
      </c>
      <c r="M694" s="765" t="s">
        <v>776</v>
      </c>
      <c r="N694" s="765">
        <v>12</v>
      </c>
      <c r="O694" s="765">
        <v>3</v>
      </c>
      <c r="P694" s="735">
        <v>0.31578947368421051</v>
      </c>
      <c r="Q694" s="713" t="s">
        <v>58</v>
      </c>
      <c r="R694" s="713" t="s">
        <v>58</v>
      </c>
      <c r="S694" s="713" t="s">
        <v>58</v>
      </c>
      <c r="T694" s="713" t="s">
        <v>58</v>
      </c>
      <c r="U694" s="764">
        <v>0.76</v>
      </c>
      <c r="V694" s="764">
        <v>2591.6</v>
      </c>
      <c r="W694" s="764">
        <v>0.5960759946341182</v>
      </c>
      <c r="X694" s="764">
        <v>2141.1202790522998</v>
      </c>
      <c r="Y694" s="764">
        <v>12508.65005130554</v>
      </c>
      <c r="Z694" s="764">
        <v>11806.543444883428</v>
      </c>
      <c r="AA694" s="764">
        <v>2020.9398689440102</v>
      </c>
      <c r="AB694" s="764">
        <v>0.56301967874646042</v>
      </c>
      <c r="AC694" s="714">
        <v>0.82617698682369967</v>
      </c>
      <c r="AD694" s="714">
        <v>0.7843105192554185</v>
      </c>
      <c r="AE694" s="713" t="s">
        <v>58</v>
      </c>
      <c r="AF694" s="713" t="s">
        <v>58</v>
      </c>
      <c r="AG694" s="713" t="s">
        <v>58</v>
      </c>
      <c r="AH694" s="714">
        <v>0.94387031345969796</v>
      </c>
      <c r="AI694" s="713" t="s">
        <v>58</v>
      </c>
      <c r="AJ694" s="713" t="s">
        <v>58</v>
      </c>
      <c r="AK694" s="713" t="s">
        <v>58</v>
      </c>
      <c r="AL694" s="714">
        <v>0.94454345387965444</v>
      </c>
      <c r="AM694" s="713" t="s">
        <v>58</v>
      </c>
      <c r="AN694" s="713" t="s">
        <v>58</v>
      </c>
      <c r="AO694" s="713" t="s">
        <v>58</v>
      </c>
      <c r="AP694" s="747">
        <v>17</v>
      </c>
      <c r="AQ694" s="747">
        <v>340</v>
      </c>
      <c r="AR694" s="709"/>
      <c r="AS694" s="763">
        <v>0</v>
      </c>
      <c r="AT694" s="763">
        <v>0</v>
      </c>
      <c r="AU694" s="763">
        <v>0</v>
      </c>
      <c r="AV694" s="763">
        <v>0.56301967874646042</v>
      </c>
      <c r="AW694" s="763">
        <v>0.56301967874646042</v>
      </c>
      <c r="AX694" s="763">
        <v>0.56301967874646042</v>
      </c>
      <c r="AY694" s="763">
        <v>0.17779568802519802</v>
      </c>
      <c r="AZ694" s="763">
        <v>0.17779568802519802</v>
      </c>
      <c r="BA694" s="763">
        <v>0.17779568802519802</v>
      </c>
      <c r="BB694" s="763">
        <v>0.17779568802519802</v>
      </c>
      <c r="BC694" s="763">
        <v>0.17779568802519802</v>
      </c>
      <c r="BD694" s="763">
        <v>0.17779568802519802</v>
      </c>
      <c r="BE694" s="763">
        <v>0.17779568802519802</v>
      </c>
      <c r="BF694" s="763">
        <v>0.17779568802519802</v>
      </c>
      <c r="BG694" s="763">
        <v>0.17779568802519802</v>
      </c>
      <c r="BH694" s="763">
        <v>0</v>
      </c>
      <c r="BI694" s="763">
        <v>0</v>
      </c>
      <c r="BJ694" s="763">
        <v>0</v>
      </c>
      <c r="BK694" s="763">
        <v>0</v>
      </c>
      <c r="BL694" s="763">
        <v>0</v>
      </c>
      <c r="BM694" s="763">
        <v>0</v>
      </c>
      <c r="BN694" s="763">
        <v>0</v>
      </c>
      <c r="BO694" s="763">
        <v>0</v>
      </c>
      <c r="BP694" s="763">
        <v>0</v>
      </c>
      <c r="BQ694" s="763">
        <v>0</v>
      </c>
      <c r="BR694" s="763">
        <v>0</v>
      </c>
      <c r="BS694" s="762">
        <v>0</v>
      </c>
      <c r="BT694" s="762">
        <v>0</v>
      </c>
      <c r="BU694" s="762">
        <v>0</v>
      </c>
      <c r="BV694" s="762">
        <v>2020.9398689440102</v>
      </c>
      <c r="BW694" s="762">
        <v>2020.9398689440102</v>
      </c>
      <c r="BX694" s="762">
        <v>2020.9398689440102</v>
      </c>
      <c r="BY694" s="762">
        <v>638.19153756126639</v>
      </c>
      <c r="BZ694" s="762">
        <v>638.19153756126639</v>
      </c>
      <c r="CA694" s="762">
        <v>638.19153756126639</v>
      </c>
      <c r="CB694" s="762">
        <v>638.19153756126639</v>
      </c>
      <c r="CC694" s="762">
        <v>638.19153756126639</v>
      </c>
      <c r="CD694" s="762">
        <v>638.19153756126639</v>
      </c>
      <c r="CE694" s="762">
        <v>638.19153756126639</v>
      </c>
      <c r="CF694" s="762">
        <v>638.19153756126639</v>
      </c>
      <c r="CG694" s="762">
        <v>638.19153756126639</v>
      </c>
      <c r="CH694" s="762">
        <v>0</v>
      </c>
      <c r="CI694" s="762">
        <v>0</v>
      </c>
      <c r="CJ694" s="762">
        <v>0</v>
      </c>
      <c r="CK694" s="762">
        <v>0</v>
      </c>
      <c r="CL694" s="762">
        <v>0</v>
      </c>
      <c r="CM694" s="762">
        <v>0</v>
      </c>
      <c r="CN694" s="762">
        <v>0</v>
      </c>
      <c r="CO694" s="762">
        <v>0</v>
      </c>
      <c r="CP694" s="762">
        <v>0</v>
      </c>
      <c r="CQ694" s="762">
        <v>0</v>
      </c>
      <c r="CR694" s="762">
        <v>0</v>
      </c>
    </row>
    <row r="695" spans="1:96" s="53" customFormat="1">
      <c r="A695" s="721" t="s">
        <v>3</v>
      </c>
      <c r="B695" s="723">
        <v>41978</v>
      </c>
      <c r="C695" s="721">
        <v>2014</v>
      </c>
      <c r="D695" s="713" t="s">
        <v>1</v>
      </c>
      <c r="E695" s="713" t="s">
        <v>674</v>
      </c>
      <c r="F695" s="723" t="s">
        <v>123</v>
      </c>
      <c r="G695" s="713" t="s">
        <v>58</v>
      </c>
      <c r="H695" s="723" t="s">
        <v>677</v>
      </c>
      <c r="I695" s="713" t="s">
        <v>5</v>
      </c>
      <c r="J695" s="713" t="s">
        <v>376</v>
      </c>
      <c r="K695" s="766">
        <v>1</v>
      </c>
      <c r="L695" s="766" t="s">
        <v>671</v>
      </c>
      <c r="M695" s="765" t="s">
        <v>775</v>
      </c>
      <c r="N695" s="765">
        <v>0</v>
      </c>
      <c r="O695" s="765">
        <v>0</v>
      </c>
      <c r="P695" s="735">
        <v>0</v>
      </c>
      <c r="Q695" s="713" t="s">
        <v>58</v>
      </c>
      <c r="R695" s="713" t="s">
        <v>58</v>
      </c>
      <c r="S695" s="713" t="s">
        <v>58</v>
      </c>
      <c r="T695" s="713" t="s">
        <v>58</v>
      </c>
      <c r="U695" s="764">
        <v>0</v>
      </c>
      <c r="V695" s="764">
        <v>0</v>
      </c>
      <c r="W695" s="764">
        <v>0</v>
      </c>
      <c r="X695" s="764">
        <v>0</v>
      </c>
      <c r="Y695" s="764">
        <v>0</v>
      </c>
      <c r="Z695" s="764">
        <v>0</v>
      </c>
      <c r="AA695" s="764">
        <v>0</v>
      </c>
      <c r="AB695" s="764">
        <v>0</v>
      </c>
      <c r="AC695" s="714">
        <v>0.82617698682369967</v>
      </c>
      <c r="AD695" s="714">
        <v>0.7843105192554185</v>
      </c>
      <c r="AE695" s="713" t="s">
        <v>58</v>
      </c>
      <c r="AF695" s="713" t="s">
        <v>58</v>
      </c>
      <c r="AG695" s="713" t="s">
        <v>58</v>
      </c>
      <c r="AH695" s="714">
        <v>0.94387031345969796</v>
      </c>
      <c r="AI695" s="713" t="s">
        <v>58</v>
      </c>
      <c r="AJ695" s="713" t="s">
        <v>58</v>
      </c>
      <c r="AK695" s="713" t="s">
        <v>58</v>
      </c>
      <c r="AL695" s="714">
        <v>0.94454345387965444</v>
      </c>
      <c r="AM695" s="713" t="s">
        <v>58</v>
      </c>
      <c r="AN695" s="713" t="s">
        <v>58</v>
      </c>
      <c r="AO695" s="713" t="s">
        <v>58</v>
      </c>
      <c r="AP695" s="747">
        <v>51</v>
      </c>
      <c r="AQ695" s="747">
        <v>51</v>
      </c>
      <c r="AR695" s="709"/>
      <c r="AS695" s="763">
        <v>0</v>
      </c>
      <c r="AT695" s="763">
        <v>0</v>
      </c>
      <c r="AU695" s="763">
        <v>0</v>
      </c>
      <c r="AV695" s="763">
        <v>0</v>
      </c>
      <c r="AW695" s="763">
        <v>0</v>
      </c>
      <c r="AX695" s="763">
        <v>0</v>
      </c>
      <c r="AY695" s="763">
        <v>0</v>
      </c>
      <c r="AZ695" s="763">
        <v>0</v>
      </c>
      <c r="BA695" s="763">
        <v>0</v>
      </c>
      <c r="BB695" s="763">
        <v>0</v>
      </c>
      <c r="BC695" s="763">
        <v>0</v>
      </c>
      <c r="BD695" s="763">
        <v>0</v>
      </c>
      <c r="BE695" s="763">
        <v>0</v>
      </c>
      <c r="BF695" s="763">
        <v>0</v>
      </c>
      <c r="BG695" s="763">
        <v>0</v>
      </c>
      <c r="BH695" s="763">
        <v>0</v>
      </c>
      <c r="BI695" s="763">
        <v>0</v>
      </c>
      <c r="BJ695" s="763">
        <v>0</v>
      </c>
      <c r="BK695" s="763">
        <v>0</v>
      </c>
      <c r="BL695" s="763">
        <v>0</v>
      </c>
      <c r="BM695" s="763">
        <v>0</v>
      </c>
      <c r="BN695" s="763">
        <v>0</v>
      </c>
      <c r="BO695" s="763">
        <v>0</v>
      </c>
      <c r="BP695" s="763">
        <v>0</v>
      </c>
      <c r="BQ695" s="763">
        <v>0</v>
      </c>
      <c r="BR695" s="763">
        <v>0</v>
      </c>
      <c r="BS695" s="762">
        <v>0</v>
      </c>
      <c r="BT695" s="762">
        <v>0</v>
      </c>
      <c r="BU695" s="762">
        <v>0</v>
      </c>
      <c r="BV695" s="762">
        <v>0</v>
      </c>
      <c r="BW695" s="762">
        <v>0</v>
      </c>
      <c r="BX695" s="762">
        <v>0</v>
      </c>
      <c r="BY695" s="762">
        <v>0</v>
      </c>
      <c r="BZ695" s="762">
        <v>0</v>
      </c>
      <c r="CA695" s="762">
        <v>0</v>
      </c>
      <c r="CB695" s="762">
        <v>0</v>
      </c>
      <c r="CC695" s="762">
        <v>0</v>
      </c>
      <c r="CD695" s="762">
        <v>0</v>
      </c>
      <c r="CE695" s="762">
        <v>0</v>
      </c>
      <c r="CF695" s="762">
        <v>0</v>
      </c>
      <c r="CG695" s="762">
        <v>0</v>
      </c>
      <c r="CH695" s="762">
        <v>0</v>
      </c>
      <c r="CI695" s="762">
        <v>0</v>
      </c>
      <c r="CJ695" s="762">
        <v>0</v>
      </c>
      <c r="CK695" s="762">
        <v>0</v>
      </c>
      <c r="CL695" s="762">
        <v>0</v>
      </c>
      <c r="CM695" s="762">
        <v>0</v>
      </c>
      <c r="CN695" s="762">
        <v>0</v>
      </c>
      <c r="CO695" s="762">
        <v>0</v>
      </c>
      <c r="CP695" s="762">
        <v>0</v>
      </c>
      <c r="CQ695" s="762">
        <v>0</v>
      </c>
      <c r="CR695" s="762">
        <v>0</v>
      </c>
    </row>
    <row r="696" spans="1:96" s="53" customFormat="1">
      <c r="A696" s="721" t="s">
        <v>3</v>
      </c>
      <c r="B696" s="723">
        <v>41978</v>
      </c>
      <c r="C696" s="721">
        <v>2014</v>
      </c>
      <c r="D696" s="713" t="s">
        <v>1</v>
      </c>
      <c r="E696" s="713" t="s">
        <v>674</v>
      </c>
      <c r="F696" s="723" t="s">
        <v>123</v>
      </c>
      <c r="G696" s="713" t="s">
        <v>58</v>
      </c>
      <c r="H696" s="723" t="s">
        <v>684</v>
      </c>
      <c r="I696" s="713" t="s">
        <v>5</v>
      </c>
      <c r="J696" s="713" t="s">
        <v>376</v>
      </c>
      <c r="K696" s="766">
        <v>20</v>
      </c>
      <c r="L696" s="766" t="s">
        <v>671</v>
      </c>
      <c r="M696" s="765" t="s">
        <v>775</v>
      </c>
      <c r="N696" s="765">
        <v>11</v>
      </c>
      <c r="O696" s="765">
        <v>2</v>
      </c>
      <c r="P696" s="735">
        <v>0.43976996379393668</v>
      </c>
      <c r="Q696" s="713" t="s">
        <v>58</v>
      </c>
      <c r="R696" s="713" t="s">
        <v>58</v>
      </c>
      <c r="S696" s="713" t="s">
        <v>58</v>
      </c>
      <c r="T696" s="713" t="s">
        <v>58</v>
      </c>
      <c r="U696" s="764">
        <v>1.36</v>
      </c>
      <c r="V696" s="764">
        <v>4316.6400000000003</v>
      </c>
      <c r="W696" s="764">
        <v>1.0666623061873695</v>
      </c>
      <c r="X696" s="764">
        <v>3566.3086284026549</v>
      </c>
      <c r="Y696" s="764">
        <v>21247.816004321066</v>
      </c>
      <c r="Z696" s="764">
        <v>20055.182752332512</v>
      </c>
      <c r="AA696" s="764">
        <v>3366.1328429844393</v>
      </c>
      <c r="AB696" s="764">
        <v>1.0075088988094554</v>
      </c>
      <c r="AC696" s="714">
        <v>0.82617698682369967</v>
      </c>
      <c r="AD696" s="714">
        <v>0.7843105192554185</v>
      </c>
      <c r="AE696" s="713" t="s">
        <v>58</v>
      </c>
      <c r="AF696" s="713" t="s">
        <v>58</v>
      </c>
      <c r="AG696" s="713" t="s">
        <v>58</v>
      </c>
      <c r="AH696" s="714">
        <v>0.94387031345969796</v>
      </c>
      <c r="AI696" s="713" t="s">
        <v>58</v>
      </c>
      <c r="AJ696" s="713" t="s">
        <v>58</v>
      </c>
      <c r="AK696" s="713" t="s">
        <v>58</v>
      </c>
      <c r="AL696" s="714">
        <v>0.94454345387965444</v>
      </c>
      <c r="AM696" s="713" t="s">
        <v>58</v>
      </c>
      <c r="AN696" s="713" t="s">
        <v>58</v>
      </c>
      <c r="AO696" s="713" t="s">
        <v>58</v>
      </c>
      <c r="AP696" s="747">
        <v>48</v>
      </c>
      <c r="AQ696" s="747">
        <v>960</v>
      </c>
      <c r="AR696" s="709"/>
      <c r="AS696" s="763">
        <v>0</v>
      </c>
      <c r="AT696" s="763">
        <v>0</v>
      </c>
      <c r="AU696" s="763">
        <v>0</v>
      </c>
      <c r="AV696" s="763">
        <v>1.0075088988094554</v>
      </c>
      <c r="AW696" s="763">
        <v>1.0075088988094554</v>
      </c>
      <c r="AX696" s="763">
        <v>0.44307215195150318</v>
      </c>
      <c r="AY696" s="763">
        <v>0.44307215195150318</v>
      </c>
      <c r="AZ696" s="763">
        <v>0.44307215195150318</v>
      </c>
      <c r="BA696" s="763">
        <v>0.44307215195150318</v>
      </c>
      <c r="BB696" s="763">
        <v>0.44307215195150318</v>
      </c>
      <c r="BC696" s="763">
        <v>0.44307215195150318</v>
      </c>
      <c r="BD696" s="763">
        <v>0.44307215195150318</v>
      </c>
      <c r="BE696" s="763">
        <v>0.44307215195150318</v>
      </c>
      <c r="BF696" s="763">
        <v>0.44307215195150318</v>
      </c>
      <c r="BG696" s="763">
        <v>0</v>
      </c>
      <c r="BH696" s="763">
        <v>0</v>
      </c>
      <c r="BI696" s="763">
        <v>0</v>
      </c>
      <c r="BJ696" s="763">
        <v>0</v>
      </c>
      <c r="BK696" s="763">
        <v>0</v>
      </c>
      <c r="BL696" s="763">
        <v>0</v>
      </c>
      <c r="BM696" s="763">
        <v>0</v>
      </c>
      <c r="BN696" s="763">
        <v>0</v>
      </c>
      <c r="BO696" s="763">
        <v>0</v>
      </c>
      <c r="BP696" s="763">
        <v>0</v>
      </c>
      <c r="BQ696" s="763">
        <v>0</v>
      </c>
      <c r="BR696" s="763">
        <v>0</v>
      </c>
      <c r="BS696" s="762">
        <v>0</v>
      </c>
      <c r="BT696" s="762">
        <v>0</v>
      </c>
      <c r="BU696" s="762">
        <v>0</v>
      </c>
      <c r="BV696" s="762">
        <v>3366.1328429844393</v>
      </c>
      <c r="BW696" s="762">
        <v>3366.1328429844393</v>
      </c>
      <c r="BX696" s="762">
        <v>1480.324118484848</v>
      </c>
      <c r="BY696" s="762">
        <v>1480.324118484848</v>
      </c>
      <c r="BZ696" s="762">
        <v>1480.324118484848</v>
      </c>
      <c r="CA696" s="762">
        <v>1480.324118484848</v>
      </c>
      <c r="CB696" s="762">
        <v>1480.324118484848</v>
      </c>
      <c r="CC696" s="762">
        <v>1480.324118484848</v>
      </c>
      <c r="CD696" s="762">
        <v>1480.324118484848</v>
      </c>
      <c r="CE696" s="762">
        <v>1480.324118484848</v>
      </c>
      <c r="CF696" s="762">
        <v>1480.324118484848</v>
      </c>
      <c r="CG696" s="762">
        <v>0</v>
      </c>
      <c r="CH696" s="762">
        <v>0</v>
      </c>
      <c r="CI696" s="762">
        <v>0</v>
      </c>
      <c r="CJ696" s="762">
        <v>0</v>
      </c>
      <c r="CK696" s="762">
        <v>0</v>
      </c>
      <c r="CL696" s="762">
        <v>0</v>
      </c>
      <c r="CM696" s="762">
        <v>0</v>
      </c>
      <c r="CN696" s="762">
        <v>0</v>
      </c>
      <c r="CO696" s="762">
        <v>0</v>
      </c>
      <c r="CP696" s="762">
        <v>0</v>
      </c>
      <c r="CQ696" s="762">
        <v>0</v>
      </c>
      <c r="CR696" s="762">
        <v>0</v>
      </c>
    </row>
    <row r="697" spans="1:96" s="53" customFormat="1">
      <c r="A697" s="721" t="s">
        <v>3</v>
      </c>
      <c r="B697" s="723">
        <v>41750</v>
      </c>
      <c r="C697" s="721">
        <v>2014</v>
      </c>
      <c r="D697" s="713" t="s">
        <v>1</v>
      </c>
      <c r="E697" s="713" t="s">
        <v>674</v>
      </c>
      <c r="F697" s="723" t="s">
        <v>681</v>
      </c>
      <c r="G697" s="713" t="s">
        <v>58</v>
      </c>
      <c r="H697" s="723" t="s">
        <v>677</v>
      </c>
      <c r="I697" s="713" t="s">
        <v>5</v>
      </c>
      <c r="J697" s="713" t="s">
        <v>376</v>
      </c>
      <c r="K697" s="766">
        <v>1</v>
      </c>
      <c r="L697" s="766" t="s">
        <v>671</v>
      </c>
      <c r="M697" s="765" t="s">
        <v>758</v>
      </c>
      <c r="N697" s="765">
        <v>0</v>
      </c>
      <c r="O697" s="765">
        <v>0</v>
      </c>
      <c r="P697" s="735">
        <v>0</v>
      </c>
      <c r="Q697" s="713" t="s">
        <v>58</v>
      </c>
      <c r="R697" s="713" t="s">
        <v>58</v>
      </c>
      <c r="S697" s="713" t="s">
        <v>58</v>
      </c>
      <c r="T697" s="713" t="s">
        <v>58</v>
      </c>
      <c r="U697" s="764">
        <v>0</v>
      </c>
      <c r="V697" s="764">
        <v>0</v>
      </c>
      <c r="W697" s="764">
        <v>0</v>
      </c>
      <c r="X697" s="764">
        <v>0</v>
      </c>
      <c r="Y697" s="764">
        <v>0</v>
      </c>
      <c r="Z697" s="764">
        <v>0</v>
      </c>
      <c r="AA697" s="764">
        <v>0</v>
      </c>
      <c r="AB697" s="764">
        <v>0</v>
      </c>
      <c r="AC697" s="714">
        <v>0.82617698682369967</v>
      </c>
      <c r="AD697" s="714">
        <v>0.7843105192554185</v>
      </c>
      <c r="AE697" s="713" t="s">
        <v>58</v>
      </c>
      <c r="AF697" s="713" t="s">
        <v>58</v>
      </c>
      <c r="AG697" s="713" t="s">
        <v>58</v>
      </c>
      <c r="AH697" s="714">
        <v>0.94387031345969796</v>
      </c>
      <c r="AI697" s="713" t="s">
        <v>58</v>
      </c>
      <c r="AJ697" s="713" t="s">
        <v>58</v>
      </c>
      <c r="AK697" s="713" t="s">
        <v>58</v>
      </c>
      <c r="AL697" s="714">
        <v>0.94454345387965444</v>
      </c>
      <c r="AM697" s="713" t="s">
        <v>58</v>
      </c>
      <c r="AN697" s="713" t="s">
        <v>58</v>
      </c>
      <c r="AO697" s="713" t="s">
        <v>58</v>
      </c>
      <c r="AP697" s="747">
        <v>51</v>
      </c>
      <c r="AQ697" s="747">
        <v>51</v>
      </c>
      <c r="AR697" s="709"/>
      <c r="AS697" s="763">
        <v>0</v>
      </c>
      <c r="AT697" s="763">
        <v>0</v>
      </c>
      <c r="AU697" s="763">
        <v>0</v>
      </c>
      <c r="AV697" s="763">
        <v>0</v>
      </c>
      <c r="AW697" s="763">
        <v>0</v>
      </c>
      <c r="AX697" s="763">
        <v>0</v>
      </c>
      <c r="AY697" s="763">
        <v>0</v>
      </c>
      <c r="AZ697" s="763">
        <v>0</v>
      </c>
      <c r="BA697" s="763">
        <v>0</v>
      </c>
      <c r="BB697" s="763">
        <v>0</v>
      </c>
      <c r="BC697" s="763">
        <v>0</v>
      </c>
      <c r="BD697" s="763">
        <v>0</v>
      </c>
      <c r="BE697" s="763">
        <v>0</v>
      </c>
      <c r="BF697" s="763">
        <v>0</v>
      </c>
      <c r="BG697" s="763">
        <v>0</v>
      </c>
      <c r="BH697" s="763">
        <v>0</v>
      </c>
      <c r="BI697" s="763">
        <v>0</v>
      </c>
      <c r="BJ697" s="763">
        <v>0</v>
      </c>
      <c r="BK697" s="763">
        <v>0</v>
      </c>
      <c r="BL697" s="763">
        <v>0</v>
      </c>
      <c r="BM697" s="763">
        <v>0</v>
      </c>
      <c r="BN697" s="763">
        <v>0</v>
      </c>
      <c r="BO697" s="763">
        <v>0</v>
      </c>
      <c r="BP697" s="763">
        <v>0</v>
      </c>
      <c r="BQ697" s="763">
        <v>0</v>
      </c>
      <c r="BR697" s="763">
        <v>0</v>
      </c>
      <c r="BS697" s="762">
        <v>0</v>
      </c>
      <c r="BT697" s="762">
        <v>0</v>
      </c>
      <c r="BU697" s="762">
        <v>0</v>
      </c>
      <c r="BV697" s="762">
        <v>0</v>
      </c>
      <c r="BW697" s="762">
        <v>0</v>
      </c>
      <c r="BX697" s="762">
        <v>0</v>
      </c>
      <c r="BY697" s="762">
        <v>0</v>
      </c>
      <c r="BZ697" s="762">
        <v>0</v>
      </c>
      <c r="CA697" s="762">
        <v>0</v>
      </c>
      <c r="CB697" s="762">
        <v>0</v>
      </c>
      <c r="CC697" s="762">
        <v>0</v>
      </c>
      <c r="CD697" s="762">
        <v>0</v>
      </c>
      <c r="CE697" s="762">
        <v>0</v>
      </c>
      <c r="CF697" s="762">
        <v>0</v>
      </c>
      <c r="CG697" s="762">
        <v>0</v>
      </c>
      <c r="CH697" s="762">
        <v>0</v>
      </c>
      <c r="CI697" s="762">
        <v>0</v>
      </c>
      <c r="CJ697" s="762">
        <v>0</v>
      </c>
      <c r="CK697" s="762">
        <v>0</v>
      </c>
      <c r="CL697" s="762">
        <v>0</v>
      </c>
      <c r="CM697" s="762">
        <v>0</v>
      </c>
      <c r="CN697" s="762">
        <v>0</v>
      </c>
      <c r="CO697" s="762">
        <v>0</v>
      </c>
      <c r="CP697" s="762">
        <v>0</v>
      </c>
      <c r="CQ697" s="762">
        <v>0</v>
      </c>
      <c r="CR697" s="762">
        <v>0</v>
      </c>
    </row>
    <row r="698" spans="1:96" s="53" customFormat="1">
      <c r="A698" s="721" t="s">
        <v>3</v>
      </c>
      <c r="B698" s="723">
        <v>41750</v>
      </c>
      <c r="C698" s="721">
        <v>2014</v>
      </c>
      <c r="D698" s="713" t="s">
        <v>1</v>
      </c>
      <c r="E698" s="713" t="s">
        <v>674</v>
      </c>
      <c r="F698" s="723" t="s">
        <v>681</v>
      </c>
      <c r="G698" s="713" t="s">
        <v>58</v>
      </c>
      <c r="H698" s="723" t="s">
        <v>675</v>
      </c>
      <c r="I698" s="713" t="s">
        <v>5</v>
      </c>
      <c r="J698" s="713" t="s">
        <v>376</v>
      </c>
      <c r="K698" s="766">
        <v>19</v>
      </c>
      <c r="L698" s="766" t="s">
        <v>671</v>
      </c>
      <c r="M698" s="765" t="s">
        <v>758</v>
      </c>
      <c r="N698" s="765">
        <v>12</v>
      </c>
      <c r="O698" s="765">
        <v>3</v>
      </c>
      <c r="P698" s="735">
        <v>0.36842105263157893</v>
      </c>
      <c r="Q698" s="713" t="s">
        <v>58</v>
      </c>
      <c r="R698" s="713" t="s">
        <v>58</v>
      </c>
      <c r="S698" s="713" t="s">
        <v>58</v>
      </c>
      <c r="T698" s="713" t="s">
        <v>58</v>
      </c>
      <c r="U698" s="764">
        <v>1.083</v>
      </c>
      <c r="V698" s="764">
        <v>3522.9989999999998</v>
      </c>
      <c r="W698" s="764">
        <v>0.84940829235361825</v>
      </c>
      <c r="X698" s="764">
        <v>2910.6206984029072</v>
      </c>
      <c r="Y698" s="764">
        <v>18382.867568860467</v>
      </c>
      <c r="Z698" s="764">
        <v>17351.042974508444</v>
      </c>
      <c r="AA698" s="764">
        <v>2747.248470963837</v>
      </c>
      <c r="AB698" s="764">
        <v>0.80230304221370585</v>
      </c>
      <c r="AC698" s="714">
        <v>0.82617698682369967</v>
      </c>
      <c r="AD698" s="714">
        <v>0.7843105192554185</v>
      </c>
      <c r="AE698" s="713" t="s">
        <v>58</v>
      </c>
      <c r="AF698" s="713" t="s">
        <v>58</v>
      </c>
      <c r="AG698" s="713" t="s">
        <v>58</v>
      </c>
      <c r="AH698" s="714">
        <v>0.94387031345969796</v>
      </c>
      <c r="AI698" s="713" t="s">
        <v>58</v>
      </c>
      <c r="AJ698" s="713" t="s">
        <v>58</v>
      </c>
      <c r="AK698" s="713" t="s">
        <v>58</v>
      </c>
      <c r="AL698" s="714">
        <v>0.94454345387965444</v>
      </c>
      <c r="AM698" s="713" t="s">
        <v>58</v>
      </c>
      <c r="AN698" s="713" t="s">
        <v>58</v>
      </c>
      <c r="AO698" s="713" t="s">
        <v>58</v>
      </c>
      <c r="AP698" s="747">
        <v>73</v>
      </c>
      <c r="AQ698" s="747">
        <v>1387</v>
      </c>
      <c r="AR698" s="709"/>
      <c r="AS698" s="763">
        <v>0</v>
      </c>
      <c r="AT698" s="763">
        <v>0</v>
      </c>
      <c r="AU698" s="763">
        <v>0</v>
      </c>
      <c r="AV698" s="763">
        <v>0.80230304221370585</v>
      </c>
      <c r="AW698" s="763">
        <v>0.80230304221370585</v>
      </c>
      <c r="AX698" s="763">
        <v>0.80230304221370585</v>
      </c>
      <c r="AY698" s="763">
        <v>0.29558533134189163</v>
      </c>
      <c r="AZ698" s="763">
        <v>0.29558533134189163</v>
      </c>
      <c r="BA698" s="763">
        <v>0.29558533134189163</v>
      </c>
      <c r="BB698" s="763">
        <v>0.29558533134189163</v>
      </c>
      <c r="BC698" s="763">
        <v>0.29558533134189163</v>
      </c>
      <c r="BD698" s="763">
        <v>0.29558533134189163</v>
      </c>
      <c r="BE698" s="763">
        <v>0.29558533134189163</v>
      </c>
      <c r="BF698" s="763">
        <v>0.29558533134189163</v>
      </c>
      <c r="BG698" s="763">
        <v>0.29558533134189163</v>
      </c>
      <c r="BH698" s="763">
        <v>0</v>
      </c>
      <c r="BI698" s="763">
        <v>0</v>
      </c>
      <c r="BJ698" s="763">
        <v>0</v>
      </c>
      <c r="BK698" s="763">
        <v>0</v>
      </c>
      <c r="BL698" s="763">
        <v>0</v>
      </c>
      <c r="BM698" s="763">
        <v>0</v>
      </c>
      <c r="BN698" s="763">
        <v>0</v>
      </c>
      <c r="BO698" s="763">
        <v>0</v>
      </c>
      <c r="BP698" s="763">
        <v>0</v>
      </c>
      <c r="BQ698" s="763">
        <v>0</v>
      </c>
      <c r="BR698" s="763">
        <v>0</v>
      </c>
      <c r="BS698" s="762">
        <v>0</v>
      </c>
      <c r="BT698" s="762">
        <v>0</v>
      </c>
      <c r="BU698" s="762">
        <v>0</v>
      </c>
      <c r="BV698" s="762">
        <v>2747.248470963837</v>
      </c>
      <c r="BW698" s="762">
        <v>2747.248470963837</v>
      </c>
      <c r="BX698" s="762">
        <v>2747.248470963837</v>
      </c>
      <c r="BY698" s="762">
        <v>1012.1441735129926</v>
      </c>
      <c r="BZ698" s="762">
        <v>1012.1441735129926</v>
      </c>
      <c r="CA698" s="762">
        <v>1012.1441735129926</v>
      </c>
      <c r="CB698" s="762">
        <v>1012.1441735129926</v>
      </c>
      <c r="CC698" s="762">
        <v>1012.1441735129926</v>
      </c>
      <c r="CD698" s="762">
        <v>1012.1441735129926</v>
      </c>
      <c r="CE698" s="762">
        <v>1012.1441735129926</v>
      </c>
      <c r="CF698" s="762">
        <v>1012.1441735129926</v>
      </c>
      <c r="CG698" s="762">
        <v>1012.1441735129926</v>
      </c>
      <c r="CH698" s="762">
        <v>0</v>
      </c>
      <c r="CI698" s="762">
        <v>0</v>
      </c>
      <c r="CJ698" s="762">
        <v>0</v>
      </c>
      <c r="CK698" s="762">
        <v>0</v>
      </c>
      <c r="CL698" s="762">
        <v>0</v>
      </c>
      <c r="CM698" s="762">
        <v>0</v>
      </c>
      <c r="CN698" s="762">
        <v>0</v>
      </c>
      <c r="CO698" s="762">
        <v>0</v>
      </c>
      <c r="CP698" s="762">
        <v>0</v>
      </c>
      <c r="CQ698" s="762">
        <v>0</v>
      </c>
      <c r="CR698" s="762">
        <v>0</v>
      </c>
    </row>
    <row r="699" spans="1:96" s="53" customFormat="1">
      <c r="A699" s="721" t="s">
        <v>3</v>
      </c>
      <c r="B699" s="723">
        <v>41759</v>
      </c>
      <c r="C699" s="721">
        <v>2014</v>
      </c>
      <c r="D699" s="713" t="s">
        <v>1</v>
      </c>
      <c r="E699" s="713" t="s">
        <v>674</v>
      </c>
      <c r="F699" s="723" t="s">
        <v>673</v>
      </c>
      <c r="G699" s="713" t="s">
        <v>58</v>
      </c>
      <c r="H699" s="723" t="s">
        <v>677</v>
      </c>
      <c r="I699" s="713" t="s">
        <v>5</v>
      </c>
      <c r="J699" s="713" t="s">
        <v>376</v>
      </c>
      <c r="K699" s="766">
        <v>1</v>
      </c>
      <c r="L699" s="766" t="s">
        <v>671</v>
      </c>
      <c r="M699" s="765" t="s">
        <v>773</v>
      </c>
      <c r="N699" s="765">
        <v>0</v>
      </c>
      <c r="O699" s="765">
        <v>0</v>
      </c>
      <c r="P699" s="735">
        <v>0</v>
      </c>
      <c r="Q699" s="713" t="s">
        <v>58</v>
      </c>
      <c r="R699" s="713" t="s">
        <v>58</v>
      </c>
      <c r="S699" s="713" t="s">
        <v>58</v>
      </c>
      <c r="T699" s="713" t="s">
        <v>58</v>
      </c>
      <c r="U699" s="764">
        <v>0</v>
      </c>
      <c r="V699" s="764">
        <v>0</v>
      </c>
      <c r="W699" s="764">
        <v>0</v>
      </c>
      <c r="X699" s="764">
        <v>0</v>
      </c>
      <c r="Y699" s="764">
        <v>0</v>
      </c>
      <c r="Z699" s="764">
        <v>0</v>
      </c>
      <c r="AA699" s="764">
        <v>0</v>
      </c>
      <c r="AB699" s="764">
        <v>0</v>
      </c>
      <c r="AC699" s="714">
        <v>0.82617698682369967</v>
      </c>
      <c r="AD699" s="714">
        <v>0.7843105192554185</v>
      </c>
      <c r="AE699" s="713" t="s">
        <v>58</v>
      </c>
      <c r="AF699" s="713" t="s">
        <v>58</v>
      </c>
      <c r="AG699" s="713" t="s">
        <v>58</v>
      </c>
      <c r="AH699" s="714">
        <v>0.94387031345969796</v>
      </c>
      <c r="AI699" s="713" t="s">
        <v>58</v>
      </c>
      <c r="AJ699" s="713" t="s">
        <v>58</v>
      </c>
      <c r="AK699" s="713" t="s">
        <v>58</v>
      </c>
      <c r="AL699" s="714">
        <v>0.94454345387965444</v>
      </c>
      <c r="AM699" s="713" t="s">
        <v>58</v>
      </c>
      <c r="AN699" s="713" t="s">
        <v>58</v>
      </c>
      <c r="AO699" s="713" t="s">
        <v>58</v>
      </c>
      <c r="AP699" s="747">
        <v>51</v>
      </c>
      <c r="AQ699" s="747">
        <v>51</v>
      </c>
      <c r="AR699" s="709"/>
      <c r="AS699" s="763">
        <v>0</v>
      </c>
      <c r="AT699" s="763">
        <v>0</v>
      </c>
      <c r="AU699" s="763">
        <v>0</v>
      </c>
      <c r="AV699" s="763">
        <v>0</v>
      </c>
      <c r="AW699" s="763">
        <v>0</v>
      </c>
      <c r="AX699" s="763">
        <v>0</v>
      </c>
      <c r="AY699" s="763">
        <v>0</v>
      </c>
      <c r="AZ699" s="763">
        <v>0</v>
      </c>
      <c r="BA699" s="763">
        <v>0</v>
      </c>
      <c r="BB699" s="763">
        <v>0</v>
      </c>
      <c r="BC699" s="763">
        <v>0</v>
      </c>
      <c r="BD699" s="763">
        <v>0</v>
      </c>
      <c r="BE699" s="763">
        <v>0</v>
      </c>
      <c r="BF699" s="763">
        <v>0</v>
      </c>
      <c r="BG699" s="763">
        <v>0</v>
      </c>
      <c r="BH699" s="763">
        <v>0</v>
      </c>
      <c r="BI699" s="763">
        <v>0</v>
      </c>
      <c r="BJ699" s="763">
        <v>0</v>
      </c>
      <c r="BK699" s="763">
        <v>0</v>
      </c>
      <c r="BL699" s="763">
        <v>0</v>
      </c>
      <c r="BM699" s="763">
        <v>0</v>
      </c>
      <c r="BN699" s="763">
        <v>0</v>
      </c>
      <c r="BO699" s="763">
        <v>0</v>
      </c>
      <c r="BP699" s="763">
        <v>0</v>
      </c>
      <c r="BQ699" s="763">
        <v>0</v>
      </c>
      <c r="BR699" s="763">
        <v>0</v>
      </c>
      <c r="BS699" s="762">
        <v>0</v>
      </c>
      <c r="BT699" s="762">
        <v>0</v>
      </c>
      <c r="BU699" s="762">
        <v>0</v>
      </c>
      <c r="BV699" s="762">
        <v>0</v>
      </c>
      <c r="BW699" s="762">
        <v>0</v>
      </c>
      <c r="BX699" s="762">
        <v>0</v>
      </c>
      <c r="BY699" s="762">
        <v>0</v>
      </c>
      <c r="BZ699" s="762">
        <v>0</v>
      </c>
      <c r="CA699" s="762">
        <v>0</v>
      </c>
      <c r="CB699" s="762">
        <v>0</v>
      </c>
      <c r="CC699" s="762">
        <v>0</v>
      </c>
      <c r="CD699" s="762">
        <v>0</v>
      </c>
      <c r="CE699" s="762">
        <v>0</v>
      </c>
      <c r="CF699" s="762">
        <v>0</v>
      </c>
      <c r="CG699" s="762">
        <v>0</v>
      </c>
      <c r="CH699" s="762">
        <v>0</v>
      </c>
      <c r="CI699" s="762">
        <v>0</v>
      </c>
      <c r="CJ699" s="762">
        <v>0</v>
      </c>
      <c r="CK699" s="762">
        <v>0</v>
      </c>
      <c r="CL699" s="762">
        <v>0</v>
      </c>
      <c r="CM699" s="762">
        <v>0</v>
      </c>
      <c r="CN699" s="762">
        <v>0</v>
      </c>
      <c r="CO699" s="762">
        <v>0</v>
      </c>
      <c r="CP699" s="762">
        <v>0</v>
      </c>
      <c r="CQ699" s="762">
        <v>0</v>
      </c>
      <c r="CR699" s="762">
        <v>0</v>
      </c>
    </row>
    <row r="700" spans="1:96" s="53" customFormat="1">
      <c r="A700" s="721" t="s">
        <v>3</v>
      </c>
      <c r="B700" s="723">
        <v>41759</v>
      </c>
      <c r="C700" s="721">
        <v>2014</v>
      </c>
      <c r="D700" s="713" t="s">
        <v>1</v>
      </c>
      <c r="E700" s="713" t="s">
        <v>674</v>
      </c>
      <c r="F700" s="723" t="s">
        <v>673</v>
      </c>
      <c r="G700" s="713" t="s">
        <v>58</v>
      </c>
      <c r="H700" s="723" t="s">
        <v>675</v>
      </c>
      <c r="I700" s="713" t="s">
        <v>5</v>
      </c>
      <c r="J700" s="713" t="s">
        <v>376</v>
      </c>
      <c r="K700" s="766">
        <v>6</v>
      </c>
      <c r="L700" s="766" t="s">
        <v>671</v>
      </c>
      <c r="M700" s="765" t="s">
        <v>773</v>
      </c>
      <c r="N700" s="765">
        <v>12</v>
      </c>
      <c r="O700" s="765">
        <v>3</v>
      </c>
      <c r="P700" s="735">
        <v>0.36842105263157893</v>
      </c>
      <c r="Q700" s="713" t="s">
        <v>58</v>
      </c>
      <c r="R700" s="713" t="s">
        <v>58</v>
      </c>
      <c r="S700" s="713" t="s">
        <v>58</v>
      </c>
      <c r="T700" s="713" t="s">
        <v>58</v>
      </c>
      <c r="U700" s="764">
        <v>0.34200000000000003</v>
      </c>
      <c r="V700" s="764">
        <v>887.14800000000002</v>
      </c>
      <c r="W700" s="764">
        <v>0.26823419758535316</v>
      </c>
      <c r="X700" s="764">
        <v>732.94126150667148</v>
      </c>
      <c r="Y700" s="764">
        <v>4629.1027042526621</v>
      </c>
      <c r="Z700" s="764">
        <v>4369.2726205000954</v>
      </c>
      <c r="AA700" s="764">
        <v>691.80149824584851</v>
      </c>
      <c r="AB700" s="764">
        <v>0.25335885543590714</v>
      </c>
      <c r="AC700" s="714">
        <v>0.82617698682369967</v>
      </c>
      <c r="AD700" s="714">
        <v>0.7843105192554185</v>
      </c>
      <c r="AE700" s="713" t="s">
        <v>58</v>
      </c>
      <c r="AF700" s="713" t="s">
        <v>58</v>
      </c>
      <c r="AG700" s="713" t="s">
        <v>58</v>
      </c>
      <c r="AH700" s="714">
        <v>0.94387031345969796</v>
      </c>
      <c r="AI700" s="713" t="s">
        <v>58</v>
      </c>
      <c r="AJ700" s="713" t="s">
        <v>58</v>
      </c>
      <c r="AK700" s="713" t="s">
        <v>58</v>
      </c>
      <c r="AL700" s="714">
        <v>0.94454345387965444</v>
      </c>
      <c r="AM700" s="713" t="s">
        <v>58</v>
      </c>
      <c r="AN700" s="713" t="s">
        <v>58</v>
      </c>
      <c r="AO700" s="713" t="s">
        <v>58</v>
      </c>
      <c r="AP700" s="747">
        <v>73</v>
      </c>
      <c r="AQ700" s="747">
        <v>438</v>
      </c>
      <c r="AR700" s="709"/>
      <c r="AS700" s="763">
        <v>0</v>
      </c>
      <c r="AT700" s="763">
        <v>0</v>
      </c>
      <c r="AU700" s="763">
        <v>0</v>
      </c>
      <c r="AV700" s="763">
        <v>0.25335885543590714</v>
      </c>
      <c r="AW700" s="763">
        <v>0.25335885543590714</v>
      </c>
      <c r="AX700" s="763">
        <v>0.25335885543590714</v>
      </c>
      <c r="AY700" s="763">
        <v>9.3342736213228944E-2</v>
      </c>
      <c r="AZ700" s="763">
        <v>9.3342736213228944E-2</v>
      </c>
      <c r="BA700" s="763">
        <v>9.3342736213228944E-2</v>
      </c>
      <c r="BB700" s="763">
        <v>9.3342736213228944E-2</v>
      </c>
      <c r="BC700" s="763">
        <v>9.3342736213228944E-2</v>
      </c>
      <c r="BD700" s="763">
        <v>9.3342736213228944E-2</v>
      </c>
      <c r="BE700" s="763">
        <v>9.3342736213228944E-2</v>
      </c>
      <c r="BF700" s="763">
        <v>9.3342736213228944E-2</v>
      </c>
      <c r="BG700" s="763">
        <v>9.3342736213228944E-2</v>
      </c>
      <c r="BH700" s="763">
        <v>0</v>
      </c>
      <c r="BI700" s="763">
        <v>0</v>
      </c>
      <c r="BJ700" s="763">
        <v>0</v>
      </c>
      <c r="BK700" s="763">
        <v>0</v>
      </c>
      <c r="BL700" s="763">
        <v>0</v>
      </c>
      <c r="BM700" s="763">
        <v>0</v>
      </c>
      <c r="BN700" s="763">
        <v>0</v>
      </c>
      <c r="BO700" s="763">
        <v>0</v>
      </c>
      <c r="BP700" s="763">
        <v>0</v>
      </c>
      <c r="BQ700" s="763">
        <v>0</v>
      </c>
      <c r="BR700" s="763">
        <v>0</v>
      </c>
      <c r="BS700" s="762">
        <v>0</v>
      </c>
      <c r="BT700" s="762">
        <v>0</v>
      </c>
      <c r="BU700" s="762">
        <v>0</v>
      </c>
      <c r="BV700" s="762">
        <v>691.80149824584851</v>
      </c>
      <c r="BW700" s="762">
        <v>691.80149824584851</v>
      </c>
      <c r="BX700" s="762">
        <v>691.80149824584851</v>
      </c>
      <c r="BY700" s="762">
        <v>254.8742361958389</v>
      </c>
      <c r="BZ700" s="762">
        <v>254.8742361958389</v>
      </c>
      <c r="CA700" s="762">
        <v>254.8742361958389</v>
      </c>
      <c r="CB700" s="762">
        <v>254.8742361958389</v>
      </c>
      <c r="CC700" s="762">
        <v>254.8742361958389</v>
      </c>
      <c r="CD700" s="762">
        <v>254.8742361958389</v>
      </c>
      <c r="CE700" s="762">
        <v>254.8742361958389</v>
      </c>
      <c r="CF700" s="762">
        <v>254.8742361958389</v>
      </c>
      <c r="CG700" s="762">
        <v>254.8742361958389</v>
      </c>
      <c r="CH700" s="762">
        <v>0</v>
      </c>
      <c r="CI700" s="762">
        <v>0</v>
      </c>
      <c r="CJ700" s="762">
        <v>0</v>
      </c>
      <c r="CK700" s="762">
        <v>0</v>
      </c>
      <c r="CL700" s="762">
        <v>0</v>
      </c>
      <c r="CM700" s="762">
        <v>0</v>
      </c>
      <c r="CN700" s="762">
        <v>0</v>
      </c>
      <c r="CO700" s="762">
        <v>0</v>
      </c>
      <c r="CP700" s="762">
        <v>0</v>
      </c>
      <c r="CQ700" s="762">
        <v>0</v>
      </c>
      <c r="CR700" s="762">
        <v>0</v>
      </c>
    </row>
    <row r="701" spans="1:96" s="53" customFormat="1">
      <c r="A701" s="721" t="s">
        <v>3</v>
      </c>
      <c r="B701" s="723">
        <v>41759</v>
      </c>
      <c r="C701" s="721">
        <v>2014</v>
      </c>
      <c r="D701" s="713" t="s">
        <v>1</v>
      </c>
      <c r="E701" s="713" t="s">
        <v>674</v>
      </c>
      <c r="F701" s="723" t="s">
        <v>673</v>
      </c>
      <c r="G701" s="713" t="s">
        <v>58</v>
      </c>
      <c r="H701" s="723" t="s">
        <v>675</v>
      </c>
      <c r="I701" s="713" t="s">
        <v>5</v>
      </c>
      <c r="J701" s="713" t="s">
        <v>376</v>
      </c>
      <c r="K701" s="766">
        <v>3</v>
      </c>
      <c r="L701" s="766" t="s">
        <v>671</v>
      </c>
      <c r="M701" s="765" t="s">
        <v>773</v>
      </c>
      <c r="N701" s="765">
        <v>12</v>
      </c>
      <c r="O701" s="765">
        <v>3</v>
      </c>
      <c r="P701" s="735">
        <v>0.36842105263157893</v>
      </c>
      <c r="Q701" s="713" t="s">
        <v>58</v>
      </c>
      <c r="R701" s="713" t="s">
        <v>58</v>
      </c>
      <c r="S701" s="713" t="s">
        <v>58</v>
      </c>
      <c r="T701" s="713" t="s">
        <v>58</v>
      </c>
      <c r="U701" s="764">
        <v>0.17100000000000001</v>
      </c>
      <c r="V701" s="764">
        <v>443.57400000000001</v>
      </c>
      <c r="W701" s="764">
        <v>0.13411709879267658</v>
      </c>
      <c r="X701" s="764">
        <v>366.47063075333574</v>
      </c>
      <c r="Y701" s="764">
        <v>2314.551352126331</v>
      </c>
      <c r="Z701" s="764">
        <v>2184.6363102500477</v>
      </c>
      <c r="AA701" s="764">
        <v>345.90074912292425</v>
      </c>
      <c r="AB701" s="764">
        <v>0.12667942771795357</v>
      </c>
      <c r="AC701" s="714">
        <v>0.82617698682369967</v>
      </c>
      <c r="AD701" s="714">
        <v>0.7843105192554185</v>
      </c>
      <c r="AE701" s="713" t="s">
        <v>58</v>
      </c>
      <c r="AF701" s="713" t="s">
        <v>58</v>
      </c>
      <c r="AG701" s="713" t="s">
        <v>58</v>
      </c>
      <c r="AH701" s="714">
        <v>0.94387031345969796</v>
      </c>
      <c r="AI701" s="713" t="s">
        <v>58</v>
      </c>
      <c r="AJ701" s="713" t="s">
        <v>58</v>
      </c>
      <c r="AK701" s="713" t="s">
        <v>58</v>
      </c>
      <c r="AL701" s="714">
        <v>0.94454345387965444</v>
      </c>
      <c r="AM701" s="713" t="s">
        <v>58</v>
      </c>
      <c r="AN701" s="713" t="s">
        <v>58</v>
      </c>
      <c r="AO701" s="713" t="s">
        <v>58</v>
      </c>
      <c r="AP701" s="747">
        <v>73</v>
      </c>
      <c r="AQ701" s="747">
        <v>219</v>
      </c>
      <c r="AR701" s="709"/>
      <c r="AS701" s="763">
        <v>0</v>
      </c>
      <c r="AT701" s="763">
        <v>0</v>
      </c>
      <c r="AU701" s="763">
        <v>0</v>
      </c>
      <c r="AV701" s="763">
        <v>0.12667942771795357</v>
      </c>
      <c r="AW701" s="763">
        <v>0.12667942771795357</v>
      </c>
      <c r="AX701" s="763">
        <v>0.12667942771795357</v>
      </c>
      <c r="AY701" s="763">
        <v>4.6671368106614472E-2</v>
      </c>
      <c r="AZ701" s="763">
        <v>4.6671368106614472E-2</v>
      </c>
      <c r="BA701" s="763">
        <v>4.6671368106614472E-2</v>
      </c>
      <c r="BB701" s="763">
        <v>4.6671368106614472E-2</v>
      </c>
      <c r="BC701" s="763">
        <v>4.6671368106614472E-2</v>
      </c>
      <c r="BD701" s="763">
        <v>4.6671368106614472E-2</v>
      </c>
      <c r="BE701" s="763">
        <v>4.6671368106614472E-2</v>
      </c>
      <c r="BF701" s="763">
        <v>4.6671368106614472E-2</v>
      </c>
      <c r="BG701" s="763">
        <v>4.6671368106614472E-2</v>
      </c>
      <c r="BH701" s="763">
        <v>0</v>
      </c>
      <c r="BI701" s="763">
        <v>0</v>
      </c>
      <c r="BJ701" s="763">
        <v>0</v>
      </c>
      <c r="BK701" s="763">
        <v>0</v>
      </c>
      <c r="BL701" s="763">
        <v>0</v>
      </c>
      <c r="BM701" s="763">
        <v>0</v>
      </c>
      <c r="BN701" s="763">
        <v>0</v>
      </c>
      <c r="BO701" s="763">
        <v>0</v>
      </c>
      <c r="BP701" s="763">
        <v>0</v>
      </c>
      <c r="BQ701" s="763">
        <v>0</v>
      </c>
      <c r="BR701" s="763">
        <v>0</v>
      </c>
      <c r="BS701" s="762">
        <v>0</v>
      </c>
      <c r="BT701" s="762">
        <v>0</v>
      </c>
      <c r="BU701" s="762">
        <v>0</v>
      </c>
      <c r="BV701" s="762">
        <v>345.90074912292425</v>
      </c>
      <c r="BW701" s="762">
        <v>345.90074912292425</v>
      </c>
      <c r="BX701" s="762">
        <v>345.90074912292425</v>
      </c>
      <c r="BY701" s="762">
        <v>127.43711809791945</v>
      </c>
      <c r="BZ701" s="762">
        <v>127.43711809791945</v>
      </c>
      <c r="CA701" s="762">
        <v>127.43711809791945</v>
      </c>
      <c r="CB701" s="762">
        <v>127.43711809791945</v>
      </c>
      <c r="CC701" s="762">
        <v>127.43711809791945</v>
      </c>
      <c r="CD701" s="762">
        <v>127.43711809791945</v>
      </c>
      <c r="CE701" s="762">
        <v>127.43711809791945</v>
      </c>
      <c r="CF701" s="762">
        <v>127.43711809791945</v>
      </c>
      <c r="CG701" s="762">
        <v>127.43711809791945</v>
      </c>
      <c r="CH701" s="762">
        <v>0</v>
      </c>
      <c r="CI701" s="762">
        <v>0</v>
      </c>
      <c r="CJ701" s="762">
        <v>0</v>
      </c>
      <c r="CK701" s="762">
        <v>0</v>
      </c>
      <c r="CL701" s="762">
        <v>0</v>
      </c>
      <c r="CM701" s="762">
        <v>0</v>
      </c>
      <c r="CN701" s="762">
        <v>0</v>
      </c>
      <c r="CO701" s="762">
        <v>0</v>
      </c>
      <c r="CP701" s="762">
        <v>0</v>
      </c>
      <c r="CQ701" s="762">
        <v>0</v>
      </c>
      <c r="CR701" s="762">
        <v>0</v>
      </c>
    </row>
    <row r="702" spans="1:96" s="53" customFormat="1">
      <c r="A702" s="721" t="s">
        <v>3</v>
      </c>
      <c r="B702" s="723">
        <v>41759</v>
      </c>
      <c r="C702" s="721">
        <v>2014</v>
      </c>
      <c r="D702" s="713" t="s">
        <v>1</v>
      </c>
      <c r="E702" s="713" t="s">
        <v>674</v>
      </c>
      <c r="F702" s="723" t="s">
        <v>673</v>
      </c>
      <c r="G702" s="713" t="s">
        <v>58</v>
      </c>
      <c r="H702" s="723" t="s">
        <v>675</v>
      </c>
      <c r="I702" s="713" t="s">
        <v>5</v>
      </c>
      <c r="J702" s="713" t="s">
        <v>376</v>
      </c>
      <c r="K702" s="766">
        <v>1</v>
      </c>
      <c r="L702" s="766" t="s">
        <v>671</v>
      </c>
      <c r="M702" s="765" t="s">
        <v>773</v>
      </c>
      <c r="N702" s="765">
        <v>12</v>
      </c>
      <c r="O702" s="765">
        <v>3</v>
      </c>
      <c r="P702" s="735">
        <v>0.36842105263157893</v>
      </c>
      <c r="Q702" s="713" t="s">
        <v>58</v>
      </c>
      <c r="R702" s="713" t="s">
        <v>58</v>
      </c>
      <c r="S702" s="713" t="s">
        <v>58</v>
      </c>
      <c r="T702" s="713" t="s">
        <v>58</v>
      </c>
      <c r="U702" s="764">
        <v>5.7000000000000002E-2</v>
      </c>
      <c r="V702" s="764">
        <v>147.858</v>
      </c>
      <c r="W702" s="764">
        <v>4.4705699597558865E-2</v>
      </c>
      <c r="X702" s="764">
        <v>122.15687691777859</v>
      </c>
      <c r="Y702" s="764">
        <v>771.5171173754436</v>
      </c>
      <c r="Z702" s="764">
        <v>728.21210341668257</v>
      </c>
      <c r="AA702" s="764">
        <v>115.30024970764141</v>
      </c>
      <c r="AB702" s="764">
        <v>4.222647590598453E-2</v>
      </c>
      <c r="AC702" s="714">
        <v>0.82617698682369967</v>
      </c>
      <c r="AD702" s="714">
        <v>0.7843105192554185</v>
      </c>
      <c r="AE702" s="713" t="s">
        <v>58</v>
      </c>
      <c r="AF702" s="713" t="s">
        <v>58</v>
      </c>
      <c r="AG702" s="713" t="s">
        <v>58</v>
      </c>
      <c r="AH702" s="714">
        <v>0.94387031345969796</v>
      </c>
      <c r="AI702" s="713" t="s">
        <v>58</v>
      </c>
      <c r="AJ702" s="713" t="s">
        <v>58</v>
      </c>
      <c r="AK702" s="713" t="s">
        <v>58</v>
      </c>
      <c r="AL702" s="714">
        <v>0.94454345387965444</v>
      </c>
      <c r="AM702" s="713" t="s">
        <v>58</v>
      </c>
      <c r="AN702" s="713" t="s">
        <v>58</v>
      </c>
      <c r="AO702" s="713" t="s">
        <v>58</v>
      </c>
      <c r="AP702" s="747">
        <v>73</v>
      </c>
      <c r="AQ702" s="747">
        <v>73</v>
      </c>
      <c r="AR702" s="709"/>
      <c r="AS702" s="763">
        <v>0</v>
      </c>
      <c r="AT702" s="763">
        <v>0</v>
      </c>
      <c r="AU702" s="763">
        <v>0</v>
      </c>
      <c r="AV702" s="763">
        <v>4.222647590598453E-2</v>
      </c>
      <c r="AW702" s="763">
        <v>4.222647590598453E-2</v>
      </c>
      <c r="AX702" s="763">
        <v>4.222647590598453E-2</v>
      </c>
      <c r="AY702" s="763">
        <v>1.5557122702204825E-2</v>
      </c>
      <c r="AZ702" s="763">
        <v>1.5557122702204825E-2</v>
      </c>
      <c r="BA702" s="763">
        <v>1.5557122702204825E-2</v>
      </c>
      <c r="BB702" s="763">
        <v>1.5557122702204825E-2</v>
      </c>
      <c r="BC702" s="763">
        <v>1.5557122702204825E-2</v>
      </c>
      <c r="BD702" s="763">
        <v>1.5557122702204825E-2</v>
      </c>
      <c r="BE702" s="763">
        <v>1.5557122702204825E-2</v>
      </c>
      <c r="BF702" s="763">
        <v>1.5557122702204825E-2</v>
      </c>
      <c r="BG702" s="763">
        <v>1.5557122702204825E-2</v>
      </c>
      <c r="BH702" s="763">
        <v>0</v>
      </c>
      <c r="BI702" s="763">
        <v>0</v>
      </c>
      <c r="BJ702" s="763">
        <v>0</v>
      </c>
      <c r="BK702" s="763">
        <v>0</v>
      </c>
      <c r="BL702" s="763">
        <v>0</v>
      </c>
      <c r="BM702" s="763">
        <v>0</v>
      </c>
      <c r="BN702" s="763">
        <v>0</v>
      </c>
      <c r="BO702" s="763">
        <v>0</v>
      </c>
      <c r="BP702" s="763">
        <v>0</v>
      </c>
      <c r="BQ702" s="763">
        <v>0</v>
      </c>
      <c r="BR702" s="763">
        <v>0</v>
      </c>
      <c r="BS702" s="762">
        <v>0</v>
      </c>
      <c r="BT702" s="762">
        <v>0</v>
      </c>
      <c r="BU702" s="762">
        <v>0</v>
      </c>
      <c r="BV702" s="762">
        <v>115.30024970764141</v>
      </c>
      <c r="BW702" s="762">
        <v>115.30024970764141</v>
      </c>
      <c r="BX702" s="762">
        <v>115.30024970764141</v>
      </c>
      <c r="BY702" s="762">
        <v>42.479039365973151</v>
      </c>
      <c r="BZ702" s="762">
        <v>42.479039365973151</v>
      </c>
      <c r="CA702" s="762">
        <v>42.479039365973151</v>
      </c>
      <c r="CB702" s="762">
        <v>42.479039365973151</v>
      </c>
      <c r="CC702" s="762">
        <v>42.479039365973151</v>
      </c>
      <c r="CD702" s="762">
        <v>42.479039365973151</v>
      </c>
      <c r="CE702" s="762">
        <v>42.479039365973151</v>
      </c>
      <c r="CF702" s="762">
        <v>42.479039365973151</v>
      </c>
      <c r="CG702" s="762">
        <v>42.479039365973151</v>
      </c>
      <c r="CH702" s="762">
        <v>0</v>
      </c>
      <c r="CI702" s="762">
        <v>0</v>
      </c>
      <c r="CJ702" s="762">
        <v>0</v>
      </c>
      <c r="CK702" s="762">
        <v>0</v>
      </c>
      <c r="CL702" s="762">
        <v>0</v>
      </c>
      <c r="CM702" s="762">
        <v>0</v>
      </c>
      <c r="CN702" s="762">
        <v>0</v>
      </c>
      <c r="CO702" s="762">
        <v>0</v>
      </c>
      <c r="CP702" s="762">
        <v>0</v>
      </c>
      <c r="CQ702" s="762">
        <v>0</v>
      </c>
      <c r="CR702" s="762">
        <v>0</v>
      </c>
    </row>
    <row r="703" spans="1:96" s="53" customFormat="1">
      <c r="A703" s="721" t="s">
        <v>3</v>
      </c>
      <c r="B703" s="723">
        <v>41759</v>
      </c>
      <c r="C703" s="721">
        <v>2014</v>
      </c>
      <c r="D703" s="713" t="s">
        <v>1</v>
      </c>
      <c r="E703" s="713" t="s">
        <v>674</v>
      </c>
      <c r="F703" s="723" t="s">
        <v>673</v>
      </c>
      <c r="G703" s="713" t="s">
        <v>58</v>
      </c>
      <c r="H703" s="723" t="s">
        <v>675</v>
      </c>
      <c r="I703" s="713" t="s">
        <v>5</v>
      </c>
      <c r="J703" s="713" t="s">
        <v>376</v>
      </c>
      <c r="K703" s="766">
        <v>7</v>
      </c>
      <c r="L703" s="766" t="s">
        <v>671</v>
      </c>
      <c r="M703" s="765" t="s">
        <v>773</v>
      </c>
      <c r="N703" s="765">
        <v>12</v>
      </c>
      <c r="O703" s="765">
        <v>3</v>
      </c>
      <c r="P703" s="735">
        <v>0.36842105263157893</v>
      </c>
      <c r="Q703" s="713" t="s">
        <v>58</v>
      </c>
      <c r="R703" s="713" t="s">
        <v>58</v>
      </c>
      <c r="S703" s="713" t="s">
        <v>58</v>
      </c>
      <c r="T703" s="713" t="s">
        <v>58</v>
      </c>
      <c r="U703" s="764">
        <v>0.39900000000000002</v>
      </c>
      <c r="V703" s="764">
        <v>1035.0060000000001</v>
      </c>
      <c r="W703" s="764">
        <v>0.31293989718291204</v>
      </c>
      <c r="X703" s="764">
        <v>855.0981384244501</v>
      </c>
      <c r="Y703" s="764">
        <v>5400.6198216281064</v>
      </c>
      <c r="Z703" s="764">
        <v>5097.4847239167784</v>
      </c>
      <c r="AA703" s="764">
        <v>807.10174795348996</v>
      </c>
      <c r="AB703" s="764">
        <v>0.29558533134189169</v>
      </c>
      <c r="AC703" s="714">
        <v>0.82617698682369967</v>
      </c>
      <c r="AD703" s="714">
        <v>0.7843105192554185</v>
      </c>
      <c r="AE703" s="713" t="s">
        <v>58</v>
      </c>
      <c r="AF703" s="713" t="s">
        <v>58</v>
      </c>
      <c r="AG703" s="713" t="s">
        <v>58</v>
      </c>
      <c r="AH703" s="714">
        <v>0.94387031345969796</v>
      </c>
      <c r="AI703" s="713" t="s">
        <v>58</v>
      </c>
      <c r="AJ703" s="713" t="s">
        <v>58</v>
      </c>
      <c r="AK703" s="713" t="s">
        <v>58</v>
      </c>
      <c r="AL703" s="714">
        <v>0.94454345387965444</v>
      </c>
      <c r="AM703" s="713" t="s">
        <v>58</v>
      </c>
      <c r="AN703" s="713" t="s">
        <v>58</v>
      </c>
      <c r="AO703" s="713" t="s">
        <v>58</v>
      </c>
      <c r="AP703" s="747">
        <v>73</v>
      </c>
      <c r="AQ703" s="747">
        <v>511</v>
      </c>
      <c r="AR703" s="709"/>
      <c r="AS703" s="763">
        <v>0</v>
      </c>
      <c r="AT703" s="763">
        <v>0</v>
      </c>
      <c r="AU703" s="763">
        <v>0</v>
      </c>
      <c r="AV703" s="763">
        <v>0.29558533134189169</v>
      </c>
      <c r="AW703" s="763">
        <v>0.29558533134189169</v>
      </c>
      <c r="AX703" s="763">
        <v>0.29558533134189169</v>
      </c>
      <c r="AY703" s="763">
        <v>0.10889985891543377</v>
      </c>
      <c r="AZ703" s="763">
        <v>0.10889985891543377</v>
      </c>
      <c r="BA703" s="763">
        <v>0.10889985891543377</v>
      </c>
      <c r="BB703" s="763">
        <v>0.10889985891543377</v>
      </c>
      <c r="BC703" s="763">
        <v>0.10889985891543377</v>
      </c>
      <c r="BD703" s="763">
        <v>0.10889985891543377</v>
      </c>
      <c r="BE703" s="763">
        <v>0.10889985891543377</v>
      </c>
      <c r="BF703" s="763">
        <v>0.10889985891543377</v>
      </c>
      <c r="BG703" s="763">
        <v>0.10889985891543377</v>
      </c>
      <c r="BH703" s="763">
        <v>0</v>
      </c>
      <c r="BI703" s="763">
        <v>0</v>
      </c>
      <c r="BJ703" s="763">
        <v>0</v>
      </c>
      <c r="BK703" s="763">
        <v>0</v>
      </c>
      <c r="BL703" s="763">
        <v>0</v>
      </c>
      <c r="BM703" s="763">
        <v>0</v>
      </c>
      <c r="BN703" s="763">
        <v>0</v>
      </c>
      <c r="BO703" s="763">
        <v>0</v>
      </c>
      <c r="BP703" s="763">
        <v>0</v>
      </c>
      <c r="BQ703" s="763">
        <v>0</v>
      </c>
      <c r="BR703" s="763">
        <v>0</v>
      </c>
      <c r="BS703" s="762">
        <v>0</v>
      </c>
      <c r="BT703" s="762">
        <v>0</v>
      </c>
      <c r="BU703" s="762">
        <v>0</v>
      </c>
      <c r="BV703" s="762">
        <v>807.10174795348996</v>
      </c>
      <c r="BW703" s="762">
        <v>807.10174795348996</v>
      </c>
      <c r="BX703" s="762">
        <v>807.10174795348996</v>
      </c>
      <c r="BY703" s="762">
        <v>297.3532755618121</v>
      </c>
      <c r="BZ703" s="762">
        <v>297.3532755618121</v>
      </c>
      <c r="CA703" s="762">
        <v>297.3532755618121</v>
      </c>
      <c r="CB703" s="762">
        <v>297.3532755618121</v>
      </c>
      <c r="CC703" s="762">
        <v>297.3532755618121</v>
      </c>
      <c r="CD703" s="762">
        <v>297.3532755618121</v>
      </c>
      <c r="CE703" s="762">
        <v>297.3532755618121</v>
      </c>
      <c r="CF703" s="762">
        <v>297.3532755618121</v>
      </c>
      <c r="CG703" s="762">
        <v>297.3532755618121</v>
      </c>
      <c r="CH703" s="762">
        <v>0</v>
      </c>
      <c r="CI703" s="762">
        <v>0</v>
      </c>
      <c r="CJ703" s="762">
        <v>0</v>
      </c>
      <c r="CK703" s="762">
        <v>0</v>
      </c>
      <c r="CL703" s="762">
        <v>0</v>
      </c>
      <c r="CM703" s="762">
        <v>0</v>
      </c>
      <c r="CN703" s="762">
        <v>0</v>
      </c>
      <c r="CO703" s="762">
        <v>0</v>
      </c>
      <c r="CP703" s="762">
        <v>0</v>
      </c>
      <c r="CQ703" s="762">
        <v>0</v>
      </c>
      <c r="CR703" s="762">
        <v>0</v>
      </c>
    </row>
    <row r="704" spans="1:96" s="53" customFormat="1">
      <c r="A704" s="721" t="s">
        <v>3</v>
      </c>
      <c r="B704" s="723">
        <v>41759</v>
      </c>
      <c r="C704" s="721">
        <v>2014</v>
      </c>
      <c r="D704" s="713" t="s">
        <v>1</v>
      </c>
      <c r="E704" s="713" t="s">
        <v>674</v>
      </c>
      <c r="F704" s="723" t="s">
        <v>673</v>
      </c>
      <c r="G704" s="713" t="s">
        <v>58</v>
      </c>
      <c r="H704" s="723" t="s">
        <v>672</v>
      </c>
      <c r="I704" s="713" t="s">
        <v>5</v>
      </c>
      <c r="J704" s="713" t="s">
        <v>376</v>
      </c>
      <c r="K704" s="766">
        <v>4</v>
      </c>
      <c r="L704" s="766" t="s">
        <v>671</v>
      </c>
      <c r="M704" s="765" t="s">
        <v>773</v>
      </c>
      <c r="N704" s="765">
        <v>11</v>
      </c>
      <c r="O704" s="765" t="s">
        <v>7</v>
      </c>
      <c r="P704" s="735">
        <v>1</v>
      </c>
      <c r="Q704" s="713" t="s">
        <v>58</v>
      </c>
      <c r="R704" s="713" t="s">
        <v>58</v>
      </c>
      <c r="S704" s="713" t="s">
        <v>58</v>
      </c>
      <c r="T704" s="713" t="s">
        <v>58</v>
      </c>
      <c r="U704" s="764">
        <v>0.13</v>
      </c>
      <c r="V704" s="764">
        <v>400.66</v>
      </c>
      <c r="W704" s="764">
        <v>0.10196036750320443</v>
      </c>
      <c r="X704" s="764">
        <v>331.01607154078351</v>
      </c>
      <c r="Y704" s="764">
        <v>3641.1767869486184</v>
      </c>
      <c r="Z704" s="764">
        <v>3436.7986752593683</v>
      </c>
      <c r="AA704" s="764">
        <v>312.43624320539715</v>
      </c>
      <c r="AB704" s="764">
        <v>9.63059976803156E-2</v>
      </c>
      <c r="AC704" s="714">
        <v>0.82617698682369967</v>
      </c>
      <c r="AD704" s="714">
        <v>0.7843105192554185</v>
      </c>
      <c r="AE704" s="713" t="s">
        <v>58</v>
      </c>
      <c r="AF704" s="713" t="s">
        <v>58</v>
      </c>
      <c r="AG704" s="713" t="s">
        <v>58</v>
      </c>
      <c r="AH704" s="714">
        <v>0.94387031345969796</v>
      </c>
      <c r="AI704" s="713" t="s">
        <v>58</v>
      </c>
      <c r="AJ704" s="713" t="s">
        <v>58</v>
      </c>
      <c r="AK704" s="713" t="s">
        <v>58</v>
      </c>
      <c r="AL704" s="714">
        <v>0.94454345387965444</v>
      </c>
      <c r="AM704" s="713" t="s">
        <v>58</v>
      </c>
      <c r="AN704" s="713" t="s">
        <v>58</v>
      </c>
      <c r="AO704" s="713" t="s">
        <v>58</v>
      </c>
      <c r="AP704" s="747">
        <v>50</v>
      </c>
      <c r="AQ704" s="747">
        <v>200</v>
      </c>
      <c r="AR704" s="709"/>
      <c r="AS704" s="763">
        <v>0</v>
      </c>
      <c r="AT704" s="763">
        <v>0</v>
      </c>
      <c r="AU704" s="763">
        <v>0</v>
      </c>
      <c r="AV704" s="763">
        <v>9.63059976803156E-2</v>
      </c>
      <c r="AW704" s="763">
        <v>9.63059976803156E-2</v>
      </c>
      <c r="AX704" s="763">
        <v>9.63059976803156E-2</v>
      </c>
      <c r="AY704" s="763">
        <v>9.63059976803156E-2</v>
      </c>
      <c r="AZ704" s="763">
        <v>9.63059976803156E-2</v>
      </c>
      <c r="BA704" s="763">
        <v>9.63059976803156E-2</v>
      </c>
      <c r="BB704" s="763">
        <v>9.63059976803156E-2</v>
      </c>
      <c r="BC704" s="763">
        <v>9.63059976803156E-2</v>
      </c>
      <c r="BD704" s="763">
        <v>9.63059976803156E-2</v>
      </c>
      <c r="BE704" s="763">
        <v>9.63059976803156E-2</v>
      </c>
      <c r="BF704" s="763">
        <v>9.63059976803156E-2</v>
      </c>
      <c r="BG704" s="763">
        <v>0</v>
      </c>
      <c r="BH704" s="763">
        <v>0</v>
      </c>
      <c r="BI704" s="763">
        <v>0</v>
      </c>
      <c r="BJ704" s="763">
        <v>0</v>
      </c>
      <c r="BK704" s="763">
        <v>0</v>
      </c>
      <c r="BL704" s="763">
        <v>0</v>
      </c>
      <c r="BM704" s="763">
        <v>0</v>
      </c>
      <c r="BN704" s="763">
        <v>0</v>
      </c>
      <c r="BO704" s="763">
        <v>0</v>
      </c>
      <c r="BP704" s="763">
        <v>0</v>
      </c>
      <c r="BQ704" s="763">
        <v>0</v>
      </c>
      <c r="BR704" s="763">
        <v>0</v>
      </c>
      <c r="BS704" s="762">
        <v>0</v>
      </c>
      <c r="BT704" s="762">
        <v>0</v>
      </c>
      <c r="BU704" s="762">
        <v>0</v>
      </c>
      <c r="BV704" s="762">
        <v>312.43624320539715</v>
      </c>
      <c r="BW704" s="762">
        <v>312.43624320539715</v>
      </c>
      <c r="BX704" s="762">
        <v>312.43624320539715</v>
      </c>
      <c r="BY704" s="762">
        <v>312.43624320539715</v>
      </c>
      <c r="BZ704" s="762">
        <v>312.43624320539715</v>
      </c>
      <c r="CA704" s="762">
        <v>312.43624320539715</v>
      </c>
      <c r="CB704" s="762">
        <v>312.43624320539715</v>
      </c>
      <c r="CC704" s="762">
        <v>312.43624320539715</v>
      </c>
      <c r="CD704" s="762">
        <v>312.43624320539715</v>
      </c>
      <c r="CE704" s="762">
        <v>312.43624320539715</v>
      </c>
      <c r="CF704" s="762">
        <v>312.43624320539715</v>
      </c>
      <c r="CG704" s="762">
        <v>0</v>
      </c>
      <c r="CH704" s="762">
        <v>0</v>
      </c>
      <c r="CI704" s="762">
        <v>0</v>
      </c>
      <c r="CJ704" s="762">
        <v>0</v>
      </c>
      <c r="CK704" s="762">
        <v>0</v>
      </c>
      <c r="CL704" s="762">
        <v>0</v>
      </c>
      <c r="CM704" s="762">
        <v>0</v>
      </c>
      <c r="CN704" s="762">
        <v>0</v>
      </c>
      <c r="CO704" s="762">
        <v>0</v>
      </c>
      <c r="CP704" s="762">
        <v>0</v>
      </c>
      <c r="CQ704" s="762">
        <v>0</v>
      </c>
      <c r="CR704" s="762">
        <v>0</v>
      </c>
    </row>
    <row r="705" spans="1:96" s="53" customFormat="1">
      <c r="A705" s="721" t="s">
        <v>3</v>
      </c>
      <c r="B705" s="723">
        <v>41887</v>
      </c>
      <c r="C705" s="721">
        <v>2014</v>
      </c>
      <c r="D705" s="713" t="s">
        <v>1</v>
      </c>
      <c r="E705" s="713" t="s">
        <v>674</v>
      </c>
      <c r="F705" s="723" t="s">
        <v>123</v>
      </c>
      <c r="G705" s="713" t="s">
        <v>58</v>
      </c>
      <c r="H705" s="723" t="s">
        <v>774</v>
      </c>
      <c r="I705" s="713" t="s">
        <v>5</v>
      </c>
      <c r="J705" s="713" t="s">
        <v>376</v>
      </c>
      <c r="K705" s="766">
        <v>6</v>
      </c>
      <c r="L705" s="766" t="s">
        <v>671</v>
      </c>
      <c r="M705" s="765" t="s">
        <v>773</v>
      </c>
      <c r="N705" s="765">
        <v>12</v>
      </c>
      <c r="O705" s="765" t="s">
        <v>7</v>
      </c>
      <c r="P705" s="735">
        <v>1</v>
      </c>
      <c r="Q705" s="713" t="s">
        <v>58</v>
      </c>
      <c r="R705" s="713" t="s">
        <v>58</v>
      </c>
      <c r="S705" s="713" t="s">
        <v>58</v>
      </c>
      <c r="T705" s="713" t="s">
        <v>58</v>
      </c>
      <c r="U705" s="764">
        <v>0.24</v>
      </c>
      <c r="V705" s="764">
        <v>818.4</v>
      </c>
      <c r="W705" s="764">
        <v>0.18823452462130044</v>
      </c>
      <c r="X705" s="764">
        <v>676.14324601651572</v>
      </c>
      <c r="Y705" s="764">
        <v>8113.7189521981891</v>
      </c>
      <c r="Z705" s="764">
        <v>7658.2984507351966</v>
      </c>
      <c r="AA705" s="764">
        <v>638.19153756126639</v>
      </c>
      <c r="AB705" s="764">
        <v>0.17779568802519796</v>
      </c>
      <c r="AC705" s="714">
        <v>0.82617698682369967</v>
      </c>
      <c r="AD705" s="714">
        <v>0.7843105192554185</v>
      </c>
      <c r="AE705" s="713" t="s">
        <v>58</v>
      </c>
      <c r="AF705" s="713" t="s">
        <v>58</v>
      </c>
      <c r="AG705" s="713" t="s">
        <v>58</v>
      </c>
      <c r="AH705" s="714">
        <v>0.94387031345969796</v>
      </c>
      <c r="AI705" s="713" t="s">
        <v>58</v>
      </c>
      <c r="AJ705" s="713" t="s">
        <v>58</v>
      </c>
      <c r="AK705" s="713" t="s">
        <v>58</v>
      </c>
      <c r="AL705" s="714">
        <v>0.94454345387965444</v>
      </c>
      <c r="AM705" s="713" t="s">
        <v>58</v>
      </c>
      <c r="AN705" s="713" t="s">
        <v>58</v>
      </c>
      <c r="AO705" s="713" t="s">
        <v>58</v>
      </c>
      <c r="AP705" s="747">
        <v>62</v>
      </c>
      <c r="AQ705" s="747">
        <v>372</v>
      </c>
      <c r="AR705" s="709"/>
      <c r="AS705" s="763">
        <v>0</v>
      </c>
      <c r="AT705" s="763">
        <v>0</v>
      </c>
      <c r="AU705" s="763">
        <v>0</v>
      </c>
      <c r="AV705" s="763">
        <v>0.17779568802519796</v>
      </c>
      <c r="AW705" s="763">
        <v>0.17779568802519796</v>
      </c>
      <c r="AX705" s="763">
        <v>0.17779568802519796</v>
      </c>
      <c r="AY705" s="763">
        <v>0.17779568802519796</v>
      </c>
      <c r="AZ705" s="763">
        <v>0.17779568802519796</v>
      </c>
      <c r="BA705" s="763">
        <v>0.17779568802519796</v>
      </c>
      <c r="BB705" s="763">
        <v>0.17779568802519796</v>
      </c>
      <c r="BC705" s="763">
        <v>0.17779568802519796</v>
      </c>
      <c r="BD705" s="763">
        <v>0.17779568802519796</v>
      </c>
      <c r="BE705" s="763">
        <v>0.17779568802519796</v>
      </c>
      <c r="BF705" s="763">
        <v>0.17779568802519796</v>
      </c>
      <c r="BG705" s="763">
        <v>0.17779568802519796</v>
      </c>
      <c r="BH705" s="763">
        <v>0</v>
      </c>
      <c r="BI705" s="763">
        <v>0</v>
      </c>
      <c r="BJ705" s="763">
        <v>0</v>
      </c>
      <c r="BK705" s="763">
        <v>0</v>
      </c>
      <c r="BL705" s="763">
        <v>0</v>
      </c>
      <c r="BM705" s="763">
        <v>0</v>
      </c>
      <c r="BN705" s="763">
        <v>0</v>
      </c>
      <c r="BO705" s="763">
        <v>0</v>
      </c>
      <c r="BP705" s="763">
        <v>0</v>
      </c>
      <c r="BQ705" s="763">
        <v>0</v>
      </c>
      <c r="BR705" s="763">
        <v>0</v>
      </c>
      <c r="BS705" s="762">
        <v>0</v>
      </c>
      <c r="BT705" s="762">
        <v>0</v>
      </c>
      <c r="BU705" s="762">
        <v>0</v>
      </c>
      <c r="BV705" s="762">
        <v>638.19153756126639</v>
      </c>
      <c r="BW705" s="762">
        <v>638.19153756126639</v>
      </c>
      <c r="BX705" s="762">
        <v>638.19153756126639</v>
      </c>
      <c r="BY705" s="762">
        <v>638.19153756126639</v>
      </c>
      <c r="BZ705" s="762">
        <v>638.19153756126639</v>
      </c>
      <c r="CA705" s="762">
        <v>638.19153756126639</v>
      </c>
      <c r="CB705" s="762">
        <v>638.19153756126639</v>
      </c>
      <c r="CC705" s="762">
        <v>638.19153756126639</v>
      </c>
      <c r="CD705" s="762">
        <v>638.19153756126639</v>
      </c>
      <c r="CE705" s="762">
        <v>638.19153756126639</v>
      </c>
      <c r="CF705" s="762">
        <v>638.19153756126639</v>
      </c>
      <c r="CG705" s="762">
        <v>638.19153756126639</v>
      </c>
      <c r="CH705" s="762">
        <v>0</v>
      </c>
      <c r="CI705" s="762">
        <v>0</v>
      </c>
      <c r="CJ705" s="762">
        <v>0</v>
      </c>
      <c r="CK705" s="762">
        <v>0</v>
      </c>
      <c r="CL705" s="762">
        <v>0</v>
      </c>
      <c r="CM705" s="762">
        <v>0</v>
      </c>
      <c r="CN705" s="762">
        <v>0</v>
      </c>
      <c r="CO705" s="762">
        <v>0</v>
      </c>
      <c r="CP705" s="762">
        <v>0</v>
      </c>
      <c r="CQ705" s="762">
        <v>0</v>
      </c>
      <c r="CR705" s="762">
        <v>0</v>
      </c>
    </row>
    <row r="706" spans="1:96" s="53" customFormat="1">
      <c r="A706" s="721" t="s">
        <v>3</v>
      </c>
      <c r="B706" s="723">
        <v>41887</v>
      </c>
      <c r="C706" s="721">
        <v>2014</v>
      </c>
      <c r="D706" s="713" t="s">
        <v>1</v>
      </c>
      <c r="E706" s="713" t="s">
        <v>674</v>
      </c>
      <c r="F706" s="723" t="s">
        <v>123</v>
      </c>
      <c r="G706" s="713" t="s">
        <v>58</v>
      </c>
      <c r="H706" s="723" t="s">
        <v>678</v>
      </c>
      <c r="I706" s="713" t="s">
        <v>5</v>
      </c>
      <c r="J706" s="713" t="s">
        <v>376</v>
      </c>
      <c r="K706" s="766">
        <v>1</v>
      </c>
      <c r="L706" s="766" t="s">
        <v>671</v>
      </c>
      <c r="M706" s="765" t="s">
        <v>773</v>
      </c>
      <c r="N706" s="765">
        <v>3</v>
      </c>
      <c r="O706" s="765">
        <v>2</v>
      </c>
      <c r="P706" s="735">
        <v>0.6149863305954828</v>
      </c>
      <c r="Q706" s="713" t="s">
        <v>58</v>
      </c>
      <c r="R706" s="713" t="s">
        <v>58</v>
      </c>
      <c r="S706" s="713" t="s">
        <v>58</v>
      </c>
      <c r="T706" s="713" t="s">
        <v>58</v>
      </c>
      <c r="U706" s="764">
        <v>4.7E-2</v>
      </c>
      <c r="V706" s="764">
        <v>149.178</v>
      </c>
      <c r="W706" s="764">
        <v>3.6862594405004674E-2</v>
      </c>
      <c r="X706" s="764">
        <v>123.24743054038586</v>
      </c>
      <c r="Y706" s="764">
        <v>322.29034614412524</v>
      </c>
      <c r="Z706" s="764">
        <v>304.20029004009007</v>
      </c>
      <c r="AA706" s="764">
        <v>116.32959089725635</v>
      </c>
      <c r="AB706" s="764">
        <v>3.4818322238267939E-2</v>
      </c>
      <c r="AC706" s="714">
        <v>0.82617698682369967</v>
      </c>
      <c r="AD706" s="714">
        <v>0.7843105192554185</v>
      </c>
      <c r="AE706" s="713" t="s">
        <v>58</v>
      </c>
      <c r="AF706" s="713" t="s">
        <v>58</v>
      </c>
      <c r="AG706" s="713" t="s">
        <v>58</v>
      </c>
      <c r="AH706" s="714">
        <v>0.94387031345969796</v>
      </c>
      <c r="AI706" s="713" t="s">
        <v>58</v>
      </c>
      <c r="AJ706" s="713" t="s">
        <v>58</v>
      </c>
      <c r="AK706" s="713" t="s">
        <v>58</v>
      </c>
      <c r="AL706" s="714">
        <v>0.94454345387965444</v>
      </c>
      <c r="AM706" s="713" t="s">
        <v>58</v>
      </c>
      <c r="AN706" s="713" t="s">
        <v>58</v>
      </c>
      <c r="AO706" s="713" t="s">
        <v>58</v>
      </c>
      <c r="AP706" s="747">
        <v>8</v>
      </c>
      <c r="AQ706" s="747">
        <v>8</v>
      </c>
      <c r="AR706" s="709"/>
      <c r="AS706" s="763">
        <v>0</v>
      </c>
      <c r="AT706" s="763">
        <v>0</v>
      </c>
      <c r="AU706" s="763">
        <v>0</v>
      </c>
      <c r="AV706" s="763">
        <v>3.4818322238267939E-2</v>
      </c>
      <c r="AW706" s="763">
        <v>3.4818322238267939E-2</v>
      </c>
      <c r="AX706" s="763">
        <v>2.1412792230803498E-2</v>
      </c>
      <c r="AY706" s="763">
        <v>0</v>
      </c>
      <c r="AZ706" s="763">
        <v>0</v>
      </c>
      <c r="BA706" s="763">
        <v>0</v>
      </c>
      <c r="BB706" s="763">
        <v>0</v>
      </c>
      <c r="BC706" s="763">
        <v>0</v>
      </c>
      <c r="BD706" s="763">
        <v>0</v>
      </c>
      <c r="BE706" s="763">
        <v>0</v>
      </c>
      <c r="BF706" s="763">
        <v>0</v>
      </c>
      <c r="BG706" s="763">
        <v>0</v>
      </c>
      <c r="BH706" s="763">
        <v>0</v>
      </c>
      <c r="BI706" s="763">
        <v>0</v>
      </c>
      <c r="BJ706" s="763">
        <v>0</v>
      </c>
      <c r="BK706" s="763">
        <v>0</v>
      </c>
      <c r="BL706" s="763">
        <v>0</v>
      </c>
      <c r="BM706" s="763">
        <v>0</v>
      </c>
      <c r="BN706" s="763">
        <v>0</v>
      </c>
      <c r="BO706" s="763">
        <v>0</v>
      </c>
      <c r="BP706" s="763">
        <v>0</v>
      </c>
      <c r="BQ706" s="763">
        <v>0</v>
      </c>
      <c r="BR706" s="763">
        <v>0</v>
      </c>
      <c r="BS706" s="762">
        <v>0</v>
      </c>
      <c r="BT706" s="762">
        <v>0</v>
      </c>
      <c r="BU706" s="762">
        <v>0</v>
      </c>
      <c r="BV706" s="762">
        <v>116.32959089725635</v>
      </c>
      <c r="BW706" s="762">
        <v>116.32959089725635</v>
      </c>
      <c r="BX706" s="762">
        <v>71.541108245577362</v>
      </c>
      <c r="BY706" s="762">
        <v>0</v>
      </c>
      <c r="BZ706" s="762">
        <v>0</v>
      </c>
      <c r="CA706" s="762">
        <v>0</v>
      </c>
      <c r="CB706" s="762">
        <v>0</v>
      </c>
      <c r="CC706" s="762">
        <v>0</v>
      </c>
      <c r="CD706" s="762">
        <v>0</v>
      </c>
      <c r="CE706" s="762">
        <v>0</v>
      </c>
      <c r="CF706" s="762">
        <v>0</v>
      </c>
      <c r="CG706" s="762">
        <v>0</v>
      </c>
      <c r="CH706" s="762">
        <v>0</v>
      </c>
      <c r="CI706" s="762">
        <v>0</v>
      </c>
      <c r="CJ706" s="762">
        <v>0</v>
      </c>
      <c r="CK706" s="762">
        <v>0</v>
      </c>
      <c r="CL706" s="762">
        <v>0</v>
      </c>
      <c r="CM706" s="762">
        <v>0</v>
      </c>
      <c r="CN706" s="762">
        <v>0</v>
      </c>
      <c r="CO706" s="762">
        <v>0</v>
      </c>
      <c r="CP706" s="762">
        <v>0</v>
      </c>
      <c r="CQ706" s="762">
        <v>0</v>
      </c>
      <c r="CR706" s="762">
        <v>0</v>
      </c>
    </row>
    <row r="707" spans="1:96" s="53" customFormat="1">
      <c r="A707" s="721" t="s">
        <v>3</v>
      </c>
      <c r="B707" s="723">
        <v>41887</v>
      </c>
      <c r="C707" s="721">
        <v>2014</v>
      </c>
      <c r="D707" s="713" t="s">
        <v>1</v>
      </c>
      <c r="E707" s="713" t="s">
        <v>674</v>
      </c>
      <c r="F707" s="723" t="s">
        <v>123</v>
      </c>
      <c r="G707" s="713" t="s">
        <v>58</v>
      </c>
      <c r="H707" s="723" t="s">
        <v>677</v>
      </c>
      <c r="I707" s="713" t="s">
        <v>5</v>
      </c>
      <c r="J707" s="713" t="s">
        <v>376</v>
      </c>
      <c r="K707" s="766">
        <v>1</v>
      </c>
      <c r="L707" s="766" t="s">
        <v>671</v>
      </c>
      <c r="M707" s="765" t="s">
        <v>773</v>
      </c>
      <c r="N707" s="765">
        <v>0</v>
      </c>
      <c r="O707" s="765">
        <v>0</v>
      </c>
      <c r="P707" s="735">
        <v>0</v>
      </c>
      <c r="Q707" s="713" t="s">
        <v>58</v>
      </c>
      <c r="R707" s="713" t="s">
        <v>58</v>
      </c>
      <c r="S707" s="713" t="s">
        <v>58</v>
      </c>
      <c r="T707" s="713" t="s">
        <v>58</v>
      </c>
      <c r="U707" s="764">
        <v>0</v>
      </c>
      <c r="V707" s="764">
        <v>0</v>
      </c>
      <c r="W707" s="764">
        <v>0</v>
      </c>
      <c r="X707" s="764">
        <v>0</v>
      </c>
      <c r="Y707" s="764">
        <v>0</v>
      </c>
      <c r="Z707" s="764">
        <v>0</v>
      </c>
      <c r="AA707" s="764">
        <v>0</v>
      </c>
      <c r="AB707" s="764">
        <v>0</v>
      </c>
      <c r="AC707" s="714">
        <v>0.82617698682369967</v>
      </c>
      <c r="AD707" s="714">
        <v>0.7843105192554185</v>
      </c>
      <c r="AE707" s="713" t="s">
        <v>58</v>
      </c>
      <c r="AF707" s="713" t="s">
        <v>58</v>
      </c>
      <c r="AG707" s="713" t="s">
        <v>58</v>
      </c>
      <c r="AH707" s="714">
        <v>0.94387031345969796</v>
      </c>
      <c r="AI707" s="713" t="s">
        <v>58</v>
      </c>
      <c r="AJ707" s="713" t="s">
        <v>58</v>
      </c>
      <c r="AK707" s="713" t="s">
        <v>58</v>
      </c>
      <c r="AL707" s="714">
        <v>0.94454345387965444</v>
      </c>
      <c r="AM707" s="713" t="s">
        <v>58</v>
      </c>
      <c r="AN707" s="713" t="s">
        <v>58</v>
      </c>
      <c r="AO707" s="713" t="s">
        <v>58</v>
      </c>
      <c r="AP707" s="747">
        <v>51</v>
      </c>
      <c r="AQ707" s="747">
        <v>51</v>
      </c>
      <c r="AR707" s="709"/>
      <c r="AS707" s="763">
        <v>0</v>
      </c>
      <c r="AT707" s="763">
        <v>0</v>
      </c>
      <c r="AU707" s="763">
        <v>0</v>
      </c>
      <c r="AV707" s="763">
        <v>0</v>
      </c>
      <c r="AW707" s="763">
        <v>0</v>
      </c>
      <c r="AX707" s="763">
        <v>0</v>
      </c>
      <c r="AY707" s="763">
        <v>0</v>
      </c>
      <c r="AZ707" s="763">
        <v>0</v>
      </c>
      <c r="BA707" s="763">
        <v>0</v>
      </c>
      <c r="BB707" s="763">
        <v>0</v>
      </c>
      <c r="BC707" s="763">
        <v>0</v>
      </c>
      <c r="BD707" s="763">
        <v>0</v>
      </c>
      <c r="BE707" s="763">
        <v>0</v>
      </c>
      <c r="BF707" s="763">
        <v>0</v>
      </c>
      <c r="BG707" s="763">
        <v>0</v>
      </c>
      <c r="BH707" s="763">
        <v>0</v>
      </c>
      <c r="BI707" s="763">
        <v>0</v>
      </c>
      <c r="BJ707" s="763">
        <v>0</v>
      </c>
      <c r="BK707" s="763">
        <v>0</v>
      </c>
      <c r="BL707" s="763">
        <v>0</v>
      </c>
      <c r="BM707" s="763">
        <v>0</v>
      </c>
      <c r="BN707" s="763">
        <v>0</v>
      </c>
      <c r="BO707" s="763">
        <v>0</v>
      </c>
      <c r="BP707" s="763">
        <v>0</v>
      </c>
      <c r="BQ707" s="763">
        <v>0</v>
      </c>
      <c r="BR707" s="763">
        <v>0</v>
      </c>
      <c r="BS707" s="762">
        <v>0</v>
      </c>
      <c r="BT707" s="762">
        <v>0</v>
      </c>
      <c r="BU707" s="762">
        <v>0</v>
      </c>
      <c r="BV707" s="762">
        <v>0</v>
      </c>
      <c r="BW707" s="762">
        <v>0</v>
      </c>
      <c r="BX707" s="762">
        <v>0</v>
      </c>
      <c r="BY707" s="762">
        <v>0</v>
      </c>
      <c r="BZ707" s="762">
        <v>0</v>
      </c>
      <c r="CA707" s="762">
        <v>0</v>
      </c>
      <c r="CB707" s="762">
        <v>0</v>
      </c>
      <c r="CC707" s="762">
        <v>0</v>
      </c>
      <c r="CD707" s="762">
        <v>0</v>
      </c>
      <c r="CE707" s="762">
        <v>0</v>
      </c>
      <c r="CF707" s="762">
        <v>0</v>
      </c>
      <c r="CG707" s="762">
        <v>0</v>
      </c>
      <c r="CH707" s="762">
        <v>0</v>
      </c>
      <c r="CI707" s="762">
        <v>0</v>
      </c>
      <c r="CJ707" s="762">
        <v>0</v>
      </c>
      <c r="CK707" s="762">
        <v>0</v>
      </c>
      <c r="CL707" s="762">
        <v>0</v>
      </c>
      <c r="CM707" s="762">
        <v>0</v>
      </c>
      <c r="CN707" s="762">
        <v>0</v>
      </c>
      <c r="CO707" s="762">
        <v>0</v>
      </c>
      <c r="CP707" s="762">
        <v>0</v>
      </c>
      <c r="CQ707" s="762">
        <v>0</v>
      </c>
      <c r="CR707" s="762">
        <v>0</v>
      </c>
    </row>
    <row r="708" spans="1:96" s="53" customFormat="1">
      <c r="A708" s="721" t="s">
        <v>3</v>
      </c>
      <c r="B708" s="723">
        <v>41887</v>
      </c>
      <c r="C708" s="721">
        <v>2014</v>
      </c>
      <c r="D708" s="713" t="s">
        <v>1</v>
      </c>
      <c r="E708" s="713" t="s">
        <v>674</v>
      </c>
      <c r="F708" s="723" t="s">
        <v>123</v>
      </c>
      <c r="G708" s="713" t="s">
        <v>58</v>
      </c>
      <c r="H708" s="723" t="s">
        <v>735</v>
      </c>
      <c r="I708" s="713" t="s">
        <v>5</v>
      </c>
      <c r="J708" s="713" t="s">
        <v>376</v>
      </c>
      <c r="K708" s="766">
        <v>5</v>
      </c>
      <c r="L708" s="766" t="s">
        <v>671</v>
      </c>
      <c r="M708" s="765" t="s">
        <v>773</v>
      </c>
      <c r="N708" s="765">
        <v>12</v>
      </c>
      <c r="O708" s="765">
        <v>3</v>
      </c>
      <c r="P708" s="735">
        <v>0.6097560975609756</v>
      </c>
      <c r="Q708" s="713" t="s">
        <v>58</v>
      </c>
      <c r="R708" s="713" t="s">
        <v>58</v>
      </c>
      <c r="S708" s="713" t="s">
        <v>58</v>
      </c>
      <c r="T708" s="713" t="s">
        <v>58</v>
      </c>
      <c r="U708" s="764">
        <v>0.20499999999999999</v>
      </c>
      <c r="V708" s="764">
        <v>699.05</v>
      </c>
      <c r="W708" s="764">
        <v>0.16078365644736081</v>
      </c>
      <c r="X708" s="764">
        <v>577.5390226391072</v>
      </c>
      <c r="Y708" s="764">
        <v>4902.0385336197387</v>
      </c>
      <c r="Z708" s="764">
        <v>4626.8886473191806</v>
      </c>
      <c r="AA708" s="764">
        <v>545.12193833358174</v>
      </c>
      <c r="AB708" s="764">
        <v>0.15186715018818994</v>
      </c>
      <c r="AC708" s="714">
        <v>0.82617698682369967</v>
      </c>
      <c r="AD708" s="714">
        <v>0.7843105192554185</v>
      </c>
      <c r="AE708" s="713" t="s">
        <v>58</v>
      </c>
      <c r="AF708" s="713" t="s">
        <v>58</v>
      </c>
      <c r="AG708" s="713" t="s">
        <v>58</v>
      </c>
      <c r="AH708" s="714">
        <v>0.94387031345969796</v>
      </c>
      <c r="AI708" s="713" t="s">
        <v>58</v>
      </c>
      <c r="AJ708" s="713" t="s">
        <v>58</v>
      </c>
      <c r="AK708" s="713" t="s">
        <v>58</v>
      </c>
      <c r="AL708" s="714">
        <v>0.94454345387965444</v>
      </c>
      <c r="AM708" s="713" t="s">
        <v>58</v>
      </c>
      <c r="AN708" s="713" t="s">
        <v>58</v>
      </c>
      <c r="AO708" s="713" t="s">
        <v>58</v>
      </c>
      <c r="AP708" s="747">
        <v>119</v>
      </c>
      <c r="AQ708" s="747">
        <v>595</v>
      </c>
      <c r="AR708" s="709"/>
      <c r="AS708" s="763">
        <v>0</v>
      </c>
      <c r="AT708" s="763">
        <v>0</v>
      </c>
      <c r="AU708" s="763">
        <v>0</v>
      </c>
      <c r="AV708" s="763">
        <v>0.15186715018818994</v>
      </c>
      <c r="AW708" s="763">
        <v>0.15186715018818994</v>
      </c>
      <c r="AX708" s="763">
        <v>0.15186715018818994</v>
      </c>
      <c r="AY708" s="763">
        <v>9.2601920846457283E-2</v>
      </c>
      <c r="AZ708" s="763">
        <v>9.2601920846457283E-2</v>
      </c>
      <c r="BA708" s="763">
        <v>9.2601920846457283E-2</v>
      </c>
      <c r="BB708" s="763">
        <v>9.2601920846457283E-2</v>
      </c>
      <c r="BC708" s="763">
        <v>9.2601920846457283E-2</v>
      </c>
      <c r="BD708" s="763">
        <v>9.2601920846457283E-2</v>
      </c>
      <c r="BE708" s="763">
        <v>9.2601920846457283E-2</v>
      </c>
      <c r="BF708" s="763">
        <v>9.2601920846457283E-2</v>
      </c>
      <c r="BG708" s="763">
        <v>9.2601920846457283E-2</v>
      </c>
      <c r="BH708" s="763">
        <v>0</v>
      </c>
      <c r="BI708" s="763">
        <v>0</v>
      </c>
      <c r="BJ708" s="763">
        <v>0</v>
      </c>
      <c r="BK708" s="763">
        <v>0</v>
      </c>
      <c r="BL708" s="763">
        <v>0</v>
      </c>
      <c r="BM708" s="763">
        <v>0</v>
      </c>
      <c r="BN708" s="763">
        <v>0</v>
      </c>
      <c r="BO708" s="763">
        <v>0</v>
      </c>
      <c r="BP708" s="763">
        <v>0</v>
      </c>
      <c r="BQ708" s="763">
        <v>0</v>
      </c>
      <c r="BR708" s="763">
        <v>0</v>
      </c>
      <c r="BS708" s="762">
        <v>0</v>
      </c>
      <c r="BT708" s="762">
        <v>0</v>
      </c>
      <c r="BU708" s="762">
        <v>0</v>
      </c>
      <c r="BV708" s="762">
        <v>545.12193833358174</v>
      </c>
      <c r="BW708" s="762">
        <v>545.12193833358174</v>
      </c>
      <c r="BX708" s="762">
        <v>545.12193833358174</v>
      </c>
      <c r="BY708" s="762">
        <v>332.39142581315957</v>
      </c>
      <c r="BZ708" s="762">
        <v>332.39142581315957</v>
      </c>
      <c r="CA708" s="762">
        <v>332.39142581315957</v>
      </c>
      <c r="CB708" s="762">
        <v>332.39142581315957</v>
      </c>
      <c r="CC708" s="762">
        <v>332.39142581315957</v>
      </c>
      <c r="CD708" s="762">
        <v>332.39142581315957</v>
      </c>
      <c r="CE708" s="762">
        <v>332.39142581315957</v>
      </c>
      <c r="CF708" s="762">
        <v>332.39142581315957</v>
      </c>
      <c r="CG708" s="762">
        <v>332.39142581315957</v>
      </c>
      <c r="CH708" s="762">
        <v>0</v>
      </c>
      <c r="CI708" s="762">
        <v>0</v>
      </c>
      <c r="CJ708" s="762">
        <v>0</v>
      </c>
      <c r="CK708" s="762">
        <v>0</v>
      </c>
      <c r="CL708" s="762">
        <v>0</v>
      </c>
      <c r="CM708" s="762">
        <v>0</v>
      </c>
      <c r="CN708" s="762">
        <v>0</v>
      </c>
      <c r="CO708" s="762">
        <v>0</v>
      </c>
      <c r="CP708" s="762">
        <v>0</v>
      </c>
      <c r="CQ708" s="762">
        <v>0</v>
      </c>
      <c r="CR708" s="762">
        <v>0</v>
      </c>
    </row>
    <row r="709" spans="1:96" s="53" customFormat="1">
      <c r="A709" s="721" t="s">
        <v>3</v>
      </c>
      <c r="B709" s="723">
        <v>41887</v>
      </c>
      <c r="C709" s="721">
        <v>2014</v>
      </c>
      <c r="D709" s="713" t="s">
        <v>1</v>
      </c>
      <c r="E709" s="713" t="s">
        <v>674</v>
      </c>
      <c r="F709" s="723" t="s">
        <v>123</v>
      </c>
      <c r="G709" s="713" t="s">
        <v>58</v>
      </c>
      <c r="H709" s="723" t="s">
        <v>735</v>
      </c>
      <c r="I709" s="713" t="s">
        <v>5</v>
      </c>
      <c r="J709" s="713" t="s">
        <v>376</v>
      </c>
      <c r="K709" s="766">
        <v>2</v>
      </c>
      <c r="L709" s="766" t="s">
        <v>671</v>
      </c>
      <c r="M709" s="765" t="s">
        <v>773</v>
      </c>
      <c r="N709" s="765">
        <v>12</v>
      </c>
      <c r="O709" s="765">
        <v>3</v>
      </c>
      <c r="P709" s="735">
        <v>0.6097560975609756</v>
      </c>
      <c r="Q709" s="713" t="s">
        <v>58</v>
      </c>
      <c r="R709" s="713" t="s">
        <v>58</v>
      </c>
      <c r="S709" s="713" t="s">
        <v>58</v>
      </c>
      <c r="T709" s="713" t="s">
        <v>58</v>
      </c>
      <c r="U709" s="764">
        <v>8.2000000000000003E-2</v>
      </c>
      <c r="V709" s="764">
        <v>279.62</v>
      </c>
      <c r="W709" s="764">
        <v>6.4313462578944339E-2</v>
      </c>
      <c r="X709" s="764">
        <v>231.0156090556429</v>
      </c>
      <c r="Y709" s="764">
        <v>1960.8154134478959</v>
      </c>
      <c r="Z709" s="764">
        <v>1850.7554589276729</v>
      </c>
      <c r="AA709" s="764">
        <v>218.0487753334327</v>
      </c>
      <c r="AB709" s="764">
        <v>6.0746860075275994E-2</v>
      </c>
      <c r="AC709" s="714">
        <v>0.82617698682369967</v>
      </c>
      <c r="AD709" s="714">
        <v>0.7843105192554185</v>
      </c>
      <c r="AE709" s="713" t="s">
        <v>58</v>
      </c>
      <c r="AF709" s="713" t="s">
        <v>58</v>
      </c>
      <c r="AG709" s="713" t="s">
        <v>58</v>
      </c>
      <c r="AH709" s="714">
        <v>0.94387031345969796</v>
      </c>
      <c r="AI709" s="713" t="s">
        <v>58</v>
      </c>
      <c r="AJ709" s="713" t="s">
        <v>58</v>
      </c>
      <c r="AK709" s="713" t="s">
        <v>58</v>
      </c>
      <c r="AL709" s="714">
        <v>0.94454345387965444</v>
      </c>
      <c r="AM709" s="713" t="s">
        <v>58</v>
      </c>
      <c r="AN709" s="713" t="s">
        <v>58</v>
      </c>
      <c r="AO709" s="713" t="s">
        <v>58</v>
      </c>
      <c r="AP709" s="747">
        <v>119</v>
      </c>
      <c r="AQ709" s="747">
        <v>238</v>
      </c>
      <c r="AR709" s="709"/>
      <c r="AS709" s="763">
        <v>0</v>
      </c>
      <c r="AT709" s="763">
        <v>0</v>
      </c>
      <c r="AU709" s="763">
        <v>0</v>
      </c>
      <c r="AV709" s="763">
        <v>6.0746860075275994E-2</v>
      </c>
      <c r="AW709" s="763">
        <v>6.0746860075275994E-2</v>
      </c>
      <c r="AX709" s="763">
        <v>6.0746860075275994E-2</v>
      </c>
      <c r="AY709" s="763">
        <v>3.704076833858292E-2</v>
      </c>
      <c r="AZ709" s="763">
        <v>3.704076833858292E-2</v>
      </c>
      <c r="BA709" s="763">
        <v>3.704076833858292E-2</v>
      </c>
      <c r="BB709" s="763">
        <v>3.704076833858292E-2</v>
      </c>
      <c r="BC709" s="763">
        <v>3.704076833858292E-2</v>
      </c>
      <c r="BD709" s="763">
        <v>3.704076833858292E-2</v>
      </c>
      <c r="BE709" s="763">
        <v>3.704076833858292E-2</v>
      </c>
      <c r="BF709" s="763">
        <v>3.704076833858292E-2</v>
      </c>
      <c r="BG709" s="763">
        <v>3.704076833858292E-2</v>
      </c>
      <c r="BH709" s="763">
        <v>0</v>
      </c>
      <c r="BI709" s="763">
        <v>0</v>
      </c>
      <c r="BJ709" s="763">
        <v>0</v>
      </c>
      <c r="BK709" s="763">
        <v>0</v>
      </c>
      <c r="BL709" s="763">
        <v>0</v>
      </c>
      <c r="BM709" s="763">
        <v>0</v>
      </c>
      <c r="BN709" s="763">
        <v>0</v>
      </c>
      <c r="BO709" s="763">
        <v>0</v>
      </c>
      <c r="BP709" s="763">
        <v>0</v>
      </c>
      <c r="BQ709" s="763">
        <v>0</v>
      </c>
      <c r="BR709" s="763">
        <v>0</v>
      </c>
      <c r="BS709" s="762">
        <v>0</v>
      </c>
      <c r="BT709" s="762">
        <v>0</v>
      </c>
      <c r="BU709" s="762">
        <v>0</v>
      </c>
      <c r="BV709" s="762">
        <v>218.0487753334327</v>
      </c>
      <c r="BW709" s="762">
        <v>218.0487753334327</v>
      </c>
      <c r="BX709" s="762">
        <v>218.0487753334327</v>
      </c>
      <c r="BY709" s="762">
        <v>132.95657032526384</v>
      </c>
      <c r="BZ709" s="762">
        <v>132.95657032526384</v>
      </c>
      <c r="CA709" s="762">
        <v>132.95657032526384</v>
      </c>
      <c r="CB709" s="762">
        <v>132.95657032526384</v>
      </c>
      <c r="CC709" s="762">
        <v>132.95657032526384</v>
      </c>
      <c r="CD709" s="762">
        <v>132.95657032526384</v>
      </c>
      <c r="CE709" s="762">
        <v>132.95657032526384</v>
      </c>
      <c r="CF709" s="762">
        <v>132.95657032526384</v>
      </c>
      <c r="CG709" s="762">
        <v>132.95657032526384</v>
      </c>
      <c r="CH709" s="762">
        <v>0</v>
      </c>
      <c r="CI709" s="762">
        <v>0</v>
      </c>
      <c r="CJ709" s="762">
        <v>0</v>
      </c>
      <c r="CK709" s="762">
        <v>0</v>
      </c>
      <c r="CL709" s="762">
        <v>0</v>
      </c>
      <c r="CM709" s="762">
        <v>0</v>
      </c>
      <c r="CN709" s="762">
        <v>0</v>
      </c>
      <c r="CO709" s="762">
        <v>0</v>
      </c>
      <c r="CP709" s="762">
        <v>0</v>
      </c>
      <c r="CQ709" s="762">
        <v>0</v>
      </c>
      <c r="CR709" s="762">
        <v>0</v>
      </c>
    </row>
    <row r="710" spans="1:96" s="53" customFormat="1">
      <c r="A710" s="721" t="s">
        <v>3</v>
      </c>
      <c r="B710" s="723">
        <v>41887</v>
      </c>
      <c r="C710" s="721">
        <v>2014</v>
      </c>
      <c r="D710" s="713" t="s">
        <v>1</v>
      </c>
      <c r="E710" s="713" t="s">
        <v>674</v>
      </c>
      <c r="F710" s="723" t="s">
        <v>123</v>
      </c>
      <c r="G710" s="713" t="s">
        <v>58</v>
      </c>
      <c r="H710" s="723" t="s">
        <v>676</v>
      </c>
      <c r="I710" s="713" t="s">
        <v>5</v>
      </c>
      <c r="J710" s="713" t="s">
        <v>376</v>
      </c>
      <c r="K710" s="766">
        <v>1</v>
      </c>
      <c r="L710" s="766" t="s">
        <v>671</v>
      </c>
      <c r="M710" s="765" t="s">
        <v>773</v>
      </c>
      <c r="N710" s="765">
        <v>12</v>
      </c>
      <c r="O710" s="765">
        <v>3</v>
      </c>
      <c r="P710" s="735">
        <v>0.31578947368421051</v>
      </c>
      <c r="Q710" s="713" t="s">
        <v>58</v>
      </c>
      <c r="R710" s="713" t="s">
        <v>58</v>
      </c>
      <c r="S710" s="713" t="s">
        <v>58</v>
      </c>
      <c r="T710" s="713" t="s">
        <v>58</v>
      </c>
      <c r="U710" s="764">
        <v>3.7999999999999999E-2</v>
      </c>
      <c r="V710" s="764">
        <v>129.58000000000001</v>
      </c>
      <c r="W710" s="764">
        <v>2.9803799731705907E-2</v>
      </c>
      <c r="X710" s="764">
        <v>107.05601395261502</v>
      </c>
      <c r="Y710" s="764">
        <v>625.43250256527722</v>
      </c>
      <c r="Z710" s="764">
        <v>590.32717224417161</v>
      </c>
      <c r="AA710" s="764">
        <v>101.04699344720053</v>
      </c>
      <c r="AB710" s="764">
        <v>2.8150983937323015E-2</v>
      </c>
      <c r="AC710" s="714">
        <v>0.82617698682369967</v>
      </c>
      <c r="AD710" s="714">
        <v>0.7843105192554185</v>
      </c>
      <c r="AE710" s="713" t="s">
        <v>58</v>
      </c>
      <c r="AF710" s="713" t="s">
        <v>58</v>
      </c>
      <c r="AG710" s="713" t="s">
        <v>58</v>
      </c>
      <c r="AH710" s="714">
        <v>0.94387031345969796</v>
      </c>
      <c r="AI710" s="713" t="s">
        <v>58</v>
      </c>
      <c r="AJ710" s="713" t="s">
        <v>58</v>
      </c>
      <c r="AK710" s="713" t="s">
        <v>58</v>
      </c>
      <c r="AL710" s="714">
        <v>0.94454345387965444</v>
      </c>
      <c r="AM710" s="713" t="s">
        <v>58</v>
      </c>
      <c r="AN710" s="713" t="s">
        <v>58</v>
      </c>
      <c r="AO710" s="713" t="s">
        <v>58</v>
      </c>
      <c r="AP710" s="747">
        <v>57</v>
      </c>
      <c r="AQ710" s="747">
        <v>57</v>
      </c>
      <c r="AR710" s="709"/>
      <c r="AS710" s="763">
        <v>0</v>
      </c>
      <c r="AT710" s="763">
        <v>0</v>
      </c>
      <c r="AU710" s="763">
        <v>0</v>
      </c>
      <c r="AV710" s="763">
        <v>2.8150983937323015E-2</v>
      </c>
      <c r="AW710" s="763">
        <v>2.8150983937323015E-2</v>
      </c>
      <c r="AX710" s="763">
        <v>2.8150983937323015E-2</v>
      </c>
      <c r="AY710" s="763">
        <v>8.8897844012598998E-3</v>
      </c>
      <c r="AZ710" s="763">
        <v>8.8897844012598998E-3</v>
      </c>
      <c r="BA710" s="763">
        <v>8.8897844012598998E-3</v>
      </c>
      <c r="BB710" s="763">
        <v>8.8897844012598998E-3</v>
      </c>
      <c r="BC710" s="763">
        <v>8.8897844012598998E-3</v>
      </c>
      <c r="BD710" s="763">
        <v>8.8897844012598998E-3</v>
      </c>
      <c r="BE710" s="763">
        <v>8.8897844012598998E-3</v>
      </c>
      <c r="BF710" s="763">
        <v>8.8897844012598998E-3</v>
      </c>
      <c r="BG710" s="763">
        <v>8.8897844012598998E-3</v>
      </c>
      <c r="BH710" s="763">
        <v>0</v>
      </c>
      <c r="BI710" s="763">
        <v>0</v>
      </c>
      <c r="BJ710" s="763">
        <v>0</v>
      </c>
      <c r="BK710" s="763">
        <v>0</v>
      </c>
      <c r="BL710" s="763">
        <v>0</v>
      </c>
      <c r="BM710" s="763">
        <v>0</v>
      </c>
      <c r="BN710" s="763">
        <v>0</v>
      </c>
      <c r="BO710" s="763">
        <v>0</v>
      </c>
      <c r="BP710" s="763">
        <v>0</v>
      </c>
      <c r="BQ710" s="763">
        <v>0</v>
      </c>
      <c r="BR710" s="763">
        <v>0</v>
      </c>
      <c r="BS710" s="762">
        <v>0</v>
      </c>
      <c r="BT710" s="762">
        <v>0</v>
      </c>
      <c r="BU710" s="762">
        <v>0</v>
      </c>
      <c r="BV710" s="762">
        <v>101.04699344720053</v>
      </c>
      <c r="BW710" s="762">
        <v>101.04699344720053</v>
      </c>
      <c r="BX710" s="762">
        <v>101.04699344720053</v>
      </c>
      <c r="BY710" s="762">
        <v>31.909576878063326</v>
      </c>
      <c r="BZ710" s="762">
        <v>31.909576878063326</v>
      </c>
      <c r="CA710" s="762">
        <v>31.909576878063326</v>
      </c>
      <c r="CB710" s="762">
        <v>31.909576878063326</v>
      </c>
      <c r="CC710" s="762">
        <v>31.909576878063326</v>
      </c>
      <c r="CD710" s="762">
        <v>31.909576878063326</v>
      </c>
      <c r="CE710" s="762">
        <v>31.909576878063326</v>
      </c>
      <c r="CF710" s="762">
        <v>31.909576878063326</v>
      </c>
      <c r="CG710" s="762">
        <v>31.909576878063326</v>
      </c>
      <c r="CH710" s="762">
        <v>0</v>
      </c>
      <c r="CI710" s="762">
        <v>0</v>
      </c>
      <c r="CJ710" s="762">
        <v>0</v>
      </c>
      <c r="CK710" s="762">
        <v>0</v>
      </c>
      <c r="CL710" s="762">
        <v>0</v>
      </c>
      <c r="CM710" s="762">
        <v>0</v>
      </c>
      <c r="CN710" s="762">
        <v>0</v>
      </c>
      <c r="CO710" s="762">
        <v>0</v>
      </c>
      <c r="CP710" s="762">
        <v>0</v>
      </c>
      <c r="CQ710" s="762">
        <v>0</v>
      </c>
      <c r="CR710" s="762">
        <v>0</v>
      </c>
    </row>
    <row r="711" spans="1:96" s="53" customFormat="1">
      <c r="A711" s="721" t="s">
        <v>3</v>
      </c>
      <c r="B711" s="723">
        <v>41887</v>
      </c>
      <c r="C711" s="721">
        <v>2014</v>
      </c>
      <c r="D711" s="713" t="s">
        <v>1</v>
      </c>
      <c r="E711" s="713" t="s">
        <v>674</v>
      </c>
      <c r="F711" s="723" t="s">
        <v>123</v>
      </c>
      <c r="G711" s="713" t="s">
        <v>58</v>
      </c>
      <c r="H711" s="723" t="s">
        <v>734</v>
      </c>
      <c r="I711" s="713" t="s">
        <v>5</v>
      </c>
      <c r="J711" s="713" t="s">
        <v>376</v>
      </c>
      <c r="K711" s="766">
        <v>1</v>
      </c>
      <c r="L711" s="766" t="s">
        <v>671</v>
      </c>
      <c r="M711" s="765" t="s">
        <v>773</v>
      </c>
      <c r="N711" s="765">
        <v>0</v>
      </c>
      <c r="O711" s="765">
        <v>0</v>
      </c>
      <c r="P711" s="735">
        <v>0</v>
      </c>
      <c r="Q711" s="713" t="s">
        <v>58</v>
      </c>
      <c r="R711" s="713" t="s">
        <v>58</v>
      </c>
      <c r="S711" s="713" t="s">
        <v>58</v>
      </c>
      <c r="T711" s="713" t="s">
        <v>58</v>
      </c>
      <c r="U711" s="764">
        <v>0</v>
      </c>
      <c r="V711" s="764">
        <v>0</v>
      </c>
      <c r="W711" s="764">
        <v>0</v>
      </c>
      <c r="X711" s="764">
        <v>0</v>
      </c>
      <c r="Y711" s="764">
        <v>0</v>
      </c>
      <c r="Z711" s="764">
        <v>0</v>
      </c>
      <c r="AA711" s="764">
        <v>0</v>
      </c>
      <c r="AB711" s="764">
        <v>0</v>
      </c>
      <c r="AC711" s="714">
        <v>0.82617698682369967</v>
      </c>
      <c r="AD711" s="714">
        <v>0.7843105192554185</v>
      </c>
      <c r="AE711" s="713" t="s">
        <v>58</v>
      </c>
      <c r="AF711" s="713" t="s">
        <v>58</v>
      </c>
      <c r="AG711" s="713" t="s">
        <v>58</v>
      </c>
      <c r="AH711" s="714">
        <v>0.94387031345969796</v>
      </c>
      <c r="AI711" s="713" t="s">
        <v>58</v>
      </c>
      <c r="AJ711" s="713" t="s">
        <v>58</v>
      </c>
      <c r="AK711" s="713" t="s">
        <v>58</v>
      </c>
      <c r="AL711" s="714">
        <v>0.94454345387965444</v>
      </c>
      <c r="AM711" s="713" t="s">
        <v>58</v>
      </c>
      <c r="AN711" s="713" t="s">
        <v>58</v>
      </c>
      <c r="AO711" s="713" t="s">
        <v>58</v>
      </c>
      <c r="AP711" s="747">
        <v>150</v>
      </c>
      <c r="AQ711" s="747">
        <v>150</v>
      </c>
      <c r="AR711" s="709"/>
      <c r="AS711" s="763">
        <v>0</v>
      </c>
      <c r="AT711" s="763">
        <v>0</v>
      </c>
      <c r="AU711" s="763">
        <v>0</v>
      </c>
      <c r="AV711" s="763">
        <v>0</v>
      </c>
      <c r="AW711" s="763">
        <v>0</v>
      </c>
      <c r="AX711" s="763">
        <v>0</v>
      </c>
      <c r="AY711" s="763">
        <v>0</v>
      </c>
      <c r="AZ711" s="763">
        <v>0</v>
      </c>
      <c r="BA711" s="763">
        <v>0</v>
      </c>
      <c r="BB711" s="763">
        <v>0</v>
      </c>
      <c r="BC711" s="763">
        <v>0</v>
      </c>
      <c r="BD711" s="763">
        <v>0</v>
      </c>
      <c r="BE711" s="763">
        <v>0</v>
      </c>
      <c r="BF711" s="763">
        <v>0</v>
      </c>
      <c r="BG711" s="763">
        <v>0</v>
      </c>
      <c r="BH711" s="763">
        <v>0</v>
      </c>
      <c r="BI711" s="763">
        <v>0</v>
      </c>
      <c r="BJ711" s="763">
        <v>0</v>
      </c>
      <c r="BK711" s="763">
        <v>0</v>
      </c>
      <c r="BL711" s="763">
        <v>0</v>
      </c>
      <c r="BM711" s="763">
        <v>0</v>
      </c>
      <c r="BN711" s="763">
        <v>0</v>
      </c>
      <c r="BO711" s="763">
        <v>0</v>
      </c>
      <c r="BP711" s="763">
        <v>0</v>
      </c>
      <c r="BQ711" s="763">
        <v>0</v>
      </c>
      <c r="BR711" s="763">
        <v>0</v>
      </c>
      <c r="BS711" s="762">
        <v>0</v>
      </c>
      <c r="BT711" s="762">
        <v>0</v>
      </c>
      <c r="BU711" s="762">
        <v>0</v>
      </c>
      <c r="BV711" s="762">
        <v>0</v>
      </c>
      <c r="BW711" s="762">
        <v>0</v>
      </c>
      <c r="BX711" s="762">
        <v>0</v>
      </c>
      <c r="BY711" s="762">
        <v>0</v>
      </c>
      <c r="BZ711" s="762">
        <v>0</v>
      </c>
      <c r="CA711" s="762">
        <v>0</v>
      </c>
      <c r="CB711" s="762">
        <v>0</v>
      </c>
      <c r="CC711" s="762">
        <v>0</v>
      </c>
      <c r="CD711" s="762">
        <v>0</v>
      </c>
      <c r="CE711" s="762">
        <v>0</v>
      </c>
      <c r="CF711" s="762">
        <v>0</v>
      </c>
      <c r="CG711" s="762">
        <v>0</v>
      </c>
      <c r="CH711" s="762">
        <v>0</v>
      </c>
      <c r="CI711" s="762">
        <v>0</v>
      </c>
      <c r="CJ711" s="762">
        <v>0</v>
      </c>
      <c r="CK711" s="762">
        <v>0</v>
      </c>
      <c r="CL711" s="762">
        <v>0</v>
      </c>
      <c r="CM711" s="762">
        <v>0</v>
      </c>
      <c r="CN711" s="762">
        <v>0</v>
      </c>
      <c r="CO711" s="762">
        <v>0</v>
      </c>
      <c r="CP711" s="762">
        <v>0</v>
      </c>
      <c r="CQ711" s="762">
        <v>0</v>
      </c>
      <c r="CR711" s="762">
        <v>0</v>
      </c>
    </row>
    <row r="712" spans="1:96" s="53" customFormat="1">
      <c r="A712" s="721" t="s">
        <v>3</v>
      </c>
      <c r="B712" s="723">
        <v>41795</v>
      </c>
      <c r="C712" s="721">
        <v>2014</v>
      </c>
      <c r="D712" s="713" t="s">
        <v>1</v>
      </c>
      <c r="E712" s="713" t="s">
        <v>674</v>
      </c>
      <c r="F712" s="723" t="s">
        <v>123</v>
      </c>
      <c r="G712" s="713" t="s">
        <v>58</v>
      </c>
      <c r="H712" s="723" t="s">
        <v>678</v>
      </c>
      <c r="I712" s="713" t="s">
        <v>5</v>
      </c>
      <c r="J712" s="713" t="s">
        <v>376</v>
      </c>
      <c r="K712" s="766">
        <v>2</v>
      </c>
      <c r="L712" s="766" t="s">
        <v>671</v>
      </c>
      <c r="M712" s="765" t="s">
        <v>772</v>
      </c>
      <c r="N712" s="765">
        <v>3</v>
      </c>
      <c r="O712" s="765">
        <v>2</v>
      </c>
      <c r="P712" s="735">
        <v>0.6149863305954828</v>
      </c>
      <c r="Q712" s="713" t="s">
        <v>58</v>
      </c>
      <c r="R712" s="713" t="s">
        <v>58</v>
      </c>
      <c r="S712" s="713" t="s">
        <v>58</v>
      </c>
      <c r="T712" s="713" t="s">
        <v>58</v>
      </c>
      <c r="U712" s="764">
        <v>9.4E-2</v>
      </c>
      <c r="V712" s="764">
        <v>298.35599999999999</v>
      </c>
      <c r="W712" s="764">
        <v>7.3725188810009348E-2</v>
      </c>
      <c r="X712" s="764">
        <v>246.49486108077173</v>
      </c>
      <c r="Y712" s="764">
        <v>644.58069228825048</v>
      </c>
      <c r="Z712" s="764">
        <v>608.40058008018013</v>
      </c>
      <c r="AA712" s="764">
        <v>232.6591817945127</v>
      </c>
      <c r="AB712" s="764">
        <v>6.9636644476535878E-2</v>
      </c>
      <c r="AC712" s="714">
        <v>0.82617698682369967</v>
      </c>
      <c r="AD712" s="714">
        <v>0.7843105192554185</v>
      </c>
      <c r="AE712" s="713" t="s">
        <v>58</v>
      </c>
      <c r="AF712" s="713" t="s">
        <v>58</v>
      </c>
      <c r="AG712" s="713" t="s">
        <v>58</v>
      </c>
      <c r="AH712" s="714">
        <v>0.94387031345969796</v>
      </c>
      <c r="AI712" s="713" t="s">
        <v>58</v>
      </c>
      <c r="AJ712" s="713" t="s">
        <v>58</v>
      </c>
      <c r="AK712" s="713" t="s">
        <v>58</v>
      </c>
      <c r="AL712" s="714">
        <v>0.94454345387965444</v>
      </c>
      <c r="AM712" s="713" t="s">
        <v>58</v>
      </c>
      <c r="AN712" s="713" t="s">
        <v>58</v>
      </c>
      <c r="AO712" s="713" t="s">
        <v>58</v>
      </c>
      <c r="AP712" s="747">
        <v>8</v>
      </c>
      <c r="AQ712" s="747">
        <v>16</v>
      </c>
      <c r="AR712" s="709"/>
      <c r="AS712" s="763">
        <v>0</v>
      </c>
      <c r="AT712" s="763">
        <v>0</v>
      </c>
      <c r="AU712" s="763">
        <v>0</v>
      </c>
      <c r="AV712" s="763">
        <v>6.9636644476535878E-2</v>
      </c>
      <c r="AW712" s="763">
        <v>6.9636644476535878E-2</v>
      </c>
      <c r="AX712" s="763">
        <v>4.2825584461606996E-2</v>
      </c>
      <c r="AY712" s="763">
        <v>0</v>
      </c>
      <c r="AZ712" s="763">
        <v>0</v>
      </c>
      <c r="BA712" s="763">
        <v>0</v>
      </c>
      <c r="BB712" s="763">
        <v>0</v>
      </c>
      <c r="BC712" s="763">
        <v>0</v>
      </c>
      <c r="BD712" s="763">
        <v>0</v>
      </c>
      <c r="BE712" s="763">
        <v>0</v>
      </c>
      <c r="BF712" s="763">
        <v>0</v>
      </c>
      <c r="BG712" s="763">
        <v>0</v>
      </c>
      <c r="BH712" s="763">
        <v>0</v>
      </c>
      <c r="BI712" s="763">
        <v>0</v>
      </c>
      <c r="BJ712" s="763">
        <v>0</v>
      </c>
      <c r="BK712" s="763">
        <v>0</v>
      </c>
      <c r="BL712" s="763">
        <v>0</v>
      </c>
      <c r="BM712" s="763">
        <v>0</v>
      </c>
      <c r="BN712" s="763">
        <v>0</v>
      </c>
      <c r="BO712" s="763">
        <v>0</v>
      </c>
      <c r="BP712" s="763">
        <v>0</v>
      </c>
      <c r="BQ712" s="763">
        <v>0</v>
      </c>
      <c r="BR712" s="763">
        <v>0</v>
      </c>
      <c r="BS712" s="762">
        <v>0</v>
      </c>
      <c r="BT712" s="762">
        <v>0</v>
      </c>
      <c r="BU712" s="762">
        <v>0</v>
      </c>
      <c r="BV712" s="762">
        <v>232.6591817945127</v>
      </c>
      <c r="BW712" s="762">
        <v>232.6591817945127</v>
      </c>
      <c r="BX712" s="762">
        <v>143.08221649115472</v>
      </c>
      <c r="BY712" s="762">
        <v>0</v>
      </c>
      <c r="BZ712" s="762">
        <v>0</v>
      </c>
      <c r="CA712" s="762">
        <v>0</v>
      </c>
      <c r="CB712" s="762">
        <v>0</v>
      </c>
      <c r="CC712" s="762">
        <v>0</v>
      </c>
      <c r="CD712" s="762">
        <v>0</v>
      </c>
      <c r="CE712" s="762">
        <v>0</v>
      </c>
      <c r="CF712" s="762">
        <v>0</v>
      </c>
      <c r="CG712" s="762">
        <v>0</v>
      </c>
      <c r="CH712" s="762">
        <v>0</v>
      </c>
      <c r="CI712" s="762">
        <v>0</v>
      </c>
      <c r="CJ712" s="762">
        <v>0</v>
      </c>
      <c r="CK712" s="762">
        <v>0</v>
      </c>
      <c r="CL712" s="762">
        <v>0</v>
      </c>
      <c r="CM712" s="762">
        <v>0</v>
      </c>
      <c r="CN712" s="762">
        <v>0</v>
      </c>
      <c r="CO712" s="762">
        <v>0</v>
      </c>
      <c r="CP712" s="762">
        <v>0</v>
      </c>
      <c r="CQ712" s="762">
        <v>0</v>
      </c>
      <c r="CR712" s="762">
        <v>0</v>
      </c>
    </row>
    <row r="713" spans="1:96" s="53" customFormat="1">
      <c r="A713" s="721" t="s">
        <v>3</v>
      </c>
      <c r="B713" s="723">
        <v>41795</v>
      </c>
      <c r="C713" s="721">
        <v>2014</v>
      </c>
      <c r="D713" s="713" t="s">
        <v>1</v>
      </c>
      <c r="E713" s="713" t="s">
        <v>674</v>
      </c>
      <c r="F713" s="723" t="s">
        <v>123</v>
      </c>
      <c r="G713" s="713" t="s">
        <v>58</v>
      </c>
      <c r="H713" s="723" t="s">
        <v>677</v>
      </c>
      <c r="I713" s="713" t="s">
        <v>5</v>
      </c>
      <c r="J713" s="713" t="s">
        <v>376</v>
      </c>
      <c r="K713" s="766">
        <v>1</v>
      </c>
      <c r="L713" s="766" t="s">
        <v>671</v>
      </c>
      <c r="M713" s="765" t="s">
        <v>772</v>
      </c>
      <c r="N713" s="765">
        <v>0</v>
      </c>
      <c r="O713" s="765">
        <v>0</v>
      </c>
      <c r="P713" s="735">
        <v>0</v>
      </c>
      <c r="Q713" s="713" t="s">
        <v>58</v>
      </c>
      <c r="R713" s="713" t="s">
        <v>58</v>
      </c>
      <c r="S713" s="713" t="s">
        <v>58</v>
      </c>
      <c r="T713" s="713" t="s">
        <v>58</v>
      </c>
      <c r="U713" s="764">
        <v>0</v>
      </c>
      <c r="V713" s="764">
        <v>0</v>
      </c>
      <c r="W713" s="764">
        <v>0</v>
      </c>
      <c r="X713" s="764">
        <v>0</v>
      </c>
      <c r="Y713" s="764">
        <v>0</v>
      </c>
      <c r="Z713" s="764">
        <v>0</v>
      </c>
      <c r="AA713" s="764">
        <v>0</v>
      </c>
      <c r="AB713" s="764">
        <v>0</v>
      </c>
      <c r="AC713" s="714">
        <v>0.82617698682369967</v>
      </c>
      <c r="AD713" s="714">
        <v>0.7843105192554185</v>
      </c>
      <c r="AE713" s="713" t="s">
        <v>58</v>
      </c>
      <c r="AF713" s="713" t="s">
        <v>58</v>
      </c>
      <c r="AG713" s="713" t="s">
        <v>58</v>
      </c>
      <c r="AH713" s="714">
        <v>0.94387031345969796</v>
      </c>
      <c r="AI713" s="713" t="s">
        <v>58</v>
      </c>
      <c r="AJ713" s="713" t="s">
        <v>58</v>
      </c>
      <c r="AK713" s="713" t="s">
        <v>58</v>
      </c>
      <c r="AL713" s="714">
        <v>0.94454345387965444</v>
      </c>
      <c r="AM713" s="713" t="s">
        <v>58</v>
      </c>
      <c r="AN713" s="713" t="s">
        <v>58</v>
      </c>
      <c r="AO713" s="713" t="s">
        <v>58</v>
      </c>
      <c r="AP713" s="747">
        <v>51</v>
      </c>
      <c r="AQ713" s="747">
        <v>51</v>
      </c>
      <c r="AR713" s="709"/>
      <c r="AS713" s="763">
        <v>0</v>
      </c>
      <c r="AT713" s="763">
        <v>0</v>
      </c>
      <c r="AU713" s="763">
        <v>0</v>
      </c>
      <c r="AV713" s="763">
        <v>0</v>
      </c>
      <c r="AW713" s="763">
        <v>0</v>
      </c>
      <c r="AX713" s="763">
        <v>0</v>
      </c>
      <c r="AY713" s="763">
        <v>0</v>
      </c>
      <c r="AZ713" s="763">
        <v>0</v>
      </c>
      <c r="BA713" s="763">
        <v>0</v>
      </c>
      <c r="BB713" s="763">
        <v>0</v>
      </c>
      <c r="BC713" s="763">
        <v>0</v>
      </c>
      <c r="BD713" s="763">
        <v>0</v>
      </c>
      <c r="BE713" s="763">
        <v>0</v>
      </c>
      <c r="BF713" s="763">
        <v>0</v>
      </c>
      <c r="BG713" s="763">
        <v>0</v>
      </c>
      <c r="BH713" s="763">
        <v>0</v>
      </c>
      <c r="BI713" s="763">
        <v>0</v>
      </c>
      <c r="BJ713" s="763">
        <v>0</v>
      </c>
      <c r="BK713" s="763">
        <v>0</v>
      </c>
      <c r="BL713" s="763">
        <v>0</v>
      </c>
      <c r="BM713" s="763">
        <v>0</v>
      </c>
      <c r="BN713" s="763">
        <v>0</v>
      </c>
      <c r="BO713" s="763">
        <v>0</v>
      </c>
      <c r="BP713" s="763">
        <v>0</v>
      </c>
      <c r="BQ713" s="763">
        <v>0</v>
      </c>
      <c r="BR713" s="763">
        <v>0</v>
      </c>
      <c r="BS713" s="762">
        <v>0</v>
      </c>
      <c r="BT713" s="762">
        <v>0</v>
      </c>
      <c r="BU713" s="762">
        <v>0</v>
      </c>
      <c r="BV713" s="762">
        <v>0</v>
      </c>
      <c r="BW713" s="762">
        <v>0</v>
      </c>
      <c r="BX713" s="762">
        <v>0</v>
      </c>
      <c r="BY713" s="762">
        <v>0</v>
      </c>
      <c r="BZ713" s="762">
        <v>0</v>
      </c>
      <c r="CA713" s="762">
        <v>0</v>
      </c>
      <c r="CB713" s="762">
        <v>0</v>
      </c>
      <c r="CC713" s="762">
        <v>0</v>
      </c>
      <c r="CD713" s="762">
        <v>0</v>
      </c>
      <c r="CE713" s="762">
        <v>0</v>
      </c>
      <c r="CF713" s="762">
        <v>0</v>
      </c>
      <c r="CG713" s="762">
        <v>0</v>
      </c>
      <c r="CH713" s="762">
        <v>0</v>
      </c>
      <c r="CI713" s="762">
        <v>0</v>
      </c>
      <c r="CJ713" s="762">
        <v>0</v>
      </c>
      <c r="CK713" s="762">
        <v>0</v>
      </c>
      <c r="CL713" s="762">
        <v>0</v>
      </c>
      <c r="CM713" s="762">
        <v>0</v>
      </c>
      <c r="CN713" s="762">
        <v>0</v>
      </c>
      <c r="CO713" s="762">
        <v>0</v>
      </c>
      <c r="CP713" s="762">
        <v>0</v>
      </c>
      <c r="CQ713" s="762">
        <v>0</v>
      </c>
      <c r="CR713" s="762">
        <v>0</v>
      </c>
    </row>
    <row r="714" spans="1:96" s="53" customFormat="1">
      <c r="A714" s="721" t="s">
        <v>3</v>
      </c>
      <c r="B714" s="723">
        <v>41795</v>
      </c>
      <c r="C714" s="721">
        <v>2014</v>
      </c>
      <c r="D714" s="713" t="s">
        <v>1</v>
      </c>
      <c r="E714" s="713" t="s">
        <v>674</v>
      </c>
      <c r="F714" s="723" t="s">
        <v>123</v>
      </c>
      <c r="G714" s="713" t="s">
        <v>58</v>
      </c>
      <c r="H714" s="723" t="s">
        <v>676</v>
      </c>
      <c r="I714" s="713" t="s">
        <v>5</v>
      </c>
      <c r="J714" s="713" t="s">
        <v>376</v>
      </c>
      <c r="K714" s="766">
        <v>3</v>
      </c>
      <c r="L714" s="766" t="s">
        <v>671</v>
      </c>
      <c r="M714" s="765" t="s">
        <v>772</v>
      </c>
      <c r="N714" s="765">
        <v>12</v>
      </c>
      <c r="O714" s="765">
        <v>3</v>
      </c>
      <c r="P714" s="735">
        <v>0.31578947368421051</v>
      </c>
      <c r="Q714" s="713" t="s">
        <v>58</v>
      </c>
      <c r="R714" s="713" t="s">
        <v>58</v>
      </c>
      <c r="S714" s="713" t="s">
        <v>58</v>
      </c>
      <c r="T714" s="713" t="s">
        <v>58</v>
      </c>
      <c r="U714" s="764">
        <v>0.114</v>
      </c>
      <c r="V714" s="764">
        <v>388.74</v>
      </c>
      <c r="W714" s="764">
        <v>8.941139919511773E-2</v>
      </c>
      <c r="X714" s="764">
        <v>321.16804185784503</v>
      </c>
      <c r="Y714" s="764">
        <v>1876.2975076958314</v>
      </c>
      <c r="Z714" s="764">
        <v>1770.9815167325144</v>
      </c>
      <c r="AA714" s="764">
        <v>303.14098034160156</v>
      </c>
      <c r="AB714" s="764">
        <v>8.445295181196906E-2</v>
      </c>
      <c r="AC714" s="714">
        <v>0.82617698682369967</v>
      </c>
      <c r="AD714" s="714">
        <v>0.7843105192554185</v>
      </c>
      <c r="AE714" s="713" t="s">
        <v>58</v>
      </c>
      <c r="AF714" s="713" t="s">
        <v>58</v>
      </c>
      <c r="AG714" s="713" t="s">
        <v>58</v>
      </c>
      <c r="AH714" s="714">
        <v>0.94387031345969796</v>
      </c>
      <c r="AI714" s="713" t="s">
        <v>58</v>
      </c>
      <c r="AJ714" s="713" t="s">
        <v>58</v>
      </c>
      <c r="AK714" s="713" t="s">
        <v>58</v>
      </c>
      <c r="AL714" s="714">
        <v>0.94454345387965444</v>
      </c>
      <c r="AM714" s="713" t="s">
        <v>58</v>
      </c>
      <c r="AN714" s="713" t="s">
        <v>58</v>
      </c>
      <c r="AO714" s="713" t="s">
        <v>58</v>
      </c>
      <c r="AP714" s="747">
        <v>57</v>
      </c>
      <c r="AQ714" s="747">
        <v>171</v>
      </c>
      <c r="AR714" s="709"/>
      <c r="AS714" s="763">
        <v>0</v>
      </c>
      <c r="AT714" s="763">
        <v>0</v>
      </c>
      <c r="AU714" s="763">
        <v>0</v>
      </c>
      <c r="AV714" s="763">
        <v>8.445295181196906E-2</v>
      </c>
      <c r="AW714" s="763">
        <v>8.445295181196906E-2</v>
      </c>
      <c r="AX714" s="763">
        <v>8.445295181196906E-2</v>
      </c>
      <c r="AY714" s="763">
        <v>2.6669353203779701E-2</v>
      </c>
      <c r="AZ714" s="763">
        <v>2.6669353203779701E-2</v>
      </c>
      <c r="BA714" s="763">
        <v>2.6669353203779701E-2</v>
      </c>
      <c r="BB714" s="763">
        <v>2.6669353203779701E-2</v>
      </c>
      <c r="BC714" s="763">
        <v>2.6669353203779701E-2</v>
      </c>
      <c r="BD714" s="763">
        <v>2.6669353203779701E-2</v>
      </c>
      <c r="BE714" s="763">
        <v>2.6669353203779701E-2</v>
      </c>
      <c r="BF714" s="763">
        <v>2.6669353203779701E-2</v>
      </c>
      <c r="BG714" s="763">
        <v>2.6669353203779701E-2</v>
      </c>
      <c r="BH714" s="763">
        <v>0</v>
      </c>
      <c r="BI714" s="763">
        <v>0</v>
      </c>
      <c r="BJ714" s="763">
        <v>0</v>
      </c>
      <c r="BK714" s="763">
        <v>0</v>
      </c>
      <c r="BL714" s="763">
        <v>0</v>
      </c>
      <c r="BM714" s="763">
        <v>0</v>
      </c>
      <c r="BN714" s="763">
        <v>0</v>
      </c>
      <c r="BO714" s="763">
        <v>0</v>
      </c>
      <c r="BP714" s="763">
        <v>0</v>
      </c>
      <c r="BQ714" s="763">
        <v>0</v>
      </c>
      <c r="BR714" s="763">
        <v>0</v>
      </c>
      <c r="BS714" s="762">
        <v>0</v>
      </c>
      <c r="BT714" s="762">
        <v>0</v>
      </c>
      <c r="BU714" s="762">
        <v>0</v>
      </c>
      <c r="BV714" s="762">
        <v>303.14098034160156</v>
      </c>
      <c r="BW714" s="762">
        <v>303.14098034160156</v>
      </c>
      <c r="BX714" s="762">
        <v>303.14098034160156</v>
      </c>
      <c r="BY714" s="762">
        <v>95.728730634189958</v>
      </c>
      <c r="BZ714" s="762">
        <v>95.728730634189958</v>
      </c>
      <c r="CA714" s="762">
        <v>95.728730634189958</v>
      </c>
      <c r="CB714" s="762">
        <v>95.728730634189958</v>
      </c>
      <c r="CC714" s="762">
        <v>95.728730634189958</v>
      </c>
      <c r="CD714" s="762">
        <v>95.728730634189958</v>
      </c>
      <c r="CE714" s="762">
        <v>95.728730634189958</v>
      </c>
      <c r="CF714" s="762">
        <v>95.728730634189958</v>
      </c>
      <c r="CG714" s="762">
        <v>95.728730634189958</v>
      </c>
      <c r="CH714" s="762">
        <v>0</v>
      </c>
      <c r="CI714" s="762">
        <v>0</v>
      </c>
      <c r="CJ714" s="762">
        <v>0</v>
      </c>
      <c r="CK714" s="762">
        <v>0</v>
      </c>
      <c r="CL714" s="762">
        <v>0</v>
      </c>
      <c r="CM714" s="762">
        <v>0</v>
      </c>
      <c r="CN714" s="762">
        <v>0</v>
      </c>
      <c r="CO714" s="762">
        <v>0</v>
      </c>
      <c r="CP714" s="762">
        <v>0</v>
      </c>
      <c r="CQ714" s="762">
        <v>0</v>
      </c>
      <c r="CR714" s="762">
        <v>0</v>
      </c>
    </row>
    <row r="715" spans="1:96" s="53" customFormat="1">
      <c r="A715" s="721" t="s">
        <v>3</v>
      </c>
      <c r="B715" s="723">
        <v>41795</v>
      </c>
      <c r="C715" s="721">
        <v>2014</v>
      </c>
      <c r="D715" s="713" t="s">
        <v>1</v>
      </c>
      <c r="E715" s="713" t="s">
        <v>674</v>
      </c>
      <c r="F715" s="723" t="s">
        <v>123</v>
      </c>
      <c r="G715" s="713" t="s">
        <v>58</v>
      </c>
      <c r="H715" s="723" t="s">
        <v>676</v>
      </c>
      <c r="I715" s="713" t="s">
        <v>5</v>
      </c>
      <c r="J715" s="713" t="s">
        <v>376</v>
      </c>
      <c r="K715" s="766">
        <v>3</v>
      </c>
      <c r="L715" s="766" t="s">
        <v>671</v>
      </c>
      <c r="M715" s="765" t="s">
        <v>772</v>
      </c>
      <c r="N715" s="765">
        <v>12</v>
      </c>
      <c r="O715" s="765">
        <v>3</v>
      </c>
      <c r="P715" s="735">
        <v>0.31578947368421051</v>
      </c>
      <c r="Q715" s="713" t="s">
        <v>58</v>
      </c>
      <c r="R715" s="713" t="s">
        <v>58</v>
      </c>
      <c r="S715" s="713" t="s">
        <v>58</v>
      </c>
      <c r="T715" s="713" t="s">
        <v>58</v>
      </c>
      <c r="U715" s="764">
        <v>0.114</v>
      </c>
      <c r="V715" s="764">
        <v>388.74</v>
      </c>
      <c r="W715" s="764">
        <v>8.941139919511773E-2</v>
      </c>
      <c r="X715" s="764">
        <v>321.16804185784503</v>
      </c>
      <c r="Y715" s="764">
        <v>1876.2975076958314</v>
      </c>
      <c r="Z715" s="764">
        <v>1770.9815167325144</v>
      </c>
      <c r="AA715" s="764">
        <v>303.14098034160156</v>
      </c>
      <c r="AB715" s="764">
        <v>8.445295181196906E-2</v>
      </c>
      <c r="AC715" s="714">
        <v>0.82617698682369967</v>
      </c>
      <c r="AD715" s="714">
        <v>0.7843105192554185</v>
      </c>
      <c r="AE715" s="713" t="s">
        <v>58</v>
      </c>
      <c r="AF715" s="713" t="s">
        <v>58</v>
      </c>
      <c r="AG715" s="713" t="s">
        <v>58</v>
      </c>
      <c r="AH715" s="714">
        <v>0.94387031345969796</v>
      </c>
      <c r="AI715" s="713" t="s">
        <v>58</v>
      </c>
      <c r="AJ715" s="713" t="s">
        <v>58</v>
      </c>
      <c r="AK715" s="713" t="s">
        <v>58</v>
      </c>
      <c r="AL715" s="714">
        <v>0.94454345387965444</v>
      </c>
      <c r="AM715" s="713" t="s">
        <v>58</v>
      </c>
      <c r="AN715" s="713" t="s">
        <v>58</v>
      </c>
      <c r="AO715" s="713" t="s">
        <v>58</v>
      </c>
      <c r="AP715" s="747">
        <v>57</v>
      </c>
      <c r="AQ715" s="747">
        <v>171</v>
      </c>
      <c r="AR715" s="709"/>
      <c r="AS715" s="763">
        <v>0</v>
      </c>
      <c r="AT715" s="763">
        <v>0</v>
      </c>
      <c r="AU715" s="763">
        <v>0</v>
      </c>
      <c r="AV715" s="763">
        <v>8.445295181196906E-2</v>
      </c>
      <c r="AW715" s="763">
        <v>8.445295181196906E-2</v>
      </c>
      <c r="AX715" s="763">
        <v>8.445295181196906E-2</v>
      </c>
      <c r="AY715" s="763">
        <v>2.6669353203779701E-2</v>
      </c>
      <c r="AZ715" s="763">
        <v>2.6669353203779701E-2</v>
      </c>
      <c r="BA715" s="763">
        <v>2.6669353203779701E-2</v>
      </c>
      <c r="BB715" s="763">
        <v>2.6669353203779701E-2</v>
      </c>
      <c r="BC715" s="763">
        <v>2.6669353203779701E-2</v>
      </c>
      <c r="BD715" s="763">
        <v>2.6669353203779701E-2</v>
      </c>
      <c r="BE715" s="763">
        <v>2.6669353203779701E-2</v>
      </c>
      <c r="BF715" s="763">
        <v>2.6669353203779701E-2</v>
      </c>
      <c r="BG715" s="763">
        <v>2.6669353203779701E-2</v>
      </c>
      <c r="BH715" s="763">
        <v>0</v>
      </c>
      <c r="BI715" s="763">
        <v>0</v>
      </c>
      <c r="BJ715" s="763">
        <v>0</v>
      </c>
      <c r="BK715" s="763">
        <v>0</v>
      </c>
      <c r="BL715" s="763">
        <v>0</v>
      </c>
      <c r="BM715" s="763">
        <v>0</v>
      </c>
      <c r="BN715" s="763">
        <v>0</v>
      </c>
      <c r="BO715" s="763">
        <v>0</v>
      </c>
      <c r="BP715" s="763">
        <v>0</v>
      </c>
      <c r="BQ715" s="763">
        <v>0</v>
      </c>
      <c r="BR715" s="763">
        <v>0</v>
      </c>
      <c r="BS715" s="762">
        <v>0</v>
      </c>
      <c r="BT715" s="762">
        <v>0</v>
      </c>
      <c r="BU715" s="762">
        <v>0</v>
      </c>
      <c r="BV715" s="762">
        <v>303.14098034160156</v>
      </c>
      <c r="BW715" s="762">
        <v>303.14098034160156</v>
      </c>
      <c r="BX715" s="762">
        <v>303.14098034160156</v>
      </c>
      <c r="BY715" s="762">
        <v>95.728730634189958</v>
      </c>
      <c r="BZ715" s="762">
        <v>95.728730634189958</v>
      </c>
      <c r="CA715" s="762">
        <v>95.728730634189958</v>
      </c>
      <c r="CB715" s="762">
        <v>95.728730634189958</v>
      </c>
      <c r="CC715" s="762">
        <v>95.728730634189958</v>
      </c>
      <c r="CD715" s="762">
        <v>95.728730634189958</v>
      </c>
      <c r="CE715" s="762">
        <v>95.728730634189958</v>
      </c>
      <c r="CF715" s="762">
        <v>95.728730634189958</v>
      </c>
      <c r="CG715" s="762">
        <v>95.728730634189958</v>
      </c>
      <c r="CH715" s="762">
        <v>0</v>
      </c>
      <c r="CI715" s="762">
        <v>0</v>
      </c>
      <c r="CJ715" s="762">
        <v>0</v>
      </c>
      <c r="CK715" s="762">
        <v>0</v>
      </c>
      <c r="CL715" s="762">
        <v>0</v>
      </c>
      <c r="CM715" s="762">
        <v>0</v>
      </c>
      <c r="CN715" s="762">
        <v>0</v>
      </c>
      <c r="CO715" s="762">
        <v>0</v>
      </c>
      <c r="CP715" s="762">
        <v>0</v>
      </c>
      <c r="CQ715" s="762">
        <v>0</v>
      </c>
      <c r="CR715" s="762">
        <v>0</v>
      </c>
    </row>
    <row r="716" spans="1:96" s="53" customFormat="1">
      <c r="A716" s="721" t="s">
        <v>3</v>
      </c>
      <c r="B716" s="723">
        <v>41795</v>
      </c>
      <c r="C716" s="721">
        <v>2014</v>
      </c>
      <c r="D716" s="713" t="s">
        <v>1</v>
      </c>
      <c r="E716" s="713" t="s">
        <v>674</v>
      </c>
      <c r="F716" s="723" t="s">
        <v>123</v>
      </c>
      <c r="G716" s="713" t="s">
        <v>58</v>
      </c>
      <c r="H716" s="723" t="s">
        <v>676</v>
      </c>
      <c r="I716" s="713" t="s">
        <v>5</v>
      </c>
      <c r="J716" s="713" t="s">
        <v>376</v>
      </c>
      <c r="K716" s="766">
        <v>5</v>
      </c>
      <c r="L716" s="766" t="s">
        <v>671</v>
      </c>
      <c r="M716" s="765" t="s">
        <v>772</v>
      </c>
      <c r="N716" s="765">
        <v>12</v>
      </c>
      <c r="O716" s="765">
        <v>3</v>
      </c>
      <c r="P716" s="735">
        <v>0.31578947368421051</v>
      </c>
      <c r="Q716" s="713" t="s">
        <v>58</v>
      </c>
      <c r="R716" s="713" t="s">
        <v>58</v>
      </c>
      <c r="S716" s="713" t="s">
        <v>58</v>
      </c>
      <c r="T716" s="713" t="s">
        <v>58</v>
      </c>
      <c r="U716" s="764">
        <v>0.19</v>
      </c>
      <c r="V716" s="764">
        <v>647.9</v>
      </c>
      <c r="W716" s="764">
        <v>0.14901899865852955</v>
      </c>
      <c r="X716" s="764">
        <v>535.28006976307495</v>
      </c>
      <c r="Y716" s="764">
        <v>3127.162512826385</v>
      </c>
      <c r="Z716" s="764">
        <v>2951.6358612208569</v>
      </c>
      <c r="AA716" s="764">
        <v>505.23496723600255</v>
      </c>
      <c r="AB716" s="764">
        <v>0.1407549196866151</v>
      </c>
      <c r="AC716" s="714">
        <v>0.82617698682369967</v>
      </c>
      <c r="AD716" s="714">
        <v>0.7843105192554185</v>
      </c>
      <c r="AE716" s="713" t="s">
        <v>58</v>
      </c>
      <c r="AF716" s="713" t="s">
        <v>58</v>
      </c>
      <c r="AG716" s="713" t="s">
        <v>58</v>
      </c>
      <c r="AH716" s="714">
        <v>0.94387031345969796</v>
      </c>
      <c r="AI716" s="713" t="s">
        <v>58</v>
      </c>
      <c r="AJ716" s="713" t="s">
        <v>58</v>
      </c>
      <c r="AK716" s="713" t="s">
        <v>58</v>
      </c>
      <c r="AL716" s="714">
        <v>0.94454345387965444</v>
      </c>
      <c r="AM716" s="713" t="s">
        <v>58</v>
      </c>
      <c r="AN716" s="713" t="s">
        <v>58</v>
      </c>
      <c r="AO716" s="713" t="s">
        <v>58</v>
      </c>
      <c r="AP716" s="747">
        <v>57</v>
      </c>
      <c r="AQ716" s="747">
        <v>285</v>
      </c>
      <c r="AR716" s="709"/>
      <c r="AS716" s="763">
        <v>0</v>
      </c>
      <c r="AT716" s="763">
        <v>0</v>
      </c>
      <c r="AU716" s="763">
        <v>0</v>
      </c>
      <c r="AV716" s="763">
        <v>0.1407549196866151</v>
      </c>
      <c r="AW716" s="763">
        <v>0.1407549196866151</v>
      </c>
      <c r="AX716" s="763">
        <v>0.1407549196866151</v>
      </c>
      <c r="AY716" s="763">
        <v>4.4448922006299504E-2</v>
      </c>
      <c r="AZ716" s="763">
        <v>4.4448922006299504E-2</v>
      </c>
      <c r="BA716" s="763">
        <v>4.4448922006299504E-2</v>
      </c>
      <c r="BB716" s="763">
        <v>4.4448922006299504E-2</v>
      </c>
      <c r="BC716" s="763">
        <v>4.4448922006299504E-2</v>
      </c>
      <c r="BD716" s="763">
        <v>4.4448922006299504E-2</v>
      </c>
      <c r="BE716" s="763">
        <v>4.4448922006299504E-2</v>
      </c>
      <c r="BF716" s="763">
        <v>4.4448922006299504E-2</v>
      </c>
      <c r="BG716" s="763">
        <v>4.4448922006299504E-2</v>
      </c>
      <c r="BH716" s="763">
        <v>0</v>
      </c>
      <c r="BI716" s="763">
        <v>0</v>
      </c>
      <c r="BJ716" s="763">
        <v>0</v>
      </c>
      <c r="BK716" s="763">
        <v>0</v>
      </c>
      <c r="BL716" s="763">
        <v>0</v>
      </c>
      <c r="BM716" s="763">
        <v>0</v>
      </c>
      <c r="BN716" s="763">
        <v>0</v>
      </c>
      <c r="BO716" s="763">
        <v>0</v>
      </c>
      <c r="BP716" s="763">
        <v>0</v>
      </c>
      <c r="BQ716" s="763">
        <v>0</v>
      </c>
      <c r="BR716" s="763">
        <v>0</v>
      </c>
      <c r="BS716" s="762">
        <v>0</v>
      </c>
      <c r="BT716" s="762">
        <v>0</v>
      </c>
      <c r="BU716" s="762">
        <v>0</v>
      </c>
      <c r="BV716" s="762">
        <v>505.23496723600255</v>
      </c>
      <c r="BW716" s="762">
        <v>505.23496723600255</v>
      </c>
      <c r="BX716" s="762">
        <v>505.23496723600255</v>
      </c>
      <c r="BY716" s="762">
        <v>159.5478843903166</v>
      </c>
      <c r="BZ716" s="762">
        <v>159.5478843903166</v>
      </c>
      <c r="CA716" s="762">
        <v>159.5478843903166</v>
      </c>
      <c r="CB716" s="762">
        <v>159.5478843903166</v>
      </c>
      <c r="CC716" s="762">
        <v>159.5478843903166</v>
      </c>
      <c r="CD716" s="762">
        <v>159.5478843903166</v>
      </c>
      <c r="CE716" s="762">
        <v>159.5478843903166</v>
      </c>
      <c r="CF716" s="762">
        <v>159.5478843903166</v>
      </c>
      <c r="CG716" s="762">
        <v>159.5478843903166</v>
      </c>
      <c r="CH716" s="762">
        <v>0</v>
      </c>
      <c r="CI716" s="762">
        <v>0</v>
      </c>
      <c r="CJ716" s="762">
        <v>0</v>
      </c>
      <c r="CK716" s="762">
        <v>0</v>
      </c>
      <c r="CL716" s="762">
        <v>0</v>
      </c>
      <c r="CM716" s="762">
        <v>0</v>
      </c>
      <c r="CN716" s="762">
        <v>0</v>
      </c>
      <c r="CO716" s="762">
        <v>0</v>
      </c>
      <c r="CP716" s="762">
        <v>0</v>
      </c>
      <c r="CQ716" s="762">
        <v>0</v>
      </c>
      <c r="CR716" s="762">
        <v>0</v>
      </c>
    </row>
    <row r="717" spans="1:96" s="53" customFormat="1">
      <c r="A717" s="721" t="s">
        <v>3</v>
      </c>
      <c r="B717" s="723">
        <v>41795</v>
      </c>
      <c r="C717" s="721">
        <v>2014</v>
      </c>
      <c r="D717" s="713" t="s">
        <v>1</v>
      </c>
      <c r="E717" s="713" t="s">
        <v>674</v>
      </c>
      <c r="F717" s="723" t="s">
        <v>123</v>
      </c>
      <c r="G717" s="713" t="s">
        <v>58</v>
      </c>
      <c r="H717" s="723" t="s">
        <v>676</v>
      </c>
      <c r="I717" s="713" t="s">
        <v>5</v>
      </c>
      <c r="J717" s="713" t="s">
        <v>376</v>
      </c>
      <c r="K717" s="766">
        <v>1</v>
      </c>
      <c r="L717" s="766" t="s">
        <v>671</v>
      </c>
      <c r="M717" s="765" t="s">
        <v>772</v>
      </c>
      <c r="N717" s="765">
        <v>12</v>
      </c>
      <c r="O717" s="765">
        <v>3</v>
      </c>
      <c r="P717" s="735">
        <v>0.31578947368421051</v>
      </c>
      <c r="Q717" s="713" t="s">
        <v>58</v>
      </c>
      <c r="R717" s="713" t="s">
        <v>58</v>
      </c>
      <c r="S717" s="713" t="s">
        <v>58</v>
      </c>
      <c r="T717" s="713" t="s">
        <v>58</v>
      </c>
      <c r="U717" s="764">
        <v>3.7999999999999999E-2</v>
      </c>
      <c r="V717" s="764">
        <v>129.58000000000001</v>
      </c>
      <c r="W717" s="764">
        <v>2.9803799731705907E-2</v>
      </c>
      <c r="X717" s="764">
        <v>107.05601395261502</v>
      </c>
      <c r="Y717" s="764">
        <v>625.43250256527722</v>
      </c>
      <c r="Z717" s="764">
        <v>590.32717224417161</v>
      </c>
      <c r="AA717" s="764">
        <v>101.04699344720053</v>
      </c>
      <c r="AB717" s="764">
        <v>2.8150983937323015E-2</v>
      </c>
      <c r="AC717" s="714">
        <v>0.82617698682369967</v>
      </c>
      <c r="AD717" s="714">
        <v>0.7843105192554185</v>
      </c>
      <c r="AE717" s="713" t="s">
        <v>58</v>
      </c>
      <c r="AF717" s="713" t="s">
        <v>58</v>
      </c>
      <c r="AG717" s="713" t="s">
        <v>58</v>
      </c>
      <c r="AH717" s="714">
        <v>0.94387031345969796</v>
      </c>
      <c r="AI717" s="713" t="s">
        <v>58</v>
      </c>
      <c r="AJ717" s="713" t="s">
        <v>58</v>
      </c>
      <c r="AK717" s="713" t="s">
        <v>58</v>
      </c>
      <c r="AL717" s="714">
        <v>0.94454345387965444</v>
      </c>
      <c r="AM717" s="713" t="s">
        <v>58</v>
      </c>
      <c r="AN717" s="713" t="s">
        <v>58</v>
      </c>
      <c r="AO717" s="713" t="s">
        <v>58</v>
      </c>
      <c r="AP717" s="747">
        <v>57</v>
      </c>
      <c r="AQ717" s="747">
        <v>57</v>
      </c>
      <c r="AR717" s="709"/>
      <c r="AS717" s="763">
        <v>0</v>
      </c>
      <c r="AT717" s="763">
        <v>0</v>
      </c>
      <c r="AU717" s="763">
        <v>0</v>
      </c>
      <c r="AV717" s="763">
        <v>2.8150983937323015E-2</v>
      </c>
      <c r="AW717" s="763">
        <v>2.8150983937323015E-2</v>
      </c>
      <c r="AX717" s="763">
        <v>2.8150983937323015E-2</v>
      </c>
      <c r="AY717" s="763">
        <v>8.8897844012598998E-3</v>
      </c>
      <c r="AZ717" s="763">
        <v>8.8897844012598998E-3</v>
      </c>
      <c r="BA717" s="763">
        <v>8.8897844012598998E-3</v>
      </c>
      <c r="BB717" s="763">
        <v>8.8897844012598998E-3</v>
      </c>
      <c r="BC717" s="763">
        <v>8.8897844012598998E-3</v>
      </c>
      <c r="BD717" s="763">
        <v>8.8897844012598998E-3</v>
      </c>
      <c r="BE717" s="763">
        <v>8.8897844012598998E-3</v>
      </c>
      <c r="BF717" s="763">
        <v>8.8897844012598998E-3</v>
      </c>
      <c r="BG717" s="763">
        <v>8.8897844012598998E-3</v>
      </c>
      <c r="BH717" s="763">
        <v>0</v>
      </c>
      <c r="BI717" s="763">
        <v>0</v>
      </c>
      <c r="BJ717" s="763">
        <v>0</v>
      </c>
      <c r="BK717" s="763">
        <v>0</v>
      </c>
      <c r="BL717" s="763">
        <v>0</v>
      </c>
      <c r="BM717" s="763">
        <v>0</v>
      </c>
      <c r="BN717" s="763">
        <v>0</v>
      </c>
      <c r="BO717" s="763">
        <v>0</v>
      </c>
      <c r="BP717" s="763">
        <v>0</v>
      </c>
      <c r="BQ717" s="763">
        <v>0</v>
      </c>
      <c r="BR717" s="763">
        <v>0</v>
      </c>
      <c r="BS717" s="762">
        <v>0</v>
      </c>
      <c r="BT717" s="762">
        <v>0</v>
      </c>
      <c r="BU717" s="762">
        <v>0</v>
      </c>
      <c r="BV717" s="762">
        <v>101.04699344720053</v>
      </c>
      <c r="BW717" s="762">
        <v>101.04699344720053</v>
      </c>
      <c r="BX717" s="762">
        <v>101.04699344720053</v>
      </c>
      <c r="BY717" s="762">
        <v>31.909576878063326</v>
      </c>
      <c r="BZ717" s="762">
        <v>31.909576878063326</v>
      </c>
      <c r="CA717" s="762">
        <v>31.909576878063326</v>
      </c>
      <c r="CB717" s="762">
        <v>31.909576878063326</v>
      </c>
      <c r="CC717" s="762">
        <v>31.909576878063326</v>
      </c>
      <c r="CD717" s="762">
        <v>31.909576878063326</v>
      </c>
      <c r="CE717" s="762">
        <v>31.909576878063326</v>
      </c>
      <c r="CF717" s="762">
        <v>31.909576878063326</v>
      </c>
      <c r="CG717" s="762">
        <v>31.909576878063326</v>
      </c>
      <c r="CH717" s="762">
        <v>0</v>
      </c>
      <c r="CI717" s="762">
        <v>0</v>
      </c>
      <c r="CJ717" s="762">
        <v>0</v>
      </c>
      <c r="CK717" s="762">
        <v>0</v>
      </c>
      <c r="CL717" s="762">
        <v>0</v>
      </c>
      <c r="CM717" s="762">
        <v>0</v>
      </c>
      <c r="CN717" s="762">
        <v>0</v>
      </c>
      <c r="CO717" s="762">
        <v>0</v>
      </c>
      <c r="CP717" s="762">
        <v>0</v>
      </c>
      <c r="CQ717" s="762">
        <v>0</v>
      </c>
      <c r="CR717" s="762">
        <v>0</v>
      </c>
    </row>
    <row r="718" spans="1:96" s="53" customFormat="1">
      <c r="A718" s="721" t="s">
        <v>3</v>
      </c>
      <c r="B718" s="723">
        <v>41795</v>
      </c>
      <c r="C718" s="721">
        <v>2014</v>
      </c>
      <c r="D718" s="713" t="s">
        <v>1</v>
      </c>
      <c r="E718" s="713" t="s">
        <v>674</v>
      </c>
      <c r="F718" s="723" t="s">
        <v>123</v>
      </c>
      <c r="G718" s="713" t="s">
        <v>58</v>
      </c>
      <c r="H718" s="723" t="s">
        <v>676</v>
      </c>
      <c r="I718" s="713" t="s">
        <v>5</v>
      </c>
      <c r="J718" s="713" t="s">
        <v>376</v>
      </c>
      <c r="K718" s="766">
        <v>1</v>
      </c>
      <c r="L718" s="766" t="s">
        <v>671</v>
      </c>
      <c r="M718" s="765" t="s">
        <v>772</v>
      </c>
      <c r="N718" s="765">
        <v>12</v>
      </c>
      <c r="O718" s="765">
        <v>3</v>
      </c>
      <c r="P718" s="735">
        <v>0.31578947368421051</v>
      </c>
      <c r="Q718" s="713" t="s">
        <v>58</v>
      </c>
      <c r="R718" s="713" t="s">
        <v>58</v>
      </c>
      <c r="S718" s="713" t="s">
        <v>58</v>
      </c>
      <c r="T718" s="713" t="s">
        <v>58</v>
      </c>
      <c r="U718" s="764">
        <v>3.7999999999999999E-2</v>
      </c>
      <c r="V718" s="764">
        <v>129.58000000000001</v>
      </c>
      <c r="W718" s="764">
        <v>2.9803799731705907E-2</v>
      </c>
      <c r="X718" s="764">
        <v>107.05601395261502</v>
      </c>
      <c r="Y718" s="764">
        <v>625.43250256527722</v>
      </c>
      <c r="Z718" s="764">
        <v>590.32717224417161</v>
      </c>
      <c r="AA718" s="764">
        <v>101.04699344720053</v>
      </c>
      <c r="AB718" s="764">
        <v>2.8150983937323015E-2</v>
      </c>
      <c r="AC718" s="714">
        <v>0.82617698682369967</v>
      </c>
      <c r="AD718" s="714">
        <v>0.7843105192554185</v>
      </c>
      <c r="AE718" s="713" t="s">
        <v>58</v>
      </c>
      <c r="AF718" s="713" t="s">
        <v>58</v>
      </c>
      <c r="AG718" s="713" t="s">
        <v>58</v>
      </c>
      <c r="AH718" s="714">
        <v>0.94387031345969796</v>
      </c>
      <c r="AI718" s="713" t="s">
        <v>58</v>
      </c>
      <c r="AJ718" s="713" t="s">
        <v>58</v>
      </c>
      <c r="AK718" s="713" t="s">
        <v>58</v>
      </c>
      <c r="AL718" s="714">
        <v>0.94454345387965444</v>
      </c>
      <c r="AM718" s="713" t="s">
        <v>58</v>
      </c>
      <c r="AN718" s="713" t="s">
        <v>58</v>
      </c>
      <c r="AO718" s="713" t="s">
        <v>58</v>
      </c>
      <c r="AP718" s="747">
        <v>57</v>
      </c>
      <c r="AQ718" s="747">
        <v>57</v>
      </c>
      <c r="AR718" s="709"/>
      <c r="AS718" s="763">
        <v>0</v>
      </c>
      <c r="AT718" s="763">
        <v>0</v>
      </c>
      <c r="AU718" s="763">
        <v>0</v>
      </c>
      <c r="AV718" s="763">
        <v>2.8150983937323015E-2</v>
      </c>
      <c r="AW718" s="763">
        <v>2.8150983937323015E-2</v>
      </c>
      <c r="AX718" s="763">
        <v>2.8150983937323015E-2</v>
      </c>
      <c r="AY718" s="763">
        <v>8.8897844012598998E-3</v>
      </c>
      <c r="AZ718" s="763">
        <v>8.8897844012598998E-3</v>
      </c>
      <c r="BA718" s="763">
        <v>8.8897844012598998E-3</v>
      </c>
      <c r="BB718" s="763">
        <v>8.8897844012598998E-3</v>
      </c>
      <c r="BC718" s="763">
        <v>8.8897844012598998E-3</v>
      </c>
      <c r="BD718" s="763">
        <v>8.8897844012598998E-3</v>
      </c>
      <c r="BE718" s="763">
        <v>8.8897844012598998E-3</v>
      </c>
      <c r="BF718" s="763">
        <v>8.8897844012598998E-3</v>
      </c>
      <c r="BG718" s="763">
        <v>8.8897844012598998E-3</v>
      </c>
      <c r="BH718" s="763">
        <v>0</v>
      </c>
      <c r="BI718" s="763">
        <v>0</v>
      </c>
      <c r="BJ718" s="763">
        <v>0</v>
      </c>
      <c r="BK718" s="763">
        <v>0</v>
      </c>
      <c r="BL718" s="763">
        <v>0</v>
      </c>
      <c r="BM718" s="763">
        <v>0</v>
      </c>
      <c r="BN718" s="763">
        <v>0</v>
      </c>
      <c r="BO718" s="763">
        <v>0</v>
      </c>
      <c r="BP718" s="763">
        <v>0</v>
      </c>
      <c r="BQ718" s="763">
        <v>0</v>
      </c>
      <c r="BR718" s="763">
        <v>0</v>
      </c>
      <c r="BS718" s="762">
        <v>0</v>
      </c>
      <c r="BT718" s="762">
        <v>0</v>
      </c>
      <c r="BU718" s="762">
        <v>0</v>
      </c>
      <c r="BV718" s="762">
        <v>101.04699344720053</v>
      </c>
      <c r="BW718" s="762">
        <v>101.04699344720053</v>
      </c>
      <c r="BX718" s="762">
        <v>101.04699344720053</v>
      </c>
      <c r="BY718" s="762">
        <v>31.909576878063326</v>
      </c>
      <c r="BZ718" s="762">
        <v>31.909576878063326</v>
      </c>
      <c r="CA718" s="762">
        <v>31.909576878063326</v>
      </c>
      <c r="CB718" s="762">
        <v>31.909576878063326</v>
      </c>
      <c r="CC718" s="762">
        <v>31.909576878063326</v>
      </c>
      <c r="CD718" s="762">
        <v>31.909576878063326</v>
      </c>
      <c r="CE718" s="762">
        <v>31.909576878063326</v>
      </c>
      <c r="CF718" s="762">
        <v>31.909576878063326</v>
      </c>
      <c r="CG718" s="762">
        <v>31.909576878063326</v>
      </c>
      <c r="CH718" s="762">
        <v>0</v>
      </c>
      <c r="CI718" s="762">
        <v>0</v>
      </c>
      <c r="CJ718" s="762">
        <v>0</v>
      </c>
      <c r="CK718" s="762">
        <v>0</v>
      </c>
      <c r="CL718" s="762">
        <v>0</v>
      </c>
      <c r="CM718" s="762">
        <v>0</v>
      </c>
      <c r="CN718" s="762">
        <v>0</v>
      </c>
      <c r="CO718" s="762">
        <v>0</v>
      </c>
      <c r="CP718" s="762">
        <v>0</v>
      </c>
      <c r="CQ718" s="762">
        <v>0</v>
      </c>
      <c r="CR718" s="762">
        <v>0</v>
      </c>
    </row>
    <row r="719" spans="1:96" s="53" customFormat="1">
      <c r="A719" s="721" t="s">
        <v>3</v>
      </c>
      <c r="B719" s="723">
        <v>41795</v>
      </c>
      <c r="C719" s="721">
        <v>2014</v>
      </c>
      <c r="D719" s="713" t="s">
        <v>1</v>
      </c>
      <c r="E719" s="713" t="s">
        <v>674</v>
      </c>
      <c r="F719" s="723" t="s">
        <v>123</v>
      </c>
      <c r="G719" s="713" t="s">
        <v>58</v>
      </c>
      <c r="H719" s="723" t="s">
        <v>676</v>
      </c>
      <c r="I719" s="713" t="s">
        <v>5</v>
      </c>
      <c r="J719" s="713" t="s">
        <v>376</v>
      </c>
      <c r="K719" s="766">
        <v>6</v>
      </c>
      <c r="L719" s="766" t="s">
        <v>671</v>
      </c>
      <c r="M719" s="765" t="s">
        <v>772</v>
      </c>
      <c r="N719" s="765">
        <v>12</v>
      </c>
      <c r="O719" s="765">
        <v>3</v>
      </c>
      <c r="P719" s="735">
        <v>0.31578947368421051</v>
      </c>
      <c r="Q719" s="713" t="s">
        <v>58</v>
      </c>
      <c r="R719" s="713" t="s">
        <v>58</v>
      </c>
      <c r="S719" s="713" t="s">
        <v>58</v>
      </c>
      <c r="T719" s="713" t="s">
        <v>58</v>
      </c>
      <c r="U719" s="764">
        <v>0.22800000000000001</v>
      </c>
      <c r="V719" s="764">
        <v>777.48</v>
      </c>
      <c r="W719" s="764">
        <v>0.17882279839023546</v>
      </c>
      <c r="X719" s="764">
        <v>642.33608371569005</v>
      </c>
      <c r="Y719" s="764">
        <v>3752.5950153916629</v>
      </c>
      <c r="Z719" s="764">
        <v>3541.9630334650287</v>
      </c>
      <c r="AA719" s="764">
        <v>606.28196068320312</v>
      </c>
      <c r="AB719" s="764">
        <v>0.16890590362393812</v>
      </c>
      <c r="AC719" s="714">
        <v>0.82617698682369967</v>
      </c>
      <c r="AD719" s="714">
        <v>0.7843105192554185</v>
      </c>
      <c r="AE719" s="713" t="s">
        <v>58</v>
      </c>
      <c r="AF719" s="713" t="s">
        <v>58</v>
      </c>
      <c r="AG719" s="713" t="s">
        <v>58</v>
      </c>
      <c r="AH719" s="714">
        <v>0.94387031345969796</v>
      </c>
      <c r="AI719" s="713" t="s">
        <v>58</v>
      </c>
      <c r="AJ719" s="713" t="s">
        <v>58</v>
      </c>
      <c r="AK719" s="713" t="s">
        <v>58</v>
      </c>
      <c r="AL719" s="714">
        <v>0.94454345387965444</v>
      </c>
      <c r="AM719" s="713" t="s">
        <v>58</v>
      </c>
      <c r="AN719" s="713" t="s">
        <v>58</v>
      </c>
      <c r="AO719" s="713" t="s">
        <v>58</v>
      </c>
      <c r="AP719" s="747">
        <v>57</v>
      </c>
      <c r="AQ719" s="747">
        <v>342</v>
      </c>
      <c r="AR719" s="709"/>
      <c r="AS719" s="763">
        <v>0</v>
      </c>
      <c r="AT719" s="763">
        <v>0</v>
      </c>
      <c r="AU719" s="763">
        <v>0</v>
      </c>
      <c r="AV719" s="763">
        <v>0.16890590362393812</v>
      </c>
      <c r="AW719" s="763">
        <v>0.16890590362393812</v>
      </c>
      <c r="AX719" s="763">
        <v>0.16890590362393812</v>
      </c>
      <c r="AY719" s="763">
        <v>5.3338706407559403E-2</v>
      </c>
      <c r="AZ719" s="763">
        <v>5.3338706407559403E-2</v>
      </c>
      <c r="BA719" s="763">
        <v>5.3338706407559403E-2</v>
      </c>
      <c r="BB719" s="763">
        <v>5.3338706407559403E-2</v>
      </c>
      <c r="BC719" s="763">
        <v>5.3338706407559403E-2</v>
      </c>
      <c r="BD719" s="763">
        <v>5.3338706407559403E-2</v>
      </c>
      <c r="BE719" s="763">
        <v>5.3338706407559403E-2</v>
      </c>
      <c r="BF719" s="763">
        <v>5.3338706407559403E-2</v>
      </c>
      <c r="BG719" s="763">
        <v>5.3338706407559403E-2</v>
      </c>
      <c r="BH719" s="763">
        <v>0</v>
      </c>
      <c r="BI719" s="763">
        <v>0</v>
      </c>
      <c r="BJ719" s="763">
        <v>0</v>
      </c>
      <c r="BK719" s="763">
        <v>0</v>
      </c>
      <c r="BL719" s="763">
        <v>0</v>
      </c>
      <c r="BM719" s="763">
        <v>0</v>
      </c>
      <c r="BN719" s="763">
        <v>0</v>
      </c>
      <c r="BO719" s="763">
        <v>0</v>
      </c>
      <c r="BP719" s="763">
        <v>0</v>
      </c>
      <c r="BQ719" s="763">
        <v>0</v>
      </c>
      <c r="BR719" s="763">
        <v>0</v>
      </c>
      <c r="BS719" s="762">
        <v>0</v>
      </c>
      <c r="BT719" s="762">
        <v>0</v>
      </c>
      <c r="BU719" s="762">
        <v>0</v>
      </c>
      <c r="BV719" s="762">
        <v>606.28196068320312</v>
      </c>
      <c r="BW719" s="762">
        <v>606.28196068320312</v>
      </c>
      <c r="BX719" s="762">
        <v>606.28196068320312</v>
      </c>
      <c r="BY719" s="762">
        <v>191.45746126837992</v>
      </c>
      <c r="BZ719" s="762">
        <v>191.45746126837992</v>
      </c>
      <c r="CA719" s="762">
        <v>191.45746126837992</v>
      </c>
      <c r="CB719" s="762">
        <v>191.45746126837992</v>
      </c>
      <c r="CC719" s="762">
        <v>191.45746126837992</v>
      </c>
      <c r="CD719" s="762">
        <v>191.45746126837992</v>
      </c>
      <c r="CE719" s="762">
        <v>191.45746126837992</v>
      </c>
      <c r="CF719" s="762">
        <v>191.45746126837992</v>
      </c>
      <c r="CG719" s="762">
        <v>191.45746126837992</v>
      </c>
      <c r="CH719" s="762">
        <v>0</v>
      </c>
      <c r="CI719" s="762">
        <v>0</v>
      </c>
      <c r="CJ719" s="762">
        <v>0</v>
      </c>
      <c r="CK719" s="762">
        <v>0</v>
      </c>
      <c r="CL719" s="762">
        <v>0</v>
      </c>
      <c r="CM719" s="762">
        <v>0</v>
      </c>
      <c r="CN719" s="762">
        <v>0</v>
      </c>
      <c r="CO719" s="762">
        <v>0</v>
      </c>
      <c r="CP719" s="762">
        <v>0</v>
      </c>
      <c r="CQ719" s="762">
        <v>0</v>
      </c>
      <c r="CR719" s="762">
        <v>0</v>
      </c>
    </row>
    <row r="720" spans="1:96" s="53" customFormat="1">
      <c r="A720" s="721" t="s">
        <v>3</v>
      </c>
      <c r="B720" s="723">
        <v>41795</v>
      </c>
      <c r="C720" s="721">
        <v>2014</v>
      </c>
      <c r="D720" s="713" t="s">
        <v>1</v>
      </c>
      <c r="E720" s="713" t="s">
        <v>674</v>
      </c>
      <c r="F720" s="723" t="s">
        <v>123</v>
      </c>
      <c r="G720" s="713" t="s">
        <v>58</v>
      </c>
      <c r="H720" s="723" t="s">
        <v>676</v>
      </c>
      <c r="I720" s="713" t="s">
        <v>5</v>
      </c>
      <c r="J720" s="713" t="s">
        <v>376</v>
      </c>
      <c r="K720" s="766">
        <v>5</v>
      </c>
      <c r="L720" s="766" t="s">
        <v>671</v>
      </c>
      <c r="M720" s="765" t="s">
        <v>772</v>
      </c>
      <c r="N720" s="765">
        <v>12</v>
      </c>
      <c r="O720" s="765">
        <v>3</v>
      </c>
      <c r="P720" s="735">
        <v>0.31578947368421051</v>
      </c>
      <c r="Q720" s="713" t="s">
        <v>58</v>
      </c>
      <c r="R720" s="713" t="s">
        <v>58</v>
      </c>
      <c r="S720" s="713" t="s">
        <v>58</v>
      </c>
      <c r="T720" s="713" t="s">
        <v>58</v>
      </c>
      <c r="U720" s="764">
        <v>0.19</v>
      </c>
      <c r="V720" s="764">
        <v>647.9</v>
      </c>
      <c r="W720" s="764">
        <v>0.14901899865852955</v>
      </c>
      <c r="X720" s="764">
        <v>535.28006976307495</v>
      </c>
      <c r="Y720" s="764">
        <v>3127.162512826385</v>
      </c>
      <c r="Z720" s="764">
        <v>2951.6358612208569</v>
      </c>
      <c r="AA720" s="764">
        <v>505.23496723600255</v>
      </c>
      <c r="AB720" s="764">
        <v>0.1407549196866151</v>
      </c>
      <c r="AC720" s="714">
        <v>0.82617698682369967</v>
      </c>
      <c r="AD720" s="714">
        <v>0.7843105192554185</v>
      </c>
      <c r="AE720" s="713" t="s">
        <v>58</v>
      </c>
      <c r="AF720" s="713" t="s">
        <v>58</v>
      </c>
      <c r="AG720" s="713" t="s">
        <v>58</v>
      </c>
      <c r="AH720" s="714">
        <v>0.94387031345969796</v>
      </c>
      <c r="AI720" s="713" t="s">
        <v>58</v>
      </c>
      <c r="AJ720" s="713" t="s">
        <v>58</v>
      </c>
      <c r="AK720" s="713" t="s">
        <v>58</v>
      </c>
      <c r="AL720" s="714">
        <v>0.94454345387965444</v>
      </c>
      <c r="AM720" s="713" t="s">
        <v>58</v>
      </c>
      <c r="AN720" s="713" t="s">
        <v>58</v>
      </c>
      <c r="AO720" s="713" t="s">
        <v>58</v>
      </c>
      <c r="AP720" s="747">
        <v>57</v>
      </c>
      <c r="AQ720" s="747">
        <v>285</v>
      </c>
      <c r="AR720" s="709"/>
      <c r="AS720" s="763">
        <v>0</v>
      </c>
      <c r="AT720" s="763">
        <v>0</v>
      </c>
      <c r="AU720" s="763">
        <v>0</v>
      </c>
      <c r="AV720" s="763">
        <v>0.1407549196866151</v>
      </c>
      <c r="AW720" s="763">
        <v>0.1407549196866151</v>
      </c>
      <c r="AX720" s="763">
        <v>0.1407549196866151</v>
      </c>
      <c r="AY720" s="763">
        <v>4.4448922006299504E-2</v>
      </c>
      <c r="AZ720" s="763">
        <v>4.4448922006299504E-2</v>
      </c>
      <c r="BA720" s="763">
        <v>4.4448922006299504E-2</v>
      </c>
      <c r="BB720" s="763">
        <v>4.4448922006299504E-2</v>
      </c>
      <c r="BC720" s="763">
        <v>4.4448922006299504E-2</v>
      </c>
      <c r="BD720" s="763">
        <v>4.4448922006299504E-2</v>
      </c>
      <c r="BE720" s="763">
        <v>4.4448922006299504E-2</v>
      </c>
      <c r="BF720" s="763">
        <v>4.4448922006299504E-2</v>
      </c>
      <c r="BG720" s="763">
        <v>4.4448922006299504E-2</v>
      </c>
      <c r="BH720" s="763">
        <v>0</v>
      </c>
      <c r="BI720" s="763">
        <v>0</v>
      </c>
      <c r="BJ720" s="763">
        <v>0</v>
      </c>
      <c r="BK720" s="763">
        <v>0</v>
      </c>
      <c r="BL720" s="763">
        <v>0</v>
      </c>
      <c r="BM720" s="763">
        <v>0</v>
      </c>
      <c r="BN720" s="763">
        <v>0</v>
      </c>
      <c r="BO720" s="763">
        <v>0</v>
      </c>
      <c r="BP720" s="763">
        <v>0</v>
      </c>
      <c r="BQ720" s="763">
        <v>0</v>
      </c>
      <c r="BR720" s="763">
        <v>0</v>
      </c>
      <c r="BS720" s="762">
        <v>0</v>
      </c>
      <c r="BT720" s="762">
        <v>0</v>
      </c>
      <c r="BU720" s="762">
        <v>0</v>
      </c>
      <c r="BV720" s="762">
        <v>505.23496723600255</v>
      </c>
      <c r="BW720" s="762">
        <v>505.23496723600255</v>
      </c>
      <c r="BX720" s="762">
        <v>505.23496723600255</v>
      </c>
      <c r="BY720" s="762">
        <v>159.5478843903166</v>
      </c>
      <c r="BZ720" s="762">
        <v>159.5478843903166</v>
      </c>
      <c r="CA720" s="762">
        <v>159.5478843903166</v>
      </c>
      <c r="CB720" s="762">
        <v>159.5478843903166</v>
      </c>
      <c r="CC720" s="762">
        <v>159.5478843903166</v>
      </c>
      <c r="CD720" s="762">
        <v>159.5478843903166</v>
      </c>
      <c r="CE720" s="762">
        <v>159.5478843903166</v>
      </c>
      <c r="CF720" s="762">
        <v>159.5478843903166</v>
      </c>
      <c r="CG720" s="762">
        <v>159.5478843903166</v>
      </c>
      <c r="CH720" s="762">
        <v>0</v>
      </c>
      <c r="CI720" s="762">
        <v>0</v>
      </c>
      <c r="CJ720" s="762">
        <v>0</v>
      </c>
      <c r="CK720" s="762">
        <v>0</v>
      </c>
      <c r="CL720" s="762">
        <v>0</v>
      </c>
      <c r="CM720" s="762">
        <v>0</v>
      </c>
      <c r="CN720" s="762">
        <v>0</v>
      </c>
      <c r="CO720" s="762">
        <v>0</v>
      </c>
      <c r="CP720" s="762">
        <v>0</v>
      </c>
      <c r="CQ720" s="762">
        <v>0</v>
      </c>
      <c r="CR720" s="762">
        <v>0</v>
      </c>
    </row>
    <row r="721" spans="1:96" s="53" customFormat="1">
      <c r="A721" s="721" t="s">
        <v>3</v>
      </c>
      <c r="B721" s="723">
        <v>41772</v>
      </c>
      <c r="C721" s="721">
        <v>2014</v>
      </c>
      <c r="D721" s="713" t="s">
        <v>1</v>
      </c>
      <c r="E721" s="713" t="s">
        <v>674</v>
      </c>
      <c r="F721" s="723" t="s">
        <v>673</v>
      </c>
      <c r="G721" s="713" t="s">
        <v>58</v>
      </c>
      <c r="H721" s="723" t="s">
        <v>704</v>
      </c>
      <c r="I721" s="713" t="s">
        <v>5</v>
      </c>
      <c r="J721" s="713" t="s">
        <v>376</v>
      </c>
      <c r="K721" s="766">
        <v>2</v>
      </c>
      <c r="L721" s="766" t="s">
        <v>671</v>
      </c>
      <c r="M721" s="765" t="s">
        <v>771</v>
      </c>
      <c r="N721" s="765">
        <v>12</v>
      </c>
      <c r="O721" s="765">
        <v>3</v>
      </c>
      <c r="P721" s="735">
        <v>4.5454545454545456E-2</v>
      </c>
      <c r="Q721" s="713" t="s">
        <v>58</v>
      </c>
      <c r="R721" s="713" t="s">
        <v>58</v>
      </c>
      <c r="S721" s="713" t="s">
        <v>58</v>
      </c>
      <c r="T721" s="713" t="s">
        <v>58</v>
      </c>
      <c r="U721" s="764">
        <v>4.3999999999999997E-2</v>
      </c>
      <c r="V721" s="764">
        <v>114.136</v>
      </c>
      <c r="W721" s="764">
        <v>3.4509662847238415E-2</v>
      </c>
      <c r="X721" s="764">
        <v>94.296536568109772</v>
      </c>
      <c r="Y721" s="764">
        <v>321.46546557310148</v>
      </c>
      <c r="Z721" s="764">
        <v>303.42170975695103</v>
      </c>
      <c r="AA721" s="764">
        <v>89.003701528705648</v>
      </c>
      <c r="AB721" s="764">
        <v>3.2595876137952964E-2</v>
      </c>
      <c r="AC721" s="714">
        <v>0.82617698682369967</v>
      </c>
      <c r="AD721" s="714">
        <v>0.7843105192554185</v>
      </c>
      <c r="AE721" s="713" t="s">
        <v>58</v>
      </c>
      <c r="AF721" s="713" t="s">
        <v>58</v>
      </c>
      <c r="AG721" s="713" t="s">
        <v>58</v>
      </c>
      <c r="AH721" s="714">
        <v>0.94387031345969796</v>
      </c>
      <c r="AI721" s="713" t="s">
        <v>58</v>
      </c>
      <c r="AJ721" s="713" t="s">
        <v>58</v>
      </c>
      <c r="AK721" s="713" t="s">
        <v>58</v>
      </c>
      <c r="AL721" s="714">
        <v>0.94454345387965444</v>
      </c>
      <c r="AM721" s="713" t="s">
        <v>58</v>
      </c>
      <c r="AN721" s="713" t="s">
        <v>58</v>
      </c>
      <c r="AO721" s="713" t="s">
        <v>58</v>
      </c>
      <c r="AP721" s="747">
        <v>75</v>
      </c>
      <c r="AQ721" s="747">
        <v>150</v>
      </c>
      <c r="AR721" s="709"/>
      <c r="AS721" s="763">
        <v>0</v>
      </c>
      <c r="AT721" s="763">
        <v>0</v>
      </c>
      <c r="AU721" s="763">
        <v>0</v>
      </c>
      <c r="AV721" s="763">
        <v>3.2595876137952964E-2</v>
      </c>
      <c r="AW721" s="763">
        <v>3.2595876137952964E-2</v>
      </c>
      <c r="AX721" s="763">
        <v>3.2595876137952964E-2</v>
      </c>
      <c r="AY721" s="763">
        <v>1.4816307335433166E-3</v>
      </c>
      <c r="AZ721" s="763">
        <v>1.4816307335433166E-3</v>
      </c>
      <c r="BA721" s="763">
        <v>1.4816307335433166E-3</v>
      </c>
      <c r="BB721" s="763">
        <v>1.4816307335433166E-3</v>
      </c>
      <c r="BC721" s="763">
        <v>1.4816307335433166E-3</v>
      </c>
      <c r="BD721" s="763">
        <v>1.4816307335433166E-3</v>
      </c>
      <c r="BE721" s="763">
        <v>1.4816307335433166E-3</v>
      </c>
      <c r="BF721" s="763">
        <v>1.4816307335433166E-3</v>
      </c>
      <c r="BG721" s="763">
        <v>1.4816307335433166E-3</v>
      </c>
      <c r="BH721" s="763">
        <v>0</v>
      </c>
      <c r="BI721" s="763">
        <v>0</v>
      </c>
      <c r="BJ721" s="763">
        <v>0</v>
      </c>
      <c r="BK721" s="763">
        <v>0</v>
      </c>
      <c r="BL721" s="763">
        <v>0</v>
      </c>
      <c r="BM721" s="763">
        <v>0</v>
      </c>
      <c r="BN721" s="763">
        <v>0</v>
      </c>
      <c r="BO721" s="763">
        <v>0</v>
      </c>
      <c r="BP721" s="763">
        <v>0</v>
      </c>
      <c r="BQ721" s="763">
        <v>0</v>
      </c>
      <c r="BR721" s="763">
        <v>0</v>
      </c>
      <c r="BS721" s="762">
        <v>0</v>
      </c>
      <c r="BT721" s="762">
        <v>0</v>
      </c>
      <c r="BU721" s="762">
        <v>0</v>
      </c>
      <c r="BV721" s="762">
        <v>89.003701528705648</v>
      </c>
      <c r="BW721" s="762">
        <v>89.003701528705648</v>
      </c>
      <c r="BX721" s="762">
        <v>89.003701528705648</v>
      </c>
      <c r="BY721" s="762">
        <v>4.0456227967593481</v>
      </c>
      <c r="BZ721" s="762">
        <v>4.0456227967593481</v>
      </c>
      <c r="CA721" s="762">
        <v>4.0456227967593481</v>
      </c>
      <c r="CB721" s="762">
        <v>4.0456227967593481</v>
      </c>
      <c r="CC721" s="762">
        <v>4.0456227967593481</v>
      </c>
      <c r="CD721" s="762">
        <v>4.0456227967593481</v>
      </c>
      <c r="CE721" s="762">
        <v>4.0456227967593481</v>
      </c>
      <c r="CF721" s="762">
        <v>4.0456227967593481</v>
      </c>
      <c r="CG721" s="762">
        <v>4.0456227967593481</v>
      </c>
      <c r="CH721" s="762">
        <v>0</v>
      </c>
      <c r="CI721" s="762">
        <v>0</v>
      </c>
      <c r="CJ721" s="762">
        <v>0</v>
      </c>
      <c r="CK721" s="762">
        <v>0</v>
      </c>
      <c r="CL721" s="762">
        <v>0</v>
      </c>
      <c r="CM721" s="762">
        <v>0</v>
      </c>
      <c r="CN721" s="762">
        <v>0</v>
      </c>
      <c r="CO721" s="762">
        <v>0</v>
      </c>
      <c r="CP721" s="762">
        <v>0</v>
      </c>
      <c r="CQ721" s="762">
        <v>0</v>
      </c>
      <c r="CR721" s="762">
        <v>0</v>
      </c>
    </row>
    <row r="722" spans="1:96" s="53" customFormat="1">
      <c r="A722" s="721" t="s">
        <v>3</v>
      </c>
      <c r="B722" s="723">
        <v>41772</v>
      </c>
      <c r="C722" s="721">
        <v>2014</v>
      </c>
      <c r="D722" s="713" t="s">
        <v>1</v>
      </c>
      <c r="E722" s="713" t="s">
        <v>674</v>
      </c>
      <c r="F722" s="723" t="s">
        <v>673</v>
      </c>
      <c r="G722" s="713" t="s">
        <v>58</v>
      </c>
      <c r="H722" s="723" t="s">
        <v>678</v>
      </c>
      <c r="I722" s="713" t="s">
        <v>5</v>
      </c>
      <c r="J722" s="713" t="s">
        <v>376</v>
      </c>
      <c r="K722" s="766">
        <v>2</v>
      </c>
      <c r="L722" s="766" t="s">
        <v>671</v>
      </c>
      <c r="M722" s="765" t="s">
        <v>771</v>
      </c>
      <c r="N722" s="765">
        <v>3</v>
      </c>
      <c r="O722" s="765">
        <v>2</v>
      </c>
      <c r="P722" s="735">
        <v>0.6149863305954828</v>
      </c>
      <c r="Q722" s="713" t="s">
        <v>58</v>
      </c>
      <c r="R722" s="713" t="s">
        <v>58</v>
      </c>
      <c r="S722" s="713" t="s">
        <v>58</v>
      </c>
      <c r="T722" s="713" t="s">
        <v>58</v>
      </c>
      <c r="U722" s="764">
        <v>9.4E-2</v>
      </c>
      <c r="V722" s="764">
        <v>289.70800000000003</v>
      </c>
      <c r="W722" s="764">
        <v>7.3725188810009348E-2</v>
      </c>
      <c r="X722" s="764">
        <v>239.35008249872041</v>
      </c>
      <c r="Y722" s="764">
        <v>625.897193961055</v>
      </c>
      <c r="Z722" s="764">
        <v>590.76578065756632</v>
      </c>
      <c r="AA722" s="764">
        <v>225.91543739467181</v>
      </c>
      <c r="AB722" s="764">
        <v>6.9636644476535878E-2</v>
      </c>
      <c r="AC722" s="714">
        <v>0.82617698682369967</v>
      </c>
      <c r="AD722" s="714">
        <v>0.7843105192554185</v>
      </c>
      <c r="AE722" s="713" t="s">
        <v>58</v>
      </c>
      <c r="AF722" s="713" t="s">
        <v>58</v>
      </c>
      <c r="AG722" s="713" t="s">
        <v>58</v>
      </c>
      <c r="AH722" s="714">
        <v>0.94387031345969796</v>
      </c>
      <c r="AI722" s="713" t="s">
        <v>58</v>
      </c>
      <c r="AJ722" s="713" t="s">
        <v>58</v>
      </c>
      <c r="AK722" s="713" t="s">
        <v>58</v>
      </c>
      <c r="AL722" s="714">
        <v>0.94454345387965444</v>
      </c>
      <c r="AM722" s="713" t="s">
        <v>58</v>
      </c>
      <c r="AN722" s="713" t="s">
        <v>58</v>
      </c>
      <c r="AO722" s="713" t="s">
        <v>58</v>
      </c>
      <c r="AP722" s="747">
        <v>8</v>
      </c>
      <c r="AQ722" s="747">
        <v>16</v>
      </c>
      <c r="AR722" s="709"/>
      <c r="AS722" s="763">
        <v>0</v>
      </c>
      <c r="AT722" s="763">
        <v>0</v>
      </c>
      <c r="AU722" s="763">
        <v>0</v>
      </c>
      <c r="AV722" s="763">
        <v>6.9636644476535878E-2</v>
      </c>
      <c r="AW722" s="763">
        <v>6.9636644476535878E-2</v>
      </c>
      <c r="AX722" s="763">
        <v>4.2825584461606996E-2</v>
      </c>
      <c r="AY722" s="763">
        <v>0</v>
      </c>
      <c r="AZ722" s="763">
        <v>0</v>
      </c>
      <c r="BA722" s="763">
        <v>0</v>
      </c>
      <c r="BB722" s="763">
        <v>0</v>
      </c>
      <c r="BC722" s="763">
        <v>0</v>
      </c>
      <c r="BD722" s="763">
        <v>0</v>
      </c>
      <c r="BE722" s="763">
        <v>0</v>
      </c>
      <c r="BF722" s="763">
        <v>0</v>
      </c>
      <c r="BG722" s="763">
        <v>0</v>
      </c>
      <c r="BH722" s="763">
        <v>0</v>
      </c>
      <c r="BI722" s="763">
        <v>0</v>
      </c>
      <c r="BJ722" s="763">
        <v>0</v>
      </c>
      <c r="BK722" s="763">
        <v>0</v>
      </c>
      <c r="BL722" s="763">
        <v>0</v>
      </c>
      <c r="BM722" s="763">
        <v>0</v>
      </c>
      <c r="BN722" s="763">
        <v>0</v>
      </c>
      <c r="BO722" s="763">
        <v>0</v>
      </c>
      <c r="BP722" s="763">
        <v>0</v>
      </c>
      <c r="BQ722" s="763">
        <v>0</v>
      </c>
      <c r="BR722" s="763">
        <v>0</v>
      </c>
      <c r="BS722" s="762">
        <v>0</v>
      </c>
      <c r="BT722" s="762">
        <v>0</v>
      </c>
      <c r="BU722" s="762">
        <v>0</v>
      </c>
      <c r="BV722" s="762">
        <v>225.91543739467181</v>
      </c>
      <c r="BW722" s="762">
        <v>225.91543739467181</v>
      </c>
      <c r="BX722" s="762">
        <v>138.93490586822273</v>
      </c>
      <c r="BY722" s="762">
        <v>0</v>
      </c>
      <c r="BZ722" s="762">
        <v>0</v>
      </c>
      <c r="CA722" s="762">
        <v>0</v>
      </c>
      <c r="CB722" s="762">
        <v>0</v>
      </c>
      <c r="CC722" s="762">
        <v>0</v>
      </c>
      <c r="CD722" s="762">
        <v>0</v>
      </c>
      <c r="CE722" s="762">
        <v>0</v>
      </c>
      <c r="CF722" s="762">
        <v>0</v>
      </c>
      <c r="CG722" s="762">
        <v>0</v>
      </c>
      <c r="CH722" s="762">
        <v>0</v>
      </c>
      <c r="CI722" s="762">
        <v>0</v>
      </c>
      <c r="CJ722" s="762">
        <v>0</v>
      </c>
      <c r="CK722" s="762">
        <v>0</v>
      </c>
      <c r="CL722" s="762">
        <v>0</v>
      </c>
      <c r="CM722" s="762">
        <v>0</v>
      </c>
      <c r="CN722" s="762">
        <v>0</v>
      </c>
      <c r="CO722" s="762">
        <v>0</v>
      </c>
      <c r="CP722" s="762">
        <v>0</v>
      </c>
      <c r="CQ722" s="762">
        <v>0</v>
      </c>
      <c r="CR722" s="762">
        <v>0</v>
      </c>
    </row>
    <row r="723" spans="1:96" s="53" customFormat="1">
      <c r="A723" s="721" t="s">
        <v>3</v>
      </c>
      <c r="B723" s="723">
        <v>41772</v>
      </c>
      <c r="C723" s="721">
        <v>2014</v>
      </c>
      <c r="D723" s="713" t="s">
        <v>1</v>
      </c>
      <c r="E723" s="713" t="s">
        <v>674</v>
      </c>
      <c r="F723" s="723" t="s">
        <v>673</v>
      </c>
      <c r="G723" s="713" t="s">
        <v>58</v>
      </c>
      <c r="H723" s="723" t="s">
        <v>677</v>
      </c>
      <c r="I723" s="713" t="s">
        <v>5</v>
      </c>
      <c r="J723" s="713" t="s">
        <v>376</v>
      </c>
      <c r="K723" s="766">
        <v>1</v>
      </c>
      <c r="L723" s="766" t="s">
        <v>671</v>
      </c>
      <c r="M723" s="765" t="s">
        <v>771</v>
      </c>
      <c r="N723" s="765">
        <v>0</v>
      </c>
      <c r="O723" s="765">
        <v>0</v>
      </c>
      <c r="P723" s="735">
        <v>0</v>
      </c>
      <c r="Q723" s="713" t="s">
        <v>58</v>
      </c>
      <c r="R723" s="713" t="s">
        <v>58</v>
      </c>
      <c r="S723" s="713" t="s">
        <v>58</v>
      </c>
      <c r="T723" s="713" t="s">
        <v>58</v>
      </c>
      <c r="U723" s="764">
        <v>0</v>
      </c>
      <c r="V723" s="764">
        <v>0</v>
      </c>
      <c r="W723" s="764">
        <v>0</v>
      </c>
      <c r="X723" s="764">
        <v>0</v>
      </c>
      <c r="Y723" s="764">
        <v>0</v>
      </c>
      <c r="Z723" s="764">
        <v>0</v>
      </c>
      <c r="AA723" s="764">
        <v>0</v>
      </c>
      <c r="AB723" s="764">
        <v>0</v>
      </c>
      <c r="AC723" s="714">
        <v>0.82617698682369967</v>
      </c>
      <c r="AD723" s="714">
        <v>0.7843105192554185</v>
      </c>
      <c r="AE723" s="713" t="s">
        <v>58</v>
      </c>
      <c r="AF723" s="713" t="s">
        <v>58</v>
      </c>
      <c r="AG723" s="713" t="s">
        <v>58</v>
      </c>
      <c r="AH723" s="714">
        <v>0.94387031345969796</v>
      </c>
      <c r="AI723" s="713" t="s">
        <v>58</v>
      </c>
      <c r="AJ723" s="713" t="s">
        <v>58</v>
      </c>
      <c r="AK723" s="713" t="s">
        <v>58</v>
      </c>
      <c r="AL723" s="714">
        <v>0.94454345387965444</v>
      </c>
      <c r="AM723" s="713" t="s">
        <v>58</v>
      </c>
      <c r="AN723" s="713" t="s">
        <v>58</v>
      </c>
      <c r="AO723" s="713" t="s">
        <v>58</v>
      </c>
      <c r="AP723" s="747">
        <v>51</v>
      </c>
      <c r="AQ723" s="747">
        <v>51</v>
      </c>
      <c r="AR723" s="709"/>
      <c r="AS723" s="763">
        <v>0</v>
      </c>
      <c r="AT723" s="763">
        <v>0</v>
      </c>
      <c r="AU723" s="763">
        <v>0</v>
      </c>
      <c r="AV723" s="763">
        <v>0</v>
      </c>
      <c r="AW723" s="763">
        <v>0</v>
      </c>
      <c r="AX723" s="763">
        <v>0</v>
      </c>
      <c r="AY723" s="763">
        <v>0</v>
      </c>
      <c r="AZ723" s="763">
        <v>0</v>
      </c>
      <c r="BA723" s="763">
        <v>0</v>
      </c>
      <c r="BB723" s="763">
        <v>0</v>
      </c>
      <c r="BC723" s="763">
        <v>0</v>
      </c>
      <c r="BD723" s="763">
        <v>0</v>
      </c>
      <c r="BE723" s="763">
        <v>0</v>
      </c>
      <c r="BF723" s="763">
        <v>0</v>
      </c>
      <c r="BG723" s="763">
        <v>0</v>
      </c>
      <c r="BH723" s="763">
        <v>0</v>
      </c>
      <c r="BI723" s="763">
        <v>0</v>
      </c>
      <c r="BJ723" s="763">
        <v>0</v>
      </c>
      <c r="BK723" s="763">
        <v>0</v>
      </c>
      <c r="BL723" s="763">
        <v>0</v>
      </c>
      <c r="BM723" s="763">
        <v>0</v>
      </c>
      <c r="BN723" s="763">
        <v>0</v>
      </c>
      <c r="BO723" s="763">
        <v>0</v>
      </c>
      <c r="BP723" s="763">
        <v>0</v>
      </c>
      <c r="BQ723" s="763">
        <v>0</v>
      </c>
      <c r="BR723" s="763">
        <v>0</v>
      </c>
      <c r="BS723" s="762">
        <v>0</v>
      </c>
      <c r="BT723" s="762">
        <v>0</v>
      </c>
      <c r="BU723" s="762">
        <v>0</v>
      </c>
      <c r="BV723" s="762">
        <v>0</v>
      </c>
      <c r="BW723" s="762">
        <v>0</v>
      </c>
      <c r="BX723" s="762">
        <v>0</v>
      </c>
      <c r="BY723" s="762">
        <v>0</v>
      </c>
      <c r="BZ723" s="762">
        <v>0</v>
      </c>
      <c r="CA723" s="762">
        <v>0</v>
      </c>
      <c r="CB723" s="762">
        <v>0</v>
      </c>
      <c r="CC723" s="762">
        <v>0</v>
      </c>
      <c r="CD723" s="762">
        <v>0</v>
      </c>
      <c r="CE723" s="762">
        <v>0</v>
      </c>
      <c r="CF723" s="762">
        <v>0</v>
      </c>
      <c r="CG723" s="762">
        <v>0</v>
      </c>
      <c r="CH723" s="762">
        <v>0</v>
      </c>
      <c r="CI723" s="762">
        <v>0</v>
      </c>
      <c r="CJ723" s="762">
        <v>0</v>
      </c>
      <c r="CK723" s="762">
        <v>0</v>
      </c>
      <c r="CL723" s="762">
        <v>0</v>
      </c>
      <c r="CM723" s="762">
        <v>0</v>
      </c>
      <c r="CN723" s="762">
        <v>0</v>
      </c>
      <c r="CO723" s="762">
        <v>0</v>
      </c>
      <c r="CP723" s="762">
        <v>0</v>
      </c>
      <c r="CQ723" s="762">
        <v>0</v>
      </c>
      <c r="CR723" s="762">
        <v>0</v>
      </c>
    </row>
    <row r="724" spans="1:96" s="53" customFormat="1">
      <c r="A724" s="721" t="s">
        <v>3</v>
      </c>
      <c r="B724" s="723">
        <v>41772</v>
      </c>
      <c r="C724" s="721">
        <v>2014</v>
      </c>
      <c r="D724" s="713" t="s">
        <v>1</v>
      </c>
      <c r="E724" s="713" t="s">
        <v>674</v>
      </c>
      <c r="F724" s="723" t="s">
        <v>673</v>
      </c>
      <c r="G724" s="713" t="s">
        <v>58</v>
      </c>
      <c r="H724" s="723" t="s">
        <v>675</v>
      </c>
      <c r="I724" s="713" t="s">
        <v>5</v>
      </c>
      <c r="J724" s="713" t="s">
        <v>376</v>
      </c>
      <c r="K724" s="766">
        <v>7</v>
      </c>
      <c r="L724" s="766" t="s">
        <v>671</v>
      </c>
      <c r="M724" s="765" t="s">
        <v>771</v>
      </c>
      <c r="N724" s="765">
        <v>12</v>
      </c>
      <c r="O724" s="765">
        <v>3</v>
      </c>
      <c r="P724" s="735">
        <v>0.36842105263157893</v>
      </c>
      <c r="Q724" s="713" t="s">
        <v>58</v>
      </c>
      <c r="R724" s="713" t="s">
        <v>58</v>
      </c>
      <c r="S724" s="713" t="s">
        <v>58</v>
      </c>
      <c r="T724" s="713" t="s">
        <v>58</v>
      </c>
      <c r="U724" s="764">
        <v>0.39900000000000002</v>
      </c>
      <c r="V724" s="764">
        <v>1035.0060000000001</v>
      </c>
      <c r="W724" s="764">
        <v>0.31293989718291204</v>
      </c>
      <c r="X724" s="764">
        <v>855.0981384244501</v>
      </c>
      <c r="Y724" s="764">
        <v>5400.6198216281064</v>
      </c>
      <c r="Z724" s="764">
        <v>5097.4847239167784</v>
      </c>
      <c r="AA724" s="764">
        <v>807.10174795348996</v>
      </c>
      <c r="AB724" s="764">
        <v>0.29558533134189169</v>
      </c>
      <c r="AC724" s="714">
        <v>0.82617698682369967</v>
      </c>
      <c r="AD724" s="714">
        <v>0.7843105192554185</v>
      </c>
      <c r="AE724" s="713" t="s">
        <v>58</v>
      </c>
      <c r="AF724" s="713" t="s">
        <v>58</v>
      </c>
      <c r="AG724" s="713" t="s">
        <v>58</v>
      </c>
      <c r="AH724" s="714">
        <v>0.94387031345969796</v>
      </c>
      <c r="AI724" s="713" t="s">
        <v>58</v>
      </c>
      <c r="AJ724" s="713" t="s">
        <v>58</v>
      </c>
      <c r="AK724" s="713" t="s">
        <v>58</v>
      </c>
      <c r="AL724" s="714">
        <v>0.94454345387965444</v>
      </c>
      <c r="AM724" s="713" t="s">
        <v>58</v>
      </c>
      <c r="AN724" s="713" t="s">
        <v>58</v>
      </c>
      <c r="AO724" s="713" t="s">
        <v>58</v>
      </c>
      <c r="AP724" s="747">
        <v>73</v>
      </c>
      <c r="AQ724" s="747">
        <v>511</v>
      </c>
      <c r="AR724" s="709"/>
      <c r="AS724" s="763">
        <v>0</v>
      </c>
      <c r="AT724" s="763">
        <v>0</v>
      </c>
      <c r="AU724" s="763">
        <v>0</v>
      </c>
      <c r="AV724" s="763">
        <v>0.29558533134189169</v>
      </c>
      <c r="AW724" s="763">
        <v>0.29558533134189169</v>
      </c>
      <c r="AX724" s="763">
        <v>0.29558533134189169</v>
      </c>
      <c r="AY724" s="763">
        <v>0.10889985891543377</v>
      </c>
      <c r="AZ724" s="763">
        <v>0.10889985891543377</v>
      </c>
      <c r="BA724" s="763">
        <v>0.10889985891543377</v>
      </c>
      <c r="BB724" s="763">
        <v>0.10889985891543377</v>
      </c>
      <c r="BC724" s="763">
        <v>0.10889985891543377</v>
      </c>
      <c r="BD724" s="763">
        <v>0.10889985891543377</v>
      </c>
      <c r="BE724" s="763">
        <v>0.10889985891543377</v>
      </c>
      <c r="BF724" s="763">
        <v>0.10889985891543377</v>
      </c>
      <c r="BG724" s="763">
        <v>0.10889985891543377</v>
      </c>
      <c r="BH724" s="763">
        <v>0</v>
      </c>
      <c r="BI724" s="763">
        <v>0</v>
      </c>
      <c r="BJ724" s="763">
        <v>0</v>
      </c>
      <c r="BK724" s="763">
        <v>0</v>
      </c>
      <c r="BL724" s="763">
        <v>0</v>
      </c>
      <c r="BM724" s="763">
        <v>0</v>
      </c>
      <c r="BN724" s="763">
        <v>0</v>
      </c>
      <c r="BO724" s="763">
        <v>0</v>
      </c>
      <c r="BP724" s="763">
        <v>0</v>
      </c>
      <c r="BQ724" s="763">
        <v>0</v>
      </c>
      <c r="BR724" s="763">
        <v>0</v>
      </c>
      <c r="BS724" s="762">
        <v>0</v>
      </c>
      <c r="BT724" s="762">
        <v>0</v>
      </c>
      <c r="BU724" s="762">
        <v>0</v>
      </c>
      <c r="BV724" s="762">
        <v>807.10174795348996</v>
      </c>
      <c r="BW724" s="762">
        <v>807.10174795348996</v>
      </c>
      <c r="BX724" s="762">
        <v>807.10174795348996</v>
      </c>
      <c r="BY724" s="762">
        <v>297.3532755618121</v>
      </c>
      <c r="BZ724" s="762">
        <v>297.3532755618121</v>
      </c>
      <c r="CA724" s="762">
        <v>297.3532755618121</v>
      </c>
      <c r="CB724" s="762">
        <v>297.3532755618121</v>
      </c>
      <c r="CC724" s="762">
        <v>297.3532755618121</v>
      </c>
      <c r="CD724" s="762">
        <v>297.3532755618121</v>
      </c>
      <c r="CE724" s="762">
        <v>297.3532755618121</v>
      </c>
      <c r="CF724" s="762">
        <v>297.3532755618121</v>
      </c>
      <c r="CG724" s="762">
        <v>297.3532755618121</v>
      </c>
      <c r="CH724" s="762">
        <v>0</v>
      </c>
      <c r="CI724" s="762">
        <v>0</v>
      </c>
      <c r="CJ724" s="762">
        <v>0</v>
      </c>
      <c r="CK724" s="762">
        <v>0</v>
      </c>
      <c r="CL724" s="762">
        <v>0</v>
      </c>
      <c r="CM724" s="762">
        <v>0</v>
      </c>
      <c r="CN724" s="762">
        <v>0</v>
      </c>
      <c r="CO724" s="762">
        <v>0</v>
      </c>
      <c r="CP724" s="762">
        <v>0</v>
      </c>
      <c r="CQ724" s="762">
        <v>0</v>
      </c>
      <c r="CR724" s="762">
        <v>0</v>
      </c>
    </row>
    <row r="725" spans="1:96" s="53" customFormat="1">
      <c r="A725" s="721" t="s">
        <v>3</v>
      </c>
      <c r="B725" s="723">
        <v>41772</v>
      </c>
      <c r="C725" s="721">
        <v>2014</v>
      </c>
      <c r="D725" s="713" t="s">
        <v>1</v>
      </c>
      <c r="E725" s="713" t="s">
        <v>674</v>
      </c>
      <c r="F725" s="723" t="s">
        <v>673</v>
      </c>
      <c r="G725" s="713" t="s">
        <v>58</v>
      </c>
      <c r="H725" s="723" t="s">
        <v>675</v>
      </c>
      <c r="I725" s="713" t="s">
        <v>5</v>
      </c>
      <c r="J725" s="713" t="s">
        <v>376</v>
      </c>
      <c r="K725" s="766">
        <v>6</v>
      </c>
      <c r="L725" s="766" t="s">
        <v>671</v>
      </c>
      <c r="M725" s="765" t="s">
        <v>771</v>
      </c>
      <c r="N725" s="765">
        <v>12</v>
      </c>
      <c r="O725" s="765">
        <v>3</v>
      </c>
      <c r="P725" s="735">
        <v>0.36842105263157893</v>
      </c>
      <c r="Q725" s="713" t="s">
        <v>58</v>
      </c>
      <c r="R725" s="713" t="s">
        <v>58</v>
      </c>
      <c r="S725" s="713" t="s">
        <v>58</v>
      </c>
      <c r="T725" s="713" t="s">
        <v>58</v>
      </c>
      <c r="U725" s="764">
        <v>0.34200000000000003</v>
      </c>
      <c r="V725" s="764">
        <v>887.14800000000002</v>
      </c>
      <c r="W725" s="764">
        <v>0.26823419758535316</v>
      </c>
      <c r="X725" s="764">
        <v>732.94126150667148</v>
      </c>
      <c r="Y725" s="764">
        <v>4629.1027042526621</v>
      </c>
      <c r="Z725" s="764">
        <v>4369.2726205000954</v>
      </c>
      <c r="AA725" s="764">
        <v>691.80149824584851</v>
      </c>
      <c r="AB725" s="764">
        <v>0.25335885543590714</v>
      </c>
      <c r="AC725" s="714">
        <v>0.82617698682369967</v>
      </c>
      <c r="AD725" s="714">
        <v>0.7843105192554185</v>
      </c>
      <c r="AE725" s="713" t="s">
        <v>58</v>
      </c>
      <c r="AF725" s="713" t="s">
        <v>58</v>
      </c>
      <c r="AG725" s="713" t="s">
        <v>58</v>
      </c>
      <c r="AH725" s="714">
        <v>0.94387031345969796</v>
      </c>
      <c r="AI725" s="713" t="s">
        <v>58</v>
      </c>
      <c r="AJ725" s="713" t="s">
        <v>58</v>
      </c>
      <c r="AK725" s="713" t="s">
        <v>58</v>
      </c>
      <c r="AL725" s="714">
        <v>0.94454345387965444</v>
      </c>
      <c r="AM725" s="713" t="s">
        <v>58</v>
      </c>
      <c r="AN725" s="713" t="s">
        <v>58</v>
      </c>
      <c r="AO725" s="713" t="s">
        <v>58</v>
      </c>
      <c r="AP725" s="747">
        <v>73</v>
      </c>
      <c r="AQ725" s="747">
        <v>438</v>
      </c>
      <c r="AR725" s="709"/>
      <c r="AS725" s="763">
        <v>0</v>
      </c>
      <c r="AT725" s="763">
        <v>0</v>
      </c>
      <c r="AU725" s="763">
        <v>0</v>
      </c>
      <c r="AV725" s="763">
        <v>0.25335885543590714</v>
      </c>
      <c r="AW725" s="763">
        <v>0.25335885543590714</v>
      </c>
      <c r="AX725" s="763">
        <v>0.25335885543590714</v>
      </c>
      <c r="AY725" s="763">
        <v>9.3342736213228944E-2</v>
      </c>
      <c r="AZ725" s="763">
        <v>9.3342736213228944E-2</v>
      </c>
      <c r="BA725" s="763">
        <v>9.3342736213228944E-2</v>
      </c>
      <c r="BB725" s="763">
        <v>9.3342736213228944E-2</v>
      </c>
      <c r="BC725" s="763">
        <v>9.3342736213228944E-2</v>
      </c>
      <c r="BD725" s="763">
        <v>9.3342736213228944E-2</v>
      </c>
      <c r="BE725" s="763">
        <v>9.3342736213228944E-2</v>
      </c>
      <c r="BF725" s="763">
        <v>9.3342736213228944E-2</v>
      </c>
      <c r="BG725" s="763">
        <v>9.3342736213228944E-2</v>
      </c>
      <c r="BH725" s="763">
        <v>0</v>
      </c>
      <c r="BI725" s="763">
        <v>0</v>
      </c>
      <c r="BJ725" s="763">
        <v>0</v>
      </c>
      <c r="BK725" s="763">
        <v>0</v>
      </c>
      <c r="BL725" s="763">
        <v>0</v>
      </c>
      <c r="BM725" s="763">
        <v>0</v>
      </c>
      <c r="BN725" s="763">
        <v>0</v>
      </c>
      <c r="BO725" s="763">
        <v>0</v>
      </c>
      <c r="BP725" s="763">
        <v>0</v>
      </c>
      <c r="BQ725" s="763">
        <v>0</v>
      </c>
      <c r="BR725" s="763">
        <v>0</v>
      </c>
      <c r="BS725" s="762">
        <v>0</v>
      </c>
      <c r="BT725" s="762">
        <v>0</v>
      </c>
      <c r="BU725" s="762">
        <v>0</v>
      </c>
      <c r="BV725" s="762">
        <v>691.80149824584851</v>
      </c>
      <c r="BW725" s="762">
        <v>691.80149824584851</v>
      </c>
      <c r="BX725" s="762">
        <v>691.80149824584851</v>
      </c>
      <c r="BY725" s="762">
        <v>254.8742361958389</v>
      </c>
      <c r="BZ725" s="762">
        <v>254.8742361958389</v>
      </c>
      <c r="CA725" s="762">
        <v>254.8742361958389</v>
      </c>
      <c r="CB725" s="762">
        <v>254.8742361958389</v>
      </c>
      <c r="CC725" s="762">
        <v>254.8742361958389</v>
      </c>
      <c r="CD725" s="762">
        <v>254.8742361958389</v>
      </c>
      <c r="CE725" s="762">
        <v>254.8742361958389</v>
      </c>
      <c r="CF725" s="762">
        <v>254.8742361958389</v>
      </c>
      <c r="CG725" s="762">
        <v>254.8742361958389</v>
      </c>
      <c r="CH725" s="762">
        <v>0</v>
      </c>
      <c r="CI725" s="762">
        <v>0</v>
      </c>
      <c r="CJ725" s="762">
        <v>0</v>
      </c>
      <c r="CK725" s="762">
        <v>0</v>
      </c>
      <c r="CL725" s="762">
        <v>0</v>
      </c>
      <c r="CM725" s="762">
        <v>0</v>
      </c>
      <c r="CN725" s="762">
        <v>0</v>
      </c>
      <c r="CO725" s="762">
        <v>0</v>
      </c>
      <c r="CP725" s="762">
        <v>0</v>
      </c>
      <c r="CQ725" s="762">
        <v>0</v>
      </c>
      <c r="CR725" s="762">
        <v>0</v>
      </c>
    </row>
    <row r="726" spans="1:96" s="53" customFormat="1">
      <c r="A726" s="721" t="s">
        <v>3</v>
      </c>
      <c r="B726" s="723">
        <v>41772</v>
      </c>
      <c r="C726" s="721">
        <v>2014</v>
      </c>
      <c r="D726" s="713" t="s">
        <v>1</v>
      </c>
      <c r="E726" s="713" t="s">
        <v>674</v>
      </c>
      <c r="F726" s="723" t="s">
        <v>673</v>
      </c>
      <c r="G726" s="713" t="s">
        <v>58</v>
      </c>
      <c r="H726" s="723" t="s">
        <v>675</v>
      </c>
      <c r="I726" s="713" t="s">
        <v>5</v>
      </c>
      <c r="J726" s="713" t="s">
        <v>376</v>
      </c>
      <c r="K726" s="766">
        <v>3</v>
      </c>
      <c r="L726" s="766" t="s">
        <v>671</v>
      </c>
      <c r="M726" s="765" t="s">
        <v>771</v>
      </c>
      <c r="N726" s="765">
        <v>12</v>
      </c>
      <c r="O726" s="765">
        <v>3</v>
      </c>
      <c r="P726" s="735">
        <v>0.36842105263157893</v>
      </c>
      <c r="Q726" s="713" t="s">
        <v>58</v>
      </c>
      <c r="R726" s="713" t="s">
        <v>58</v>
      </c>
      <c r="S726" s="713" t="s">
        <v>58</v>
      </c>
      <c r="T726" s="713" t="s">
        <v>58</v>
      </c>
      <c r="U726" s="764">
        <v>0.17100000000000001</v>
      </c>
      <c r="V726" s="764">
        <v>443.57400000000001</v>
      </c>
      <c r="W726" s="764">
        <v>0.13411709879267658</v>
      </c>
      <c r="X726" s="764">
        <v>366.47063075333574</v>
      </c>
      <c r="Y726" s="764">
        <v>2314.551352126331</v>
      </c>
      <c r="Z726" s="764">
        <v>2184.6363102500477</v>
      </c>
      <c r="AA726" s="764">
        <v>345.90074912292425</v>
      </c>
      <c r="AB726" s="764">
        <v>0.12667942771795357</v>
      </c>
      <c r="AC726" s="714">
        <v>0.82617698682369967</v>
      </c>
      <c r="AD726" s="714">
        <v>0.7843105192554185</v>
      </c>
      <c r="AE726" s="713" t="s">
        <v>58</v>
      </c>
      <c r="AF726" s="713" t="s">
        <v>58</v>
      </c>
      <c r="AG726" s="713" t="s">
        <v>58</v>
      </c>
      <c r="AH726" s="714">
        <v>0.94387031345969796</v>
      </c>
      <c r="AI726" s="713" t="s">
        <v>58</v>
      </c>
      <c r="AJ726" s="713" t="s">
        <v>58</v>
      </c>
      <c r="AK726" s="713" t="s">
        <v>58</v>
      </c>
      <c r="AL726" s="714">
        <v>0.94454345387965444</v>
      </c>
      <c r="AM726" s="713" t="s">
        <v>58</v>
      </c>
      <c r="AN726" s="713" t="s">
        <v>58</v>
      </c>
      <c r="AO726" s="713" t="s">
        <v>58</v>
      </c>
      <c r="AP726" s="747">
        <v>73</v>
      </c>
      <c r="AQ726" s="747">
        <v>219</v>
      </c>
      <c r="AR726" s="709"/>
      <c r="AS726" s="763">
        <v>0</v>
      </c>
      <c r="AT726" s="763">
        <v>0</v>
      </c>
      <c r="AU726" s="763">
        <v>0</v>
      </c>
      <c r="AV726" s="763">
        <v>0.12667942771795357</v>
      </c>
      <c r="AW726" s="763">
        <v>0.12667942771795357</v>
      </c>
      <c r="AX726" s="763">
        <v>0.12667942771795357</v>
      </c>
      <c r="AY726" s="763">
        <v>4.6671368106614472E-2</v>
      </c>
      <c r="AZ726" s="763">
        <v>4.6671368106614472E-2</v>
      </c>
      <c r="BA726" s="763">
        <v>4.6671368106614472E-2</v>
      </c>
      <c r="BB726" s="763">
        <v>4.6671368106614472E-2</v>
      </c>
      <c r="BC726" s="763">
        <v>4.6671368106614472E-2</v>
      </c>
      <c r="BD726" s="763">
        <v>4.6671368106614472E-2</v>
      </c>
      <c r="BE726" s="763">
        <v>4.6671368106614472E-2</v>
      </c>
      <c r="BF726" s="763">
        <v>4.6671368106614472E-2</v>
      </c>
      <c r="BG726" s="763">
        <v>4.6671368106614472E-2</v>
      </c>
      <c r="BH726" s="763">
        <v>0</v>
      </c>
      <c r="BI726" s="763">
        <v>0</v>
      </c>
      <c r="BJ726" s="763">
        <v>0</v>
      </c>
      <c r="BK726" s="763">
        <v>0</v>
      </c>
      <c r="BL726" s="763">
        <v>0</v>
      </c>
      <c r="BM726" s="763">
        <v>0</v>
      </c>
      <c r="BN726" s="763">
        <v>0</v>
      </c>
      <c r="BO726" s="763">
        <v>0</v>
      </c>
      <c r="BP726" s="763">
        <v>0</v>
      </c>
      <c r="BQ726" s="763">
        <v>0</v>
      </c>
      <c r="BR726" s="763">
        <v>0</v>
      </c>
      <c r="BS726" s="762">
        <v>0</v>
      </c>
      <c r="BT726" s="762">
        <v>0</v>
      </c>
      <c r="BU726" s="762">
        <v>0</v>
      </c>
      <c r="BV726" s="762">
        <v>345.90074912292425</v>
      </c>
      <c r="BW726" s="762">
        <v>345.90074912292425</v>
      </c>
      <c r="BX726" s="762">
        <v>345.90074912292425</v>
      </c>
      <c r="BY726" s="762">
        <v>127.43711809791945</v>
      </c>
      <c r="BZ726" s="762">
        <v>127.43711809791945</v>
      </c>
      <c r="CA726" s="762">
        <v>127.43711809791945</v>
      </c>
      <c r="CB726" s="762">
        <v>127.43711809791945</v>
      </c>
      <c r="CC726" s="762">
        <v>127.43711809791945</v>
      </c>
      <c r="CD726" s="762">
        <v>127.43711809791945</v>
      </c>
      <c r="CE726" s="762">
        <v>127.43711809791945</v>
      </c>
      <c r="CF726" s="762">
        <v>127.43711809791945</v>
      </c>
      <c r="CG726" s="762">
        <v>127.43711809791945</v>
      </c>
      <c r="CH726" s="762">
        <v>0</v>
      </c>
      <c r="CI726" s="762">
        <v>0</v>
      </c>
      <c r="CJ726" s="762">
        <v>0</v>
      </c>
      <c r="CK726" s="762">
        <v>0</v>
      </c>
      <c r="CL726" s="762">
        <v>0</v>
      </c>
      <c r="CM726" s="762">
        <v>0</v>
      </c>
      <c r="CN726" s="762">
        <v>0</v>
      </c>
      <c r="CO726" s="762">
        <v>0</v>
      </c>
      <c r="CP726" s="762">
        <v>0</v>
      </c>
      <c r="CQ726" s="762">
        <v>0</v>
      </c>
      <c r="CR726" s="762">
        <v>0</v>
      </c>
    </row>
    <row r="727" spans="1:96" s="53" customFormat="1">
      <c r="A727" s="721" t="s">
        <v>3</v>
      </c>
      <c r="B727" s="723">
        <v>41772</v>
      </c>
      <c r="C727" s="721">
        <v>2014</v>
      </c>
      <c r="D727" s="713" t="s">
        <v>1</v>
      </c>
      <c r="E727" s="713" t="s">
        <v>674</v>
      </c>
      <c r="F727" s="723" t="s">
        <v>673</v>
      </c>
      <c r="G727" s="713" t="s">
        <v>58</v>
      </c>
      <c r="H727" s="723" t="s">
        <v>675</v>
      </c>
      <c r="I727" s="713" t="s">
        <v>5</v>
      </c>
      <c r="J727" s="713" t="s">
        <v>376</v>
      </c>
      <c r="K727" s="766">
        <v>1</v>
      </c>
      <c r="L727" s="766" t="s">
        <v>671</v>
      </c>
      <c r="M727" s="765" t="s">
        <v>771</v>
      </c>
      <c r="N727" s="765">
        <v>12</v>
      </c>
      <c r="O727" s="765">
        <v>3</v>
      </c>
      <c r="P727" s="735">
        <v>0.36842105263157893</v>
      </c>
      <c r="Q727" s="713" t="s">
        <v>58</v>
      </c>
      <c r="R727" s="713" t="s">
        <v>58</v>
      </c>
      <c r="S727" s="713" t="s">
        <v>58</v>
      </c>
      <c r="T727" s="713" t="s">
        <v>58</v>
      </c>
      <c r="U727" s="764">
        <v>5.7000000000000002E-2</v>
      </c>
      <c r="V727" s="764">
        <v>147.858</v>
      </c>
      <c r="W727" s="764">
        <v>4.4705699597558865E-2</v>
      </c>
      <c r="X727" s="764">
        <v>122.15687691777859</v>
      </c>
      <c r="Y727" s="764">
        <v>771.5171173754436</v>
      </c>
      <c r="Z727" s="764">
        <v>728.21210341668257</v>
      </c>
      <c r="AA727" s="764">
        <v>115.30024970764141</v>
      </c>
      <c r="AB727" s="764">
        <v>4.222647590598453E-2</v>
      </c>
      <c r="AC727" s="714">
        <v>0.82617698682369967</v>
      </c>
      <c r="AD727" s="714">
        <v>0.7843105192554185</v>
      </c>
      <c r="AE727" s="713" t="s">
        <v>58</v>
      </c>
      <c r="AF727" s="713" t="s">
        <v>58</v>
      </c>
      <c r="AG727" s="713" t="s">
        <v>58</v>
      </c>
      <c r="AH727" s="714">
        <v>0.94387031345969796</v>
      </c>
      <c r="AI727" s="713" t="s">
        <v>58</v>
      </c>
      <c r="AJ727" s="713" t="s">
        <v>58</v>
      </c>
      <c r="AK727" s="713" t="s">
        <v>58</v>
      </c>
      <c r="AL727" s="714">
        <v>0.94454345387965444</v>
      </c>
      <c r="AM727" s="713" t="s">
        <v>58</v>
      </c>
      <c r="AN727" s="713" t="s">
        <v>58</v>
      </c>
      <c r="AO727" s="713" t="s">
        <v>58</v>
      </c>
      <c r="AP727" s="747">
        <v>73</v>
      </c>
      <c r="AQ727" s="747">
        <v>73</v>
      </c>
      <c r="AR727" s="709"/>
      <c r="AS727" s="763">
        <v>0</v>
      </c>
      <c r="AT727" s="763">
        <v>0</v>
      </c>
      <c r="AU727" s="763">
        <v>0</v>
      </c>
      <c r="AV727" s="763">
        <v>4.222647590598453E-2</v>
      </c>
      <c r="AW727" s="763">
        <v>4.222647590598453E-2</v>
      </c>
      <c r="AX727" s="763">
        <v>4.222647590598453E-2</v>
      </c>
      <c r="AY727" s="763">
        <v>1.5557122702204825E-2</v>
      </c>
      <c r="AZ727" s="763">
        <v>1.5557122702204825E-2</v>
      </c>
      <c r="BA727" s="763">
        <v>1.5557122702204825E-2</v>
      </c>
      <c r="BB727" s="763">
        <v>1.5557122702204825E-2</v>
      </c>
      <c r="BC727" s="763">
        <v>1.5557122702204825E-2</v>
      </c>
      <c r="BD727" s="763">
        <v>1.5557122702204825E-2</v>
      </c>
      <c r="BE727" s="763">
        <v>1.5557122702204825E-2</v>
      </c>
      <c r="BF727" s="763">
        <v>1.5557122702204825E-2</v>
      </c>
      <c r="BG727" s="763">
        <v>1.5557122702204825E-2</v>
      </c>
      <c r="BH727" s="763">
        <v>0</v>
      </c>
      <c r="BI727" s="763">
        <v>0</v>
      </c>
      <c r="BJ727" s="763">
        <v>0</v>
      </c>
      <c r="BK727" s="763">
        <v>0</v>
      </c>
      <c r="BL727" s="763">
        <v>0</v>
      </c>
      <c r="BM727" s="763">
        <v>0</v>
      </c>
      <c r="BN727" s="763">
        <v>0</v>
      </c>
      <c r="BO727" s="763">
        <v>0</v>
      </c>
      <c r="BP727" s="763">
        <v>0</v>
      </c>
      <c r="BQ727" s="763">
        <v>0</v>
      </c>
      <c r="BR727" s="763">
        <v>0</v>
      </c>
      <c r="BS727" s="762">
        <v>0</v>
      </c>
      <c r="BT727" s="762">
        <v>0</v>
      </c>
      <c r="BU727" s="762">
        <v>0</v>
      </c>
      <c r="BV727" s="762">
        <v>115.30024970764141</v>
      </c>
      <c r="BW727" s="762">
        <v>115.30024970764141</v>
      </c>
      <c r="BX727" s="762">
        <v>115.30024970764141</v>
      </c>
      <c r="BY727" s="762">
        <v>42.479039365973151</v>
      </c>
      <c r="BZ727" s="762">
        <v>42.479039365973151</v>
      </c>
      <c r="CA727" s="762">
        <v>42.479039365973151</v>
      </c>
      <c r="CB727" s="762">
        <v>42.479039365973151</v>
      </c>
      <c r="CC727" s="762">
        <v>42.479039365973151</v>
      </c>
      <c r="CD727" s="762">
        <v>42.479039365973151</v>
      </c>
      <c r="CE727" s="762">
        <v>42.479039365973151</v>
      </c>
      <c r="CF727" s="762">
        <v>42.479039365973151</v>
      </c>
      <c r="CG727" s="762">
        <v>42.479039365973151</v>
      </c>
      <c r="CH727" s="762">
        <v>0</v>
      </c>
      <c r="CI727" s="762">
        <v>0</v>
      </c>
      <c r="CJ727" s="762">
        <v>0</v>
      </c>
      <c r="CK727" s="762">
        <v>0</v>
      </c>
      <c r="CL727" s="762">
        <v>0</v>
      </c>
      <c r="CM727" s="762">
        <v>0</v>
      </c>
      <c r="CN727" s="762">
        <v>0</v>
      </c>
      <c r="CO727" s="762">
        <v>0</v>
      </c>
      <c r="CP727" s="762">
        <v>0</v>
      </c>
      <c r="CQ727" s="762">
        <v>0</v>
      </c>
      <c r="CR727" s="762">
        <v>0</v>
      </c>
    </row>
    <row r="728" spans="1:96" s="53" customFormat="1">
      <c r="A728" s="721" t="s">
        <v>3</v>
      </c>
      <c r="B728" s="723">
        <v>41758</v>
      </c>
      <c r="C728" s="721">
        <v>2014</v>
      </c>
      <c r="D728" s="713" t="s">
        <v>1</v>
      </c>
      <c r="E728" s="713" t="s">
        <v>674</v>
      </c>
      <c r="F728" s="723" t="s">
        <v>681</v>
      </c>
      <c r="G728" s="713" t="s">
        <v>58</v>
      </c>
      <c r="H728" s="723" t="s">
        <v>754</v>
      </c>
      <c r="I728" s="713" t="s">
        <v>5</v>
      </c>
      <c r="J728" s="713" t="s">
        <v>376</v>
      </c>
      <c r="K728" s="766">
        <v>6</v>
      </c>
      <c r="L728" s="766" t="s">
        <v>671</v>
      </c>
      <c r="M728" s="765" t="s">
        <v>769</v>
      </c>
      <c r="N728" s="765">
        <v>3</v>
      </c>
      <c r="O728" s="765" t="s">
        <v>7</v>
      </c>
      <c r="P728" s="735">
        <v>1</v>
      </c>
      <c r="Q728" s="713" t="s">
        <v>58</v>
      </c>
      <c r="R728" s="713" t="s">
        <v>58</v>
      </c>
      <c r="S728" s="713" t="s">
        <v>58</v>
      </c>
      <c r="T728" s="713" t="s">
        <v>58</v>
      </c>
      <c r="U728" s="764">
        <v>0.35099999999999998</v>
      </c>
      <c r="V728" s="764">
        <v>1306.0709999999999</v>
      </c>
      <c r="W728" s="764">
        <v>0.27529299225865195</v>
      </c>
      <c r="X728" s="764">
        <v>1079.0458033578161</v>
      </c>
      <c r="Y728" s="764">
        <v>3237.1374100734483</v>
      </c>
      <c r="Z728" s="764">
        <v>3055.4379019581406</v>
      </c>
      <c r="AA728" s="764">
        <v>1018.4793006527135</v>
      </c>
      <c r="AB728" s="764">
        <v>0.2600261937368521</v>
      </c>
      <c r="AC728" s="714">
        <v>0.82617698682369967</v>
      </c>
      <c r="AD728" s="714">
        <v>0.7843105192554185</v>
      </c>
      <c r="AE728" s="713" t="s">
        <v>58</v>
      </c>
      <c r="AF728" s="713" t="s">
        <v>58</v>
      </c>
      <c r="AG728" s="713" t="s">
        <v>58</v>
      </c>
      <c r="AH728" s="714">
        <v>0.94387031345969796</v>
      </c>
      <c r="AI728" s="713" t="s">
        <v>58</v>
      </c>
      <c r="AJ728" s="713" t="s">
        <v>58</v>
      </c>
      <c r="AK728" s="713" t="s">
        <v>58</v>
      </c>
      <c r="AL728" s="714">
        <v>0.94454345387965444</v>
      </c>
      <c r="AM728" s="713" t="s">
        <v>58</v>
      </c>
      <c r="AN728" s="713" t="s">
        <v>58</v>
      </c>
      <c r="AO728" s="713" t="s">
        <v>58</v>
      </c>
      <c r="AP728" s="747">
        <v>17</v>
      </c>
      <c r="AQ728" s="747">
        <v>102</v>
      </c>
      <c r="AR728" s="709"/>
      <c r="AS728" s="763">
        <v>0</v>
      </c>
      <c r="AT728" s="763">
        <v>0</v>
      </c>
      <c r="AU728" s="763">
        <v>0</v>
      </c>
      <c r="AV728" s="763">
        <v>0.2600261937368521</v>
      </c>
      <c r="AW728" s="763">
        <v>0.2600261937368521</v>
      </c>
      <c r="AX728" s="763">
        <v>0.2600261937368521</v>
      </c>
      <c r="AY728" s="763">
        <v>0</v>
      </c>
      <c r="AZ728" s="763">
        <v>0</v>
      </c>
      <c r="BA728" s="763">
        <v>0</v>
      </c>
      <c r="BB728" s="763">
        <v>0</v>
      </c>
      <c r="BC728" s="763">
        <v>0</v>
      </c>
      <c r="BD728" s="763">
        <v>0</v>
      </c>
      <c r="BE728" s="763">
        <v>0</v>
      </c>
      <c r="BF728" s="763">
        <v>0</v>
      </c>
      <c r="BG728" s="763">
        <v>0</v>
      </c>
      <c r="BH728" s="763">
        <v>0</v>
      </c>
      <c r="BI728" s="763">
        <v>0</v>
      </c>
      <c r="BJ728" s="763">
        <v>0</v>
      </c>
      <c r="BK728" s="763">
        <v>0</v>
      </c>
      <c r="BL728" s="763">
        <v>0</v>
      </c>
      <c r="BM728" s="763">
        <v>0</v>
      </c>
      <c r="BN728" s="763">
        <v>0</v>
      </c>
      <c r="BO728" s="763">
        <v>0</v>
      </c>
      <c r="BP728" s="763">
        <v>0</v>
      </c>
      <c r="BQ728" s="763">
        <v>0</v>
      </c>
      <c r="BR728" s="763">
        <v>0</v>
      </c>
      <c r="BS728" s="762">
        <v>0</v>
      </c>
      <c r="BT728" s="762">
        <v>0</v>
      </c>
      <c r="BU728" s="762">
        <v>0</v>
      </c>
      <c r="BV728" s="762">
        <v>1018.4793006527135</v>
      </c>
      <c r="BW728" s="762">
        <v>1018.4793006527135</v>
      </c>
      <c r="BX728" s="762">
        <v>1018.4793006527135</v>
      </c>
      <c r="BY728" s="762">
        <v>0</v>
      </c>
      <c r="BZ728" s="762">
        <v>0</v>
      </c>
      <c r="CA728" s="762">
        <v>0</v>
      </c>
      <c r="CB728" s="762">
        <v>0</v>
      </c>
      <c r="CC728" s="762">
        <v>0</v>
      </c>
      <c r="CD728" s="762">
        <v>0</v>
      </c>
      <c r="CE728" s="762">
        <v>0</v>
      </c>
      <c r="CF728" s="762">
        <v>0</v>
      </c>
      <c r="CG728" s="762">
        <v>0</v>
      </c>
      <c r="CH728" s="762">
        <v>0</v>
      </c>
      <c r="CI728" s="762">
        <v>0</v>
      </c>
      <c r="CJ728" s="762">
        <v>0</v>
      </c>
      <c r="CK728" s="762">
        <v>0</v>
      </c>
      <c r="CL728" s="762">
        <v>0</v>
      </c>
      <c r="CM728" s="762">
        <v>0</v>
      </c>
      <c r="CN728" s="762">
        <v>0</v>
      </c>
      <c r="CO728" s="762">
        <v>0</v>
      </c>
      <c r="CP728" s="762">
        <v>0</v>
      </c>
      <c r="CQ728" s="762">
        <v>0</v>
      </c>
      <c r="CR728" s="762">
        <v>0</v>
      </c>
    </row>
    <row r="729" spans="1:96" s="53" customFormat="1">
      <c r="A729" s="721" t="s">
        <v>3</v>
      </c>
      <c r="B729" s="723">
        <v>41758</v>
      </c>
      <c r="C729" s="721">
        <v>2014</v>
      </c>
      <c r="D729" s="713" t="s">
        <v>1</v>
      </c>
      <c r="E729" s="713" t="s">
        <v>674</v>
      </c>
      <c r="F729" s="723" t="s">
        <v>681</v>
      </c>
      <c r="G729" s="713" t="s">
        <v>58</v>
      </c>
      <c r="H729" s="723" t="s">
        <v>754</v>
      </c>
      <c r="I729" s="713" t="s">
        <v>5</v>
      </c>
      <c r="J729" s="713" t="s">
        <v>376</v>
      </c>
      <c r="K729" s="766">
        <v>2</v>
      </c>
      <c r="L729" s="766" t="s">
        <v>671</v>
      </c>
      <c r="M729" s="765" t="s">
        <v>769</v>
      </c>
      <c r="N729" s="765">
        <v>3</v>
      </c>
      <c r="O729" s="765" t="s">
        <v>7</v>
      </c>
      <c r="P729" s="735">
        <v>1</v>
      </c>
      <c r="Q729" s="713" t="s">
        <v>58</v>
      </c>
      <c r="R729" s="713" t="s">
        <v>58</v>
      </c>
      <c r="S729" s="713" t="s">
        <v>58</v>
      </c>
      <c r="T729" s="713" t="s">
        <v>58</v>
      </c>
      <c r="U729" s="764">
        <v>0.11700000000000001</v>
      </c>
      <c r="V729" s="764">
        <v>435.35700000000003</v>
      </c>
      <c r="W729" s="764">
        <v>9.1764330752883982E-2</v>
      </c>
      <c r="X729" s="764">
        <v>359.68193445260545</v>
      </c>
      <c r="Y729" s="764">
        <v>1079.0458033578163</v>
      </c>
      <c r="Z729" s="764">
        <v>1018.4793006527137</v>
      </c>
      <c r="AA729" s="764">
        <v>339.49310021757123</v>
      </c>
      <c r="AB729" s="764">
        <v>8.6675397912284027E-2</v>
      </c>
      <c r="AC729" s="714">
        <v>0.82617698682369967</v>
      </c>
      <c r="AD729" s="714">
        <v>0.7843105192554185</v>
      </c>
      <c r="AE729" s="713" t="s">
        <v>58</v>
      </c>
      <c r="AF729" s="713" t="s">
        <v>58</v>
      </c>
      <c r="AG729" s="713" t="s">
        <v>58</v>
      </c>
      <c r="AH729" s="714">
        <v>0.94387031345969796</v>
      </c>
      <c r="AI729" s="713" t="s">
        <v>58</v>
      </c>
      <c r="AJ729" s="713" t="s">
        <v>58</v>
      </c>
      <c r="AK729" s="713" t="s">
        <v>58</v>
      </c>
      <c r="AL729" s="714">
        <v>0.94454345387965444</v>
      </c>
      <c r="AM729" s="713" t="s">
        <v>58</v>
      </c>
      <c r="AN729" s="713" t="s">
        <v>58</v>
      </c>
      <c r="AO729" s="713" t="s">
        <v>58</v>
      </c>
      <c r="AP729" s="747">
        <v>17</v>
      </c>
      <c r="AQ729" s="747">
        <v>34</v>
      </c>
      <c r="AR729" s="709"/>
      <c r="AS729" s="763">
        <v>0</v>
      </c>
      <c r="AT729" s="763">
        <v>0</v>
      </c>
      <c r="AU729" s="763">
        <v>0</v>
      </c>
      <c r="AV729" s="763">
        <v>8.6675397912284027E-2</v>
      </c>
      <c r="AW729" s="763">
        <v>8.6675397912284027E-2</v>
      </c>
      <c r="AX729" s="763">
        <v>8.6675397912284027E-2</v>
      </c>
      <c r="AY729" s="763">
        <v>0</v>
      </c>
      <c r="AZ729" s="763">
        <v>0</v>
      </c>
      <c r="BA729" s="763">
        <v>0</v>
      </c>
      <c r="BB729" s="763">
        <v>0</v>
      </c>
      <c r="BC729" s="763">
        <v>0</v>
      </c>
      <c r="BD729" s="763">
        <v>0</v>
      </c>
      <c r="BE729" s="763">
        <v>0</v>
      </c>
      <c r="BF729" s="763">
        <v>0</v>
      </c>
      <c r="BG729" s="763">
        <v>0</v>
      </c>
      <c r="BH729" s="763">
        <v>0</v>
      </c>
      <c r="BI729" s="763">
        <v>0</v>
      </c>
      <c r="BJ729" s="763">
        <v>0</v>
      </c>
      <c r="BK729" s="763">
        <v>0</v>
      </c>
      <c r="BL729" s="763">
        <v>0</v>
      </c>
      <c r="BM729" s="763">
        <v>0</v>
      </c>
      <c r="BN729" s="763">
        <v>0</v>
      </c>
      <c r="BO729" s="763">
        <v>0</v>
      </c>
      <c r="BP729" s="763">
        <v>0</v>
      </c>
      <c r="BQ729" s="763">
        <v>0</v>
      </c>
      <c r="BR729" s="763">
        <v>0</v>
      </c>
      <c r="BS729" s="762">
        <v>0</v>
      </c>
      <c r="BT729" s="762">
        <v>0</v>
      </c>
      <c r="BU729" s="762">
        <v>0</v>
      </c>
      <c r="BV729" s="762">
        <v>339.49310021757123</v>
      </c>
      <c r="BW729" s="762">
        <v>339.49310021757123</v>
      </c>
      <c r="BX729" s="762">
        <v>339.49310021757123</v>
      </c>
      <c r="BY729" s="762">
        <v>0</v>
      </c>
      <c r="BZ729" s="762">
        <v>0</v>
      </c>
      <c r="CA729" s="762">
        <v>0</v>
      </c>
      <c r="CB729" s="762">
        <v>0</v>
      </c>
      <c r="CC729" s="762">
        <v>0</v>
      </c>
      <c r="CD729" s="762">
        <v>0</v>
      </c>
      <c r="CE729" s="762">
        <v>0</v>
      </c>
      <c r="CF729" s="762">
        <v>0</v>
      </c>
      <c r="CG729" s="762">
        <v>0</v>
      </c>
      <c r="CH729" s="762">
        <v>0</v>
      </c>
      <c r="CI729" s="762">
        <v>0</v>
      </c>
      <c r="CJ729" s="762">
        <v>0</v>
      </c>
      <c r="CK729" s="762">
        <v>0</v>
      </c>
      <c r="CL729" s="762">
        <v>0</v>
      </c>
      <c r="CM729" s="762">
        <v>0</v>
      </c>
      <c r="CN729" s="762">
        <v>0</v>
      </c>
      <c r="CO729" s="762">
        <v>0</v>
      </c>
      <c r="CP729" s="762">
        <v>0</v>
      </c>
      <c r="CQ729" s="762">
        <v>0</v>
      </c>
      <c r="CR729" s="762">
        <v>0</v>
      </c>
    </row>
    <row r="730" spans="1:96" s="53" customFormat="1">
      <c r="A730" s="721" t="s">
        <v>3</v>
      </c>
      <c r="B730" s="723">
        <v>41758</v>
      </c>
      <c r="C730" s="721">
        <v>2014</v>
      </c>
      <c r="D730" s="713" t="s">
        <v>1</v>
      </c>
      <c r="E730" s="713" t="s">
        <v>674</v>
      </c>
      <c r="F730" s="723" t="s">
        <v>681</v>
      </c>
      <c r="G730" s="713" t="s">
        <v>58</v>
      </c>
      <c r="H730" s="723" t="s">
        <v>754</v>
      </c>
      <c r="I730" s="713" t="s">
        <v>5</v>
      </c>
      <c r="J730" s="713" t="s">
        <v>376</v>
      </c>
      <c r="K730" s="766">
        <v>5</v>
      </c>
      <c r="L730" s="766" t="s">
        <v>671</v>
      </c>
      <c r="M730" s="765" t="s">
        <v>769</v>
      </c>
      <c r="N730" s="765">
        <v>3</v>
      </c>
      <c r="O730" s="765" t="s">
        <v>7</v>
      </c>
      <c r="P730" s="735">
        <v>1</v>
      </c>
      <c r="Q730" s="713" t="s">
        <v>58</v>
      </c>
      <c r="R730" s="713" t="s">
        <v>58</v>
      </c>
      <c r="S730" s="713" t="s">
        <v>58</v>
      </c>
      <c r="T730" s="713" t="s">
        <v>58</v>
      </c>
      <c r="U730" s="764">
        <v>0.29249999999999998</v>
      </c>
      <c r="V730" s="764">
        <v>1088.3924999999999</v>
      </c>
      <c r="W730" s="764">
        <v>0.22941082688220993</v>
      </c>
      <c r="X730" s="764">
        <v>899.2048361315135</v>
      </c>
      <c r="Y730" s="764">
        <v>2697.6145083945403</v>
      </c>
      <c r="Z730" s="764">
        <v>2546.1982516317839</v>
      </c>
      <c r="AA730" s="764">
        <v>848.73275054392798</v>
      </c>
      <c r="AB730" s="764">
        <v>0.21668849478071003</v>
      </c>
      <c r="AC730" s="714">
        <v>0.82617698682369967</v>
      </c>
      <c r="AD730" s="714">
        <v>0.7843105192554185</v>
      </c>
      <c r="AE730" s="713" t="s">
        <v>58</v>
      </c>
      <c r="AF730" s="713" t="s">
        <v>58</v>
      </c>
      <c r="AG730" s="713" t="s">
        <v>58</v>
      </c>
      <c r="AH730" s="714">
        <v>0.94387031345969796</v>
      </c>
      <c r="AI730" s="713" t="s">
        <v>58</v>
      </c>
      <c r="AJ730" s="713" t="s">
        <v>58</v>
      </c>
      <c r="AK730" s="713" t="s">
        <v>58</v>
      </c>
      <c r="AL730" s="714">
        <v>0.94454345387965444</v>
      </c>
      <c r="AM730" s="713" t="s">
        <v>58</v>
      </c>
      <c r="AN730" s="713" t="s">
        <v>58</v>
      </c>
      <c r="AO730" s="713" t="s">
        <v>58</v>
      </c>
      <c r="AP730" s="747">
        <v>17</v>
      </c>
      <c r="AQ730" s="747">
        <v>85</v>
      </c>
      <c r="AR730" s="709"/>
      <c r="AS730" s="763">
        <v>0</v>
      </c>
      <c r="AT730" s="763">
        <v>0</v>
      </c>
      <c r="AU730" s="763">
        <v>0</v>
      </c>
      <c r="AV730" s="763">
        <v>0.21668849478071003</v>
      </c>
      <c r="AW730" s="763">
        <v>0.21668849478071003</v>
      </c>
      <c r="AX730" s="763">
        <v>0.21668849478071003</v>
      </c>
      <c r="AY730" s="763">
        <v>0</v>
      </c>
      <c r="AZ730" s="763">
        <v>0</v>
      </c>
      <c r="BA730" s="763">
        <v>0</v>
      </c>
      <c r="BB730" s="763">
        <v>0</v>
      </c>
      <c r="BC730" s="763">
        <v>0</v>
      </c>
      <c r="BD730" s="763">
        <v>0</v>
      </c>
      <c r="BE730" s="763">
        <v>0</v>
      </c>
      <c r="BF730" s="763">
        <v>0</v>
      </c>
      <c r="BG730" s="763">
        <v>0</v>
      </c>
      <c r="BH730" s="763">
        <v>0</v>
      </c>
      <c r="BI730" s="763">
        <v>0</v>
      </c>
      <c r="BJ730" s="763">
        <v>0</v>
      </c>
      <c r="BK730" s="763">
        <v>0</v>
      </c>
      <c r="BL730" s="763">
        <v>0</v>
      </c>
      <c r="BM730" s="763">
        <v>0</v>
      </c>
      <c r="BN730" s="763">
        <v>0</v>
      </c>
      <c r="BO730" s="763">
        <v>0</v>
      </c>
      <c r="BP730" s="763">
        <v>0</v>
      </c>
      <c r="BQ730" s="763">
        <v>0</v>
      </c>
      <c r="BR730" s="763">
        <v>0</v>
      </c>
      <c r="BS730" s="762">
        <v>0</v>
      </c>
      <c r="BT730" s="762">
        <v>0</v>
      </c>
      <c r="BU730" s="762">
        <v>0</v>
      </c>
      <c r="BV730" s="762">
        <v>848.73275054392798</v>
      </c>
      <c r="BW730" s="762">
        <v>848.73275054392798</v>
      </c>
      <c r="BX730" s="762">
        <v>848.73275054392798</v>
      </c>
      <c r="BY730" s="762">
        <v>0</v>
      </c>
      <c r="BZ730" s="762">
        <v>0</v>
      </c>
      <c r="CA730" s="762">
        <v>0</v>
      </c>
      <c r="CB730" s="762">
        <v>0</v>
      </c>
      <c r="CC730" s="762">
        <v>0</v>
      </c>
      <c r="CD730" s="762">
        <v>0</v>
      </c>
      <c r="CE730" s="762">
        <v>0</v>
      </c>
      <c r="CF730" s="762">
        <v>0</v>
      </c>
      <c r="CG730" s="762">
        <v>0</v>
      </c>
      <c r="CH730" s="762">
        <v>0</v>
      </c>
      <c r="CI730" s="762">
        <v>0</v>
      </c>
      <c r="CJ730" s="762">
        <v>0</v>
      </c>
      <c r="CK730" s="762">
        <v>0</v>
      </c>
      <c r="CL730" s="762">
        <v>0</v>
      </c>
      <c r="CM730" s="762">
        <v>0</v>
      </c>
      <c r="CN730" s="762">
        <v>0</v>
      </c>
      <c r="CO730" s="762">
        <v>0</v>
      </c>
      <c r="CP730" s="762">
        <v>0</v>
      </c>
      <c r="CQ730" s="762">
        <v>0</v>
      </c>
      <c r="CR730" s="762">
        <v>0</v>
      </c>
    </row>
    <row r="731" spans="1:96" s="53" customFormat="1">
      <c r="A731" s="721" t="s">
        <v>3</v>
      </c>
      <c r="B731" s="723">
        <v>41758</v>
      </c>
      <c r="C731" s="721">
        <v>2014</v>
      </c>
      <c r="D731" s="713" t="s">
        <v>1</v>
      </c>
      <c r="E731" s="713" t="s">
        <v>674</v>
      </c>
      <c r="F731" s="723" t="s">
        <v>681</v>
      </c>
      <c r="G731" s="713" t="s">
        <v>58</v>
      </c>
      <c r="H731" s="723" t="s">
        <v>770</v>
      </c>
      <c r="I731" s="713" t="s">
        <v>5</v>
      </c>
      <c r="J731" s="713" t="s">
        <v>376</v>
      </c>
      <c r="K731" s="766">
        <v>8</v>
      </c>
      <c r="L731" s="766" t="s">
        <v>671</v>
      </c>
      <c r="M731" s="765" t="s">
        <v>769</v>
      </c>
      <c r="N731" s="765">
        <v>3</v>
      </c>
      <c r="O731" s="765" t="s">
        <v>7</v>
      </c>
      <c r="P731" s="735">
        <v>1</v>
      </c>
      <c r="Q731" s="713" t="s">
        <v>58</v>
      </c>
      <c r="R731" s="713" t="s">
        <v>58</v>
      </c>
      <c r="S731" s="713" t="s">
        <v>58</v>
      </c>
      <c r="T731" s="713" t="s">
        <v>58</v>
      </c>
      <c r="U731" s="764">
        <v>0.59199999999999997</v>
      </c>
      <c r="V731" s="764">
        <v>2202.8319999999999</v>
      </c>
      <c r="W731" s="764">
        <v>0.46431182739920784</v>
      </c>
      <c r="X731" s="764">
        <v>1819.9291042388238</v>
      </c>
      <c r="Y731" s="764">
        <v>5459.7873127164712</v>
      </c>
      <c r="Z731" s="764">
        <v>5153.3311622769779</v>
      </c>
      <c r="AA731" s="764">
        <v>1717.7770540923259</v>
      </c>
      <c r="AB731" s="764">
        <v>0.43856269712882173</v>
      </c>
      <c r="AC731" s="714">
        <v>0.82617698682369967</v>
      </c>
      <c r="AD731" s="714">
        <v>0.7843105192554185</v>
      </c>
      <c r="AE731" s="713" t="s">
        <v>58</v>
      </c>
      <c r="AF731" s="713" t="s">
        <v>58</v>
      </c>
      <c r="AG731" s="713" t="s">
        <v>58</v>
      </c>
      <c r="AH731" s="714">
        <v>0.94387031345969796</v>
      </c>
      <c r="AI731" s="713" t="s">
        <v>58</v>
      </c>
      <c r="AJ731" s="713" t="s">
        <v>58</v>
      </c>
      <c r="AK731" s="713" t="s">
        <v>58</v>
      </c>
      <c r="AL731" s="714">
        <v>0.94454345387965444</v>
      </c>
      <c r="AM731" s="713" t="s">
        <v>58</v>
      </c>
      <c r="AN731" s="713" t="s">
        <v>58</v>
      </c>
      <c r="AO731" s="713" t="s">
        <v>58</v>
      </c>
      <c r="AP731" s="747">
        <v>19</v>
      </c>
      <c r="AQ731" s="747">
        <v>152</v>
      </c>
      <c r="AR731" s="709"/>
      <c r="AS731" s="763">
        <v>0</v>
      </c>
      <c r="AT731" s="763">
        <v>0</v>
      </c>
      <c r="AU731" s="763">
        <v>0</v>
      </c>
      <c r="AV731" s="763">
        <v>0.43856269712882173</v>
      </c>
      <c r="AW731" s="763">
        <v>0.43856269712882173</v>
      </c>
      <c r="AX731" s="763">
        <v>0.43856269712882173</v>
      </c>
      <c r="AY731" s="763">
        <v>0</v>
      </c>
      <c r="AZ731" s="763">
        <v>0</v>
      </c>
      <c r="BA731" s="763">
        <v>0</v>
      </c>
      <c r="BB731" s="763">
        <v>0</v>
      </c>
      <c r="BC731" s="763">
        <v>0</v>
      </c>
      <c r="BD731" s="763">
        <v>0</v>
      </c>
      <c r="BE731" s="763">
        <v>0</v>
      </c>
      <c r="BF731" s="763">
        <v>0</v>
      </c>
      <c r="BG731" s="763">
        <v>0</v>
      </c>
      <c r="BH731" s="763">
        <v>0</v>
      </c>
      <c r="BI731" s="763">
        <v>0</v>
      </c>
      <c r="BJ731" s="763">
        <v>0</v>
      </c>
      <c r="BK731" s="763">
        <v>0</v>
      </c>
      <c r="BL731" s="763">
        <v>0</v>
      </c>
      <c r="BM731" s="763">
        <v>0</v>
      </c>
      <c r="BN731" s="763">
        <v>0</v>
      </c>
      <c r="BO731" s="763">
        <v>0</v>
      </c>
      <c r="BP731" s="763">
        <v>0</v>
      </c>
      <c r="BQ731" s="763">
        <v>0</v>
      </c>
      <c r="BR731" s="763">
        <v>0</v>
      </c>
      <c r="BS731" s="762">
        <v>0</v>
      </c>
      <c r="BT731" s="762">
        <v>0</v>
      </c>
      <c r="BU731" s="762">
        <v>0</v>
      </c>
      <c r="BV731" s="762">
        <v>1717.7770540923259</v>
      </c>
      <c r="BW731" s="762">
        <v>1717.7770540923259</v>
      </c>
      <c r="BX731" s="762">
        <v>1717.7770540923259</v>
      </c>
      <c r="BY731" s="762">
        <v>0</v>
      </c>
      <c r="BZ731" s="762">
        <v>0</v>
      </c>
      <c r="CA731" s="762">
        <v>0</v>
      </c>
      <c r="CB731" s="762">
        <v>0</v>
      </c>
      <c r="CC731" s="762">
        <v>0</v>
      </c>
      <c r="CD731" s="762">
        <v>0</v>
      </c>
      <c r="CE731" s="762">
        <v>0</v>
      </c>
      <c r="CF731" s="762">
        <v>0</v>
      </c>
      <c r="CG731" s="762">
        <v>0</v>
      </c>
      <c r="CH731" s="762">
        <v>0</v>
      </c>
      <c r="CI731" s="762">
        <v>0</v>
      </c>
      <c r="CJ731" s="762">
        <v>0</v>
      </c>
      <c r="CK731" s="762">
        <v>0</v>
      </c>
      <c r="CL731" s="762">
        <v>0</v>
      </c>
      <c r="CM731" s="762">
        <v>0</v>
      </c>
      <c r="CN731" s="762">
        <v>0</v>
      </c>
      <c r="CO731" s="762">
        <v>0</v>
      </c>
      <c r="CP731" s="762">
        <v>0</v>
      </c>
      <c r="CQ731" s="762">
        <v>0</v>
      </c>
      <c r="CR731" s="762">
        <v>0</v>
      </c>
    </row>
    <row r="732" spans="1:96" s="53" customFormat="1">
      <c r="A732" s="721" t="s">
        <v>3</v>
      </c>
      <c r="B732" s="723">
        <v>41758</v>
      </c>
      <c r="C732" s="721">
        <v>2014</v>
      </c>
      <c r="D732" s="713" t="s">
        <v>1</v>
      </c>
      <c r="E732" s="713" t="s">
        <v>674</v>
      </c>
      <c r="F732" s="723" t="s">
        <v>681</v>
      </c>
      <c r="G732" s="713" t="s">
        <v>58</v>
      </c>
      <c r="H732" s="723" t="s">
        <v>677</v>
      </c>
      <c r="I732" s="713" t="s">
        <v>5</v>
      </c>
      <c r="J732" s="713" t="s">
        <v>376</v>
      </c>
      <c r="K732" s="766">
        <v>1</v>
      </c>
      <c r="L732" s="766" t="s">
        <v>671</v>
      </c>
      <c r="M732" s="765" t="s">
        <v>769</v>
      </c>
      <c r="N732" s="765">
        <v>0</v>
      </c>
      <c r="O732" s="765">
        <v>0</v>
      </c>
      <c r="P732" s="735">
        <v>0</v>
      </c>
      <c r="Q732" s="713" t="s">
        <v>58</v>
      </c>
      <c r="R732" s="713" t="s">
        <v>58</v>
      </c>
      <c r="S732" s="713" t="s">
        <v>58</v>
      </c>
      <c r="T732" s="713" t="s">
        <v>58</v>
      </c>
      <c r="U732" s="764">
        <v>0</v>
      </c>
      <c r="V732" s="764">
        <v>0</v>
      </c>
      <c r="W732" s="764">
        <v>0</v>
      </c>
      <c r="X732" s="764">
        <v>0</v>
      </c>
      <c r="Y732" s="764">
        <v>0</v>
      </c>
      <c r="Z732" s="764">
        <v>0</v>
      </c>
      <c r="AA732" s="764">
        <v>0</v>
      </c>
      <c r="AB732" s="764">
        <v>0</v>
      </c>
      <c r="AC732" s="714">
        <v>0.82617698682369967</v>
      </c>
      <c r="AD732" s="714">
        <v>0.7843105192554185</v>
      </c>
      <c r="AE732" s="713" t="s">
        <v>58</v>
      </c>
      <c r="AF732" s="713" t="s">
        <v>58</v>
      </c>
      <c r="AG732" s="713" t="s">
        <v>58</v>
      </c>
      <c r="AH732" s="714">
        <v>0.94387031345969796</v>
      </c>
      <c r="AI732" s="713" t="s">
        <v>58</v>
      </c>
      <c r="AJ732" s="713" t="s">
        <v>58</v>
      </c>
      <c r="AK732" s="713" t="s">
        <v>58</v>
      </c>
      <c r="AL732" s="714">
        <v>0.94454345387965444</v>
      </c>
      <c r="AM732" s="713" t="s">
        <v>58</v>
      </c>
      <c r="AN732" s="713" t="s">
        <v>58</v>
      </c>
      <c r="AO732" s="713" t="s">
        <v>58</v>
      </c>
      <c r="AP732" s="747">
        <v>51</v>
      </c>
      <c r="AQ732" s="747">
        <v>51</v>
      </c>
      <c r="AR732" s="709"/>
      <c r="AS732" s="763">
        <v>0</v>
      </c>
      <c r="AT732" s="763">
        <v>0</v>
      </c>
      <c r="AU732" s="763">
        <v>0</v>
      </c>
      <c r="AV732" s="763">
        <v>0</v>
      </c>
      <c r="AW732" s="763">
        <v>0</v>
      </c>
      <c r="AX732" s="763">
        <v>0</v>
      </c>
      <c r="AY732" s="763">
        <v>0</v>
      </c>
      <c r="AZ732" s="763">
        <v>0</v>
      </c>
      <c r="BA732" s="763">
        <v>0</v>
      </c>
      <c r="BB732" s="763">
        <v>0</v>
      </c>
      <c r="BC732" s="763">
        <v>0</v>
      </c>
      <c r="BD732" s="763">
        <v>0</v>
      </c>
      <c r="BE732" s="763">
        <v>0</v>
      </c>
      <c r="BF732" s="763">
        <v>0</v>
      </c>
      <c r="BG732" s="763">
        <v>0</v>
      </c>
      <c r="BH732" s="763">
        <v>0</v>
      </c>
      <c r="BI732" s="763">
        <v>0</v>
      </c>
      <c r="BJ732" s="763">
        <v>0</v>
      </c>
      <c r="BK732" s="763">
        <v>0</v>
      </c>
      <c r="BL732" s="763">
        <v>0</v>
      </c>
      <c r="BM732" s="763">
        <v>0</v>
      </c>
      <c r="BN732" s="763">
        <v>0</v>
      </c>
      <c r="BO732" s="763">
        <v>0</v>
      </c>
      <c r="BP732" s="763">
        <v>0</v>
      </c>
      <c r="BQ732" s="763">
        <v>0</v>
      </c>
      <c r="BR732" s="763">
        <v>0</v>
      </c>
      <c r="BS732" s="762">
        <v>0</v>
      </c>
      <c r="BT732" s="762">
        <v>0</v>
      </c>
      <c r="BU732" s="762">
        <v>0</v>
      </c>
      <c r="BV732" s="762">
        <v>0</v>
      </c>
      <c r="BW732" s="762">
        <v>0</v>
      </c>
      <c r="BX732" s="762">
        <v>0</v>
      </c>
      <c r="BY732" s="762">
        <v>0</v>
      </c>
      <c r="BZ732" s="762">
        <v>0</v>
      </c>
      <c r="CA732" s="762">
        <v>0</v>
      </c>
      <c r="CB732" s="762">
        <v>0</v>
      </c>
      <c r="CC732" s="762">
        <v>0</v>
      </c>
      <c r="CD732" s="762">
        <v>0</v>
      </c>
      <c r="CE732" s="762">
        <v>0</v>
      </c>
      <c r="CF732" s="762">
        <v>0</v>
      </c>
      <c r="CG732" s="762">
        <v>0</v>
      </c>
      <c r="CH732" s="762">
        <v>0</v>
      </c>
      <c r="CI732" s="762">
        <v>0</v>
      </c>
      <c r="CJ732" s="762">
        <v>0</v>
      </c>
      <c r="CK732" s="762">
        <v>0</v>
      </c>
      <c r="CL732" s="762">
        <v>0</v>
      </c>
      <c r="CM732" s="762">
        <v>0</v>
      </c>
      <c r="CN732" s="762">
        <v>0</v>
      </c>
      <c r="CO732" s="762">
        <v>0</v>
      </c>
      <c r="CP732" s="762">
        <v>0</v>
      </c>
      <c r="CQ732" s="762">
        <v>0</v>
      </c>
      <c r="CR732" s="762">
        <v>0</v>
      </c>
    </row>
    <row r="733" spans="1:96" s="53" customFormat="1">
      <c r="A733" s="721" t="s">
        <v>3</v>
      </c>
      <c r="B733" s="723">
        <v>41758</v>
      </c>
      <c r="C733" s="721">
        <v>2014</v>
      </c>
      <c r="D733" s="713" t="s">
        <v>1</v>
      </c>
      <c r="E733" s="713" t="s">
        <v>674</v>
      </c>
      <c r="F733" s="723" t="s">
        <v>681</v>
      </c>
      <c r="G733" s="713" t="s">
        <v>58</v>
      </c>
      <c r="H733" s="723" t="s">
        <v>676</v>
      </c>
      <c r="I733" s="713" t="s">
        <v>5</v>
      </c>
      <c r="J733" s="713" t="s">
        <v>376</v>
      </c>
      <c r="K733" s="766">
        <v>2</v>
      </c>
      <c r="L733" s="766" t="s">
        <v>671</v>
      </c>
      <c r="M733" s="765" t="s">
        <v>769</v>
      </c>
      <c r="N733" s="765">
        <v>12</v>
      </c>
      <c r="O733" s="765">
        <v>3</v>
      </c>
      <c r="P733" s="735">
        <v>0.31578947368421051</v>
      </c>
      <c r="Q733" s="713" t="s">
        <v>58</v>
      </c>
      <c r="R733" s="713" t="s">
        <v>58</v>
      </c>
      <c r="S733" s="713" t="s">
        <v>58</v>
      </c>
      <c r="T733" s="713" t="s">
        <v>58</v>
      </c>
      <c r="U733" s="764">
        <v>7.5999999999999998E-2</v>
      </c>
      <c r="V733" s="764">
        <v>247.22800000000001</v>
      </c>
      <c r="W733" s="764">
        <v>5.9607599463411813E-2</v>
      </c>
      <c r="X733" s="764">
        <v>204.25408409844962</v>
      </c>
      <c r="Y733" s="764">
        <v>1193.2738597330476</v>
      </c>
      <c r="Z733" s="764">
        <v>1126.2957720294953</v>
      </c>
      <c r="AA733" s="764">
        <v>192.78936638342716</v>
      </c>
      <c r="AB733" s="764">
        <v>5.6301967874646031E-2</v>
      </c>
      <c r="AC733" s="714">
        <v>0.82617698682369967</v>
      </c>
      <c r="AD733" s="714">
        <v>0.7843105192554185</v>
      </c>
      <c r="AE733" s="713" t="s">
        <v>58</v>
      </c>
      <c r="AF733" s="713" t="s">
        <v>58</v>
      </c>
      <c r="AG733" s="713" t="s">
        <v>58</v>
      </c>
      <c r="AH733" s="714">
        <v>0.94387031345969796</v>
      </c>
      <c r="AI733" s="713" t="s">
        <v>58</v>
      </c>
      <c r="AJ733" s="713" t="s">
        <v>58</v>
      </c>
      <c r="AK733" s="713" t="s">
        <v>58</v>
      </c>
      <c r="AL733" s="714">
        <v>0.94454345387965444</v>
      </c>
      <c r="AM733" s="713" t="s">
        <v>58</v>
      </c>
      <c r="AN733" s="713" t="s">
        <v>58</v>
      </c>
      <c r="AO733" s="713" t="s">
        <v>58</v>
      </c>
      <c r="AP733" s="747">
        <v>57</v>
      </c>
      <c r="AQ733" s="747">
        <v>114</v>
      </c>
      <c r="AR733" s="709"/>
      <c r="AS733" s="763">
        <v>0</v>
      </c>
      <c r="AT733" s="763">
        <v>0</v>
      </c>
      <c r="AU733" s="763">
        <v>0</v>
      </c>
      <c r="AV733" s="763">
        <v>5.6301967874646031E-2</v>
      </c>
      <c r="AW733" s="763">
        <v>5.6301967874646031E-2</v>
      </c>
      <c r="AX733" s="763">
        <v>5.6301967874646031E-2</v>
      </c>
      <c r="AY733" s="763">
        <v>1.77795688025198E-2</v>
      </c>
      <c r="AZ733" s="763">
        <v>1.77795688025198E-2</v>
      </c>
      <c r="BA733" s="763">
        <v>1.77795688025198E-2</v>
      </c>
      <c r="BB733" s="763">
        <v>1.77795688025198E-2</v>
      </c>
      <c r="BC733" s="763">
        <v>1.77795688025198E-2</v>
      </c>
      <c r="BD733" s="763">
        <v>1.77795688025198E-2</v>
      </c>
      <c r="BE733" s="763">
        <v>1.77795688025198E-2</v>
      </c>
      <c r="BF733" s="763">
        <v>1.77795688025198E-2</v>
      </c>
      <c r="BG733" s="763">
        <v>1.77795688025198E-2</v>
      </c>
      <c r="BH733" s="763">
        <v>0</v>
      </c>
      <c r="BI733" s="763">
        <v>0</v>
      </c>
      <c r="BJ733" s="763">
        <v>0</v>
      </c>
      <c r="BK733" s="763">
        <v>0</v>
      </c>
      <c r="BL733" s="763">
        <v>0</v>
      </c>
      <c r="BM733" s="763">
        <v>0</v>
      </c>
      <c r="BN733" s="763">
        <v>0</v>
      </c>
      <c r="BO733" s="763">
        <v>0</v>
      </c>
      <c r="BP733" s="763">
        <v>0</v>
      </c>
      <c r="BQ733" s="763">
        <v>0</v>
      </c>
      <c r="BR733" s="763">
        <v>0</v>
      </c>
      <c r="BS733" s="762">
        <v>0</v>
      </c>
      <c r="BT733" s="762">
        <v>0</v>
      </c>
      <c r="BU733" s="762">
        <v>0</v>
      </c>
      <c r="BV733" s="762">
        <v>192.78936638342716</v>
      </c>
      <c r="BW733" s="762">
        <v>192.78936638342716</v>
      </c>
      <c r="BX733" s="762">
        <v>192.78936638342716</v>
      </c>
      <c r="BY733" s="762">
        <v>60.880852542134889</v>
      </c>
      <c r="BZ733" s="762">
        <v>60.880852542134889</v>
      </c>
      <c r="CA733" s="762">
        <v>60.880852542134889</v>
      </c>
      <c r="CB733" s="762">
        <v>60.880852542134889</v>
      </c>
      <c r="CC733" s="762">
        <v>60.880852542134889</v>
      </c>
      <c r="CD733" s="762">
        <v>60.880852542134889</v>
      </c>
      <c r="CE733" s="762">
        <v>60.880852542134889</v>
      </c>
      <c r="CF733" s="762">
        <v>60.880852542134889</v>
      </c>
      <c r="CG733" s="762">
        <v>60.880852542134889</v>
      </c>
      <c r="CH733" s="762">
        <v>0</v>
      </c>
      <c r="CI733" s="762">
        <v>0</v>
      </c>
      <c r="CJ733" s="762">
        <v>0</v>
      </c>
      <c r="CK733" s="762">
        <v>0</v>
      </c>
      <c r="CL733" s="762">
        <v>0</v>
      </c>
      <c r="CM733" s="762">
        <v>0</v>
      </c>
      <c r="CN733" s="762">
        <v>0</v>
      </c>
      <c r="CO733" s="762">
        <v>0</v>
      </c>
      <c r="CP733" s="762">
        <v>0</v>
      </c>
      <c r="CQ733" s="762">
        <v>0</v>
      </c>
      <c r="CR733" s="762">
        <v>0</v>
      </c>
    </row>
    <row r="734" spans="1:96" s="53" customFormat="1">
      <c r="A734" s="721" t="s">
        <v>3</v>
      </c>
      <c r="B734" s="723">
        <v>41758</v>
      </c>
      <c r="C734" s="721">
        <v>2014</v>
      </c>
      <c r="D734" s="713" t="s">
        <v>1</v>
      </c>
      <c r="E734" s="713" t="s">
        <v>674</v>
      </c>
      <c r="F734" s="723" t="s">
        <v>681</v>
      </c>
      <c r="G734" s="713" t="s">
        <v>58</v>
      </c>
      <c r="H734" s="723" t="s">
        <v>676</v>
      </c>
      <c r="I734" s="713" t="s">
        <v>5</v>
      </c>
      <c r="J734" s="713" t="s">
        <v>376</v>
      </c>
      <c r="K734" s="766">
        <v>7</v>
      </c>
      <c r="L734" s="766" t="s">
        <v>671</v>
      </c>
      <c r="M734" s="765" t="s">
        <v>769</v>
      </c>
      <c r="N734" s="765">
        <v>12</v>
      </c>
      <c r="O734" s="765">
        <v>3</v>
      </c>
      <c r="P734" s="735">
        <v>0.31578947368421051</v>
      </c>
      <c r="Q734" s="713" t="s">
        <v>58</v>
      </c>
      <c r="R734" s="713" t="s">
        <v>58</v>
      </c>
      <c r="S734" s="713" t="s">
        <v>58</v>
      </c>
      <c r="T734" s="713" t="s">
        <v>58</v>
      </c>
      <c r="U734" s="764">
        <v>0.26600000000000001</v>
      </c>
      <c r="V734" s="764">
        <v>865.298</v>
      </c>
      <c r="W734" s="764">
        <v>0.20862659812194137</v>
      </c>
      <c r="X734" s="764">
        <v>714.88929434457373</v>
      </c>
      <c r="Y734" s="764">
        <v>4176.4585090656674</v>
      </c>
      <c r="Z734" s="764">
        <v>3942.0352021032345</v>
      </c>
      <c r="AA734" s="764">
        <v>674.76278234199503</v>
      </c>
      <c r="AB734" s="764">
        <v>0.19705688756126113</v>
      </c>
      <c r="AC734" s="714">
        <v>0.82617698682369967</v>
      </c>
      <c r="AD734" s="714">
        <v>0.7843105192554185</v>
      </c>
      <c r="AE734" s="713" t="s">
        <v>58</v>
      </c>
      <c r="AF734" s="713" t="s">
        <v>58</v>
      </c>
      <c r="AG734" s="713" t="s">
        <v>58</v>
      </c>
      <c r="AH734" s="714">
        <v>0.94387031345969796</v>
      </c>
      <c r="AI734" s="713" t="s">
        <v>58</v>
      </c>
      <c r="AJ734" s="713" t="s">
        <v>58</v>
      </c>
      <c r="AK734" s="713" t="s">
        <v>58</v>
      </c>
      <c r="AL734" s="714">
        <v>0.94454345387965444</v>
      </c>
      <c r="AM734" s="713" t="s">
        <v>58</v>
      </c>
      <c r="AN734" s="713" t="s">
        <v>58</v>
      </c>
      <c r="AO734" s="713" t="s">
        <v>58</v>
      </c>
      <c r="AP734" s="747">
        <v>57</v>
      </c>
      <c r="AQ734" s="747">
        <v>399</v>
      </c>
      <c r="AR734" s="709"/>
      <c r="AS734" s="763">
        <v>0</v>
      </c>
      <c r="AT734" s="763">
        <v>0</v>
      </c>
      <c r="AU734" s="763">
        <v>0</v>
      </c>
      <c r="AV734" s="763">
        <v>0.19705688756126113</v>
      </c>
      <c r="AW734" s="763">
        <v>0.19705688756126113</v>
      </c>
      <c r="AX734" s="763">
        <v>0.19705688756126113</v>
      </c>
      <c r="AY734" s="763">
        <v>6.2228490808819301E-2</v>
      </c>
      <c r="AZ734" s="763">
        <v>6.2228490808819301E-2</v>
      </c>
      <c r="BA734" s="763">
        <v>6.2228490808819301E-2</v>
      </c>
      <c r="BB734" s="763">
        <v>6.2228490808819301E-2</v>
      </c>
      <c r="BC734" s="763">
        <v>6.2228490808819301E-2</v>
      </c>
      <c r="BD734" s="763">
        <v>6.2228490808819301E-2</v>
      </c>
      <c r="BE734" s="763">
        <v>6.2228490808819301E-2</v>
      </c>
      <c r="BF734" s="763">
        <v>6.2228490808819301E-2</v>
      </c>
      <c r="BG734" s="763">
        <v>6.2228490808819301E-2</v>
      </c>
      <c r="BH734" s="763">
        <v>0</v>
      </c>
      <c r="BI734" s="763">
        <v>0</v>
      </c>
      <c r="BJ734" s="763">
        <v>0</v>
      </c>
      <c r="BK734" s="763">
        <v>0</v>
      </c>
      <c r="BL734" s="763">
        <v>0</v>
      </c>
      <c r="BM734" s="763">
        <v>0</v>
      </c>
      <c r="BN734" s="763">
        <v>0</v>
      </c>
      <c r="BO734" s="763">
        <v>0</v>
      </c>
      <c r="BP734" s="763">
        <v>0</v>
      </c>
      <c r="BQ734" s="763">
        <v>0</v>
      </c>
      <c r="BR734" s="763">
        <v>0</v>
      </c>
      <c r="BS734" s="762">
        <v>0</v>
      </c>
      <c r="BT734" s="762">
        <v>0</v>
      </c>
      <c r="BU734" s="762">
        <v>0</v>
      </c>
      <c r="BV734" s="762">
        <v>674.76278234199503</v>
      </c>
      <c r="BW734" s="762">
        <v>674.76278234199503</v>
      </c>
      <c r="BX734" s="762">
        <v>674.76278234199503</v>
      </c>
      <c r="BY734" s="762">
        <v>213.0829838974721</v>
      </c>
      <c r="BZ734" s="762">
        <v>213.0829838974721</v>
      </c>
      <c r="CA734" s="762">
        <v>213.0829838974721</v>
      </c>
      <c r="CB734" s="762">
        <v>213.0829838974721</v>
      </c>
      <c r="CC734" s="762">
        <v>213.0829838974721</v>
      </c>
      <c r="CD734" s="762">
        <v>213.0829838974721</v>
      </c>
      <c r="CE734" s="762">
        <v>213.0829838974721</v>
      </c>
      <c r="CF734" s="762">
        <v>213.0829838974721</v>
      </c>
      <c r="CG734" s="762">
        <v>213.0829838974721</v>
      </c>
      <c r="CH734" s="762">
        <v>0</v>
      </c>
      <c r="CI734" s="762">
        <v>0</v>
      </c>
      <c r="CJ734" s="762">
        <v>0</v>
      </c>
      <c r="CK734" s="762">
        <v>0</v>
      </c>
      <c r="CL734" s="762">
        <v>0</v>
      </c>
      <c r="CM734" s="762">
        <v>0</v>
      </c>
      <c r="CN734" s="762">
        <v>0</v>
      </c>
      <c r="CO734" s="762">
        <v>0</v>
      </c>
      <c r="CP734" s="762">
        <v>0</v>
      </c>
      <c r="CQ734" s="762">
        <v>0</v>
      </c>
      <c r="CR734" s="762">
        <v>0</v>
      </c>
    </row>
    <row r="735" spans="1:96" s="53" customFormat="1">
      <c r="A735" s="721" t="s">
        <v>3</v>
      </c>
      <c r="B735" s="723">
        <v>41758</v>
      </c>
      <c r="C735" s="721">
        <v>2014</v>
      </c>
      <c r="D735" s="713" t="s">
        <v>1</v>
      </c>
      <c r="E735" s="713" t="s">
        <v>674</v>
      </c>
      <c r="F735" s="723" t="s">
        <v>681</v>
      </c>
      <c r="G735" s="713" t="s">
        <v>58</v>
      </c>
      <c r="H735" s="723" t="s">
        <v>675</v>
      </c>
      <c r="I735" s="713" t="s">
        <v>5</v>
      </c>
      <c r="J735" s="713" t="s">
        <v>376</v>
      </c>
      <c r="K735" s="766">
        <v>7</v>
      </c>
      <c r="L735" s="766" t="s">
        <v>671</v>
      </c>
      <c r="M735" s="765" t="s">
        <v>769</v>
      </c>
      <c r="N735" s="765">
        <v>12</v>
      </c>
      <c r="O735" s="765">
        <v>3</v>
      </c>
      <c r="P735" s="735">
        <v>0.36842105263157893</v>
      </c>
      <c r="Q735" s="713" t="s">
        <v>58</v>
      </c>
      <c r="R735" s="713" t="s">
        <v>58</v>
      </c>
      <c r="S735" s="713" t="s">
        <v>58</v>
      </c>
      <c r="T735" s="713" t="s">
        <v>58</v>
      </c>
      <c r="U735" s="764">
        <v>0.39900000000000002</v>
      </c>
      <c r="V735" s="764">
        <v>1297.9469999999999</v>
      </c>
      <c r="W735" s="764">
        <v>0.31293989718291204</v>
      </c>
      <c r="X735" s="764">
        <v>1072.3339415168602</v>
      </c>
      <c r="Y735" s="764">
        <v>6772.635420106486</v>
      </c>
      <c r="Z735" s="764">
        <v>6392.4895169241618</v>
      </c>
      <c r="AA735" s="764">
        <v>1012.1441735129923</v>
      </c>
      <c r="AB735" s="764">
        <v>0.29558533134189169</v>
      </c>
      <c r="AC735" s="714">
        <v>0.82617698682369967</v>
      </c>
      <c r="AD735" s="714">
        <v>0.7843105192554185</v>
      </c>
      <c r="AE735" s="713" t="s">
        <v>58</v>
      </c>
      <c r="AF735" s="713" t="s">
        <v>58</v>
      </c>
      <c r="AG735" s="713" t="s">
        <v>58</v>
      </c>
      <c r="AH735" s="714">
        <v>0.94387031345969796</v>
      </c>
      <c r="AI735" s="713" t="s">
        <v>58</v>
      </c>
      <c r="AJ735" s="713" t="s">
        <v>58</v>
      </c>
      <c r="AK735" s="713" t="s">
        <v>58</v>
      </c>
      <c r="AL735" s="714">
        <v>0.94454345387965444</v>
      </c>
      <c r="AM735" s="713" t="s">
        <v>58</v>
      </c>
      <c r="AN735" s="713" t="s">
        <v>58</v>
      </c>
      <c r="AO735" s="713" t="s">
        <v>58</v>
      </c>
      <c r="AP735" s="747">
        <v>73</v>
      </c>
      <c r="AQ735" s="747">
        <v>511</v>
      </c>
      <c r="AR735" s="709"/>
      <c r="AS735" s="763">
        <v>0</v>
      </c>
      <c r="AT735" s="763">
        <v>0</v>
      </c>
      <c r="AU735" s="763">
        <v>0</v>
      </c>
      <c r="AV735" s="763">
        <v>0.29558533134189169</v>
      </c>
      <c r="AW735" s="763">
        <v>0.29558533134189169</v>
      </c>
      <c r="AX735" s="763">
        <v>0.29558533134189169</v>
      </c>
      <c r="AY735" s="763">
        <v>0.10889985891543377</v>
      </c>
      <c r="AZ735" s="763">
        <v>0.10889985891543377</v>
      </c>
      <c r="BA735" s="763">
        <v>0.10889985891543377</v>
      </c>
      <c r="BB735" s="763">
        <v>0.10889985891543377</v>
      </c>
      <c r="BC735" s="763">
        <v>0.10889985891543377</v>
      </c>
      <c r="BD735" s="763">
        <v>0.10889985891543377</v>
      </c>
      <c r="BE735" s="763">
        <v>0.10889985891543377</v>
      </c>
      <c r="BF735" s="763">
        <v>0.10889985891543377</v>
      </c>
      <c r="BG735" s="763">
        <v>0.10889985891543377</v>
      </c>
      <c r="BH735" s="763">
        <v>0</v>
      </c>
      <c r="BI735" s="763">
        <v>0</v>
      </c>
      <c r="BJ735" s="763">
        <v>0</v>
      </c>
      <c r="BK735" s="763">
        <v>0</v>
      </c>
      <c r="BL735" s="763">
        <v>0</v>
      </c>
      <c r="BM735" s="763">
        <v>0</v>
      </c>
      <c r="BN735" s="763">
        <v>0</v>
      </c>
      <c r="BO735" s="763">
        <v>0</v>
      </c>
      <c r="BP735" s="763">
        <v>0</v>
      </c>
      <c r="BQ735" s="763">
        <v>0</v>
      </c>
      <c r="BR735" s="763">
        <v>0</v>
      </c>
      <c r="BS735" s="762">
        <v>0</v>
      </c>
      <c r="BT735" s="762">
        <v>0</v>
      </c>
      <c r="BU735" s="762">
        <v>0</v>
      </c>
      <c r="BV735" s="762">
        <v>1012.1441735129923</v>
      </c>
      <c r="BW735" s="762">
        <v>1012.1441735129923</v>
      </c>
      <c r="BX735" s="762">
        <v>1012.1441735129923</v>
      </c>
      <c r="BY735" s="762">
        <v>372.89522182057613</v>
      </c>
      <c r="BZ735" s="762">
        <v>372.89522182057613</v>
      </c>
      <c r="CA735" s="762">
        <v>372.89522182057613</v>
      </c>
      <c r="CB735" s="762">
        <v>372.89522182057613</v>
      </c>
      <c r="CC735" s="762">
        <v>372.89522182057613</v>
      </c>
      <c r="CD735" s="762">
        <v>372.89522182057613</v>
      </c>
      <c r="CE735" s="762">
        <v>372.89522182057613</v>
      </c>
      <c r="CF735" s="762">
        <v>372.89522182057613</v>
      </c>
      <c r="CG735" s="762">
        <v>372.89522182057613</v>
      </c>
      <c r="CH735" s="762">
        <v>0</v>
      </c>
      <c r="CI735" s="762">
        <v>0</v>
      </c>
      <c r="CJ735" s="762">
        <v>0</v>
      </c>
      <c r="CK735" s="762">
        <v>0</v>
      </c>
      <c r="CL735" s="762">
        <v>0</v>
      </c>
      <c r="CM735" s="762">
        <v>0</v>
      </c>
      <c r="CN735" s="762">
        <v>0</v>
      </c>
      <c r="CO735" s="762">
        <v>0</v>
      </c>
      <c r="CP735" s="762">
        <v>0</v>
      </c>
      <c r="CQ735" s="762">
        <v>0</v>
      </c>
      <c r="CR735" s="762">
        <v>0</v>
      </c>
    </row>
    <row r="736" spans="1:96" s="53" customFormat="1">
      <c r="A736" s="721" t="s">
        <v>3</v>
      </c>
      <c r="B736" s="723">
        <v>41774</v>
      </c>
      <c r="C736" s="721">
        <v>2014</v>
      </c>
      <c r="D736" s="713" t="s">
        <v>1</v>
      </c>
      <c r="E736" s="713" t="s">
        <v>674</v>
      </c>
      <c r="F736" s="723" t="s">
        <v>685</v>
      </c>
      <c r="G736" s="713" t="s">
        <v>58</v>
      </c>
      <c r="H736" s="723" t="s">
        <v>768</v>
      </c>
      <c r="I736" s="713" t="s">
        <v>5</v>
      </c>
      <c r="J736" s="713" t="s">
        <v>376</v>
      </c>
      <c r="K736" s="766">
        <v>4</v>
      </c>
      <c r="L736" s="766" t="s">
        <v>671</v>
      </c>
      <c r="M736" s="765" t="s">
        <v>767</v>
      </c>
      <c r="N736" s="765">
        <v>12</v>
      </c>
      <c r="O736" s="765">
        <v>3</v>
      </c>
      <c r="P736" s="735">
        <v>0.30434782608695654</v>
      </c>
      <c r="Q736" s="713" t="s">
        <v>58</v>
      </c>
      <c r="R736" s="713" t="s">
        <v>58</v>
      </c>
      <c r="S736" s="713" t="s">
        <v>58</v>
      </c>
      <c r="T736" s="713" t="s">
        <v>58</v>
      </c>
      <c r="U736" s="764">
        <v>0.184</v>
      </c>
      <c r="V736" s="764">
        <v>887.8</v>
      </c>
      <c r="W736" s="764">
        <v>0.14431313554299702</v>
      </c>
      <c r="X736" s="764">
        <v>733.47992890208059</v>
      </c>
      <c r="Y736" s="764">
        <v>4209.5369832641145</v>
      </c>
      <c r="Z736" s="764">
        <v>3973.2569919136913</v>
      </c>
      <c r="AA736" s="764">
        <v>692.30993040920373</v>
      </c>
      <c r="AB736" s="764">
        <v>0.13631002748598511</v>
      </c>
      <c r="AC736" s="714">
        <v>0.82617698682369967</v>
      </c>
      <c r="AD736" s="714">
        <v>0.7843105192554185</v>
      </c>
      <c r="AE736" s="713" t="s">
        <v>58</v>
      </c>
      <c r="AF736" s="713" t="s">
        <v>58</v>
      </c>
      <c r="AG736" s="713" t="s">
        <v>58</v>
      </c>
      <c r="AH736" s="714">
        <v>0.94387031345969796</v>
      </c>
      <c r="AI736" s="713" t="s">
        <v>58</v>
      </c>
      <c r="AJ736" s="713" t="s">
        <v>58</v>
      </c>
      <c r="AK736" s="713" t="s">
        <v>58</v>
      </c>
      <c r="AL736" s="714">
        <v>0.94454345387965444</v>
      </c>
      <c r="AM736" s="713" t="s">
        <v>58</v>
      </c>
      <c r="AN736" s="713" t="s">
        <v>58</v>
      </c>
      <c r="AO736" s="713" t="s">
        <v>58</v>
      </c>
      <c r="AP736" s="747">
        <v>98</v>
      </c>
      <c r="AQ736" s="747">
        <v>392</v>
      </c>
      <c r="AR736" s="709"/>
      <c r="AS736" s="763">
        <v>0</v>
      </c>
      <c r="AT736" s="763">
        <v>0</v>
      </c>
      <c r="AU736" s="763">
        <v>0</v>
      </c>
      <c r="AV736" s="763">
        <v>0.13631002748598511</v>
      </c>
      <c r="AW736" s="763">
        <v>0.13631002748598511</v>
      </c>
      <c r="AX736" s="763">
        <v>0.13631002748598511</v>
      </c>
      <c r="AY736" s="763">
        <v>4.1485660539212862E-2</v>
      </c>
      <c r="AZ736" s="763">
        <v>4.1485660539212862E-2</v>
      </c>
      <c r="BA736" s="763">
        <v>4.1485660539212862E-2</v>
      </c>
      <c r="BB736" s="763">
        <v>4.1485660539212862E-2</v>
      </c>
      <c r="BC736" s="763">
        <v>4.1485660539212862E-2</v>
      </c>
      <c r="BD736" s="763">
        <v>4.1485660539212862E-2</v>
      </c>
      <c r="BE736" s="763">
        <v>4.1485660539212862E-2</v>
      </c>
      <c r="BF736" s="763">
        <v>4.1485660539212862E-2</v>
      </c>
      <c r="BG736" s="763">
        <v>4.1485660539212862E-2</v>
      </c>
      <c r="BH736" s="763">
        <v>0</v>
      </c>
      <c r="BI736" s="763">
        <v>0</v>
      </c>
      <c r="BJ736" s="763">
        <v>0</v>
      </c>
      <c r="BK736" s="763">
        <v>0</v>
      </c>
      <c r="BL736" s="763">
        <v>0</v>
      </c>
      <c r="BM736" s="763">
        <v>0</v>
      </c>
      <c r="BN736" s="763">
        <v>0</v>
      </c>
      <c r="BO736" s="763">
        <v>0</v>
      </c>
      <c r="BP736" s="763">
        <v>0</v>
      </c>
      <c r="BQ736" s="763">
        <v>0</v>
      </c>
      <c r="BR736" s="763">
        <v>0</v>
      </c>
      <c r="BS736" s="762">
        <v>0</v>
      </c>
      <c r="BT736" s="762">
        <v>0</v>
      </c>
      <c r="BU736" s="762">
        <v>0</v>
      </c>
      <c r="BV736" s="762">
        <v>692.30993040920373</v>
      </c>
      <c r="BW736" s="762">
        <v>692.30993040920373</v>
      </c>
      <c r="BX736" s="762">
        <v>692.30993040920373</v>
      </c>
      <c r="BY736" s="762">
        <v>210.70302229845333</v>
      </c>
      <c r="BZ736" s="762">
        <v>210.70302229845333</v>
      </c>
      <c r="CA736" s="762">
        <v>210.70302229845333</v>
      </c>
      <c r="CB736" s="762">
        <v>210.70302229845333</v>
      </c>
      <c r="CC736" s="762">
        <v>210.70302229845333</v>
      </c>
      <c r="CD736" s="762">
        <v>210.70302229845333</v>
      </c>
      <c r="CE736" s="762">
        <v>210.70302229845333</v>
      </c>
      <c r="CF736" s="762">
        <v>210.70302229845333</v>
      </c>
      <c r="CG736" s="762">
        <v>210.70302229845333</v>
      </c>
      <c r="CH736" s="762">
        <v>0</v>
      </c>
      <c r="CI736" s="762">
        <v>0</v>
      </c>
      <c r="CJ736" s="762">
        <v>0</v>
      </c>
      <c r="CK736" s="762">
        <v>0</v>
      </c>
      <c r="CL736" s="762">
        <v>0</v>
      </c>
      <c r="CM736" s="762">
        <v>0</v>
      </c>
      <c r="CN736" s="762">
        <v>0</v>
      </c>
      <c r="CO736" s="762">
        <v>0</v>
      </c>
      <c r="CP736" s="762">
        <v>0</v>
      </c>
      <c r="CQ736" s="762">
        <v>0</v>
      </c>
      <c r="CR736" s="762">
        <v>0</v>
      </c>
    </row>
    <row r="737" spans="1:96" s="53" customFormat="1">
      <c r="A737" s="721" t="s">
        <v>3</v>
      </c>
      <c r="B737" s="723">
        <v>41774</v>
      </c>
      <c r="C737" s="721">
        <v>2014</v>
      </c>
      <c r="D737" s="713" t="s">
        <v>1</v>
      </c>
      <c r="E737" s="713" t="s">
        <v>674</v>
      </c>
      <c r="F737" s="723" t="s">
        <v>685</v>
      </c>
      <c r="G737" s="713" t="s">
        <v>58</v>
      </c>
      <c r="H737" s="723" t="s">
        <v>677</v>
      </c>
      <c r="I737" s="713" t="s">
        <v>5</v>
      </c>
      <c r="J737" s="713" t="s">
        <v>376</v>
      </c>
      <c r="K737" s="766">
        <v>1</v>
      </c>
      <c r="L737" s="766" t="s">
        <v>671</v>
      </c>
      <c r="M737" s="765" t="s">
        <v>767</v>
      </c>
      <c r="N737" s="765">
        <v>0</v>
      </c>
      <c r="O737" s="765">
        <v>0</v>
      </c>
      <c r="P737" s="735">
        <v>0</v>
      </c>
      <c r="Q737" s="713" t="s">
        <v>58</v>
      </c>
      <c r="R737" s="713" t="s">
        <v>58</v>
      </c>
      <c r="S737" s="713" t="s">
        <v>58</v>
      </c>
      <c r="T737" s="713" t="s">
        <v>58</v>
      </c>
      <c r="U737" s="764">
        <v>0</v>
      </c>
      <c r="V737" s="764">
        <v>0</v>
      </c>
      <c r="W737" s="764">
        <v>0</v>
      </c>
      <c r="X737" s="764">
        <v>0</v>
      </c>
      <c r="Y737" s="764">
        <v>0</v>
      </c>
      <c r="Z737" s="764">
        <v>0</v>
      </c>
      <c r="AA737" s="764">
        <v>0</v>
      </c>
      <c r="AB737" s="764">
        <v>0</v>
      </c>
      <c r="AC737" s="714">
        <v>0.82617698682369967</v>
      </c>
      <c r="AD737" s="714">
        <v>0.7843105192554185</v>
      </c>
      <c r="AE737" s="713" t="s">
        <v>58</v>
      </c>
      <c r="AF737" s="713" t="s">
        <v>58</v>
      </c>
      <c r="AG737" s="713" t="s">
        <v>58</v>
      </c>
      <c r="AH737" s="714">
        <v>0.94387031345969796</v>
      </c>
      <c r="AI737" s="713" t="s">
        <v>58</v>
      </c>
      <c r="AJ737" s="713" t="s">
        <v>58</v>
      </c>
      <c r="AK737" s="713" t="s">
        <v>58</v>
      </c>
      <c r="AL737" s="714">
        <v>0.94454345387965444</v>
      </c>
      <c r="AM737" s="713" t="s">
        <v>58</v>
      </c>
      <c r="AN737" s="713" t="s">
        <v>58</v>
      </c>
      <c r="AO737" s="713" t="s">
        <v>58</v>
      </c>
      <c r="AP737" s="747">
        <v>51</v>
      </c>
      <c r="AQ737" s="747">
        <v>51</v>
      </c>
      <c r="AR737" s="709"/>
      <c r="AS737" s="763">
        <v>0</v>
      </c>
      <c r="AT737" s="763">
        <v>0</v>
      </c>
      <c r="AU737" s="763">
        <v>0</v>
      </c>
      <c r="AV737" s="763">
        <v>0</v>
      </c>
      <c r="AW737" s="763">
        <v>0</v>
      </c>
      <c r="AX737" s="763">
        <v>0</v>
      </c>
      <c r="AY737" s="763">
        <v>0</v>
      </c>
      <c r="AZ737" s="763">
        <v>0</v>
      </c>
      <c r="BA737" s="763">
        <v>0</v>
      </c>
      <c r="BB737" s="763">
        <v>0</v>
      </c>
      <c r="BC737" s="763">
        <v>0</v>
      </c>
      <c r="BD737" s="763">
        <v>0</v>
      </c>
      <c r="BE737" s="763">
        <v>0</v>
      </c>
      <c r="BF737" s="763">
        <v>0</v>
      </c>
      <c r="BG737" s="763">
        <v>0</v>
      </c>
      <c r="BH737" s="763">
        <v>0</v>
      </c>
      <c r="BI737" s="763">
        <v>0</v>
      </c>
      <c r="BJ737" s="763">
        <v>0</v>
      </c>
      <c r="BK737" s="763">
        <v>0</v>
      </c>
      <c r="BL737" s="763">
        <v>0</v>
      </c>
      <c r="BM737" s="763">
        <v>0</v>
      </c>
      <c r="BN737" s="763">
        <v>0</v>
      </c>
      <c r="BO737" s="763">
        <v>0</v>
      </c>
      <c r="BP737" s="763">
        <v>0</v>
      </c>
      <c r="BQ737" s="763">
        <v>0</v>
      </c>
      <c r="BR737" s="763">
        <v>0</v>
      </c>
      <c r="BS737" s="762">
        <v>0</v>
      </c>
      <c r="BT737" s="762">
        <v>0</v>
      </c>
      <c r="BU737" s="762">
        <v>0</v>
      </c>
      <c r="BV737" s="762">
        <v>0</v>
      </c>
      <c r="BW737" s="762">
        <v>0</v>
      </c>
      <c r="BX737" s="762">
        <v>0</v>
      </c>
      <c r="BY737" s="762">
        <v>0</v>
      </c>
      <c r="BZ737" s="762">
        <v>0</v>
      </c>
      <c r="CA737" s="762">
        <v>0</v>
      </c>
      <c r="CB737" s="762">
        <v>0</v>
      </c>
      <c r="CC737" s="762">
        <v>0</v>
      </c>
      <c r="CD737" s="762">
        <v>0</v>
      </c>
      <c r="CE737" s="762">
        <v>0</v>
      </c>
      <c r="CF737" s="762">
        <v>0</v>
      </c>
      <c r="CG737" s="762">
        <v>0</v>
      </c>
      <c r="CH737" s="762">
        <v>0</v>
      </c>
      <c r="CI737" s="762">
        <v>0</v>
      </c>
      <c r="CJ737" s="762">
        <v>0</v>
      </c>
      <c r="CK737" s="762">
        <v>0</v>
      </c>
      <c r="CL737" s="762">
        <v>0</v>
      </c>
      <c r="CM737" s="762">
        <v>0</v>
      </c>
      <c r="CN737" s="762">
        <v>0</v>
      </c>
      <c r="CO737" s="762">
        <v>0</v>
      </c>
      <c r="CP737" s="762">
        <v>0</v>
      </c>
      <c r="CQ737" s="762">
        <v>0</v>
      </c>
      <c r="CR737" s="762">
        <v>0</v>
      </c>
    </row>
    <row r="738" spans="1:96" s="53" customFormat="1">
      <c r="A738" s="721" t="s">
        <v>3</v>
      </c>
      <c r="B738" s="723">
        <v>41774</v>
      </c>
      <c r="C738" s="721">
        <v>2014</v>
      </c>
      <c r="D738" s="713" t="s">
        <v>1</v>
      </c>
      <c r="E738" s="713" t="s">
        <v>674</v>
      </c>
      <c r="F738" s="723" t="s">
        <v>685</v>
      </c>
      <c r="G738" s="713" t="s">
        <v>58</v>
      </c>
      <c r="H738" s="723" t="s">
        <v>682</v>
      </c>
      <c r="I738" s="713" t="s">
        <v>5</v>
      </c>
      <c r="J738" s="713" t="s">
        <v>376</v>
      </c>
      <c r="K738" s="766">
        <v>22</v>
      </c>
      <c r="L738" s="766" t="s">
        <v>671</v>
      </c>
      <c r="M738" s="765" t="s">
        <v>767</v>
      </c>
      <c r="N738" s="765">
        <v>12</v>
      </c>
      <c r="O738" s="765">
        <v>3</v>
      </c>
      <c r="P738" s="735">
        <v>0.4</v>
      </c>
      <c r="Q738" s="713" t="s">
        <v>58</v>
      </c>
      <c r="R738" s="713" t="s">
        <v>58</v>
      </c>
      <c r="S738" s="713" t="s">
        <v>58</v>
      </c>
      <c r="T738" s="713" t="s">
        <v>58</v>
      </c>
      <c r="U738" s="764">
        <v>0.55000000000000004</v>
      </c>
      <c r="V738" s="764">
        <v>2653.75</v>
      </c>
      <c r="W738" s="764">
        <v>0.43137078559048025</v>
      </c>
      <c r="X738" s="764">
        <v>2192.4671787833927</v>
      </c>
      <c r="Y738" s="764">
        <v>14470.283379970391</v>
      </c>
      <c r="Z738" s="764">
        <v>13658.07090970331</v>
      </c>
      <c r="AA738" s="764">
        <v>2069.4046832883805</v>
      </c>
      <c r="AB738" s="764">
        <v>0.40744845172441208</v>
      </c>
      <c r="AC738" s="714">
        <v>0.82617698682369967</v>
      </c>
      <c r="AD738" s="714">
        <v>0.7843105192554185</v>
      </c>
      <c r="AE738" s="713" t="s">
        <v>58</v>
      </c>
      <c r="AF738" s="713" t="s">
        <v>58</v>
      </c>
      <c r="AG738" s="713" t="s">
        <v>58</v>
      </c>
      <c r="AH738" s="714">
        <v>0.94387031345969796</v>
      </c>
      <c r="AI738" s="713" t="s">
        <v>58</v>
      </c>
      <c r="AJ738" s="713" t="s">
        <v>58</v>
      </c>
      <c r="AK738" s="713" t="s">
        <v>58</v>
      </c>
      <c r="AL738" s="714">
        <v>0.94454345387965444</v>
      </c>
      <c r="AM738" s="713" t="s">
        <v>58</v>
      </c>
      <c r="AN738" s="713" t="s">
        <v>58</v>
      </c>
      <c r="AO738" s="713" t="s">
        <v>58</v>
      </c>
      <c r="AP738" s="747">
        <v>47</v>
      </c>
      <c r="AQ738" s="747">
        <v>1034</v>
      </c>
      <c r="AR738" s="709"/>
      <c r="AS738" s="763">
        <v>0</v>
      </c>
      <c r="AT738" s="763">
        <v>0</v>
      </c>
      <c r="AU738" s="763">
        <v>0</v>
      </c>
      <c r="AV738" s="763">
        <v>0.40744845172441208</v>
      </c>
      <c r="AW738" s="763">
        <v>0.40744845172441208</v>
      </c>
      <c r="AX738" s="763">
        <v>0.40744845172441208</v>
      </c>
      <c r="AY738" s="763">
        <v>0.16297938068976484</v>
      </c>
      <c r="AZ738" s="763">
        <v>0.16297938068976484</v>
      </c>
      <c r="BA738" s="763">
        <v>0.16297938068976484</v>
      </c>
      <c r="BB738" s="763">
        <v>0.16297938068976484</v>
      </c>
      <c r="BC738" s="763">
        <v>0.16297938068976484</v>
      </c>
      <c r="BD738" s="763">
        <v>0.16297938068976484</v>
      </c>
      <c r="BE738" s="763">
        <v>0.16297938068976484</v>
      </c>
      <c r="BF738" s="763">
        <v>0.16297938068976484</v>
      </c>
      <c r="BG738" s="763">
        <v>0.16297938068976484</v>
      </c>
      <c r="BH738" s="763">
        <v>0</v>
      </c>
      <c r="BI738" s="763">
        <v>0</v>
      </c>
      <c r="BJ738" s="763">
        <v>0</v>
      </c>
      <c r="BK738" s="763">
        <v>0</v>
      </c>
      <c r="BL738" s="763">
        <v>0</v>
      </c>
      <c r="BM738" s="763">
        <v>0</v>
      </c>
      <c r="BN738" s="763">
        <v>0</v>
      </c>
      <c r="BO738" s="763">
        <v>0</v>
      </c>
      <c r="BP738" s="763">
        <v>0</v>
      </c>
      <c r="BQ738" s="763">
        <v>0</v>
      </c>
      <c r="BR738" s="763">
        <v>0</v>
      </c>
      <c r="BS738" s="762">
        <v>0</v>
      </c>
      <c r="BT738" s="762">
        <v>0</v>
      </c>
      <c r="BU738" s="762">
        <v>0</v>
      </c>
      <c r="BV738" s="762">
        <v>2069.4046832883805</v>
      </c>
      <c r="BW738" s="762">
        <v>2069.4046832883805</v>
      </c>
      <c r="BX738" s="762">
        <v>2069.4046832883805</v>
      </c>
      <c r="BY738" s="762">
        <v>827.7618733153522</v>
      </c>
      <c r="BZ738" s="762">
        <v>827.7618733153522</v>
      </c>
      <c r="CA738" s="762">
        <v>827.7618733153522</v>
      </c>
      <c r="CB738" s="762">
        <v>827.7618733153522</v>
      </c>
      <c r="CC738" s="762">
        <v>827.7618733153522</v>
      </c>
      <c r="CD738" s="762">
        <v>827.7618733153522</v>
      </c>
      <c r="CE738" s="762">
        <v>827.7618733153522</v>
      </c>
      <c r="CF738" s="762">
        <v>827.7618733153522</v>
      </c>
      <c r="CG738" s="762">
        <v>827.7618733153522</v>
      </c>
      <c r="CH738" s="762">
        <v>0</v>
      </c>
      <c r="CI738" s="762">
        <v>0</v>
      </c>
      <c r="CJ738" s="762">
        <v>0</v>
      </c>
      <c r="CK738" s="762">
        <v>0</v>
      </c>
      <c r="CL738" s="762">
        <v>0</v>
      </c>
      <c r="CM738" s="762">
        <v>0</v>
      </c>
      <c r="CN738" s="762">
        <v>0</v>
      </c>
      <c r="CO738" s="762">
        <v>0</v>
      </c>
      <c r="CP738" s="762">
        <v>0</v>
      </c>
      <c r="CQ738" s="762">
        <v>0</v>
      </c>
      <c r="CR738" s="762">
        <v>0</v>
      </c>
    </row>
    <row r="739" spans="1:96" s="53" customFormat="1">
      <c r="A739" s="721" t="s">
        <v>3</v>
      </c>
      <c r="B739" s="723">
        <v>41752</v>
      </c>
      <c r="C739" s="721">
        <v>2014</v>
      </c>
      <c r="D739" s="713" t="s">
        <v>1</v>
      </c>
      <c r="E739" s="713" t="s">
        <v>674</v>
      </c>
      <c r="F739" s="723" t="s">
        <v>685</v>
      </c>
      <c r="G739" s="713" t="s">
        <v>58</v>
      </c>
      <c r="H739" s="723" t="s">
        <v>677</v>
      </c>
      <c r="I739" s="713" t="s">
        <v>5</v>
      </c>
      <c r="J739" s="713" t="s">
        <v>376</v>
      </c>
      <c r="K739" s="766">
        <v>1</v>
      </c>
      <c r="L739" s="766" t="s">
        <v>671</v>
      </c>
      <c r="M739" s="765" t="s">
        <v>766</v>
      </c>
      <c r="N739" s="765">
        <v>0</v>
      </c>
      <c r="O739" s="765">
        <v>0</v>
      </c>
      <c r="P739" s="735">
        <v>0</v>
      </c>
      <c r="Q739" s="713" t="s">
        <v>58</v>
      </c>
      <c r="R739" s="713" t="s">
        <v>58</v>
      </c>
      <c r="S739" s="713" t="s">
        <v>58</v>
      </c>
      <c r="T739" s="713" t="s">
        <v>58</v>
      </c>
      <c r="U739" s="764">
        <v>0</v>
      </c>
      <c r="V739" s="764">
        <v>0</v>
      </c>
      <c r="W739" s="764">
        <v>0</v>
      </c>
      <c r="X739" s="764">
        <v>0</v>
      </c>
      <c r="Y739" s="764">
        <v>0</v>
      </c>
      <c r="Z739" s="764">
        <v>0</v>
      </c>
      <c r="AA739" s="764">
        <v>0</v>
      </c>
      <c r="AB739" s="764">
        <v>0</v>
      </c>
      <c r="AC739" s="714">
        <v>0.82617698682369967</v>
      </c>
      <c r="AD739" s="714">
        <v>0.7843105192554185</v>
      </c>
      <c r="AE739" s="713" t="s">
        <v>58</v>
      </c>
      <c r="AF739" s="713" t="s">
        <v>58</v>
      </c>
      <c r="AG739" s="713" t="s">
        <v>58</v>
      </c>
      <c r="AH739" s="714">
        <v>0.94387031345969796</v>
      </c>
      <c r="AI739" s="713" t="s">
        <v>58</v>
      </c>
      <c r="AJ739" s="713" t="s">
        <v>58</v>
      </c>
      <c r="AK739" s="713" t="s">
        <v>58</v>
      </c>
      <c r="AL739" s="714">
        <v>0.94454345387965444</v>
      </c>
      <c r="AM739" s="713" t="s">
        <v>58</v>
      </c>
      <c r="AN739" s="713" t="s">
        <v>58</v>
      </c>
      <c r="AO739" s="713" t="s">
        <v>58</v>
      </c>
      <c r="AP739" s="747">
        <v>51</v>
      </c>
      <c r="AQ739" s="747">
        <v>51</v>
      </c>
      <c r="AR739" s="709"/>
      <c r="AS739" s="763">
        <v>0</v>
      </c>
      <c r="AT739" s="763">
        <v>0</v>
      </c>
      <c r="AU739" s="763">
        <v>0</v>
      </c>
      <c r="AV739" s="763">
        <v>0</v>
      </c>
      <c r="AW739" s="763">
        <v>0</v>
      </c>
      <c r="AX739" s="763">
        <v>0</v>
      </c>
      <c r="AY739" s="763">
        <v>0</v>
      </c>
      <c r="AZ739" s="763">
        <v>0</v>
      </c>
      <c r="BA739" s="763">
        <v>0</v>
      </c>
      <c r="BB739" s="763">
        <v>0</v>
      </c>
      <c r="BC739" s="763">
        <v>0</v>
      </c>
      <c r="BD739" s="763">
        <v>0</v>
      </c>
      <c r="BE739" s="763">
        <v>0</v>
      </c>
      <c r="BF739" s="763">
        <v>0</v>
      </c>
      <c r="BG739" s="763">
        <v>0</v>
      </c>
      <c r="BH739" s="763">
        <v>0</v>
      </c>
      <c r="BI739" s="763">
        <v>0</v>
      </c>
      <c r="BJ739" s="763">
        <v>0</v>
      </c>
      <c r="BK739" s="763">
        <v>0</v>
      </c>
      <c r="BL739" s="763">
        <v>0</v>
      </c>
      <c r="BM739" s="763">
        <v>0</v>
      </c>
      <c r="BN739" s="763">
        <v>0</v>
      </c>
      <c r="BO739" s="763">
        <v>0</v>
      </c>
      <c r="BP739" s="763">
        <v>0</v>
      </c>
      <c r="BQ739" s="763">
        <v>0</v>
      </c>
      <c r="BR739" s="763">
        <v>0</v>
      </c>
      <c r="BS739" s="762">
        <v>0</v>
      </c>
      <c r="BT739" s="762">
        <v>0</v>
      </c>
      <c r="BU739" s="762">
        <v>0</v>
      </c>
      <c r="BV739" s="762">
        <v>0</v>
      </c>
      <c r="BW739" s="762">
        <v>0</v>
      </c>
      <c r="BX739" s="762">
        <v>0</v>
      </c>
      <c r="BY739" s="762">
        <v>0</v>
      </c>
      <c r="BZ739" s="762">
        <v>0</v>
      </c>
      <c r="CA739" s="762">
        <v>0</v>
      </c>
      <c r="CB739" s="762">
        <v>0</v>
      </c>
      <c r="CC739" s="762">
        <v>0</v>
      </c>
      <c r="CD739" s="762">
        <v>0</v>
      </c>
      <c r="CE739" s="762">
        <v>0</v>
      </c>
      <c r="CF739" s="762">
        <v>0</v>
      </c>
      <c r="CG739" s="762">
        <v>0</v>
      </c>
      <c r="CH739" s="762">
        <v>0</v>
      </c>
      <c r="CI739" s="762">
        <v>0</v>
      </c>
      <c r="CJ739" s="762">
        <v>0</v>
      </c>
      <c r="CK739" s="762">
        <v>0</v>
      </c>
      <c r="CL739" s="762">
        <v>0</v>
      </c>
      <c r="CM739" s="762">
        <v>0</v>
      </c>
      <c r="CN739" s="762">
        <v>0</v>
      </c>
      <c r="CO739" s="762">
        <v>0</v>
      </c>
      <c r="CP739" s="762">
        <v>0</v>
      </c>
      <c r="CQ739" s="762">
        <v>0</v>
      </c>
      <c r="CR739" s="762">
        <v>0</v>
      </c>
    </row>
    <row r="740" spans="1:96" s="53" customFormat="1">
      <c r="A740" s="721" t="s">
        <v>3</v>
      </c>
      <c r="B740" s="723">
        <v>41752</v>
      </c>
      <c r="C740" s="721">
        <v>2014</v>
      </c>
      <c r="D740" s="713" t="s">
        <v>1</v>
      </c>
      <c r="E740" s="713" t="s">
        <v>674</v>
      </c>
      <c r="F740" s="723" t="s">
        <v>685</v>
      </c>
      <c r="G740" s="713" t="s">
        <v>58</v>
      </c>
      <c r="H740" s="723" t="s">
        <v>675</v>
      </c>
      <c r="I740" s="713" t="s">
        <v>5</v>
      </c>
      <c r="J740" s="713" t="s">
        <v>376</v>
      </c>
      <c r="K740" s="766">
        <v>16</v>
      </c>
      <c r="L740" s="766" t="s">
        <v>671</v>
      </c>
      <c r="M740" s="765" t="s">
        <v>766</v>
      </c>
      <c r="N740" s="765">
        <v>12</v>
      </c>
      <c r="O740" s="765">
        <v>3</v>
      </c>
      <c r="P740" s="735">
        <v>0.36842105263157893</v>
      </c>
      <c r="Q740" s="713" t="s">
        <v>58</v>
      </c>
      <c r="R740" s="713" t="s">
        <v>58</v>
      </c>
      <c r="S740" s="713" t="s">
        <v>58</v>
      </c>
      <c r="T740" s="713" t="s">
        <v>58</v>
      </c>
      <c r="U740" s="764">
        <v>0.91200000000000003</v>
      </c>
      <c r="V740" s="764">
        <v>4400.3999999999996</v>
      </c>
      <c r="W740" s="764">
        <v>0.71529119356094184</v>
      </c>
      <c r="X740" s="764">
        <v>3635.5092128190076</v>
      </c>
      <c r="Y740" s="764">
        <v>22961.110817804256</v>
      </c>
      <c r="Z740" s="764">
        <v>21672.310864983763</v>
      </c>
      <c r="AA740" s="764">
        <v>3431.4492202890965</v>
      </c>
      <c r="AB740" s="764">
        <v>0.67562361449575248</v>
      </c>
      <c r="AC740" s="714">
        <v>0.82617698682369967</v>
      </c>
      <c r="AD740" s="714">
        <v>0.7843105192554185</v>
      </c>
      <c r="AE740" s="713" t="s">
        <v>58</v>
      </c>
      <c r="AF740" s="713" t="s">
        <v>58</v>
      </c>
      <c r="AG740" s="713" t="s">
        <v>58</v>
      </c>
      <c r="AH740" s="714">
        <v>0.94387031345969796</v>
      </c>
      <c r="AI740" s="713" t="s">
        <v>58</v>
      </c>
      <c r="AJ740" s="713" t="s">
        <v>58</v>
      </c>
      <c r="AK740" s="713" t="s">
        <v>58</v>
      </c>
      <c r="AL740" s="714">
        <v>0.94454345387965444</v>
      </c>
      <c r="AM740" s="713" t="s">
        <v>58</v>
      </c>
      <c r="AN740" s="713" t="s">
        <v>58</v>
      </c>
      <c r="AO740" s="713" t="s">
        <v>58</v>
      </c>
      <c r="AP740" s="747">
        <v>73</v>
      </c>
      <c r="AQ740" s="747">
        <v>1168</v>
      </c>
      <c r="AR740" s="709"/>
      <c r="AS740" s="763">
        <v>0</v>
      </c>
      <c r="AT740" s="763">
        <v>0</v>
      </c>
      <c r="AU740" s="763">
        <v>0</v>
      </c>
      <c r="AV740" s="763">
        <v>0.67562361449575248</v>
      </c>
      <c r="AW740" s="763">
        <v>0.67562361449575248</v>
      </c>
      <c r="AX740" s="763">
        <v>0.67562361449575248</v>
      </c>
      <c r="AY740" s="763">
        <v>0.2489139632352772</v>
      </c>
      <c r="AZ740" s="763">
        <v>0.2489139632352772</v>
      </c>
      <c r="BA740" s="763">
        <v>0.2489139632352772</v>
      </c>
      <c r="BB740" s="763">
        <v>0.2489139632352772</v>
      </c>
      <c r="BC740" s="763">
        <v>0.2489139632352772</v>
      </c>
      <c r="BD740" s="763">
        <v>0.2489139632352772</v>
      </c>
      <c r="BE740" s="763">
        <v>0.2489139632352772</v>
      </c>
      <c r="BF740" s="763">
        <v>0.2489139632352772</v>
      </c>
      <c r="BG740" s="763">
        <v>0.2489139632352772</v>
      </c>
      <c r="BH740" s="763">
        <v>0</v>
      </c>
      <c r="BI740" s="763">
        <v>0</v>
      </c>
      <c r="BJ740" s="763">
        <v>0</v>
      </c>
      <c r="BK740" s="763">
        <v>0</v>
      </c>
      <c r="BL740" s="763">
        <v>0</v>
      </c>
      <c r="BM740" s="763">
        <v>0</v>
      </c>
      <c r="BN740" s="763">
        <v>0</v>
      </c>
      <c r="BO740" s="763">
        <v>0</v>
      </c>
      <c r="BP740" s="763">
        <v>0</v>
      </c>
      <c r="BQ740" s="763">
        <v>0</v>
      </c>
      <c r="BR740" s="763">
        <v>0</v>
      </c>
      <c r="BS740" s="762">
        <v>0</v>
      </c>
      <c r="BT740" s="762">
        <v>0</v>
      </c>
      <c r="BU740" s="762">
        <v>0</v>
      </c>
      <c r="BV740" s="762">
        <v>3431.4492202890965</v>
      </c>
      <c r="BW740" s="762">
        <v>3431.4492202890965</v>
      </c>
      <c r="BX740" s="762">
        <v>3431.4492202890965</v>
      </c>
      <c r="BY740" s="762">
        <v>1264.2181337907198</v>
      </c>
      <c r="BZ740" s="762">
        <v>1264.2181337907198</v>
      </c>
      <c r="CA740" s="762">
        <v>1264.2181337907198</v>
      </c>
      <c r="CB740" s="762">
        <v>1264.2181337907198</v>
      </c>
      <c r="CC740" s="762">
        <v>1264.2181337907198</v>
      </c>
      <c r="CD740" s="762">
        <v>1264.2181337907198</v>
      </c>
      <c r="CE740" s="762">
        <v>1264.2181337907198</v>
      </c>
      <c r="CF740" s="762">
        <v>1264.2181337907198</v>
      </c>
      <c r="CG740" s="762">
        <v>1264.2181337907198</v>
      </c>
      <c r="CH740" s="762">
        <v>0</v>
      </c>
      <c r="CI740" s="762">
        <v>0</v>
      </c>
      <c r="CJ740" s="762">
        <v>0</v>
      </c>
      <c r="CK740" s="762">
        <v>0</v>
      </c>
      <c r="CL740" s="762">
        <v>0</v>
      </c>
      <c r="CM740" s="762">
        <v>0</v>
      </c>
      <c r="CN740" s="762">
        <v>0</v>
      </c>
      <c r="CO740" s="762">
        <v>0</v>
      </c>
      <c r="CP740" s="762">
        <v>0</v>
      </c>
      <c r="CQ740" s="762">
        <v>0</v>
      </c>
      <c r="CR740" s="762">
        <v>0</v>
      </c>
    </row>
    <row r="741" spans="1:96" s="53" customFormat="1">
      <c r="A741" s="721" t="s">
        <v>3</v>
      </c>
      <c r="B741" s="723">
        <v>41825</v>
      </c>
      <c r="C741" s="721">
        <v>2014</v>
      </c>
      <c r="D741" s="713" t="s">
        <v>1</v>
      </c>
      <c r="E741" s="713" t="s">
        <v>674</v>
      </c>
      <c r="F741" s="723" t="s">
        <v>689</v>
      </c>
      <c r="G741" s="713" t="s">
        <v>58</v>
      </c>
      <c r="H741" s="723" t="s">
        <v>677</v>
      </c>
      <c r="I741" s="713" t="s">
        <v>5</v>
      </c>
      <c r="J741" s="713" t="s">
        <v>376</v>
      </c>
      <c r="K741" s="766">
        <v>1</v>
      </c>
      <c r="L741" s="766" t="s">
        <v>671</v>
      </c>
      <c r="M741" s="765" t="s">
        <v>765</v>
      </c>
      <c r="N741" s="765">
        <v>0</v>
      </c>
      <c r="O741" s="765">
        <v>0</v>
      </c>
      <c r="P741" s="735">
        <v>0</v>
      </c>
      <c r="Q741" s="713" t="s">
        <v>58</v>
      </c>
      <c r="R741" s="713" t="s">
        <v>58</v>
      </c>
      <c r="S741" s="713" t="s">
        <v>58</v>
      </c>
      <c r="T741" s="713" t="s">
        <v>58</v>
      </c>
      <c r="U741" s="764">
        <v>0</v>
      </c>
      <c r="V741" s="764">
        <v>0</v>
      </c>
      <c r="W741" s="764">
        <v>0</v>
      </c>
      <c r="X741" s="764">
        <v>0</v>
      </c>
      <c r="Y741" s="764">
        <v>0</v>
      </c>
      <c r="Z741" s="764">
        <v>0</v>
      </c>
      <c r="AA741" s="764">
        <v>0</v>
      </c>
      <c r="AB741" s="764">
        <v>0</v>
      </c>
      <c r="AC741" s="714">
        <v>0.82617698682369967</v>
      </c>
      <c r="AD741" s="714">
        <v>0.7843105192554185</v>
      </c>
      <c r="AE741" s="713" t="s">
        <v>58</v>
      </c>
      <c r="AF741" s="713" t="s">
        <v>58</v>
      </c>
      <c r="AG741" s="713" t="s">
        <v>58</v>
      </c>
      <c r="AH741" s="714">
        <v>0.94387031345969796</v>
      </c>
      <c r="AI741" s="713" t="s">
        <v>58</v>
      </c>
      <c r="AJ741" s="713" t="s">
        <v>58</v>
      </c>
      <c r="AK741" s="713" t="s">
        <v>58</v>
      </c>
      <c r="AL741" s="714">
        <v>0.94454345387965444</v>
      </c>
      <c r="AM741" s="713" t="s">
        <v>58</v>
      </c>
      <c r="AN741" s="713" t="s">
        <v>58</v>
      </c>
      <c r="AO741" s="713" t="s">
        <v>58</v>
      </c>
      <c r="AP741" s="747">
        <v>51</v>
      </c>
      <c r="AQ741" s="747">
        <v>51</v>
      </c>
      <c r="AR741" s="709"/>
      <c r="AS741" s="763">
        <v>0</v>
      </c>
      <c r="AT741" s="763">
        <v>0</v>
      </c>
      <c r="AU741" s="763">
        <v>0</v>
      </c>
      <c r="AV741" s="763">
        <v>0</v>
      </c>
      <c r="AW741" s="763">
        <v>0</v>
      </c>
      <c r="AX741" s="763">
        <v>0</v>
      </c>
      <c r="AY741" s="763">
        <v>0</v>
      </c>
      <c r="AZ741" s="763">
        <v>0</v>
      </c>
      <c r="BA741" s="763">
        <v>0</v>
      </c>
      <c r="BB741" s="763">
        <v>0</v>
      </c>
      <c r="BC741" s="763">
        <v>0</v>
      </c>
      <c r="BD741" s="763">
        <v>0</v>
      </c>
      <c r="BE741" s="763">
        <v>0</v>
      </c>
      <c r="BF741" s="763">
        <v>0</v>
      </c>
      <c r="BG741" s="763">
        <v>0</v>
      </c>
      <c r="BH741" s="763">
        <v>0</v>
      </c>
      <c r="BI741" s="763">
        <v>0</v>
      </c>
      <c r="BJ741" s="763">
        <v>0</v>
      </c>
      <c r="BK741" s="763">
        <v>0</v>
      </c>
      <c r="BL741" s="763">
        <v>0</v>
      </c>
      <c r="BM741" s="763">
        <v>0</v>
      </c>
      <c r="BN741" s="763">
        <v>0</v>
      </c>
      <c r="BO741" s="763">
        <v>0</v>
      </c>
      <c r="BP741" s="763">
        <v>0</v>
      </c>
      <c r="BQ741" s="763">
        <v>0</v>
      </c>
      <c r="BR741" s="763">
        <v>0</v>
      </c>
      <c r="BS741" s="762">
        <v>0</v>
      </c>
      <c r="BT741" s="762">
        <v>0</v>
      </c>
      <c r="BU741" s="762">
        <v>0</v>
      </c>
      <c r="BV741" s="762">
        <v>0</v>
      </c>
      <c r="BW741" s="762">
        <v>0</v>
      </c>
      <c r="BX741" s="762">
        <v>0</v>
      </c>
      <c r="BY741" s="762">
        <v>0</v>
      </c>
      <c r="BZ741" s="762">
        <v>0</v>
      </c>
      <c r="CA741" s="762">
        <v>0</v>
      </c>
      <c r="CB741" s="762">
        <v>0</v>
      </c>
      <c r="CC741" s="762">
        <v>0</v>
      </c>
      <c r="CD741" s="762">
        <v>0</v>
      </c>
      <c r="CE741" s="762">
        <v>0</v>
      </c>
      <c r="CF741" s="762">
        <v>0</v>
      </c>
      <c r="CG741" s="762">
        <v>0</v>
      </c>
      <c r="CH741" s="762">
        <v>0</v>
      </c>
      <c r="CI741" s="762">
        <v>0</v>
      </c>
      <c r="CJ741" s="762">
        <v>0</v>
      </c>
      <c r="CK741" s="762">
        <v>0</v>
      </c>
      <c r="CL741" s="762">
        <v>0</v>
      </c>
      <c r="CM741" s="762">
        <v>0</v>
      </c>
      <c r="CN741" s="762">
        <v>0</v>
      </c>
      <c r="CO741" s="762">
        <v>0</v>
      </c>
      <c r="CP741" s="762">
        <v>0</v>
      </c>
      <c r="CQ741" s="762">
        <v>0</v>
      </c>
      <c r="CR741" s="762">
        <v>0</v>
      </c>
    </row>
    <row r="742" spans="1:96" s="53" customFormat="1">
      <c r="A742" s="721" t="s">
        <v>3</v>
      </c>
      <c r="B742" s="723">
        <v>41825</v>
      </c>
      <c r="C742" s="721">
        <v>2014</v>
      </c>
      <c r="D742" s="713" t="s">
        <v>1</v>
      </c>
      <c r="E742" s="713" t="s">
        <v>674</v>
      </c>
      <c r="F742" s="723" t="s">
        <v>689</v>
      </c>
      <c r="G742" s="713" t="s">
        <v>58</v>
      </c>
      <c r="H742" s="723" t="s">
        <v>735</v>
      </c>
      <c r="I742" s="713" t="s">
        <v>5</v>
      </c>
      <c r="J742" s="713" t="s">
        <v>376</v>
      </c>
      <c r="K742" s="766">
        <v>12</v>
      </c>
      <c r="L742" s="766" t="s">
        <v>671</v>
      </c>
      <c r="M742" s="765" t="s">
        <v>765</v>
      </c>
      <c r="N742" s="765">
        <v>12</v>
      </c>
      <c r="O742" s="765">
        <v>3</v>
      </c>
      <c r="P742" s="735">
        <v>0.6097560975609756</v>
      </c>
      <c r="Q742" s="713" t="s">
        <v>58</v>
      </c>
      <c r="R742" s="713" t="s">
        <v>58</v>
      </c>
      <c r="S742" s="713" t="s">
        <v>58</v>
      </c>
      <c r="T742" s="713" t="s">
        <v>58</v>
      </c>
      <c r="U742" s="764">
        <v>0.49199999999999999</v>
      </c>
      <c r="V742" s="764">
        <v>1600.4760000000001</v>
      </c>
      <c r="W742" s="764">
        <v>0.38588077547366595</v>
      </c>
      <c r="X742" s="764">
        <v>1322.2764391636476</v>
      </c>
      <c r="Y742" s="764">
        <v>11223.224410462179</v>
      </c>
      <c r="Z742" s="764">
        <v>10593.26834233147</v>
      </c>
      <c r="AA742" s="764">
        <v>1248.0574771137653</v>
      </c>
      <c r="AB742" s="764">
        <v>0.36448116045165591</v>
      </c>
      <c r="AC742" s="714">
        <v>0.82617698682369967</v>
      </c>
      <c r="AD742" s="714">
        <v>0.7843105192554185</v>
      </c>
      <c r="AE742" s="713" t="s">
        <v>58</v>
      </c>
      <c r="AF742" s="713" t="s">
        <v>58</v>
      </c>
      <c r="AG742" s="713" t="s">
        <v>58</v>
      </c>
      <c r="AH742" s="714">
        <v>0.94387031345969796</v>
      </c>
      <c r="AI742" s="713" t="s">
        <v>58</v>
      </c>
      <c r="AJ742" s="713" t="s">
        <v>58</v>
      </c>
      <c r="AK742" s="713" t="s">
        <v>58</v>
      </c>
      <c r="AL742" s="714">
        <v>0.94454345387965444</v>
      </c>
      <c r="AM742" s="713" t="s">
        <v>58</v>
      </c>
      <c r="AN742" s="713" t="s">
        <v>58</v>
      </c>
      <c r="AO742" s="713" t="s">
        <v>58</v>
      </c>
      <c r="AP742" s="747">
        <v>119</v>
      </c>
      <c r="AQ742" s="747">
        <v>1428</v>
      </c>
      <c r="AR742" s="709"/>
      <c r="AS742" s="763">
        <v>0</v>
      </c>
      <c r="AT742" s="763">
        <v>0</v>
      </c>
      <c r="AU742" s="763">
        <v>0</v>
      </c>
      <c r="AV742" s="763">
        <v>0.36448116045165591</v>
      </c>
      <c r="AW742" s="763">
        <v>0.36448116045165591</v>
      </c>
      <c r="AX742" s="763">
        <v>0.36448116045165591</v>
      </c>
      <c r="AY742" s="763">
        <v>0.22224461003149751</v>
      </c>
      <c r="AZ742" s="763">
        <v>0.22224461003149751</v>
      </c>
      <c r="BA742" s="763">
        <v>0.22224461003149751</v>
      </c>
      <c r="BB742" s="763">
        <v>0.22224461003149751</v>
      </c>
      <c r="BC742" s="763">
        <v>0.22224461003149751</v>
      </c>
      <c r="BD742" s="763">
        <v>0.22224461003149751</v>
      </c>
      <c r="BE742" s="763">
        <v>0.22224461003149751</v>
      </c>
      <c r="BF742" s="763">
        <v>0.22224461003149751</v>
      </c>
      <c r="BG742" s="763">
        <v>0.22224461003149751</v>
      </c>
      <c r="BH742" s="763">
        <v>0</v>
      </c>
      <c r="BI742" s="763">
        <v>0</v>
      </c>
      <c r="BJ742" s="763">
        <v>0</v>
      </c>
      <c r="BK742" s="763">
        <v>0</v>
      </c>
      <c r="BL742" s="763">
        <v>0</v>
      </c>
      <c r="BM742" s="763">
        <v>0</v>
      </c>
      <c r="BN742" s="763">
        <v>0</v>
      </c>
      <c r="BO742" s="763">
        <v>0</v>
      </c>
      <c r="BP742" s="763">
        <v>0</v>
      </c>
      <c r="BQ742" s="763">
        <v>0</v>
      </c>
      <c r="BR742" s="763">
        <v>0</v>
      </c>
      <c r="BS742" s="762">
        <v>0</v>
      </c>
      <c r="BT742" s="762">
        <v>0</v>
      </c>
      <c r="BU742" s="762">
        <v>0</v>
      </c>
      <c r="BV742" s="762">
        <v>1248.0574771137653</v>
      </c>
      <c r="BW742" s="762">
        <v>1248.0574771137653</v>
      </c>
      <c r="BX742" s="762">
        <v>1248.0574771137653</v>
      </c>
      <c r="BY742" s="762">
        <v>761.01065677668612</v>
      </c>
      <c r="BZ742" s="762">
        <v>761.01065677668612</v>
      </c>
      <c r="CA742" s="762">
        <v>761.01065677668612</v>
      </c>
      <c r="CB742" s="762">
        <v>761.01065677668612</v>
      </c>
      <c r="CC742" s="762">
        <v>761.01065677668612</v>
      </c>
      <c r="CD742" s="762">
        <v>761.01065677668612</v>
      </c>
      <c r="CE742" s="762">
        <v>761.01065677668612</v>
      </c>
      <c r="CF742" s="762">
        <v>761.01065677668612</v>
      </c>
      <c r="CG742" s="762">
        <v>761.01065677668612</v>
      </c>
      <c r="CH742" s="762">
        <v>0</v>
      </c>
      <c r="CI742" s="762">
        <v>0</v>
      </c>
      <c r="CJ742" s="762">
        <v>0</v>
      </c>
      <c r="CK742" s="762">
        <v>0</v>
      </c>
      <c r="CL742" s="762">
        <v>0</v>
      </c>
      <c r="CM742" s="762">
        <v>0</v>
      </c>
      <c r="CN742" s="762">
        <v>0</v>
      </c>
      <c r="CO742" s="762">
        <v>0</v>
      </c>
      <c r="CP742" s="762">
        <v>0</v>
      </c>
      <c r="CQ742" s="762">
        <v>0</v>
      </c>
      <c r="CR742" s="762">
        <v>0</v>
      </c>
    </row>
    <row r="743" spans="1:96" s="53" customFormat="1">
      <c r="A743" s="721" t="s">
        <v>3</v>
      </c>
      <c r="B743" s="723">
        <v>41752</v>
      </c>
      <c r="C743" s="721">
        <v>2014</v>
      </c>
      <c r="D743" s="713" t="s">
        <v>1</v>
      </c>
      <c r="E743" s="713" t="s">
        <v>674</v>
      </c>
      <c r="F743" s="723" t="s">
        <v>681</v>
      </c>
      <c r="G743" s="713" t="s">
        <v>58</v>
      </c>
      <c r="H743" s="723" t="s">
        <v>710</v>
      </c>
      <c r="I743" s="713" t="s">
        <v>5</v>
      </c>
      <c r="J743" s="713" t="s">
        <v>376</v>
      </c>
      <c r="K743" s="766">
        <v>7</v>
      </c>
      <c r="L743" s="766" t="s">
        <v>671</v>
      </c>
      <c r="M743" s="765" t="s">
        <v>707</v>
      </c>
      <c r="N743" s="765">
        <v>10</v>
      </c>
      <c r="O743" s="765" t="s">
        <v>7</v>
      </c>
      <c r="P743" s="735">
        <v>1</v>
      </c>
      <c r="Q743" s="713" t="s">
        <v>58</v>
      </c>
      <c r="R743" s="713" t="s">
        <v>58</v>
      </c>
      <c r="S743" s="713" t="s">
        <v>58</v>
      </c>
      <c r="T743" s="713" t="s">
        <v>58</v>
      </c>
      <c r="U743" s="764">
        <v>0.189</v>
      </c>
      <c r="V743" s="764">
        <v>1655.64</v>
      </c>
      <c r="W743" s="764">
        <v>0.14823468813927412</v>
      </c>
      <c r="X743" s="764">
        <v>1367.8516664647902</v>
      </c>
      <c r="Y743" s="764">
        <v>13678.516664647903</v>
      </c>
      <c r="Z743" s="764">
        <v>12910.745811924919</v>
      </c>
      <c r="AA743" s="764">
        <v>1291.0745811924919</v>
      </c>
      <c r="AB743" s="764">
        <v>0.14001410431984343</v>
      </c>
      <c r="AC743" s="714">
        <v>0.82617698682369967</v>
      </c>
      <c r="AD743" s="714">
        <v>0.7843105192554185</v>
      </c>
      <c r="AE743" s="713" t="s">
        <v>58</v>
      </c>
      <c r="AF743" s="713" t="s">
        <v>58</v>
      </c>
      <c r="AG743" s="713" t="s">
        <v>58</v>
      </c>
      <c r="AH743" s="714">
        <v>0.94387031345969796</v>
      </c>
      <c r="AI743" s="713" t="s">
        <v>58</v>
      </c>
      <c r="AJ743" s="713" t="s">
        <v>58</v>
      </c>
      <c r="AK743" s="713" t="s">
        <v>58</v>
      </c>
      <c r="AL743" s="714">
        <v>0.94454345387965444</v>
      </c>
      <c r="AM743" s="713" t="s">
        <v>58</v>
      </c>
      <c r="AN743" s="713" t="s">
        <v>58</v>
      </c>
      <c r="AO743" s="713" t="s">
        <v>58</v>
      </c>
      <c r="AP743" s="747">
        <v>29</v>
      </c>
      <c r="AQ743" s="747">
        <v>203</v>
      </c>
      <c r="AR743" s="709"/>
      <c r="AS743" s="763">
        <v>0</v>
      </c>
      <c r="AT743" s="763">
        <v>0</v>
      </c>
      <c r="AU743" s="763">
        <v>0</v>
      </c>
      <c r="AV743" s="763">
        <v>0.14001410431984343</v>
      </c>
      <c r="AW743" s="763">
        <v>0.14001410431984343</v>
      </c>
      <c r="AX743" s="763">
        <v>0.14001410431984343</v>
      </c>
      <c r="AY743" s="763">
        <v>0.14001410431984343</v>
      </c>
      <c r="AZ743" s="763">
        <v>0.14001410431984343</v>
      </c>
      <c r="BA743" s="763">
        <v>0.14001410431984343</v>
      </c>
      <c r="BB743" s="763">
        <v>0.14001410431984343</v>
      </c>
      <c r="BC743" s="763">
        <v>0.14001410431984343</v>
      </c>
      <c r="BD743" s="763">
        <v>0.14001410431984343</v>
      </c>
      <c r="BE743" s="763">
        <v>0.14001410431984343</v>
      </c>
      <c r="BF743" s="763">
        <v>0</v>
      </c>
      <c r="BG743" s="763">
        <v>0</v>
      </c>
      <c r="BH743" s="763">
        <v>0</v>
      </c>
      <c r="BI743" s="763">
        <v>0</v>
      </c>
      <c r="BJ743" s="763">
        <v>0</v>
      </c>
      <c r="BK743" s="763">
        <v>0</v>
      </c>
      <c r="BL743" s="763">
        <v>0</v>
      </c>
      <c r="BM743" s="763">
        <v>0</v>
      </c>
      <c r="BN743" s="763">
        <v>0</v>
      </c>
      <c r="BO743" s="763">
        <v>0</v>
      </c>
      <c r="BP743" s="763">
        <v>0</v>
      </c>
      <c r="BQ743" s="763">
        <v>0</v>
      </c>
      <c r="BR743" s="763">
        <v>0</v>
      </c>
      <c r="BS743" s="762">
        <v>0</v>
      </c>
      <c r="BT743" s="762">
        <v>0</v>
      </c>
      <c r="BU743" s="762">
        <v>0</v>
      </c>
      <c r="BV743" s="762">
        <v>1291.0745811924919</v>
      </c>
      <c r="BW743" s="762">
        <v>1291.0745811924919</v>
      </c>
      <c r="BX743" s="762">
        <v>1291.0745811924919</v>
      </c>
      <c r="BY743" s="762">
        <v>1291.0745811924919</v>
      </c>
      <c r="BZ743" s="762">
        <v>1291.0745811924919</v>
      </c>
      <c r="CA743" s="762">
        <v>1291.0745811924919</v>
      </c>
      <c r="CB743" s="762">
        <v>1291.0745811924919</v>
      </c>
      <c r="CC743" s="762">
        <v>1291.0745811924919</v>
      </c>
      <c r="CD743" s="762">
        <v>1291.0745811924919</v>
      </c>
      <c r="CE743" s="762">
        <v>1291.0745811924919</v>
      </c>
      <c r="CF743" s="762">
        <v>0</v>
      </c>
      <c r="CG743" s="762">
        <v>0</v>
      </c>
      <c r="CH743" s="762">
        <v>0</v>
      </c>
      <c r="CI743" s="762">
        <v>0</v>
      </c>
      <c r="CJ743" s="762">
        <v>0</v>
      </c>
      <c r="CK743" s="762">
        <v>0</v>
      </c>
      <c r="CL743" s="762">
        <v>0</v>
      </c>
      <c r="CM743" s="762">
        <v>0</v>
      </c>
      <c r="CN743" s="762">
        <v>0</v>
      </c>
      <c r="CO743" s="762">
        <v>0</v>
      </c>
      <c r="CP743" s="762">
        <v>0</v>
      </c>
      <c r="CQ743" s="762">
        <v>0</v>
      </c>
      <c r="CR743" s="762">
        <v>0</v>
      </c>
    </row>
    <row r="744" spans="1:96" s="53" customFormat="1">
      <c r="A744" s="721" t="s">
        <v>3</v>
      </c>
      <c r="B744" s="723">
        <v>41752</v>
      </c>
      <c r="C744" s="721">
        <v>2014</v>
      </c>
      <c r="D744" s="713" t="s">
        <v>1</v>
      </c>
      <c r="E744" s="713" t="s">
        <v>674</v>
      </c>
      <c r="F744" s="723" t="s">
        <v>681</v>
      </c>
      <c r="G744" s="713" t="s">
        <v>58</v>
      </c>
      <c r="H744" s="723" t="s">
        <v>703</v>
      </c>
      <c r="I744" s="713" t="s">
        <v>5</v>
      </c>
      <c r="J744" s="713" t="s">
        <v>376</v>
      </c>
      <c r="K744" s="766">
        <v>4</v>
      </c>
      <c r="L744" s="766" t="s">
        <v>671</v>
      </c>
      <c r="M744" s="765" t="s">
        <v>707</v>
      </c>
      <c r="N744" s="765">
        <v>3</v>
      </c>
      <c r="O744" s="765">
        <v>1</v>
      </c>
      <c r="P744" s="735">
        <v>0.60014709718448678</v>
      </c>
      <c r="Q744" s="713" t="s">
        <v>58</v>
      </c>
      <c r="R744" s="713" t="s">
        <v>58</v>
      </c>
      <c r="S744" s="713" t="s">
        <v>58</v>
      </c>
      <c r="T744" s="713" t="s">
        <v>58</v>
      </c>
      <c r="U744" s="764">
        <v>0.308</v>
      </c>
      <c r="V744" s="764">
        <v>1146.068</v>
      </c>
      <c r="W744" s="764">
        <v>0.24156763993066893</v>
      </c>
      <c r="X744" s="764">
        <v>946.85500693506378</v>
      </c>
      <c r="Y744" s="764">
        <v>2083.359574668415</v>
      </c>
      <c r="Z744" s="764">
        <v>1966.4212547915399</v>
      </c>
      <c r="AA744" s="764">
        <v>893.70833219668316</v>
      </c>
      <c r="AB744" s="764">
        <v>0.22817113296567076</v>
      </c>
      <c r="AC744" s="714">
        <v>0.82617698682369967</v>
      </c>
      <c r="AD744" s="714">
        <v>0.7843105192554185</v>
      </c>
      <c r="AE744" s="713" t="s">
        <v>58</v>
      </c>
      <c r="AF744" s="713" t="s">
        <v>58</v>
      </c>
      <c r="AG744" s="713" t="s">
        <v>58</v>
      </c>
      <c r="AH744" s="714">
        <v>0.94387031345969796</v>
      </c>
      <c r="AI744" s="713" t="s">
        <v>58</v>
      </c>
      <c r="AJ744" s="713" t="s">
        <v>58</v>
      </c>
      <c r="AK744" s="713" t="s">
        <v>58</v>
      </c>
      <c r="AL744" s="714">
        <v>0.94454345387965444</v>
      </c>
      <c r="AM744" s="713" t="s">
        <v>58</v>
      </c>
      <c r="AN744" s="713" t="s">
        <v>58</v>
      </c>
      <c r="AO744" s="713" t="s">
        <v>58</v>
      </c>
      <c r="AP744" s="747">
        <v>9.85</v>
      </c>
      <c r="AQ744" s="747">
        <v>39.4</v>
      </c>
      <c r="AR744" s="709"/>
      <c r="AS744" s="763">
        <v>0</v>
      </c>
      <c r="AT744" s="763">
        <v>0</v>
      </c>
      <c r="AU744" s="763">
        <v>0</v>
      </c>
      <c r="AV744" s="763">
        <v>0.22817113296567076</v>
      </c>
      <c r="AW744" s="763">
        <v>0.13693624311064287</v>
      </c>
      <c r="AX744" s="763">
        <v>0.13693624311064287</v>
      </c>
      <c r="AY744" s="763">
        <v>0</v>
      </c>
      <c r="AZ744" s="763">
        <v>0</v>
      </c>
      <c r="BA744" s="763">
        <v>0</v>
      </c>
      <c r="BB744" s="763">
        <v>0</v>
      </c>
      <c r="BC744" s="763">
        <v>0</v>
      </c>
      <c r="BD744" s="763">
        <v>0</v>
      </c>
      <c r="BE744" s="763">
        <v>0</v>
      </c>
      <c r="BF744" s="763">
        <v>0</v>
      </c>
      <c r="BG744" s="763">
        <v>0</v>
      </c>
      <c r="BH744" s="763">
        <v>0</v>
      </c>
      <c r="BI744" s="763">
        <v>0</v>
      </c>
      <c r="BJ744" s="763">
        <v>0</v>
      </c>
      <c r="BK744" s="763">
        <v>0</v>
      </c>
      <c r="BL744" s="763">
        <v>0</v>
      </c>
      <c r="BM744" s="763">
        <v>0</v>
      </c>
      <c r="BN744" s="763">
        <v>0</v>
      </c>
      <c r="BO744" s="763">
        <v>0</v>
      </c>
      <c r="BP744" s="763">
        <v>0</v>
      </c>
      <c r="BQ744" s="763">
        <v>0</v>
      </c>
      <c r="BR744" s="763">
        <v>0</v>
      </c>
      <c r="BS744" s="762">
        <v>0</v>
      </c>
      <c r="BT744" s="762">
        <v>0</v>
      </c>
      <c r="BU744" s="762">
        <v>0</v>
      </c>
      <c r="BV744" s="762">
        <v>893.70833219668316</v>
      </c>
      <c r="BW744" s="762">
        <v>536.35646129742838</v>
      </c>
      <c r="BX744" s="762">
        <v>536.35646129742838</v>
      </c>
      <c r="BY744" s="762">
        <v>0</v>
      </c>
      <c r="BZ744" s="762">
        <v>0</v>
      </c>
      <c r="CA744" s="762">
        <v>0</v>
      </c>
      <c r="CB744" s="762">
        <v>0</v>
      </c>
      <c r="CC744" s="762">
        <v>0</v>
      </c>
      <c r="CD744" s="762">
        <v>0</v>
      </c>
      <c r="CE744" s="762">
        <v>0</v>
      </c>
      <c r="CF744" s="762">
        <v>0</v>
      </c>
      <c r="CG744" s="762">
        <v>0</v>
      </c>
      <c r="CH744" s="762">
        <v>0</v>
      </c>
      <c r="CI744" s="762">
        <v>0</v>
      </c>
      <c r="CJ744" s="762">
        <v>0</v>
      </c>
      <c r="CK744" s="762">
        <v>0</v>
      </c>
      <c r="CL744" s="762">
        <v>0</v>
      </c>
      <c r="CM744" s="762">
        <v>0</v>
      </c>
      <c r="CN744" s="762">
        <v>0</v>
      </c>
      <c r="CO744" s="762">
        <v>0</v>
      </c>
      <c r="CP744" s="762">
        <v>0</v>
      </c>
      <c r="CQ744" s="762">
        <v>0</v>
      </c>
      <c r="CR744" s="762">
        <v>0</v>
      </c>
    </row>
    <row r="745" spans="1:96" s="53" customFormat="1">
      <c r="A745" s="721" t="s">
        <v>3</v>
      </c>
      <c r="B745" s="723">
        <v>41752</v>
      </c>
      <c r="C745" s="721">
        <v>2014</v>
      </c>
      <c r="D745" s="713" t="s">
        <v>1</v>
      </c>
      <c r="E745" s="713" t="s">
        <v>674</v>
      </c>
      <c r="F745" s="723" t="s">
        <v>681</v>
      </c>
      <c r="G745" s="713" t="s">
        <v>58</v>
      </c>
      <c r="H745" s="723" t="s">
        <v>677</v>
      </c>
      <c r="I745" s="713" t="s">
        <v>5</v>
      </c>
      <c r="J745" s="713" t="s">
        <v>376</v>
      </c>
      <c r="K745" s="766">
        <v>1</v>
      </c>
      <c r="L745" s="766" t="s">
        <v>671</v>
      </c>
      <c r="M745" s="765" t="s">
        <v>707</v>
      </c>
      <c r="N745" s="765">
        <v>0</v>
      </c>
      <c r="O745" s="765">
        <v>0</v>
      </c>
      <c r="P745" s="735">
        <v>0</v>
      </c>
      <c r="Q745" s="713" t="s">
        <v>58</v>
      </c>
      <c r="R745" s="713" t="s">
        <v>58</v>
      </c>
      <c r="S745" s="713" t="s">
        <v>58</v>
      </c>
      <c r="T745" s="713" t="s">
        <v>58</v>
      </c>
      <c r="U745" s="764">
        <v>0</v>
      </c>
      <c r="V745" s="764">
        <v>0</v>
      </c>
      <c r="W745" s="764">
        <v>0</v>
      </c>
      <c r="X745" s="764">
        <v>0</v>
      </c>
      <c r="Y745" s="764">
        <v>0</v>
      </c>
      <c r="Z745" s="764">
        <v>0</v>
      </c>
      <c r="AA745" s="764">
        <v>0</v>
      </c>
      <c r="AB745" s="764">
        <v>0</v>
      </c>
      <c r="AC745" s="714">
        <v>0.82617698682369967</v>
      </c>
      <c r="AD745" s="714">
        <v>0.7843105192554185</v>
      </c>
      <c r="AE745" s="713" t="s">
        <v>58</v>
      </c>
      <c r="AF745" s="713" t="s">
        <v>58</v>
      </c>
      <c r="AG745" s="713" t="s">
        <v>58</v>
      </c>
      <c r="AH745" s="714">
        <v>0.94387031345969796</v>
      </c>
      <c r="AI745" s="713" t="s">
        <v>58</v>
      </c>
      <c r="AJ745" s="713" t="s">
        <v>58</v>
      </c>
      <c r="AK745" s="713" t="s">
        <v>58</v>
      </c>
      <c r="AL745" s="714">
        <v>0.94454345387965444</v>
      </c>
      <c r="AM745" s="713" t="s">
        <v>58</v>
      </c>
      <c r="AN745" s="713" t="s">
        <v>58</v>
      </c>
      <c r="AO745" s="713" t="s">
        <v>58</v>
      </c>
      <c r="AP745" s="747">
        <v>51</v>
      </c>
      <c r="AQ745" s="747">
        <v>51</v>
      </c>
      <c r="AR745" s="709"/>
      <c r="AS745" s="763">
        <v>0</v>
      </c>
      <c r="AT745" s="763">
        <v>0</v>
      </c>
      <c r="AU745" s="763">
        <v>0</v>
      </c>
      <c r="AV745" s="763">
        <v>0</v>
      </c>
      <c r="AW745" s="763">
        <v>0</v>
      </c>
      <c r="AX745" s="763">
        <v>0</v>
      </c>
      <c r="AY745" s="763">
        <v>0</v>
      </c>
      <c r="AZ745" s="763">
        <v>0</v>
      </c>
      <c r="BA745" s="763">
        <v>0</v>
      </c>
      <c r="BB745" s="763">
        <v>0</v>
      </c>
      <c r="BC745" s="763">
        <v>0</v>
      </c>
      <c r="BD745" s="763">
        <v>0</v>
      </c>
      <c r="BE745" s="763">
        <v>0</v>
      </c>
      <c r="BF745" s="763">
        <v>0</v>
      </c>
      <c r="BG745" s="763">
        <v>0</v>
      </c>
      <c r="BH745" s="763">
        <v>0</v>
      </c>
      <c r="BI745" s="763">
        <v>0</v>
      </c>
      <c r="BJ745" s="763">
        <v>0</v>
      </c>
      <c r="BK745" s="763">
        <v>0</v>
      </c>
      <c r="BL745" s="763">
        <v>0</v>
      </c>
      <c r="BM745" s="763">
        <v>0</v>
      </c>
      <c r="BN745" s="763">
        <v>0</v>
      </c>
      <c r="BO745" s="763">
        <v>0</v>
      </c>
      <c r="BP745" s="763">
        <v>0</v>
      </c>
      <c r="BQ745" s="763">
        <v>0</v>
      </c>
      <c r="BR745" s="763">
        <v>0</v>
      </c>
      <c r="BS745" s="762">
        <v>0</v>
      </c>
      <c r="BT745" s="762">
        <v>0</v>
      </c>
      <c r="BU745" s="762">
        <v>0</v>
      </c>
      <c r="BV745" s="762">
        <v>0</v>
      </c>
      <c r="BW745" s="762">
        <v>0</v>
      </c>
      <c r="BX745" s="762">
        <v>0</v>
      </c>
      <c r="BY745" s="762">
        <v>0</v>
      </c>
      <c r="BZ745" s="762">
        <v>0</v>
      </c>
      <c r="CA745" s="762">
        <v>0</v>
      </c>
      <c r="CB745" s="762">
        <v>0</v>
      </c>
      <c r="CC745" s="762">
        <v>0</v>
      </c>
      <c r="CD745" s="762">
        <v>0</v>
      </c>
      <c r="CE745" s="762">
        <v>0</v>
      </c>
      <c r="CF745" s="762">
        <v>0</v>
      </c>
      <c r="CG745" s="762">
        <v>0</v>
      </c>
      <c r="CH745" s="762">
        <v>0</v>
      </c>
      <c r="CI745" s="762">
        <v>0</v>
      </c>
      <c r="CJ745" s="762">
        <v>0</v>
      </c>
      <c r="CK745" s="762">
        <v>0</v>
      </c>
      <c r="CL745" s="762">
        <v>0</v>
      </c>
      <c r="CM745" s="762">
        <v>0</v>
      </c>
      <c r="CN745" s="762">
        <v>0</v>
      </c>
      <c r="CO745" s="762">
        <v>0</v>
      </c>
      <c r="CP745" s="762">
        <v>0</v>
      </c>
      <c r="CQ745" s="762">
        <v>0</v>
      </c>
      <c r="CR745" s="762">
        <v>0</v>
      </c>
    </row>
    <row r="746" spans="1:96" s="53" customFormat="1">
      <c r="A746" s="721" t="s">
        <v>3</v>
      </c>
      <c r="B746" s="723">
        <v>41752</v>
      </c>
      <c r="C746" s="721">
        <v>2014</v>
      </c>
      <c r="D746" s="713" t="s">
        <v>1</v>
      </c>
      <c r="E746" s="713" t="s">
        <v>674</v>
      </c>
      <c r="F746" s="723" t="s">
        <v>681</v>
      </c>
      <c r="G746" s="713" t="s">
        <v>58</v>
      </c>
      <c r="H746" s="723" t="s">
        <v>676</v>
      </c>
      <c r="I746" s="713" t="s">
        <v>5</v>
      </c>
      <c r="J746" s="713" t="s">
        <v>376</v>
      </c>
      <c r="K746" s="766">
        <v>8</v>
      </c>
      <c r="L746" s="766" t="s">
        <v>671</v>
      </c>
      <c r="M746" s="765" t="s">
        <v>707</v>
      </c>
      <c r="N746" s="765">
        <v>12</v>
      </c>
      <c r="O746" s="765">
        <v>3</v>
      </c>
      <c r="P746" s="735">
        <v>0.31578947368421051</v>
      </c>
      <c r="Q746" s="713" t="s">
        <v>58</v>
      </c>
      <c r="R746" s="713" t="s">
        <v>58</v>
      </c>
      <c r="S746" s="713" t="s">
        <v>58</v>
      </c>
      <c r="T746" s="713" t="s">
        <v>58</v>
      </c>
      <c r="U746" s="764">
        <v>0.30399999999999999</v>
      </c>
      <c r="V746" s="764">
        <v>988.91200000000003</v>
      </c>
      <c r="W746" s="764">
        <v>0.23843039785364725</v>
      </c>
      <c r="X746" s="764">
        <v>817.0163363937985</v>
      </c>
      <c r="Y746" s="764">
        <v>4773.0954389321905</v>
      </c>
      <c r="Z746" s="764">
        <v>4505.1830881179812</v>
      </c>
      <c r="AA746" s="764">
        <v>771.15746553370866</v>
      </c>
      <c r="AB746" s="764">
        <v>0.22520787149858412</v>
      </c>
      <c r="AC746" s="714">
        <v>0.82617698682369967</v>
      </c>
      <c r="AD746" s="714">
        <v>0.7843105192554185</v>
      </c>
      <c r="AE746" s="713" t="s">
        <v>58</v>
      </c>
      <c r="AF746" s="713" t="s">
        <v>58</v>
      </c>
      <c r="AG746" s="713" t="s">
        <v>58</v>
      </c>
      <c r="AH746" s="714">
        <v>0.94387031345969796</v>
      </c>
      <c r="AI746" s="713" t="s">
        <v>58</v>
      </c>
      <c r="AJ746" s="713" t="s">
        <v>58</v>
      </c>
      <c r="AK746" s="713" t="s">
        <v>58</v>
      </c>
      <c r="AL746" s="714">
        <v>0.94454345387965444</v>
      </c>
      <c r="AM746" s="713" t="s">
        <v>58</v>
      </c>
      <c r="AN746" s="713" t="s">
        <v>58</v>
      </c>
      <c r="AO746" s="713" t="s">
        <v>58</v>
      </c>
      <c r="AP746" s="747">
        <v>57</v>
      </c>
      <c r="AQ746" s="747">
        <v>456</v>
      </c>
      <c r="AR746" s="709"/>
      <c r="AS746" s="763">
        <v>0</v>
      </c>
      <c r="AT746" s="763">
        <v>0</v>
      </c>
      <c r="AU746" s="763">
        <v>0</v>
      </c>
      <c r="AV746" s="763">
        <v>0.22520787149858412</v>
      </c>
      <c r="AW746" s="763">
        <v>0.22520787149858412</v>
      </c>
      <c r="AX746" s="763">
        <v>0.22520787149858412</v>
      </c>
      <c r="AY746" s="763">
        <v>7.1118275210079199E-2</v>
      </c>
      <c r="AZ746" s="763">
        <v>7.1118275210079199E-2</v>
      </c>
      <c r="BA746" s="763">
        <v>7.1118275210079199E-2</v>
      </c>
      <c r="BB746" s="763">
        <v>7.1118275210079199E-2</v>
      </c>
      <c r="BC746" s="763">
        <v>7.1118275210079199E-2</v>
      </c>
      <c r="BD746" s="763">
        <v>7.1118275210079199E-2</v>
      </c>
      <c r="BE746" s="763">
        <v>7.1118275210079199E-2</v>
      </c>
      <c r="BF746" s="763">
        <v>7.1118275210079199E-2</v>
      </c>
      <c r="BG746" s="763">
        <v>7.1118275210079199E-2</v>
      </c>
      <c r="BH746" s="763">
        <v>0</v>
      </c>
      <c r="BI746" s="763">
        <v>0</v>
      </c>
      <c r="BJ746" s="763">
        <v>0</v>
      </c>
      <c r="BK746" s="763">
        <v>0</v>
      </c>
      <c r="BL746" s="763">
        <v>0</v>
      </c>
      <c r="BM746" s="763">
        <v>0</v>
      </c>
      <c r="BN746" s="763">
        <v>0</v>
      </c>
      <c r="BO746" s="763">
        <v>0</v>
      </c>
      <c r="BP746" s="763">
        <v>0</v>
      </c>
      <c r="BQ746" s="763">
        <v>0</v>
      </c>
      <c r="BR746" s="763">
        <v>0</v>
      </c>
      <c r="BS746" s="762">
        <v>0</v>
      </c>
      <c r="BT746" s="762">
        <v>0</v>
      </c>
      <c r="BU746" s="762">
        <v>0</v>
      </c>
      <c r="BV746" s="762">
        <v>771.15746553370866</v>
      </c>
      <c r="BW746" s="762">
        <v>771.15746553370866</v>
      </c>
      <c r="BX746" s="762">
        <v>771.15746553370866</v>
      </c>
      <c r="BY746" s="762">
        <v>243.52341016853956</v>
      </c>
      <c r="BZ746" s="762">
        <v>243.52341016853956</v>
      </c>
      <c r="CA746" s="762">
        <v>243.52341016853956</v>
      </c>
      <c r="CB746" s="762">
        <v>243.52341016853956</v>
      </c>
      <c r="CC746" s="762">
        <v>243.52341016853956</v>
      </c>
      <c r="CD746" s="762">
        <v>243.52341016853956</v>
      </c>
      <c r="CE746" s="762">
        <v>243.52341016853956</v>
      </c>
      <c r="CF746" s="762">
        <v>243.52341016853956</v>
      </c>
      <c r="CG746" s="762">
        <v>243.52341016853956</v>
      </c>
      <c r="CH746" s="762">
        <v>0</v>
      </c>
      <c r="CI746" s="762">
        <v>0</v>
      </c>
      <c r="CJ746" s="762">
        <v>0</v>
      </c>
      <c r="CK746" s="762">
        <v>0</v>
      </c>
      <c r="CL746" s="762">
        <v>0</v>
      </c>
      <c r="CM746" s="762">
        <v>0</v>
      </c>
      <c r="CN746" s="762">
        <v>0</v>
      </c>
      <c r="CO746" s="762">
        <v>0</v>
      </c>
      <c r="CP746" s="762">
        <v>0</v>
      </c>
      <c r="CQ746" s="762">
        <v>0</v>
      </c>
      <c r="CR746" s="762">
        <v>0</v>
      </c>
    </row>
    <row r="747" spans="1:96" s="53" customFormat="1">
      <c r="A747" s="721" t="s">
        <v>3</v>
      </c>
      <c r="B747" s="723">
        <v>41752</v>
      </c>
      <c r="C747" s="721">
        <v>2014</v>
      </c>
      <c r="D747" s="713" t="s">
        <v>1</v>
      </c>
      <c r="E747" s="713" t="s">
        <v>674</v>
      </c>
      <c r="F747" s="723" t="s">
        <v>681</v>
      </c>
      <c r="G747" s="713" t="s">
        <v>58</v>
      </c>
      <c r="H747" s="723" t="s">
        <v>675</v>
      </c>
      <c r="I747" s="713" t="s">
        <v>5</v>
      </c>
      <c r="J747" s="713" t="s">
        <v>376</v>
      </c>
      <c r="K747" s="766">
        <v>10</v>
      </c>
      <c r="L747" s="766" t="s">
        <v>671</v>
      </c>
      <c r="M747" s="765" t="s">
        <v>707</v>
      </c>
      <c r="N747" s="765">
        <v>12</v>
      </c>
      <c r="O747" s="765">
        <v>3</v>
      </c>
      <c r="P747" s="735">
        <v>0.36842105263157893</v>
      </c>
      <c r="Q747" s="713" t="s">
        <v>58</v>
      </c>
      <c r="R747" s="713" t="s">
        <v>58</v>
      </c>
      <c r="S747" s="713" t="s">
        <v>58</v>
      </c>
      <c r="T747" s="713" t="s">
        <v>58</v>
      </c>
      <c r="U747" s="764">
        <v>0.56999999999999995</v>
      </c>
      <c r="V747" s="764">
        <v>1854.21</v>
      </c>
      <c r="W747" s="764">
        <v>0.44705699597558857</v>
      </c>
      <c r="X747" s="764">
        <v>1531.9056307383721</v>
      </c>
      <c r="Y747" s="764">
        <v>9675.1934572949795</v>
      </c>
      <c r="Z747" s="764">
        <v>9132.1278813202316</v>
      </c>
      <c r="AA747" s="764">
        <v>1445.9202478757036</v>
      </c>
      <c r="AB747" s="764">
        <v>0.42226475905984517</v>
      </c>
      <c r="AC747" s="714">
        <v>0.82617698682369967</v>
      </c>
      <c r="AD747" s="714">
        <v>0.7843105192554185</v>
      </c>
      <c r="AE747" s="713" t="s">
        <v>58</v>
      </c>
      <c r="AF747" s="713" t="s">
        <v>58</v>
      </c>
      <c r="AG747" s="713" t="s">
        <v>58</v>
      </c>
      <c r="AH747" s="714">
        <v>0.94387031345969796</v>
      </c>
      <c r="AI747" s="713" t="s">
        <v>58</v>
      </c>
      <c r="AJ747" s="713" t="s">
        <v>58</v>
      </c>
      <c r="AK747" s="713" t="s">
        <v>58</v>
      </c>
      <c r="AL747" s="714">
        <v>0.94454345387965444</v>
      </c>
      <c r="AM747" s="713" t="s">
        <v>58</v>
      </c>
      <c r="AN747" s="713" t="s">
        <v>58</v>
      </c>
      <c r="AO747" s="713" t="s">
        <v>58</v>
      </c>
      <c r="AP747" s="747">
        <v>73</v>
      </c>
      <c r="AQ747" s="747">
        <v>730</v>
      </c>
      <c r="AR747" s="709"/>
      <c r="AS747" s="763">
        <v>0</v>
      </c>
      <c r="AT747" s="763">
        <v>0</v>
      </c>
      <c r="AU747" s="763">
        <v>0</v>
      </c>
      <c r="AV747" s="763">
        <v>0.42226475905984517</v>
      </c>
      <c r="AW747" s="763">
        <v>0.42226475905984517</v>
      </c>
      <c r="AX747" s="763">
        <v>0.42226475905984517</v>
      </c>
      <c r="AY747" s="763">
        <v>0.1555712270220482</v>
      </c>
      <c r="AZ747" s="763">
        <v>0.1555712270220482</v>
      </c>
      <c r="BA747" s="763">
        <v>0.1555712270220482</v>
      </c>
      <c r="BB747" s="763">
        <v>0.1555712270220482</v>
      </c>
      <c r="BC747" s="763">
        <v>0.1555712270220482</v>
      </c>
      <c r="BD747" s="763">
        <v>0.1555712270220482</v>
      </c>
      <c r="BE747" s="763">
        <v>0.1555712270220482</v>
      </c>
      <c r="BF747" s="763">
        <v>0.1555712270220482</v>
      </c>
      <c r="BG747" s="763">
        <v>0.1555712270220482</v>
      </c>
      <c r="BH747" s="763">
        <v>0</v>
      </c>
      <c r="BI747" s="763">
        <v>0</v>
      </c>
      <c r="BJ747" s="763">
        <v>0</v>
      </c>
      <c r="BK747" s="763">
        <v>0</v>
      </c>
      <c r="BL747" s="763">
        <v>0</v>
      </c>
      <c r="BM747" s="763">
        <v>0</v>
      </c>
      <c r="BN747" s="763">
        <v>0</v>
      </c>
      <c r="BO747" s="763">
        <v>0</v>
      </c>
      <c r="BP747" s="763">
        <v>0</v>
      </c>
      <c r="BQ747" s="763">
        <v>0</v>
      </c>
      <c r="BR747" s="763">
        <v>0</v>
      </c>
      <c r="BS747" s="762">
        <v>0</v>
      </c>
      <c r="BT747" s="762">
        <v>0</v>
      </c>
      <c r="BU747" s="762">
        <v>0</v>
      </c>
      <c r="BV747" s="762">
        <v>1445.9202478757036</v>
      </c>
      <c r="BW747" s="762">
        <v>1445.9202478757036</v>
      </c>
      <c r="BX747" s="762">
        <v>1445.9202478757036</v>
      </c>
      <c r="BY747" s="762">
        <v>532.70745974368026</v>
      </c>
      <c r="BZ747" s="762">
        <v>532.70745974368026</v>
      </c>
      <c r="CA747" s="762">
        <v>532.70745974368026</v>
      </c>
      <c r="CB747" s="762">
        <v>532.70745974368026</v>
      </c>
      <c r="CC747" s="762">
        <v>532.70745974368026</v>
      </c>
      <c r="CD747" s="762">
        <v>532.70745974368026</v>
      </c>
      <c r="CE747" s="762">
        <v>532.70745974368026</v>
      </c>
      <c r="CF747" s="762">
        <v>532.70745974368026</v>
      </c>
      <c r="CG747" s="762">
        <v>532.70745974368026</v>
      </c>
      <c r="CH747" s="762">
        <v>0</v>
      </c>
      <c r="CI747" s="762">
        <v>0</v>
      </c>
      <c r="CJ747" s="762">
        <v>0</v>
      </c>
      <c r="CK747" s="762">
        <v>0</v>
      </c>
      <c r="CL747" s="762">
        <v>0</v>
      </c>
      <c r="CM747" s="762">
        <v>0</v>
      </c>
      <c r="CN747" s="762">
        <v>0</v>
      </c>
      <c r="CO747" s="762">
        <v>0</v>
      </c>
      <c r="CP747" s="762">
        <v>0</v>
      </c>
      <c r="CQ747" s="762">
        <v>0</v>
      </c>
      <c r="CR747" s="762">
        <v>0</v>
      </c>
    </row>
    <row r="748" spans="1:96" s="53" customFormat="1">
      <c r="A748" s="721" t="s">
        <v>3</v>
      </c>
      <c r="B748" s="723">
        <v>41825</v>
      </c>
      <c r="C748" s="721">
        <v>2014</v>
      </c>
      <c r="D748" s="713" t="s">
        <v>1</v>
      </c>
      <c r="E748" s="713" t="s">
        <v>674</v>
      </c>
      <c r="F748" s="723" t="s">
        <v>673</v>
      </c>
      <c r="G748" s="713" t="s">
        <v>58</v>
      </c>
      <c r="H748" s="723" t="s">
        <v>677</v>
      </c>
      <c r="I748" s="713" t="s">
        <v>5</v>
      </c>
      <c r="J748" s="713" t="s">
        <v>376</v>
      </c>
      <c r="K748" s="766">
        <v>1</v>
      </c>
      <c r="L748" s="766" t="s">
        <v>671</v>
      </c>
      <c r="M748" s="765" t="s">
        <v>764</v>
      </c>
      <c r="N748" s="765">
        <v>0</v>
      </c>
      <c r="O748" s="765">
        <v>0</v>
      </c>
      <c r="P748" s="735">
        <v>0</v>
      </c>
      <c r="Q748" s="713" t="s">
        <v>58</v>
      </c>
      <c r="R748" s="713" t="s">
        <v>58</v>
      </c>
      <c r="S748" s="713" t="s">
        <v>58</v>
      </c>
      <c r="T748" s="713" t="s">
        <v>58</v>
      </c>
      <c r="U748" s="764">
        <v>0</v>
      </c>
      <c r="V748" s="764">
        <v>0</v>
      </c>
      <c r="W748" s="764">
        <v>0</v>
      </c>
      <c r="X748" s="764">
        <v>0</v>
      </c>
      <c r="Y748" s="764">
        <v>0</v>
      </c>
      <c r="Z748" s="764">
        <v>0</v>
      </c>
      <c r="AA748" s="764">
        <v>0</v>
      </c>
      <c r="AB748" s="764">
        <v>0</v>
      </c>
      <c r="AC748" s="714">
        <v>0.82617698682369967</v>
      </c>
      <c r="AD748" s="714">
        <v>0.7843105192554185</v>
      </c>
      <c r="AE748" s="713" t="s">
        <v>58</v>
      </c>
      <c r="AF748" s="713" t="s">
        <v>58</v>
      </c>
      <c r="AG748" s="713" t="s">
        <v>58</v>
      </c>
      <c r="AH748" s="714">
        <v>0.94387031345969796</v>
      </c>
      <c r="AI748" s="713" t="s">
        <v>58</v>
      </c>
      <c r="AJ748" s="713" t="s">
        <v>58</v>
      </c>
      <c r="AK748" s="713" t="s">
        <v>58</v>
      </c>
      <c r="AL748" s="714">
        <v>0.94454345387965444</v>
      </c>
      <c r="AM748" s="713" t="s">
        <v>58</v>
      </c>
      <c r="AN748" s="713" t="s">
        <v>58</v>
      </c>
      <c r="AO748" s="713" t="s">
        <v>58</v>
      </c>
      <c r="AP748" s="747">
        <v>51</v>
      </c>
      <c r="AQ748" s="747">
        <v>51</v>
      </c>
      <c r="AR748" s="709"/>
      <c r="AS748" s="763">
        <v>0</v>
      </c>
      <c r="AT748" s="763">
        <v>0</v>
      </c>
      <c r="AU748" s="763">
        <v>0</v>
      </c>
      <c r="AV748" s="763">
        <v>0</v>
      </c>
      <c r="AW748" s="763">
        <v>0</v>
      </c>
      <c r="AX748" s="763">
        <v>0</v>
      </c>
      <c r="AY748" s="763">
        <v>0</v>
      </c>
      <c r="AZ748" s="763">
        <v>0</v>
      </c>
      <c r="BA748" s="763">
        <v>0</v>
      </c>
      <c r="BB748" s="763">
        <v>0</v>
      </c>
      <c r="BC748" s="763">
        <v>0</v>
      </c>
      <c r="BD748" s="763">
        <v>0</v>
      </c>
      <c r="BE748" s="763">
        <v>0</v>
      </c>
      <c r="BF748" s="763">
        <v>0</v>
      </c>
      <c r="BG748" s="763">
        <v>0</v>
      </c>
      <c r="BH748" s="763">
        <v>0</v>
      </c>
      <c r="BI748" s="763">
        <v>0</v>
      </c>
      <c r="BJ748" s="763">
        <v>0</v>
      </c>
      <c r="BK748" s="763">
        <v>0</v>
      </c>
      <c r="BL748" s="763">
        <v>0</v>
      </c>
      <c r="BM748" s="763">
        <v>0</v>
      </c>
      <c r="BN748" s="763">
        <v>0</v>
      </c>
      <c r="BO748" s="763">
        <v>0</v>
      </c>
      <c r="BP748" s="763">
        <v>0</v>
      </c>
      <c r="BQ748" s="763">
        <v>0</v>
      </c>
      <c r="BR748" s="763">
        <v>0</v>
      </c>
      <c r="BS748" s="762">
        <v>0</v>
      </c>
      <c r="BT748" s="762">
        <v>0</v>
      </c>
      <c r="BU748" s="762">
        <v>0</v>
      </c>
      <c r="BV748" s="762">
        <v>0</v>
      </c>
      <c r="BW748" s="762">
        <v>0</v>
      </c>
      <c r="BX748" s="762">
        <v>0</v>
      </c>
      <c r="BY748" s="762">
        <v>0</v>
      </c>
      <c r="BZ748" s="762">
        <v>0</v>
      </c>
      <c r="CA748" s="762">
        <v>0</v>
      </c>
      <c r="CB748" s="762">
        <v>0</v>
      </c>
      <c r="CC748" s="762">
        <v>0</v>
      </c>
      <c r="CD748" s="762">
        <v>0</v>
      </c>
      <c r="CE748" s="762">
        <v>0</v>
      </c>
      <c r="CF748" s="762">
        <v>0</v>
      </c>
      <c r="CG748" s="762">
        <v>0</v>
      </c>
      <c r="CH748" s="762">
        <v>0</v>
      </c>
      <c r="CI748" s="762">
        <v>0</v>
      </c>
      <c r="CJ748" s="762">
        <v>0</v>
      </c>
      <c r="CK748" s="762">
        <v>0</v>
      </c>
      <c r="CL748" s="762">
        <v>0</v>
      </c>
      <c r="CM748" s="762">
        <v>0</v>
      </c>
      <c r="CN748" s="762">
        <v>0</v>
      </c>
      <c r="CO748" s="762">
        <v>0</v>
      </c>
      <c r="CP748" s="762">
        <v>0</v>
      </c>
      <c r="CQ748" s="762">
        <v>0</v>
      </c>
      <c r="CR748" s="762">
        <v>0</v>
      </c>
    </row>
    <row r="749" spans="1:96" s="53" customFormat="1">
      <c r="A749" s="721" t="s">
        <v>3</v>
      </c>
      <c r="B749" s="723">
        <v>41825</v>
      </c>
      <c r="C749" s="721">
        <v>2014</v>
      </c>
      <c r="D749" s="713" t="s">
        <v>1</v>
      </c>
      <c r="E749" s="713" t="s">
        <v>674</v>
      </c>
      <c r="F749" s="723" t="s">
        <v>673</v>
      </c>
      <c r="G749" s="713" t="s">
        <v>58</v>
      </c>
      <c r="H749" s="723" t="s">
        <v>684</v>
      </c>
      <c r="I749" s="713" t="s">
        <v>5</v>
      </c>
      <c r="J749" s="713" t="s">
        <v>376</v>
      </c>
      <c r="K749" s="766">
        <v>16</v>
      </c>
      <c r="L749" s="766" t="s">
        <v>671</v>
      </c>
      <c r="M749" s="765" t="s">
        <v>764</v>
      </c>
      <c r="N749" s="765">
        <v>11</v>
      </c>
      <c r="O749" s="765">
        <v>2</v>
      </c>
      <c r="P749" s="735">
        <v>0.43976996379393668</v>
      </c>
      <c r="Q749" s="713" t="s">
        <v>58</v>
      </c>
      <c r="R749" s="713" t="s">
        <v>58</v>
      </c>
      <c r="S749" s="713" t="s">
        <v>58</v>
      </c>
      <c r="T749" s="713" t="s">
        <v>58</v>
      </c>
      <c r="U749" s="764">
        <v>1.0880000000000001</v>
      </c>
      <c r="V749" s="764">
        <v>3353.2159999999999</v>
      </c>
      <c r="W749" s="764">
        <v>0.8533298449498955</v>
      </c>
      <c r="X749" s="764">
        <v>2770.3498910490184</v>
      </c>
      <c r="Y749" s="764">
        <v>16505.549823646506</v>
      </c>
      <c r="Z749" s="764">
        <v>15579.09848586989</v>
      </c>
      <c r="AA749" s="764">
        <v>2614.8510200574769</v>
      </c>
      <c r="AB749" s="764">
        <v>0.80600711904756428</v>
      </c>
      <c r="AC749" s="714">
        <v>0.82617698682369967</v>
      </c>
      <c r="AD749" s="714">
        <v>0.7843105192554185</v>
      </c>
      <c r="AE749" s="713" t="s">
        <v>58</v>
      </c>
      <c r="AF749" s="713" t="s">
        <v>58</v>
      </c>
      <c r="AG749" s="713" t="s">
        <v>58</v>
      </c>
      <c r="AH749" s="714">
        <v>0.94387031345969796</v>
      </c>
      <c r="AI749" s="713" t="s">
        <v>58</v>
      </c>
      <c r="AJ749" s="713" t="s">
        <v>58</v>
      </c>
      <c r="AK749" s="713" t="s">
        <v>58</v>
      </c>
      <c r="AL749" s="714">
        <v>0.94454345387965444</v>
      </c>
      <c r="AM749" s="713" t="s">
        <v>58</v>
      </c>
      <c r="AN749" s="713" t="s">
        <v>58</v>
      </c>
      <c r="AO749" s="713" t="s">
        <v>58</v>
      </c>
      <c r="AP749" s="747">
        <v>48</v>
      </c>
      <c r="AQ749" s="747">
        <v>768</v>
      </c>
      <c r="AR749" s="709"/>
      <c r="AS749" s="763">
        <v>0</v>
      </c>
      <c r="AT749" s="763">
        <v>0</v>
      </c>
      <c r="AU749" s="763">
        <v>0</v>
      </c>
      <c r="AV749" s="763">
        <v>0.80600711904756428</v>
      </c>
      <c r="AW749" s="763">
        <v>0.80600711904756428</v>
      </c>
      <c r="AX749" s="763">
        <v>0.35445772156120253</v>
      </c>
      <c r="AY749" s="763">
        <v>0.35445772156120253</v>
      </c>
      <c r="AZ749" s="763">
        <v>0.35445772156120253</v>
      </c>
      <c r="BA749" s="763">
        <v>0.35445772156120253</v>
      </c>
      <c r="BB749" s="763">
        <v>0.35445772156120253</v>
      </c>
      <c r="BC749" s="763">
        <v>0.35445772156120253</v>
      </c>
      <c r="BD749" s="763">
        <v>0.35445772156120253</v>
      </c>
      <c r="BE749" s="763">
        <v>0.35445772156120253</v>
      </c>
      <c r="BF749" s="763">
        <v>0.35445772156120253</v>
      </c>
      <c r="BG749" s="763">
        <v>0</v>
      </c>
      <c r="BH749" s="763">
        <v>0</v>
      </c>
      <c r="BI749" s="763">
        <v>0</v>
      </c>
      <c r="BJ749" s="763">
        <v>0</v>
      </c>
      <c r="BK749" s="763">
        <v>0</v>
      </c>
      <c r="BL749" s="763">
        <v>0</v>
      </c>
      <c r="BM749" s="763">
        <v>0</v>
      </c>
      <c r="BN749" s="763">
        <v>0</v>
      </c>
      <c r="BO749" s="763">
        <v>0</v>
      </c>
      <c r="BP749" s="763">
        <v>0</v>
      </c>
      <c r="BQ749" s="763">
        <v>0</v>
      </c>
      <c r="BR749" s="763">
        <v>0</v>
      </c>
      <c r="BS749" s="762">
        <v>0</v>
      </c>
      <c r="BT749" s="762">
        <v>0</v>
      </c>
      <c r="BU749" s="762">
        <v>0</v>
      </c>
      <c r="BV749" s="762">
        <v>2614.8510200574769</v>
      </c>
      <c r="BW749" s="762">
        <v>2614.8510200574769</v>
      </c>
      <c r="BX749" s="762">
        <v>1149.9329384172149</v>
      </c>
      <c r="BY749" s="762">
        <v>1149.9329384172149</v>
      </c>
      <c r="BZ749" s="762">
        <v>1149.9329384172149</v>
      </c>
      <c r="CA749" s="762">
        <v>1149.9329384172149</v>
      </c>
      <c r="CB749" s="762">
        <v>1149.9329384172149</v>
      </c>
      <c r="CC749" s="762">
        <v>1149.9329384172149</v>
      </c>
      <c r="CD749" s="762">
        <v>1149.9329384172149</v>
      </c>
      <c r="CE749" s="762">
        <v>1149.9329384172149</v>
      </c>
      <c r="CF749" s="762">
        <v>1149.9329384172149</v>
      </c>
      <c r="CG749" s="762">
        <v>0</v>
      </c>
      <c r="CH749" s="762">
        <v>0</v>
      </c>
      <c r="CI749" s="762">
        <v>0</v>
      </c>
      <c r="CJ749" s="762">
        <v>0</v>
      </c>
      <c r="CK749" s="762">
        <v>0</v>
      </c>
      <c r="CL749" s="762">
        <v>0</v>
      </c>
      <c r="CM749" s="762">
        <v>0</v>
      </c>
      <c r="CN749" s="762">
        <v>0</v>
      </c>
      <c r="CO749" s="762">
        <v>0</v>
      </c>
      <c r="CP749" s="762">
        <v>0</v>
      </c>
      <c r="CQ749" s="762">
        <v>0</v>
      </c>
      <c r="CR749" s="762">
        <v>0</v>
      </c>
    </row>
    <row r="750" spans="1:96" s="53" customFormat="1">
      <c r="A750" s="721" t="s">
        <v>3</v>
      </c>
      <c r="B750" s="723">
        <v>41825</v>
      </c>
      <c r="C750" s="721">
        <v>2014</v>
      </c>
      <c r="D750" s="713" t="s">
        <v>1</v>
      </c>
      <c r="E750" s="713" t="s">
        <v>674</v>
      </c>
      <c r="F750" s="723" t="s">
        <v>673</v>
      </c>
      <c r="G750" s="713" t="s">
        <v>58</v>
      </c>
      <c r="H750" s="723" t="s">
        <v>684</v>
      </c>
      <c r="I750" s="713" t="s">
        <v>5</v>
      </c>
      <c r="J750" s="713" t="s">
        <v>376</v>
      </c>
      <c r="K750" s="766">
        <v>2</v>
      </c>
      <c r="L750" s="766" t="s">
        <v>671</v>
      </c>
      <c r="M750" s="765" t="s">
        <v>764</v>
      </c>
      <c r="N750" s="765">
        <v>11</v>
      </c>
      <c r="O750" s="765">
        <v>2</v>
      </c>
      <c r="P750" s="735">
        <v>0.43976996379393668</v>
      </c>
      <c r="Q750" s="713" t="s">
        <v>58</v>
      </c>
      <c r="R750" s="713" t="s">
        <v>58</v>
      </c>
      <c r="S750" s="713" t="s">
        <v>58</v>
      </c>
      <c r="T750" s="713" t="s">
        <v>58</v>
      </c>
      <c r="U750" s="764">
        <v>0.13600000000000001</v>
      </c>
      <c r="V750" s="764">
        <v>419.15199999999999</v>
      </c>
      <c r="W750" s="764">
        <v>0.10666623061873694</v>
      </c>
      <c r="X750" s="764">
        <v>346.2937363811273</v>
      </c>
      <c r="Y750" s="764">
        <v>2063.1937279558133</v>
      </c>
      <c r="Z750" s="764">
        <v>1947.3873107337363</v>
      </c>
      <c r="AA750" s="764">
        <v>326.85637750718462</v>
      </c>
      <c r="AB750" s="764">
        <v>0.10075088988094553</v>
      </c>
      <c r="AC750" s="714">
        <v>0.82617698682369967</v>
      </c>
      <c r="AD750" s="714">
        <v>0.7843105192554185</v>
      </c>
      <c r="AE750" s="713" t="s">
        <v>58</v>
      </c>
      <c r="AF750" s="713" t="s">
        <v>58</v>
      </c>
      <c r="AG750" s="713" t="s">
        <v>58</v>
      </c>
      <c r="AH750" s="714">
        <v>0.94387031345969796</v>
      </c>
      <c r="AI750" s="713" t="s">
        <v>58</v>
      </c>
      <c r="AJ750" s="713" t="s">
        <v>58</v>
      </c>
      <c r="AK750" s="713" t="s">
        <v>58</v>
      </c>
      <c r="AL750" s="714">
        <v>0.94454345387965444</v>
      </c>
      <c r="AM750" s="713" t="s">
        <v>58</v>
      </c>
      <c r="AN750" s="713" t="s">
        <v>58</v>
      </c>
      <c r="AO750" s="713" t="s">
        <v>58</v>
      </c>
      <c r="AP750" s="747">
        <v>48</v>
      </c>
      <c r="AQ750" s="747">
        <v>96</v>
      </c>
      <c r="AR750" s="709"/>
      <c r="AS750" s="763">
        <v>0</v>
      </c>
      <c r="AT750" s="763">
        <v>0</v>
      </c>
      <c r="AU750" s="763">
        <v>0</v>
      </c>
      <c r="AV750" s="763">
        <v>0.10075088988094553</v>
      </c>
      <c r="AW750" s="763">
        <v>0.10075088988094553</v>
      </c>
      <c r="AX750" s="763">
        <v>4.4307215195150317E-2</v>
      </c>
      <c r="AY750" s="763">
        <v>4.4307215195150317E-2</v>
      </c>
      <c r="AZ750" s="763">
        <v>4.4307215195150317E-2</v>
      </c>
      <c r="BA750" s="763">
        <v>4.4307215195150317E-2</v>
      </c>
      <c r="BB750" s="763">
        <v>4.4307215195150317E-2</v>
      </c>
      <c r="BC750" s="763">
        <v>4.4307215195150317E-2</v>
      </c>
      <c r="BD750" s="763">
        <v>4.4307215195150317E-2</v>
      </c>
      <c r="BE750" s="763">
        <v>4.4307215195150317E-2</v>
      </c>
      <c r="BF750" s="763">
        <v>4.4307215195150317E-2</v>
      </c>
      <c r="BG750" s="763">
        <v>0</v>
      </c>
      <c r="BH750" s="763">
        <v>0</v>
      </c>
      <c r="BI750" s="763">
        <v>0</v>
      </c>
      <c r="BJ750" s="763">
        <v>0</v>
      </c>
      <c r="BK750" s="763">
        <v>0</v>
      </c>
      <c r="BL750" s="763">
        <v>0</v>
      </c>
      <c r="BM750" s="763">
        <v>0</v>
      </c>
      <c r="BN750" s="763">
        <v>0</v>
      </c>
      <c r="BO750" s="763">
        <v>0</v>
      </c>
      <c r="BP750" s="763">
        <v>0</v>
      </c>
      <c r="BQ750" s="763">
        <v>0</v>
      </c>
      <c r="BR750" s="763">
        <v>0</v>
      </c>
      <c r="BS750" s="762">
        <v>0</v>
      </c>
      <c r="BT750" s="762">
        <v>0</v>
      </c>
      <c r="BU750" s="762">
        <v>0</v>
      </c>
      <c r="BV750" s="762">
        <v>326.85637750718462</v>
      </c>
      <c r="BW750" s="762">
        <v>326.85637750718462</v>
      </c>
      <c r="BX750" s="762">
        <v>143.74161730215187</v>
      </c>
      <c r="BY750" s="762">
        <v>143.74161730215187</v>
      </c>
      <c r="BZ750" s="762">
        <v>143.74161730215187</v>
      </c>
      <c r="CA750" s="762">
        <v>143.74161730215187</v>
      </c>
      <c r="CB750" s="762">
        <v>143.74161730215187</v>
      </c>
      <c r="CC750" s="762">
        <v>143.74161730215187</v>
      </c>
      <c r="CD750" s="762">
        <v>143.74161730215187</v>
      </c>
      <c r="CE750" s="762">
        <v>143.74161730215187</v>
      </c>
      <c r="CF750" s="762">
        <v>143.74161730215187</v>
      </c>
      <c r="CG750" s="762">
        <v>0</v>
      </c>
      <c r="CH750" s="762">
        <v>0</v>
      </c>
      <c r="CI750" s="762">
        <v>0</v>
      </c>
      <c r="CJ750" s="762">
        <v>0</v>
      </c>
      <c r="CK750" s="762">
        <v>0</v>
      </c>
      <c r="CL750" s="762">
        <v>0</v>
      </c>
      <c r="CM750" s="762">
        <v>0</v>
      </c>
      <c r="CN750" s="762">
        <v>0</v>
      </c>
      <c r="CO750" s="762">
        <v>0</v>
      </c>
      <c r="CP750" s="762">
        <v>0</v>
      </c>
      <c r="CQ750" s="762">
        <v>0</v>
      </c>
      <c r="CR750" s="762">
        <v>0</v>
      </c>
    </row>
    <row r="751" spans="1:96" s="53" customFormat="1">
      <c r="A751" s="721" t="s">
        <v>3</v>
      </c>
      <c r="B751" s="723">
        <v>41780</v>
      </c>
      <c r="C751" s="721">
        <v>2014</v>
      </c>
      <c r="D751" s="713" t="s">
        <v>1</v>
      </c>
      <c r="E751" s="713" t="s">
        <v>674</v>
      </c>
      <c r="F751" s="723" t="s">
        <v>681</v>
      </c>
      <c r="G751" s="713" t="s">
        <v>58</v>
      </c>
      <c r="H751" s="723" t="s">
        <v>677</v>
      </c>
      <c r="I751" s="713" t="s">
        <v>5</v>
      </c>
      <c r="J751" s="713" t="s">
        <v>376</v>
      </c>
      <c r="K751" s="766">
        <v>1</v>
      </c>
      <c r="L751" s="766" t="s">
        <v>671</v>
      </c>
      <c r="M751" s="765" t="s">
        <v>741</v>
      </c>
      <c r="N751" s="765">
        <v>0</v>
      </c>
      <c r="O751" s="765">
        <v>0</v>
      </c>
      <c r="P751" s="735">
        <v>0</v>
      </c>
      <c r="Q751" s="713" t="s">
        <v>58</v>
      </c>
      <c r="R751" s="713" t="s">
        <v>58</v>
      </c>
      <c r="S751" s="713" t="s">
        <v>58</v>
      </c>
      <c r="T751" s="713" t="s">
        <v>58</v>
      </c>
      <c r="U751" s="764">
        <v>0</v>
      </c>
      <c r="V751" s="764">
        <v>0</v>
      </c>
      <c r="W751" s="764">
        <v>0</v>
      </c>
      <c r="X751" s="764">
        <v>0</v>
      </c>
      <c r="Y751" s="764">
        <v>0</v>
      </c>
      <c r="Z751" s="764">
        <v>0</v>
      </c>
      <c r="AA751" s="764">
        <v>0</v>
      </c>
      <c r="AB751" s="764">
        <v>0</v>
      </c>
      <c r="AC751" s="714">
        <v>0.82617698682369967</v>
      </c>
      <c r="AD751" s="714">
        <v>0.7843105192554185</v>
      </c>
      <c r="AE751" s="713" t="s">
        <v>58</v>
      </c>
      <c r="AF751" s="713" t="s">
        <v>58</v>
      </c>
      <c r="AG751" s="713" t="s">
        <v>58</v>
      </c>
      <c r="AH751" s="714">
        <v>0.94387031345969796</v>
      </c>
      <c r="AI751" s="713" t="s">
        <v>58</v>
      </c>
      <c r="AJ751" s="713" t="s">
        <v>58</v>
      </c>
      <c r="AK751" s="713" t="s">
        <v>58</v>
      </c>
      <c r="AL751" s="714">
        <v>0.94454345387965444</v>
      </c>
      <c r="AM751" s="713" t="s">
        <v>58</v>
      </c>
      <c r="AN751" s="713" t="s">
        <v>58</v>
      </c>
      <c r="AO751" s="713" t="s">
        <v>58</v>
      </c>
      <c r="AP751" s="747">
        <v>51</v>
      </c>
      <c r="AQ751" s="747">
        <v>51</v>
      </c>
      <c r="AR751" s="709"/>
      <c r="AS751" s="763">
        <v>0</v>
      </c>
      <c r="AT751" s="763">
        <v>0</v>
      </c>
      <c r="AU751" s="763">
        <v>0</v>
      </c>
      <c r="AV751" s="763">
        <v>0</v>
      </c>
      <c r="AW751" s="763">
        <v>0</v>
      </c>
      <c r="AX751" s="763">
        <v>0</v>
      </c>
      <c r="AY751" s="763">
        <v>0</v>
      </c>
      <c r="AZ751" s="763">
        <v>0</v>
      </c>
      <c r="BA751" s="763">
        <v>0</v>
      </c>
      <c r="BB751" s="763">
        <v>0</v>
      </c>
      <c r="BC751" s="763">
        <v>0</v>
      </c>
      <c r="BD751" s="763">
        <v>0</v>
      </c>
      <c r="BE751" s="763">
        <v>0</v>
      </c>
      <c r="BF751" s="763">
        <v>0</v>
      </c>
      <c r="BG751" s="763">
        <v>0</v>
      </c>
      <c r="BH751" s="763">
        <v>0</v>
      </c>
      <c r="BI751" s="763">
        <v>0</v>
      </c>
      <c r="BJ751" s="763">
        <v>0</v>
      </c>
      <c r="BK751" s="763">
        <v>0</v>
      </c>
      <c r="BL751" s="763">
        <v>0</v>
      </c>
      <c r="BM751" s="763">
        <v>0</v>
      </c>
      <c r="BN751" s="763">
        <v>0</v>
      </c>
      <c r="BO751" s="763">
        <v>0</v>
      </c>
      <c r="BP751" s="763">
        <v>0</v>
      </c>
      <c r="BQ751" s="763">
        <v>0</v>
      </c>
      <c r="BR751" s="763">
        <v>0</v>
      </c>
      <c r="BS751" s="762">
        <v>0</v>
      </c>
      <c r="BT751" s="762">
        <v>0</v>
      </c>
      <c r="BU751" s="762">
        <v>0</v>
      </c>
      <c r="BV751" s="762">
        <v>0</v>
      </c>
      <c r="BW751" s="762">
        <v>0</v>
      </c>
      <c r="BX751" s="762">
        <v>0</v>
      </c>
      <c r="BY751" s="762">
        <v>0</v>
      </c>
      <c r="BZ751" s="762">
        <v>0</v>
      </c>
      <c r="CA751" s="762">
        <v>0</v>
      </c>
      <c r="CB751" s="762">
        <v>0</v>
      </c>
      <c r="CC751" s="762">
        <v>0</v>
      </c>
      <c r="CD751" s="762">
        <v>0</v>
      </c>
      <c r="CE751" s="762">
        <v>0</v>
      </c>
      <c r="CF751" s="762">
        <v>0</v>
      </c>
      <c r="CG751" s="762">
        <v>0</v>
      </c>
      <c r="CH751" s="762">
        <v>0</v>
      </c>
      <c r="CI751" s="762">
        <v>0</v>
      </c>
      <c r="CJ751" s="762">
        <v>0</v>
      </c>
      <c r="CK751" s="762">
        <v>0</v>
      </c>
      <c r="CL751" s="762">
        <v>0</v>
      </c>
      <c r="CM751" s="762">
        <v>0</v>
      </c>
      <c r="CN751" s="762">
        <v>0</v>
      </c>
      <c r="CO751" s="762">
        <v>0</v>
      </c>
      <c r="CP751" s="762">
        <v>0</v>
      </c>
      <c r="CQ751" s="762">
        <v>0</v>
      </c>
      <c r="CR751" s="762">
        <v>0</v>
      </c>
    </row>
    <row r="752" spans="1:96" s="53" customFormat="1">
      <c r="A752" s="721" t="s">
        <v>3</v>
      </c>
      <c r="B752" s="723">
        <v>41780</v>
      </c>
      <c r="C752" s="721">
        <v>2014</v>
      </c>
      <c r="D752" s="713" t="s">
        <v>1</v>
      </c>
      <c r="E752" s="713" t="s">
        <v>674</v>
      </c>
      <c r="F752" s="723" t="s">
        <v>681</v>
      </c>
      <c r="G752" s="713" t="s">
        <v>58</v>
      </c>
      <c r="H752" s="723" t="s">
        <v>675</v>
      </c>
      <c r="I752" s="713" t="s">
        <v>5</v>
      </c>
      <c r="J752" s="713" t="s">
        <v>376</v>
      </c>
      <c r="K752" s="766">
        <v>10</v>
      </c>
      <c r="L752" s="766" t="s">
        <v>671</v>
      </c>
      <c r="M752" s="765" t="s">
        <v>741</v>
      </c>
      <c r="N752" s="765">
        <v>12</v>
      </c>
      <c r="O752" s="765">
        <v>3</v>
      </c>
      <c r="P752" s="735">
        <v>0.36842105263157893</v>
      </c>
      <c r="Q752" s="713" t="s">
        <v>58</v>
      </c>
      <c r="R752" s="713" t="s">
        <v>58</v>
      </c>
      <c r="S752" s="713" t="s">
        <v>58</v>
      </c>
      <c r="T752" s="713" t="s">
        <v>58</v>
      </c>
      <c r="U752" s="764">
        <v>0.56999999999999995</v>
      </c>
      <c r="V752" s="764">
        <v>1854.21</v>
      </c>
      <c r="W752" s="764">
        <v>0.44705699597558857</v>
      </c>
      <c r="X752" s="764">
        <v>1531.9056307383721</v>
      </c>
      <c r="Y752" s="764">
        <v>9675.1934572949795</v>
      </c>
      <c r="Z752" s="764">
        <v>9132.1278813202316</v>
      </c>
      <c r="AA752" s="764">
        <v>1445.9202478757036</v>
      </c>
      <c r="AB752" s="764">
        <v>0.42226475905984517</v>
      </c>
      <c r="AC752" s="714">
        <v>0.82617698682369967</v>
      </c>
      <c r="AD752" s="714">
        <v>0.7843105192554185</v>
      </c>
      <c r="AE752" s="713" t="s">
        <v>58</v>
      </c>
      <c r="AF752" s="713" t="s">
        <v>58</v>
      </c>
      <c r="AG752" s="713" t="s">
        <v>58</v>
      </c>
      <c r="AH752" s="714">
        <v>0.94387031345969796</v>
      </c>
      <c r="AI752" s="713" t="s">
        <v>58</v>
      </c>
      <c r="AJ752" s="713" t="s">
        <v>58</v>
      </c>
      <c r="AK752" s="713" t="s">
        <v>58</v>
      </c>
      <c r="AL752" s="714">
        <v>0.94454345387965444</v>
      </c>
      <c r="AM752" s="713" t="s">
        <v>58</v>
      </c>
      <c r="AN752" s="713" t="s">
        <v>58</v>
      </c>
      <c r="AO752" s="713" t="s">
        <v>58</v>
      </c>
      <c r="AP752" s="747">
        <v>73</v>
      </c>
      <c r="AQ752" s="747">
        <v>730</v>
      </c>
      <c r="AR752" s="709"/>
      <c r="AS752" s="763">
        <v>0</v>
      </c>
      <c r="AT752" s="763">
        <v>0</v>
      </c>
      <c r="AU752" s="763">
        <v>0</v>
      </c>
      <c r="AV752" s="763">
        <v>0.42226475905984517</v>
      </c>
      <c r="AW752" s="763">
        <v>0.42226475905984517</v>
      </c>
      <c r="AX752" s="763">
        <v>0.42226475905984517</v>
      </c>
      <c r="AY752" s="763">
        <v>0.1555712270220482</v>
      </c>
      <c r="AZ752" s="763">
        <v>0.1555712270220482</v>
      </c>
      <c r="BA752" s="763">
        <v>0.1555712270220482</v>
      </c>
      <c r="BB752" s="763">
        <v>0.1555712270220482</v>
      </c>
      <c r="BC752" s="763">
        <v>0.1555712270220482</v>
      </c>
      <c r="BD752" s="763">
        <v>0.1555712270220482</v>
      </c>
      <c r="BE752" s="763">
        <v>0.1555712270220482</v>
      </c>
      <c r="BF752" s="763">
        <v>0.1555712270220482</v>
      </c>
      <c r="BG752" s="763">
        <v>0.1555712270220482</v>
      </c>
      <c r="BH752" s="763">
        <v>0</v>
      </c>
      <c r="BI752" s="763">
        <v>0</v>
      </c>
      <c r="BJ752" s="763">
        <v>0</v>
      </c>
      <c r="BK752" s="763">
        <v>0</v>
      </c>
      <c r="BL752" s="763">
        <v>0</v>
      </c>
      <c r="BM752" s="763">
        <v>0</v>
      </c>
      <c r="BN752" s="763">
        <v>0</v>
      </c>
      <c r="BO752" s="763">
        <v>0</v>
      </c>
      <c r="BP752" s="763">
        <v>0</v>
      </c>
      <c r="BQ752" s="763">
        <v>0</v>
      </c>
      <c r="BR752" s="763">
        <v>0</v>
      </c>
      <c r="BS752" s="762">
        <v>0</v>
      </c>
      <c r="BT752" s="762">
        <v>0</v>
      </c>
      <c r="BU752" s="762">
        <v>0</v>
      </c>
      <c r="BV752" s="762">
        <v>1445.9202478757036</v>
      </c>
      <c r="BW752" s="762">
        <v>1445.9202478757036</v>
      </c>
      <c r="BX752" s="762">
        <v>1445.9202478757036</v>
      </c>
      <c r="BY752" s="762">
        <v>532.70745974368026</v>
      </c>
      <c r="BZ752" s="762">
        <v>532.70745974368026</v>
      </c>
      <c r="CA752" s="762">
        <v>532.70745974368026</v>
      </c>
      <c r="CB752" s="762">
        <v>532.70745974368026</v>
      </c>
      <c r="CC752" s="762">
        <v>532.70745974368026</v>
      </c>
      <c r="CD752" s="762">
        <v>532.70745974368026</v>
      </c>
      <c r="CE752" s="762">
        <v>532.70745974368026</v>
      </c>
      <c r="CF752" s="762">
        <v>532.70745974368026</v>
      </c>
      <c r="CG752" s="762">
        <v>532.70745974368026</v>
      </c>
      <c r="CH752" s="762">
        <v>0</v>
      </c>
      <c r="CI752" s="762">
        <v>0</v>
      </c>
      <c r="CJ752" s="762">
        <v>0</v>
      </c>
      <c r="CK752" s="762">
        <v>0</v>
      </c>
      <c r="CL752" s="762">
        <v>0</v>
      </c>
      <c r="CM752" s="762">
        <v>0</v>
      </c>
      <c r="CN752" s="762">
        <v>0</v>
      </c>
      <c r="CO752" s="762">
        <v>0</v>
      </c>
      <c r="CP752" s="762">
        <v>0</v>
      </c>
      <c r="CQ752" s="762">
        <v>0</v>
      </c>
      <c r="CR752" s="762">
        <v>0</v>
      </c>
    </row>
    <row r="753" spans="1:96" s="53" customFormat="1">
      <c r="A753" s="721" t="s">
        <v>3</v>
      </c>
      <c r="B753" s="723">
        <v>41757</v>
      </c>
      <c r="C753" s="721">
        <v>2014</v>
      </c>
      <c r="D753" s="713" t="s">
        <v>1</v>
      </c>
      <c r="E753" s="713" t="s">
        <v>674</v>
      </c>
      <c r="F753" s="723" t="s">
        <v>681</v>
      </c>
      <c r="G753" s="713" t="s">
        <v>58</v>
      </c>
      <c r="H753" s="723" t="s">
        <v>677</v>
      </c>
      <c r="I753" s="713" t="s">
        <v>5</v>
      </c>
      <c r="J753" s="713" t="s">
        <v>376</v>
      </c>
      <c r="K753" s="766">
        <v>1</v>
      </c>
      <c r="L753" s="766" t="s">
        <v>671</v>
      </c>
      <c r="M753" s="765" t="s">
        <v>744</v>
      </c>
      <c r="N753" s="765">
        <v>0</v>
      </c>
      <c r="O753" s="765">
        <v>0</v>
      </c>
      <c r="P753" s="735">
        <v>0</v>
      </c>
      <c r="Q753" s="713" t="s">
        <v>58</v>
      </c>
      <c r="R753" s="713" t="s">
        <v>58</v>
      </c>
      <c r="S753" s="713" t="s">
        <v>58</v>
      </c>
      <c r="T753" s="713" t="s">
        <v>58</v>
      </c>
      <c r="U753" s="764">
        <v>0</v>
      </c>
      <c r="V753" s="764">
        <v>0</v>
      </c>
      <c r="W753" s="764">
        <v>0</v>
      </c>
      <c r="X753" s="764">
        <v>0</v>
      </c>
      <c r="Y753" s="764">
        <v>0</v>
      </c>
      <c r="Z753" s="764">
        <v>0</v>
      </c>
      <c r="AA753" s="764">
        <v>0</v>
      </c>
      <c r="AB753" s="764">
        <v>0</v>
      </c>
      <c r="AC753" s="714">
        <v>0.82617698682369967</v>
      </c>
      <c r="AD753" s="714">
        <v>0.7843105192554185</v>
      </c>
      <c r="AE753" s="713" t="s">
        <v>58</v>
      </c>
      <c r="AF753" s="713" t="s">
        <v>58</v>
      </c>
      <c r="AG753" s="713" t="s">
        <v>58</v>
      </c>
      <c r="AH753" s="714">
        <v>0.94387031345969796</v>
      </c>
      <c r="AI753" s="713" t="s">
        <v>58</v>
      </c>
      <c r="AJ753" s="713" t="s">
        <v>58</v>
      </c>
      <c r="AK753" s="713" t="s">
        <v>58</v>
      </c>
      <c r="AL753" s="714">
        <v>0.94454345387965444</v>
      </c>
      <c r="AM753" s="713" t="s">
        <v>58</v>
      </c>
      <c r="AN753" s="713" t="s">
        <v>58</v>
      </c>
      <c r="AO753" s="713" t="s">
        <v>58</v>
      </c>
      <c r="AP753" s="747">
        <v>51</v>
      </c>
      <c r="AQ753" s="747">
        <v>51</v>
      </c>
      <c r="AR753" s="709"/>
      <c r="AS753" s="763">
        <v>0</v>
      </c>
      <c r="AT753" s="763">
        <v>0</v>
      </c>
      <c r="AU753" s="763">
        <v>0</v>
      </c>
      <c r="AV753" s="763">
        <v>0</v>
      </c>
      <c r="AW753" s="763">
        <v>0</v>
      </c>
      <c r="AX753" s="763">
        <v>0</v>
      </c>
      <c r="AY753" s="763">
        <v>0</v>
      </c>
      <c r="AZ753" s="763">
        <v>0</v>
      </c>
      <c r="BA753" s="763">
        <v>0</v>
      </c>
      <c r="BB753" s="763">
        <v>0</v>
      </c>
      <c r="BC753" s="763">
        <v>0</v>
      </c>
      <c r="BD753" s="763">
        <v>0</v>
      </c>
      <c r="BE753" s="763">
        <v>0</v>
      </c>
      <c r="BF753" s="763">
        <v>0</v>
      </c>
      <c r="BG753" s="763">
        <v>0</v>
      </c>
      <c r="BH753" s="763">
        <v>0</v>
      </c>
      <c r="BI753" s="763">
        <v>0</v>
      </c>
      <c r="BJ753" s="763">
        <v>0</v>
      </c>
      <c r="BK753" s="763">
        <v>0</v>
      </c>
      <c r="BL753" s="763">
        <v>0</v>
      </c>
      <c r="BM753" s="763">
        <v>0</v>
      </c>
      <c r="BN753" s="763">
        <v>0</v>
      </c>
      <c r="BO753" s="763">
        <v>0</v>
      </c>
      <c r="BP753" s="763">
        <v>0</v>
      </c>
      <c r="BQ753" s="763">
        <v>0</v>
      </c>
      <c r="BR753" s="763">
        <v>0</v>
      </c>
      <c r="BS753" s="762">
        <v>0</v>
      </c>
      <c r="BT753" s="762">
        <v>0</v>
      </c>
      <c r="BU753" s="762">
        <v>0</v>
      </c>
      <c r="BV753" s="762">
        <v>0</v>
      </c>
      <c r="BW753" s="762">
        <v>0</v>
      </c>
      <c r="BX753" s="762">
        <v>0</v>
      </c>
      <c r="BY753" s="762">
        <v>0</v>
      </c>
      <c r="BZ753" s="762">
        <v>0</v>
      </c>
      <c r="CA753" s="762">
        <v>0</v>
      </c>
      <c r="CB753" s="762">
        <v>0</v>
      </c>
      <c r="CC753" s="762">
        <v>0</v>
      </c>
      <c r="CD753" s="762">
        <v>0</v>
      </c>
      <c r="CE753" s="762">
        <v>0</v>
      </c>
      <c r="CF753" s="762">
        <v>0</v>
      </c>
      <c r="CG753" s="762">
        <v>0</v>
      </c>
      <c r="CH753" s="762">
        <v>0</v>
      </c>
      <c r="CI753" s="762">
        <v>0</v>
      </c>
      <c r="CJ753" s="762">
        <v>0</v>
      </c>
      <c r="CK753" s="762">
        <v>0</v>
      </c>
      <c r="CL753" s="762">
        <v>0</v>
      </c>
      <c r="CM753" s="762">
        <v>0</v>
      </c>
      <c r="CN753" s="762">
        <v>0</v>
      </c>
      <c r="CO753" s="762">
        <v>0</v>
      </c>
      <c r="CP753" s="762">
        <v>0</v>
      </c>
      <c r="CQ753" s="762">
        <v>0</v>
      </c>
      <c r="CR753" s="762">
        <v>0</v>
      </c>
    </row>
    <row r="754" spans="1:96" s="53" customFormat="1">
      <c r="A754" s="721" t="s">
        <v>3</v>
      </c>
      <c r="B754" s="723">
        <v>41757</v>
      </c>
      <c r="C754" s="721">
        <v>2014</v>
      </c>
      <c r="D754" s="713" t="s">
        <v>1</v>
      </c>
      <c r="E754" s="713" t="s">
        <v>674</v>
      </c>
      <c r="F754" s="723" t="s">
        <v>681</v>
      </c>
      <c r="G754" s="713" t="s">
        <v>58</v>
      </c>
      <c r="H754" s="723" t="s">
        <v>763</v>
      </c>
      <c r="I754" s="713" t="s">
        <v>5</v>
      </c>
      <c r="J754" s="713" t="s">
        <v>376</v>
      </c>
      <c r="K754" s="766">
        <v>2</v>
      </c>
      <c r="L754" s="766" t="s">
        <v>671</v>
      </c>
      <c r="M754" s="765" t="s">
        <v>744</v>
      </c>
      <c r="N754" s="765">
        <v>11</v>
      </c>
      <c r="O754" s="765">
        <v>2</v>
      </c>
      <c r="P754" s="735">
        <v>0.62478471265038082</v>
      </c>
      <c r="Q754" s="713" t="s">
        <v>58</v>
      </c>
      <c r="R754" s="713" t="s">
        <v>58</v>
      </c>
      <c r="S754" s="713" t="s">
        <v>58</v>
      </c>
      <c r="T754" s="713" t="s">
        <v>58</v>
      </c>
      <c r="U754" s="764">
        <v>8.2000000000000003E-2</v>
      </c>
      <c r="V754" s="764">
        <v>305.12200000000001</v>
      </c>
      <c r="W754" s="764">
        <v>6.4313462578944339E-2</v>
      </c>
      <c r="X754" s="764">
        <v>252.0847745736209</v>
      </c>
      <c r="Y754" s="764">
        <v>1921.6579701568835</v>
      </c>
      <c r="Z754" s="764">
        <v>1813.7959106543046</v>
      </c>
      <c r="AA754" s="764">
        <v>237.93533519522086</v>
      </c>
      <c r="AB754" s="764">
        <v>6.0746860075275994E-2</v>
      </c>
      <c r="AC754" s="714">
        <v>0.82617698682369967</v>
      </c>
      <c r="AD754" s="714">
        <v>0.7843105192554185</v>
      </c>
      <c r="AE754" s="713" t="s">
        <v>58</v>
      </c>
      <c r="AF754" s="713" t="s">
        <v>58</v>
      </c>
      <c r="AG754" s="713" t="s">
        <v>58</v>
      </c>
      <c r="AH754" s="714">
        <v>0.94387031345969796</v>
      </c>
      <c r="AI754" s="713" t="s">
        <v>58</v>
      </c>
      <c r="AJ754" s="713" t="s">
        <v>58</v>
      </c>
      <c r="AK754" s="713" t="s">
        <v>58</v>
      </c>
      <c r="AL754" s="714">
        <v>0.94454345387965444</v>
      </c>
      <c r="AM754" s="713" t="s">
        <v>58</v>
      </c>
      <c r="AN754" s="713" t="s">
        <v>58</v>
      </c>
      <c r="AO754" s="713" t="s">
        <v>58</v>
      </c>
      <c r="AP754" s="747">
        <v>41</v>
      </c>
      <c r="AQ754" s="747">
        <v>82</v>
      </c>
      <c r="AR754" s="709"/>
      <c r="AS754" s="763">
        <v>0</v>
      </c>
      <c r="AT754" s="763">
        <v>0</v>
      </c>
      <c r="AU754" s="763">
        <v>0</v>
      </c>
      <c r="AV754" s="763">
        <v>6.0746860075275994E-2</v>
      </c>
      <c r="AW754" s="763">
        <v>6.0746860075275994E-2</v>
      </c>
      <c r="AX754" s="763">
        <v>3.7953709516544205E-2</v>
      </c>
      <c r="AY754" s="763">
        <v>3.7953709516544205E-2</v>
      </c>
      <c r="AZ754" s="763">
        <v>3.7953709516544205E-2</v>
      </c>
      <c r="BA754" s="763">
        <v>3.7953709516544205E-2</v>
      </c>
      <c r="BB754" s="763">
        <v>3.7953709516544205E-2</v>
      </c>
      <c r="BC754" s="763">
        <v>3.7953709516544205E-2</v>
      </c>
      <c r="BD754" s="763">
        <v>3.7953709516544205E-2</v>
      </c>
      <c r="BE754" s="763">
        <v>3.7953709516544205E-2</v>
      </c>
      <c r="BF754" s="763">
        <v>3.7953709516544205E-2</v>
      </c>
      <c r="BG754" s="763">
        <v>0</v>
      </c>
      <c r="BH754" s="763">
        <v>0</v>
      </c>
      <c r="BI754" s="763">
        <v>0</v>
      </c>
      <c r="BJ754" s="763">
        <v>0</v>
      </c>
      <c r="BK754" s="763">
        <v>0</v>
      </c>
      <c r="BL754" s="763">
        <v>0</v>
      </c>
      <c r="BM754" s="763">
        <v>0</v>
      </c>
      <c r="BN754" s="763">
        <v>0</v>
      </c>
      <c r="BO754" s="763">
        <v>0</v>
      </c>
      <c r="BP754" s="763">
        <v>0</v>
      </c>
      <c r="BQ754" s="763">
        <v>0</v>
      </c>
      <c r="BR754" s="763">
        <v>0</v>
      </c>
      <c r="BS754" s="762">
        <v>0</v>
      </c>
      <c r="BT754" s="762">
        <v>0</v>
      </c>
      <c r="BU754" s="762">
        <v>0</v>
      </c>
      <c r="BV754" s="762">
        <v>237.93533519522086</v>
      </c>
      <c r="BW754" s="762">
        <v>237.93533519522086</v>
      </c>
      <c r="BX754" s="762">
        <v>148.65836002931812</v>
      </c>
      <c r="BY754" s="762">
        <v>148.65836002931812</v>
      </c>
      <c r="BZ754" s="762">
        <v>148.65836002931812</v>
      </c>
      <c r="CA754" s="762">
        <v>148.65836002931812</v>
      </c>
      <c r="CB754" s="762">
        <v>148.65836002931812</v>
      </c>
      <c r="CC754" s="762">
        <v>148.65836002931812</v>
      </c>
      <c r="CD754" s="762">
        <v>148.65836002931812</v>
      </c>
      <c r="CE754" s="762">
        <v>148.65836002931812</v>
      </c>
      <c r="CF754" s="762">
        <v>148.65836002931812</v>
      </c>
      <c r="CG754" s="762">
        <v>0</v>
      </c>
      <c r="CH754" s="762">
        <v>0</v>
      </c>
      <c r="CI754" s="762">
        <v>0</v>
      </c>
      <c r="CJ754" s="762">
        <v>0</v>
      </c>
      <c r="CK754" s="762">
        <v>0</v>
      </c>
      <c r="CL754" s="762">
        <v>0</v>
      </c>
      <c r="CM754" s="762">
        <v>0</v>
      </c>
      <c r="CN754" s="762">
        <v>0</v>
      </c>
      <c r="CO754" s="762">
        <v>0</v>
      </c>
      <c r="CP754" s="762">
        <v>0</v>
      </c>
      <c r="CQ754" s="762">
        <v>0</v>
      </c>
      <c r="CR754" s="762">
        <v>0</v>
      </c>
    </row>
    <row r="755" spans="1:96" s="53" customFormat="1">
      <c r="A755" s="721" t="s">
        <v>3</v>
      </c>
      <c r="B755" s="723">
        <v>41757</v>
      </c>
      <c r="C755" s="721">
        <v>2014</v>
      </c>
      <c r="D755" s="713" t="s">
        <v>1</v>
      </c>
      <c r="E755" s="713" t="s">
        <v>674</v>
      </c>
      <c r="F755" s="723" t="s">
        <v>681</v>
      </c>
      <c r="G755" s="713" t="s">
        <v>58</v>
      </c>
      <c r="H755" s="723" t="s">
        <v>761</v>
      </c>
      <c r="I755" s="713" t="s">
        <v>5</v>
      </c>
      <c r="J755" s="713" t="s">
        <v>376</v>
      </c>
      <c r="K755" s="766">
        <v>11</v>
      </c>
      <c r="L755" s="766" t="s">
        <v>671</v>
      </c>
      <c r="M755" s="765" t="s">
        <v>744</v>
      </c>
      <c r="N755" s="765">
        <v>11</v>
      </c>
      <c r="O755" s="765" t="s">
        <v>7</v>
      </c>
      <c r="P755" s="735">
        <v>1</v>
      </c>
      <c r="Q755" s="713" t="s">
        <v>58</v>
      </c>
      <c r="R755" s="713" t="s">
        <v>58</v>
      </c>
      <c r="S755" s="713" t="s">
        <v>58</v>
      </c>
      <c r="T755" s="713" t="s">
        <v>58</v>
      </c>
      <c r="U755" s="764">
        <v>0.72050000000000003</v>
      </c>
      <c r="V755" s="764">
        <v>2680.9805000000001</v>
      </c>
      <c r="W755" s="764">
        <v>0.56509572912352912</v>
      </c>
      <c r="X755" s="764">
        <v>2214.9643912230958</v>
      </c>
      <c r="Y755" s="764">
        <v>24364.608303454053</v>
      </c>
      <c r="Z755" s="764">
        <v>22997.030476703938</v>
      </c>
      <c r="AA755" s="764">
        <v>2090.6391342458123</v>
      </c>
      <c r="AB755" s="764">
        <v>0.53375747175897981</v>
      </c>
      <c r="AC755" s="714">
        <v>0.82617698682369967</v>
      </c>
      <c r="AD755" s="714">
        <v>0.7843105192554185</v>
      </c>
      <c r="AE755" s="713" t="s">
        <v>58</v>
      </c>
      <c r="AF755" s="713" t="s">
        <v>58</v>
      </c>
      <c r="AG755" s="713" t="s">
        <v>58</v>
      </c>
      <c r="AH755" s="714">
        <v>0.94387031345969796</v>
      </c>
      <c r="AI755" s="713" t="s">
        <v>58</v>
      </c>
      <c r="AJ755" s="713" t="s">
        <v>58</v>
      </c>
      <c r="AK755" s="713" t="s">
        <v>58</v>
      </c>
      <c r="AL755" s="714">
        <v>0.94454345387965444</v>
      </c>
      <c r="AM755" s="713" t="s">
        <v>58</v>
      </c>
      <c r="AN755" s="713" t="s">
        <v>58</v>
      </c>
      <c r="AO755" s="713" t="s">
        <v>58</v>
      </c>
      <c r="AP755" s="747">
        <v>57</v>
      </c>
      <c r="AQ755" s="747">
        <v>627</v>
      </c>
      <c r="AR755" s="709"/>
      <c r="AS755" s="763">
        <v>0</v>
      </c>
      <c r="AT755" s="763">
        <v>0</v>
      </c>
      <c r="AU755" s="763">
        <v>0</v>
      </c>
      <c r="AV755" s="763">
        <v>0.53375747175897981</v>
      </c>
      <c r="AW755" s="763">
        <v>0.53375747175897981</v>
      </c>
      <c r="AX755" s="763">
        <v>0.53375747175897981</v>
      </c>
      <c r="AY755" s="763">
        <v>0.53375747175897981</v>
      </c>
      <c r="AZ755" s="763">
        <v>0.53375747175897981</v>
      </c>
      <c r="BA755" s="763">
        <v>0.53375747175897981</v>
      </c>
      <c r="BB755" s="763">
        <v>0.53375747175897981</v>
      </c>
      <c r="BC755" s="763">
        <v>0.53375747175897981</v>
      </c>
      <c r="BD755" s="763">
        <v>0.53375747175897981</v>
      </c>
      <c r="BE755" s="763">
        <v>0.53375747175897981</v>
      </c>
      <c r="BF755" s="763">
        <v>0.53375747175897981</v>
      </c>
      <c r="BG755" s="763">
        <v>0</v>
      </c>
      <c r="BH755" s="763">
        <v>0</v>
      </c>
      <c r="BI755" s="763">
        <v>0</v>
      </c>
      <c r="BJ755" s="763">
        <v>0</v>
      </c>
      <c r="BK755" s="763">
        <v>0</v>
      </c>
      <c r="BL755" s="763">
        <v>0</v>
      </c>
      <c r="BM755" s="763">
        <v>0</v>
      </c>
      <c r="BN755" s="763">
        <v>0</v>
      </c>
      <c r="BO755" s="763">
        <v>0</v>
      </c>
      <c r="BP755" s="763">
        <v>0</v>
      </c>
      <c r="BQ755" s="763">
        <v>0</v>
      </c>
      <c r="BR755" s="763">
        <v>0</v>
      </c>
      <c r="BS755" s="762">
        <v>0</v>
      </c>
      <c r="BT755" s="762">
        <v>0</v>
      </c>
      <c r="BU755" s="762">
        <v>0</v>
      </c>
      <c r="BV755" s="762">
        <v>2090.6391342458123</v>
      </c>
      <c r="BW755" s="762">
        <v>2090.6391342458123</v>
      </c>
      <c r="BX755" s="762">
        <v>2090.6391342458123</v>
      </c>
      <c r="BY755" s="762">
        <v>2090.6391342458123</v>
      </c>
      <c r="BZ755" s="762">
        <v>2090.6391342458123</v>
      </c>
      <c r="CA755" s="762">
        <v>2090.6391342458123</v>
      </c>
      <c r="CB755" s="762">
        <v>2090.6391342458123</v>
      </c>
      <c r="CC755" s="762">
        <v>2090.6391342458123</v>
      </c>
      <c r="CD755" s="762">
        <v>2090.6391342458123</v>
      </c>
      <c r="CE755" s="762">
        <v>2090.6391342458123</v>
      </c>
      <c r="CF755" s="762">
        <v>2090.6391342458123</v>
      </c>
      <c r="CG755" s="762">
        <v>0</v>
      </c>
      <c r="CH755" s="762">
        <v>0</v>
      </c>
      <c r="CI755" s="762">
        <v>0</v>
      </c>
      <c r="CJ755" s="762">
        <v>0</v>
      </c>
      <c r="CK755" s="762">
        <v>0</v>
      </c>
      <c r="CL755" s="762">
        <v>0</v>
      </c>
      <c r="CM755" s="762">
        <v>0</v>
      </c>
      <c r="CN755" s="762">
        <v>0</v>
      </c>
      <c r="CO755" s="762">
        <v>0</v>
      </c>
      <c r="CP755" s="762">
        <v>0</v>
      </c>
      <c r="CQ755" s="762">
        <v>0</v>
      </c>
      <c r="CR755" s="762">
        <v>0</v>
      </c>
    </row>
    <row r="756" spans="1:96" s="53" customFormat="1">
      <c r="A756" s="721" t="s">
        <v>3</v>
      </c>
      <c r="B756" s="723">
        <v>41644</v>
      </c>
      <c r="C756" s="721">
        <v>2014</v>
      </c>
      <c r="D756" s="713" t="s">
        <v>1</v>
      </c>
      <c r="E756" s="713" t="s">
        <v>674</v>
      </c>
      <c r="F756" s="723" t="s">
        <v>685</v>
      </c>
      <c r="G756" s="713" t="s">
        <v>58</v>
      </c>
      <c r="H756" s="723" t="s">
        <v>700</v>
      </c>
      <c r="I756" s="713" t="s">
        <v>5</v>
      </c>
      <c r="J756" s="713" t="s">
        <v>376</v>
      </c>
      <c r="K756" s="766">
        <v>2</v>
      </c>
      <c r="L756" s="766" t="s">
        <v>671</v>
      </c>
      <c r="M756" s="765" t="s">
        <v>762</v>
      </c>
      <c r="N756" s="765">
        <v>10</v>
      </c>
      <c r="O756" s="765" t="s">
        <v>7</v>
      </c>
      <c r="P756" s="735">
        <v>1</v>
      </c>
      <c r="Q756" s="713" t="s">
        <v>58</v>
      </c>
      <c r="R756" s="713" t="s">
        <v>58</v>
      </c>
      <c r="S756" s="713" t="s">
        <v>58</v>
      </c>
      <c r="T756" s="713" t="s">
        <v>58</v>
      </c>
      <c r="U756" s="764">
        <v>5.3999999999999999E-2</v>
      </c>
      <c r="V756" s="764">
        <v>473.04</v>
      </c>
      <c r="W756" s="764">
        <v>4.2352768039792606E-2</v>
      </c>
      <c r="X756" s="764">
        <v>390.81476184708288</v>
      </c>
      <c r="Y756" s="764">
        <v>3908.147618470829</v>
      </c>
      <c r="Z756" s="764">
        <v>3688.7845176928336</v>
      </c>
      <c r="AA756" s="764">
        <v>368.87845176928334</v>
      </c>
      <c r="AB756" s="764">
        <v>4.0004029805669548E-2</v>
      </c>
      <c r="AC756" s="714">
        <v>0.82617698682369967</v>
      </c>
      <c r="AD756" s="714">
        <v>0.7843105192554185</v>
      </c>
      <c r="AE756" s="713" t="s">
        <v>58</v>
      </c>
      <c r="AF756" s="713" t="s">
        <v>58</v>
      </c>
      <c r="AG756" s="713" t="s">
        <v>58</v>
      </c>
      <c r="AH756" s="714">
        <v>0.94387031345969796</v>
      </c>
      <c r="AI756" s="713" t="s">
        <v>58</v>
      </c>
      <c r="AJ756" s="713" t="s">
        <v>58</v>
      </c>
      <c r="AK756" s="713" t="s">
        <v>58</v>
      </c>
      <c r="AL756" s="714">
        <v>0.94454345387965444</v>
      </c>
      <c r="AM756" s="713" t="s">
        <v>58</v>
      </c>
      <c r="AN756" s="713" t="s">
        <v>58</v>
      </c>
      <c r="AO756" s="713" t="s">
        <v>58</v>
      </c>
      <c r="AP756" s="747">
        <v>69</v>
      </c>
      <c r="AQ756" s="747">
        <v>138</v>
      </c>
      <c r="AR756" s="709"/>
      <c r="AS756" s="763">
        <v>0</v>
      </c>
      <c r="AT756" s="763">
        <v>0</v>
      </c>
      <c r="AU756" s="763">
        <v>0</v>
      </c>
      <c r="AV756" s="763">
        <v>4.0004029805669548E-2</v>
      </c>
      <c r="AW756" s="763">
        <v>4.0004029805669548E-2</v>
      </c>
      <c r="AX756" s="763">
        <v>4.0004029805669548E-2</v>
      </c>
      <c r="AY756" s="763">
        <v>4.0004029805669548E-2</v>
      </c>
      <c r="AZ756" s="763">
        <v>4.0004029805669548E-2</v>
      </c>
      <c r="BA756" s="763">
        <v>4.0004029805669548E-2</v>
      </c>
      <c r="BB756" s="763">
        <v>4.0004029805669548E-2</v>
      </c>
      <c r="BC756" s="763">
        <v>4.0004029805669548E-2</v>
      </c>
      <c r="BD756" s="763">
        <v>4.0004029805669548E-2</v>
      </c>
      <c r="BE756" s="763">
        <v>4.0004029805669548E-2</v>
      </c>
      <c r="BF756" s="763">
        <v>0</v>
      </c>
      <c r="BG756" s="763">
        <v>0</v>
      </c>
      <c r="BH756" s="763">
        <v>0</v>
      </c>
      <c r="BI756" s="763">
        <v>0</v>
      </c>
      <c r="BJ756" s="763">
        <v>0</v>
      </c>
      <c r="BK756" s="763">
        <v>0</v>
      </c>
      <c r="BL756" s="763">
        <v>0</v>
      </c>
      <c r="BM756" s="763">
        <v>0</v>
      </c>
      <c r="BN756" s="763">
        <v>0</v>
      </c>
      <c r="BO756" s="763">
        <v>0</v>
      </c>
      <c r="BP756" s="763">
        <v>0</v>
      </c>
      <c r="BQ756" s="763">
        <v>0</v>
      </c>
      <c r="BR756" s="763">
        <v>0</v>
      </c>
      <c r="BS756" s="762">
        <v>0</v>
      </c>
      <c r="BT756" s="762">
        <v>0</v>
      </c>
      <c r="BU756" s="762">
        <v>0</v>
      </c>
      <c r="BV756" s="762">
        <v>368.87845176928334</v>
      </c>
      <c r="BW756" s="762">
        <v>368.87845176928334</v>
      </c>
      <c r="BX756" s="762">
        <v>368.87845176928334</v>
      </c>
      <c r="BY756" s="762">
        <v>368.87845176928334</v>
      </c>
      <c r="BZ756" s="762">
        <v>368.87845176928334</v>
      </c>
      <c r="CA756" s="762">
        <v>368.87845176928334</v>
      </c>
      <c r="CB756" s="762">
        <v>368.87845176928334</v>
      </c>
      <c r="CC756" s="762">
        <v>368.87845176928334</v>
      </c>
      <c r="CD756" s="762">
        <v>368.87845176928334</v>
      </c>
      <c r="CE756" s="762">
        <v>368.87845176928334</v>
      </c>
      <c r="CF756" s="762">
        <v>0</v>
      </c>
      <c r="CG756" s="762">
        <v>0</v>
      </c>
      <c r="CH756" s="762">
        <v>0</v>
      </c>
      <c r="CI756" s="762">
        <v>0</v>
      </c>
      <c r="CJ756" s="762">
        <v>0</v>
      </c>
      <c r="CK756" s="762">
        <v>0</v>
      </c>
      <c r="CL756" s="762">
        <v>0</v>
      </c>
      <c r="CM756" s="762">
        <v>0</v>
      </c>
      <c r="CN756" s="762">
        <v>0</v>
      </c>
      <c r="CO756" s="762">
        <v>0</v>
      </c>
      <c r="CP756" s="762">
        <v>0</v>
      </c>
      <c r="CQ756" s="762">
        <v>0</v>
      </c>
      <c r="CR756" s="762">
        <v>0</v>
      </c>
    </row>
    <row r="757" spans="1:96" s="53" customFormat="1">
      <c r="A757" s="721" t="s">
        <v>3</v>
      </c>
      <c r="B757" s="723">
        <v>41644</v>
      </c>
      <c r="C757" s="721">
        <v>2014</v>
      </c>
      <c r="D757" s="713" t="s">
        <v>1</v>
      </c>
      <c r="E757" s="713" t="s">
        <v>674</v>
      </c>
      <c r="F757" s="723" t="s">
        <v>685</v>
      </c>
      <c r="G757" s="713" t="s">
        <v>58</v>
      </c>
      <c r="H757" s="723" t="s">
        <v>700</v>
      </c>
      <c r="I757" s="713" t="s">
        <v>5</v>
      </c>
      <c r="J757" s="713" t="s">
        <v>376</v>
      </c>
      <c r="K757" s="766">
        <v>2</v>
      </c>
      <c r="L757" s="766" t="s">
        <v>671</v>
      </c>
      <c r="M757" s="765" t="s">
        <v>762</v>
      </c>
      <c r="N757" s="765">
        <v>10</v>
      </c>
      <c r="O757" s="765" t="s">
        <v>7</v>
      </c>
      <c r="P757" s="735">
        <v>1</v>
      </c>
      <c r="Q757" s="713" t="s">
        <v>58</v>
      </c>
      <c r="R757" s="713" t="s">
        <v>58</v>
      </c>
      <c r="S757" s="713" t="s">
        <v>58</v>
      </c>
      <c r="T757" s="713" t="s">
        <v>58</v>
      </c>
      <c r="U757" s="764">
        <v>5.3999999999999999E-2</v>
      </c>
      <c r="V757" s="764">
        <v>473.04</v>
      </c>
      <c r="W757" s="764">
        <v>4.2352768039792606E-2</v>
      </c>
      <c r="X757" s="764">
        <v>390.81476184708288</v>
      </c>
      <c r="Y757" s="764">
        <v>3908.147618470829</v>
      </c>
      <c r="Z757" s="764">
        <v>3688.7845176928336</v>
      </c>
      <c r="AA757" s="764">
        <v>368.87845176928334</v>
      </c>
      <c r="AB757" s="764">
        <v>4.0004029805669548E-2</v>
      </c>
      <c r="AC757" s="714">
        <v>0.82617698682369967</v>
      </c>
      <c r="AD757" s="714">
        <v>0.7843105192554185</v>
      </c>
      <c r="AE757" s="713" t="s">
        <v>58</v>
      </c>
      <c r="AF757" s="713" t="s">
        <v>58</v>
      </c>
      <c r="AG757" s="713" t="s">
        <v>58</v>
      </c>
      <c r="AH757" s="714">
        <v>0.94387031345969796</v>
      </c>
      <c r="AI757" s="713" t="s">
        <v>58</v>
      </c>
      <c r="AJ757" s="713" t="s">
        <v>58</v>
      </c>
      <c r="AK757" s="713" t="s">
        <v>58</v>
      </c>
      <c r="AL757" s="714">
        <v>0.94454345387965444</v>
      </c>
      <c r="AM757" s="713" t="s">
        <v>58</v>
      </c>
      <c r="AN757" s="713" t="s">
        <v>58</v>
      </c>
      <c r="AO757" s="713" t="s">
        <v>58</v>
      </c>
      <c r="AP757" s="747">
        <v>69</v>
      </c>
      <c r="AQ757" s="747">
        <v>138</v>
      </c>
      <c r="AR757" s="709"/>
      <c r="AS757" s="763">
        <v>0</v>
      </c>
      <c r="AT757" s="763">
        <v>0</v>
      </c>
      <c r="AU757" s="763">
        <v>0</v>
      </c>
      <c r="AV757" s="763">
        <v>4.0004029805669548E-2</v>
      </c>
      <c r="AW757" s="763">
        <v>4.0004029805669548E-2</v>
      </c>
      <c r="AX757" s="763">
        <v>4.0004029805669548E-2</v>
      </c>
      <c r="AY757" s="763">
        <v>4.0004029805669548E-2</v>
      </c>
      <c r="AZ757" s="763">
        <v>4.0004029805669548E-2</v>
      </c>
      <c r="BA757" s="763">
        <v>4.0004029805669548E-2</v>
      </c>
      <c r="BB757" s="763">
        <v>4.0004029805669548E-2</v>
      </c>
      <c r="BC757" s="763">
        <v>4.0004029805669548E-2</v>
      </c>
      <c r="BD757" s="763">
        <v>4.0004029805669548E-2</v>
      </c>
      <c r="BE757" s="763">
        <v>4.0004029805669548E-2</v>
      </c>
      <c r="BF757" s="763">
        <v>0</v>
      </c>
      <c r="BG757" s="763">
        <v>0</v>
      </c>
      <c r="BH757" s="763">
        <v>0</v>
      </c>
      <c r="BI757" s="763">
        <v>0</v>
      </c>
      <c r="BJ757" s="763">
        <v>0</v>
      </c>
      <c r="BK757" s="763">
        <v>0</v>
      </c>
      <c r="BL757" s="763">
        <v>0</v>
      </c>
      <c r="BM757" s="763">
        <v>0</v>
      </c>
      <c r="BN757" s="763">
        <v>0</v>
      </c>
      <c r="BO757" s="763">
        <v>0</v>
      </c>
      <c r="BP757" s="763">
        <v>0</v>
      </c>
      <c r="BQ757" s="763">
        <v>0</v>
      </c>
      <c r="BR757" s="763">
        <v>0</v>
      </c>
      <c r="BS757" s="762">
        <v>0</v>
      </c>
      <c r="BT757" s="762">
        <v>0</v>
      </c>
      <c r="BU757" s="762">
        <v>0</v>
      </c>
      <c r="BV757" s="762">
        <v>368.87845176928334</v>
      </c>
      <c r="BW757" s="762">
        <v>368.87845176928334</v>
      </c>
      <c r="BX757" s="762">
        <v>368.87845176928334</v>
      </c>
      <c r="BY757" s="762">
        <v>368.87845176928334</v>
      </c>
      <c r="BZ757" s="762">
        <v>368.87845176928334</v>
      </c>
      <c r="CA757" s="762">
        <v>368.87845176928334</v>
      </c>
      <c r="CB757" s="762">
        <v>368.87845176928334</v>
      </c>
      <c r="CC757" s="762">
        <v>368.87845176928334</v>
      </c>
      <c r="CD757" s="762">
        <v>368.87845176928334</v>
      </c>
      <c r="CE757" s="762">
        <v>368.87845176928334</v>
      </c>
      <c r="CF757" s="762">
        <v>0</v>
      </c>
      <c r="CG757" s="762">
        <v>0</v>
      </c>
      <c r="CH757" s="762">
        <v>0</v>
      </c>
      <c r="CI757" s="762">
        <v>0</v>
      </c>
      <c r="CJ757" s="762">
        <v>0</v>
      </c>
      <c r="CK757" s="762">
        <v>0</v>
      </c>
      <c r="CL757" s="762">
        <v>0</v>
      </c>
      <c r="CM757" s="762">
        <v>0</v>
      </c>
      <c r="CN757" s="762">
        <v>0</v>
      </c>
      <c r="CO757" s="762">
        <v>0</v>
      </c>
      <c r="CP757" s="762">
        <v>0</v>
      </c>
      <c r="CQ757" s="762">
        <v>0</v>
      </c>
      <c r="CR757" s="762">
        <v>0</v>
      </c>
    </row>
    <row r="758" spans="1:96" s="53" customFormat="1">
      <c r="A758" s="721" t="s">
        <v>3</v>
      </c>
      <c r="B758" s="723">
        <v>41644</v>
      </c>
      <c r="C758" s="721">
        <v>2014</v>
      </c>
      <c r="D758" s="713" t="s">
        <v>1</v>
      </c>
      <c r="E758" s="713" t="s">
        <v>674</v>
      </c>
      <c r="F758" s="723" t="s">
        <v>685</v>
      </c>
      <c r="G758" s="713" t="s">
        <v>58</v>
      </c>
      <c r="H758" s="723" t="s">
        <v>678</v>
      </c>
      <c r="I758" s="713" t="s">
        <v>5</v>
      </c>
      <c r="J758" s="713" t="s">
        <v>376</v>
      </c>
      <c r="K758" s="766">
        <v>3</v>
      </c>
      <c r="L758" s="766" t="s">
        <v>671</v>
      </c>
      <c r="M758" s="765" t="s">
        <v>762</v>
      </c>
      <c r="N758" s="765">
        <v>3</v>
      </c>
      <c r="O758" s="765">
        <v>2</v>
      </c>
      <c r="P758" s="735">
        <v>0.6149863305954828</v>
      </c>
      <c r="Q758" s="713" t="s">
        <v>58</v>
      </c>
      <c r="R758" s="713" t="s">
        <v>58</v>
      </c>
      <c r="S758" s="713" t="s">
        <v>58</v>
      </c>
      <c r="T758" s="713" t="s">
        <v>58</v>
      </c>
      <c r="U758" s="764">
        <v>0.14099999999999999</v>
      </c>
      <c r="V758" s="764">
        <v>680.32500000000005</v>
      </c>
      <c r="W758" s="764">
        <v>0.110587783215014</v>
      </c>
      <c r="X758" s="764">
        <v>562.06885856083352</v>
      </c>
      <c r="Y758" s="764">
        <v>1469.8023819899854</v>
      </c>
      <c r="Z758" s="764">
        <v>1387.3028350126983</v>
      </c>
      <c r="AA758" s="764">
        <v>530.52010971574862</v>
      </c>
      <c r="AB758" s="764">
        <v>0.1044549667148038</v>
      </c>
      <c r="AC758" s="714">
        <v>0.82617698682369967</v>
      </c>
      <c r="AD758" s="714">
        <v>0.7843105192554185</v>
      </c>
      <c r="AE758" s="713" t="s">
        <v>58</v>
      </c>
      <c r="AF758" s="713" t="s">
        <v>58</v>
      </c>
      <c r="AG758" s="713" t="s">
        <v>58</v>
      </c>
      <c r="AH758" s="714">
        <v>0.94387031345969796</v>
      </c>
      <c r="AI758" s="713" t="s">
        <v>58</v>
      </c>
      <c r="AJ758" s="713" t="s">
        <v>58</v>
      </c>
      <c r="AK758" s="713" t="s">
        <v>58</v>
      </c>
      <c r="AL758" s="714">
        <v>0.94454345387965444</v>
      </c>
      <c r="AM758" s="713" t="s">
        <v>58</v>
      </c>
      <c r="AN758" s="713" t="s">
        <v>58</v>
      </c>
      <c r="AO758" s="713" t="s">
        <v>58</v>
      </c>
      <c r="AP758" s="747">
        <v>8</v>
      </c>
      <c r="AQ758" s="747">
        <v>24</v>
      </c>
      <c r="AR758" s="709"/>
      <c r="AS758" s="763">
        <v>0</v>
      </c>
      <c r="AT758" s="763">
        <v>0</v>
      </c>
      <c r="AU758" s="763">
        <v>0</v>
      </c>
      <c r="AV758" s="763">
        <v>0.1044549667148038</v>
      </c>
      <c r="AW758" s="763">
        <v>0.1044549667148038</v>
      </c>
      <c r="AX758" s="763">
        <v>6.4238376692410476E-2</v>
      </c>
      <c r="AY758" s="763">
        <v>0</v>
      </c>
      <c r="AZ758" s="763">
        <v>0</v>
      </c>
      <c r="BA758" s="763">
        <v>0</v>
      </c>
      <c r="BB758" s="763">
        <v>0</v>
      </c>
      <c r="BC758" s="763">
        <v>0</v>
      </c>
      <c r="BD758" s="763">
        <v>0</v>
      </c>
      <c r="BE758" s="763">
        <v>0</v>
      </c>
      <c r="BF758" s="763">
        <v>0</v>
      </c>
      <c r="BG758" s="763">
        <v>0</v>
      </c>
      <c r="BH758" s="763">
        <v>0</v>
      </c>
      <c r="BI758" s="763">
        <v>0</v>
      </c>
      <c r="BJ758" s="763">
        <v>0</v>
      </c>
      <c r="BK758" s="763">
        <v>0</v>
      </c>
      <c r="BL758" s="763">
        <v>0</v>
      </c>
      <c r="BM758" s="763">
        <v>0</v>
      </c>
      <c r="BN758" s="763">
        <v>0</v>
      </c>
      <c r="BO758" s="763">
        <v>0</v>
      </c>
      <c r="BP758" s="763">
        <v>0</v>
      </c>
      <c r="BQ758" s="763">
        <v>0</v>
      </c>
      <c r="BR758" s="763">
        <v>0</v>
      </c>
      <c r="BS758" s="762">
        <v>0</v>
      </c>
      <c r="BT758" s="762">
        <v>0</v>
      </c>
      <c r="BU758" s="762">
        <v>0</v>
      </c>
      <c r="BV758" s="762">
        <v>530.52010971574862</v>
      </c>
      <c r="BW758" s="762">
        <v>530.52010971574862</v>
      </c>
      <c r="BX758" s="762">
        <v>326.2626155812012</v>
      </c>
      <c r="BY758" s="762">
        <v>0</v>
      </c>
      <c r="BZ758" s="762">
        <v>0</v>
      </c>
      <c r="CA758" s="762">
        <v>0</v>
      </c>
      <c r="CB758" s="762">
        <v>0</v>
      </c>
      <c r="CC758" s="762">
        <v>0</v>
      </c>
      <c r="CD758" s="762">
        <v>0</v>
      </c>
      <c r="CE758" s="762">
        <v>0</v>
      </c>
      <c r="CF758" s="762">
        <v>0</v>
      </c>
      <c r="CG758" s="762">
        <v>0</v>
      </c>
      <c r="CH758" s="762">
        <v>0</v>
      </c>
      <c r="CI758" s="762">
        <v>0</v>
      </c>
      <c r="CJ758" s="762">
        <v>0</v>
      </c>
      <c r="CK758" s="762">
        <v>0</v>
      </c>
      <c r="CL758" s="762">
        <v>0</v>
      </c>
      <c r="CM758" s="762">
        <v>0</v>
      </c>
      <c r="CN758" s="762">
        <v>0</v>
      </c>
      <c r="CO758" s="762">
        <v>0</v>
      </c>
      <c r="CP758" s="762">
        <v>0</v>
      </c>
      <c r="CQ758" s="762">
        <v>0</v>
      </c>
      <c r="CR758" s="762">
        <v>0</v>
      </c>
    </row>
    <row r="759" spans="1:96" s="53" customFormat="1">
      <c r="A759" s="721" t="s">
        <v>3</v>
      </c>
      <c r="B759" s="723">
        <v>41644</v>
      </c>
      <c r="C759" s="721">
        <v>2014</v>
      </c>
      <c r="D759" s="713" t="s">
        <v>1</v>
      </c>
      <c r="E759" s="713" t="s">
        <v>674</v>
      </c>
      <c r="F759" s="723" t="s">
        <v>685</v>
      </c>
      <c r="G759" s="713" t="s">
        <v>58</v>
      </c>
      <c r="H759" s="723" t="s">
        <v>678</v>
      </c>
      <c r="I759" s="713" t="s">
        <v>5</v>
      </c>
      <c r="J759" s="713" t="s">
        <v>376</v>
      </c>
      <c r="K759" s="766">
        <v>6</v>
      </c>
      <c r="L759" s="766" t="s">
        <v>671</v>
      </c>
      <c r="M759" s="765" t="s">
        <v>762</v>
      </c>
      <c r="N759" s="765">
        <v>3</v>
      </c>
      <c r="O759" s="765">
        <v>2</v>
      </c>
      <c r="P759" s="735">
        <v>0.6149863305954828</v>
      </c>
      <c r="Q759" s="713" t="s">
        <v>58</v>
      </c>
      <c r="R759" s="713" t="s">
        <v>58</v>
      </c>
      <c r="S759" s="713" t="s">
        <v>58</v>
      </c>
      <c r="T759" s="713" t="s">
        <v>58</v>
      </c>
      <c r="U759" s="764">
        <v>0.28199999999999997</v>
      </c>
      <c r="V759" s="764">
        <v>1360.65</v>
      </c>
      <c r="W759" s="764">
        <v>0.221175566430028</v>
      </c>
      <c r="X759" s="764">
        <v>1124.137717121667</v>
      </c>
      <c r="Y759" s="764">
        <v>2939.6047639799708</v>
      </c>
      <c r="Z759" s="764">
        <v>2774.6056700253966</v>
      </c>
      <c r="AA759" s="764">
        <v>1061.0402194314972</v>
      </c>
      <c r="AB759" s="764">
        <v>0.20890993342960759</v>
      </c>
      <c r="AC759" s="714">
        <v>0.82617698682369967</v>
      </c>
      <c r="AD759" s="714">
        <v>0.7843105192554185</v>
      </c>
      <c r="AE759" s="713" t="s">
        <v>58</v>
      </c>
      <c r="AF759" s="713" t="s">
        <v>58</v>
      </c>
      <c r="AG759" s="713" t="s">
        <v>58</v>
      </c>
      <c r="AH759" s="714">
        <v>0.94387031345969796</v>
      </c>
      <c r="AI759" s="713" t="s">
        <v>58</v>
      </c>
      <c r="AJ759" s="713" t="s">
        <v>58</v>
      </c>
      <c r="AK759" s="713" t="s">
        <v>58</v>
      </c>
      <c r="AL759" s="714">
        <v>0.94454345387965444</v>
      </c>
      <c r="AM759" s="713" t="s">
        <v>58</v>
      </c>
      <c r="AN759" s="713" t="s">
        <v>58</v>
      </c>
      <c r="AO759" s="713" t="s">
        <v>58</v>
      </c>
      <c r="AP759" s="747">
        <v>8</v>
      </c>
      <c r="AQ759" s="747">
        <v>48</v>
      </c>
      <c r="AR759" s="709"/>
      <c r="AS759" s="763">
        <v>0</v>
      </c>
      <c r="AT759" s="763">
        <v>0</v>
      </c>
      <c r="AU759" s="763">
        <v>0</v>
      </c>
      <c r="AV759" s="763">
        <v>0.20890993342960759</v>
      </c>
      <c r="AW759" s="763">
        <v>0.20890993342960759</v>
      </c>
      <c r="AX759" s="763">
        <v>0.12847675338482095</v>
      </c>
      <c r="AY759" s="763">
        <v>0</v>
      </c>
      <c r="AZ759" s="763">
        <v>0</v>
      </c>
      <c r="BA759" s="763">
        <v>0</v>
      </c>
      <c r="BB759" s="763">
        <v>0</v>
      </c>
      <c r="BC759" s="763">
        <v>0</v>
      </c>
      <c r="BD759" s="763">
        <v>0</v>
      </c>
      <c r="BE759" s="763">
        <v>0</v>
      </c>
      <c r="BF759" s="763">
        <v>0</v>
      </c>
      <c r="BG759" s="763">
        <v>0</v>
      </c>
      <c r="BH759" s="763">
        <v>0</v>
      </c>
      <c r="BI759" s="763">
        <v>0</v>
      </c>
      <c r="BJ759" s="763">
        <v>0</v>
      </c>
      <c r="BK759" s="763">
        <v>0</v>
      </c>
      <c r="BL759" s="763">
        <v>0</v>
      </c>
      <c r="BM759" s="763">
        <v>0</v>
      </c>
      <c r="BN759" s="763">
        <v>0</v>
      </c>
      <c r="BO759" s="763">
        <v>0</v>
      </c>
      <c r="BP759" s="763">
        <v>0</v>
      </c>
      <c r="BQ759" s="763">
        <v>0</v>
      </c>
      <c r="BR759" s="763">
        <v>0</v>
      </c>
      <c r="BS759" s="762">
        <v>0</v>
      </c>
      <c r="BT759" s="762">
        <v>0</v>
      </c>
      <c r="BU759" s="762">
        <v>0</v>
      </c>
      <c r="BV759" s="762">
        <v>1061.0402194314972</v>
      </c>
      <c r="BW759" s="762">
        <v>1061.0402194314972</v>
      </c>
      <c r="BX759" s="762">
        <v>652.52523116240241</v>
      </c>
      <c r="BY759" s="762">
        <v>0</v>
      </c>
      <c r="BZ759" s="762">
        <v>0</v>
      </c>
      <c r="CA759" s="762">
        <v>0</v>
      </c>
      <c r="CB759" s="762">
        <v>0</v>
      </c>
      <c r="CC759" s="762">
        <v>0</v>
      </c>
      <c r="CD759" s="762">
        <v>0</v>
      </c>
      <c r="CE759" s="762">
        <v>0</v>
      </c>
      <c r="CF759" s="762">
        <v>0</v>
      </c>
      <c r="CG759" s="762">
        <v>0</v>
      </c>
      <c r="CH759" s="762">
        <v>0</v>
      </c>
      <c r="CI759" s="762">
        <v>0</v>
      </c>
      <c r="CJ759" s="762">
        <v>0</v>
      </c>
      <c r="CK759" s="762">
        <v>0</v>
      </c>
      <c r="CL759" s="762">
        <v>0</v>
      </c>
      <c r="CM759" s="762">
        <v>0</v>
      </c>
      <c r="CN759" s="762">
        <v>0</v>
      </c>
      <c r="CO759" s="762">
        <v>0</v>
      </c>
      <c r="CP759" s="762">
        <v>0</v>
      </c>
      <c r="CQ759" s="762">
        <v>0</v>
      </c>
      <c r="CR759" s="762">
        <v>0</v>
      </c>
    </row>
    <row r="760" spans="1:96" s="53" customFormat="1">
      <c r="A760" s="721" t="s">
        <v>3</v>
      </c>
      <c r="B760" s="723">
        <v>41644</v>
      </c>
      <c r="C760" s="721">
        <v>2014</v>
      </c>
      <c r="D760" s="713" t="s">
        <v>1</v>
      </c>
      <c r="E760" s="713" t="s">
        <v>674</v>
      </c>
      <c r="F760" s="723" t="s">
        <v>685</v>
      </c>
      <c r="G760" s="713" t="s">
        <v>58</v>
      </c>
      <c r="H760" s="723" t="s">
        <v>703</v>
      </c>
      <c r="I760" s="713" t="s">
        <v>5</v>
      </c>
      <c r="J760" s="713" t="s">
        <v>376</v>
      </c>
      <c r="K760" s="766">
        <v>1</v>
      </c>
      <c r="L760" s="766" t="s">
        <v>671</v>
      </c>
      <c r="M760" s="765" t="s">
        <v>762</v>
      </c>
      <c r="N760" s="765">
        <v>3</v>
      </c>
      <c r="O760" s="765">
        <v>1</v>
      </c>
      <c r="P760" s="735">
        <v>0.60014709718448678</v>
      </c>
      <c r="Q760" s="713" t="s">
        <v>58</v>
      </c>
      <c r="R760" s="713" t="s">
        <v>58</v>
      </c>
      <c r="S760" s="713" t="s">
        <v>58</v>
      </c>
      <c r="T760" s="713" t="s">
        <v>58</v>
      </c>
      <c r="U760" s="764">
        <v>7.6999999999999999E-2</v>
      </c>
      <c r="V760" s="764">
        <v>371.52499999999998</v>
      </c>
      <c r="W760" s="764">
        <v>6.0391909982667233E-2</v>
      </c>
      <c r="X760" s="764">
        <v>306.94540502967504</v>
      </c>
      <c r="Y760" s="764">
        <v>675.37019267502706</v>
      </c>
      <c r="Z760" s="764">
        <v>637.46187546151441</v>
      </c>
      <c r="AA760" s="764">
        <v>289.71665566037336</v>
      </c>
      <c r="AB760" s="764">
        <v>5.7042783241417691E-2</v>
      </c>
      <c r="AC760" s="714">
        <v>0.82617698682369967</v>
      </c>
      <c r="AD760" s="714">
        <v>0.7843105192554185</v>
      </c>
      <c r="AE760" s="713" t="s">
        <v>58</v>
      </c>
      <c r="AF760" s="713" t="s">
        <v>58</v>
      </c>
      <c r="AG760" s="713" t="s">
        <v>58</v>
      </c>
      <c r="AH760" s="714">
        <v>0.94387031345969796</v>
      </c>
      <c r="AI760" s="713" t="s">
        <v>58</v>
      </c>
      <c r="AJ760" s="713" t="s">
        <v>58</v>
      </c>
      <c r="AK760" s="713" t="s">
        <v>58</v>
      </c>
      <c r="AL760" s="714">
        <v>0.94454345387965444</v>
      </c>
      <c r="AM760" s="713" t="s">
        <v>58</v>
      </c>
      <c r="AN760" s="713" t="s">
        <v>58</v>
      </c>
      <c r="AO760" s="713" t="s">
        <v>58</v>
      </c>
      <c r="AP760" s="747">
        <v>9.85</v>
      </c>
      <c r="AQ760" s="747">
        <v>9.85</v>
      </c>
      <c r="AR760" s="709"/>
      <c r="AS760" s="763">
        <v>0</v>
      </c>
      <c r="AT760" s="763">
        <v>0</v>
      </c>
      <c r="AU760" s="763">
        <v>0</v>
      </c>
      <c r="AV760" s="763">
        <v>5.7042783241417691E-2</v>
      </c>
      <c r="AW760" s="763">
        <v>3.4234060777660717E-2</v>
      </c>
      <c r="AX760" s="763">
        <v>3.4234060777660717E-2</v>
      </c>
      <c r="AY760" s="763">
        <v>0</v>
      </c>
      <c r="AZ760" s="763">
        <v>0</v>
      </c>
      <c r="BA760" s="763">
        <v>0</v>
      </c>
      <c r="BB760" s="763">
        <v>0</v>
      </c>
      <c r="BC760" s="763">
        <v>0</v>
      </c>
      <c r="BD760" s="763">
        <v>0</v>
      </c>
      <c r="BE760" s="763">
        <v>0</v>
      </c>
      <c r="BF760" s="763">
        <v>0</v>
      </c>
      <c r="BG760" s="763">
        <v>0</v>
      </c>
      <c r="BH760" s="763">
        <v>0</v>
      </c>
      <c r="BI760" s="763">
        <v>0</v>
      </c>
      <c r="BJ760" s="763">
        <v>0</v>
      </c>
      <c r="BK760" s="763">
        <v>0</v>
      </c>
      <c r="BL760" s="763">
        <v>0</v>
      </c>
      <c r="BM760" s="763">
        <v>0</v>
      </c>
      <c r="BN760" s="763">
        <v>0</v>
      </c>
      <c r="BO760" s="763">
        <v>0</v>
      </c>
      <c r="BP760" s="763">
        <v>0</v>
      </c>
      <c r="BQ760" s="763">
        <v>0</v>
      </c>
      <c r="BR760" s="763">
        <v>0</v>
      </c>
      <c r="BS760" s="762">
        <v>0</v>
      </c>
      <c r="BT760" s="762">
        <v>0</v>
      </c>
      <c r="BU760" s="762">
        <v>0</v>
      </c>
      <c r="BV760" s="762">
        <v>289.71665566037336</v>
      </c>
      <c r="BW760" s="762">
        <v>173.87260990057058</v>
      </c>
      <c r="BX760" s="762">
        <v>173.87260990057058</v>
      </c>
      <c r="BY760" s="762">
        <v>0</v>
      </c>
      <c r="BZ760" s="762">
        <v>0</v>
      </c>
      <c r="CA760" s="762">
        <v>0</v>
      </c>
      <c r="CB760" s="762">
        <v>0</v>
      </c>
      <c r="CC760" s="762">
        <v>0</v>
      </c>
      <c r="CD760" s="762">
        <v>0</v>
      </c>
      <c r="CE760" s="762">
        <v>0</v>
      </c>
      <c r="CF760" s="762">
        <v>0</v>
      </c>
      <c r="CG760" s="762">
        <v>0</v>
      </c>
      <c r="CH760" s="762">
        <v>0</v>
      </c>
      <c r="CI760" s="762">
        <v>0</v>
      </c>
      <c r="CJ760" s="762">
        <v>0</v>
      </c>
      <c r="CK760" s="762">
        <v>0</v>
      </c>
      <c r="CL760" s="762">
        <v>0</v>
      </c>
      <c r="CM760" s="762">
        <v>0</v>
      </c>
      <c r="CN760" s="762">
        <v>0</v>
      </c>
      <c r="CO760" s="762">
        <v>0</v>
      </c>
      <c r="CP760" s="762">
        <v>0</v>
      </c>
      <c r="CQ760" s="762">
        <v>0</v>
      </c>
      <c r="CR760" s="762">
        <v>0</v>
      </c>
    </row>
    <row r="761" spans="1:96" s="53" customFormat="1">
      <c r="A761" s="721" t="s">
        <v>3</v>
      </c>
      <c r="B761" s="723">
        <v>41644</v>
      </c>
      <c r="C761" s="721">
        <v>2014</v>
      </c>
      <c r="D761" s="713" t="s">
        <v>1</v>
      </c>
      <c r="E761" s="713" t="s">
        <v>674</v>
      </c>
      <c r="F761" s="723" t="s">
        <v>685</v>
      </c>
      <c r="G761" s="713" t="s">
        <v>58</v>
      </c>
      <c r="H761" s="723" t="s">
        <v>703</v>
      </c>
      <c r="I761" s="713" t="s">
        <v>5</v>
      </c>
      <c r="J761" s="713" t="s">
        <v>376</v>
      </c>
      <c r="K761" s="766">
        <v>1</v>
      </c>
      <c r="L761" s="766" t="s">
        <v>671</v>
      </c>
      <c r="M761" s="765" t="s">
        <v>762</v>
      </c>
      <c r="N761" s="765">
        <v>3</v>
      </c>
      <c r="O761" s="765">
        <v>1</v>
      </c>
      <c r="P761" s="735">
        <v>0.60014709718448678</v>
      </c>
      <c r="Q761" s="713" t="s">
        <v>58</v>
      </c>
      <c r="R761" s="713" t="s">
        <v>58</v>
      </c>
      <c r="S761" s="713" t="s">
        <v>58</v>
      </c>
      <c r="T761" s="713" t="s">
        <v>58</v>
      </c>
      <c r="U761" s="764">
        <v>7.6999999999999999E-2</v>
      </c>
      <c r="V761" s="764">
        <v>371.52499999999998</v>
      </c>
      <c r="W761" s="764">
        <v>6.0391909982667233E-2</v>
      </c>
      <c r="X761" s="764">
        <v>306.94540502967504</v>
      </c>
      <c r="Y761" s="764">
        <v>675.37019267502706</v>
      </c>
      <c r="Z761" s="764">
        <v>637.46187546151441</v>
      </c>
      <c r="AA761" s="764">
        <v>289.71665566037336</v>
      </c>
      <c r="AB761" s="764">
        <v>5.7042783241417691E-2</v>
      </c>
      <c r="AC761" s="714">
        <v>0.82617698682369967</v>
      </c>
      <c r="AD761" s="714">
        <v>0.7843105192554185</v>
      </c>
      <c r="AE761" s="713" t="s">
        <v>58</v>
      </c>
      <c r="AF761" s="713" t="s">
        <v>58</v>
      </c>
      <c r="AG761" s="713" t="s">
        <v>58</v>
      </c>
      <c r="AH761" s="714">
        <v>0.94387031345969796</v>
      </c>
      <c r="AI761" s="713" t="s">
        <v>58</v>
      </c>
      <c r="AJ761" s="713" t="s">
        <v>58</v>
      </c>
      <c r="AK761" s="713" t="s">
        <v>58</v>
      </c>
      <c r="AL761" s="714">
        <v>0.94454345387965444</v>
      </c>
      <c r="AM761" s="713" t="s">
        <v>58</v>
      </c>
      <c r="AN761" s="713" t="s">
        <v>58</v>
      </c>
      <c r="AO761" s="713" t="s">
        <v>58</v>
      </c>
      <c r="AP761" s="747">
        <v>9.85</v>
      </c>
      <c r="AQ761" s="747">
        <v>9.85</v>
      </c>
      <c r="AR761" s="709"/>
      <c r="AS761" s="763">
        <v>0</v>
      </c>
      <c r="AT761" s="763">
        <v>0</v>
      </c>
      <c r="AU761" s="763">
        <v>0</v>
      </c>
      <c r="AV761" s="763">
        <v>5.7042783241417691E-2</v>
      </c>
      <c r="AW761" s="763">
        <v>3.4234060777660717E-2</v>
      </c>
      <c r="AX761" s="763">
        <v>3.4234060777660717E-2</v>
      </c>
      <c r="AY761" s="763">
        <v>0</v>
      </c>
      <c r="AZ761" s="763">
        <v>0</v>
      </c>
      <c r="BA761" s="763">
        <v>0</v>
      </c>
      <c r="BB761" s="763">
        <v>0</v>
      </c>
      <c r="BC761" s="763">
        <v>0</v>
      </c>
      <c r="BD761" s="763">
        <v>0</v>
      </c>
      <c r="BE761" s="763">
        <v>0</v>
      </c>
      <c r="BF761" s="763">
        <v>0</v>
      </c>
      <c r="BG761" s="763">
        <v>0</v>
      </c>
      <c r="BH761" s="763">
        <v>0</v>
      </c>
      <c r="BI761" s="763">
        <v>0</v>
      </c>
      <c r="BJ761" s="763">
        <v>0</v>
      </c>
      <c r="BK761" s="763">
        <v>0</v>
      </c>
      <c r="BL761" s="763">
        <v>0</v>
      </c>
      <c r="BM761" s="763">
        <v>0</v>
      </c>
      <c r="BN761" s="763">
        <v>0</v>
      </c>
      <c r="BO761" s="763">
        <v>0</v>
      </c>
      <c r="BP761" s="763">
        <v>0</v>
      </c>
      <c r="BQ761" s="763">
        <v>0</v>
      </c>
      <c r="BR761" s="763">
        <v>0</v>
      </c>
      <c r="BS761" s="762">
        <v>0</v>
      </c>
      <c r="BT761" s="762">
        <v>0</v>
      </c>
      <c r="BU761" s="762">
        <v>0</v>
      </c>
      <c r="BV761" s="762">
        <v>289.71665566037336</v>
      </c>
      <c r="BW761" s="762">
        <v>173.87260990057058</v>
      </c>
      <c r="BX761" s="762">
        <v>173.87260990057058</v>
      </c>
      <c r="BY761" s="762">
        <v>0</v>
      </c>
      <c r="BZ761" s="762">
        <v>0</v>
      </c>
      <c r="CA761" s="762">
        <v>0</v>
      </c>
      <c r="CB761" s="762">
        <v>0</v>
      </c>
      <c r="CC761" s="762">
        <v>0</v>
      </c>
      <c r="CD761" s="762">
        <v>0</v>
      </c>
      <c r="CE761" s="762">
        <v>0</v>
      </c>
      <c r="CF761" s="762">
        <v>0</v>
      </c>
      <c r="CG761" s="762">
        <v>0</v>
      </c>
      <c r="CH761" s="762">
        <v>0</v>
      </c>
      <c r="CI761" s="762">
        <v>0</v>
      </c>
      <c r="CJ761" s="762">
        <v>0</v>
      </c>
      <c r="CK761" s="762">
        <v>0</v>
      </c>
      <c r="CL761" s="762">
        <v>0</v>
      </c>
      <c r="CM761" s="762">
        <v>0</v>
      </c>
      <c r="CN761" s="762">
        <v>0</v>
      </c>
      <c r="CO761" s="762">
        <v>0</v>
      </c>
      <c r="CP761" s="762">
        <v>0</v>
      </c>
      <c r="CQ761" s="762">
        <v>0</v>
      </c>
      <c r="CR761" s="762">
        <v>0</v>
      </c>
    </row>
    <row r="762" spans="1:96" s="53" customFormat="1">
      <c r="A762" s="721" t="s">
        <v>3</v>
      </c>
      <c r="B762" s="723">
        <v>41644</v>
      </c>
      <c r="C762" s="721">
        <v>2014</v>
      </c>
      <c r="D762" s="713" t="s">
        <v>1</v>
      </c>
      <c r="E762" s="713" t="s">
        <v>674</v>
      </c>
      <c r="F762" s="723" t="s">
        <v>685</v>
      </c>
      <c r="G762" s="713" t="s">
        <v>58</v>
      </c>
      <c r="H762" s="723" t="s">
        <v>703</v>
      </c>
      <c r="I762" s="713" t="s">
        <v>5</v>
      </c>
      <c r="J762" s="713" t="s">
        <v>376</v>
      </c>
      <c r="K762" s="766">
        <v>10</v>
      </c>
      <c r="L762" s="766" t="s">
        <v>671</v>
      </c>
      <c r="M762" s="765" t="s">
        <v>762</v>
      </c>
      <c r="N762" s="765">
        <v>3</v>
      </c>
      <c r="O762" s="765">
        <v>1</v>
      </c>
      <c r="P762" s="735">
        <v>0.60014709718448678</v>
      </c>
      <c r="Q762" s="713" t="s">
        <v>58</v>
      </c>
      <c r="R762" s="713" t="s">
        <v>58</v>
      </c>
      <c r="S762" s="713" t="s">
        <v>58</v>
      </c>
      <c r="T762" s="713" t="s">
        <v>58</v>
      </c>
      <c r="U762" s="764">
        <v>0.77</v>
      </c>
      <c r="V762" s="764">
        <v>3715.25</v>
      </c>
      <c r="W762" s="764">
        <v>0.60391909982667236</v>
      </c>
      <c r="X762" s="764">
        <v>3069.4540502967502</v>
      </c>
      <c r="Y762" s="764">
        <v>6753.701926750271</v>
      </c>
      <c r="Z762" s="764">
        <v>6374.6187546151441</v>
      </c>
      <c r="AA762" s="764">
        <v>2897.1665566037332</v>
      </c>
      <c r="AB762" s="764">
        <v>0.57042783241417694</v>
      </c>
      <c r="AC762" s="714">
        <v>0.82617698682369967</v>
      </c>
      <c r="AD762" s="714">
        <v>0.7843105192554185</v>
      </c>
      <c r="AE762" s="713" t="s">
        <v>58</v>
      </c>
      <c r="AF762" s="713" t="s">
        <v>58</v>
      </c>
      <c r="AG762" s="713" t="s">
        <v>58</v>
      </c>
      <c r="AH762" s="714">
        <v>0.94387031345969796</v>
      </c>
      <c r="AI762" s="713" t="s">
        <v>58</v>
      </c>
      <c r="AJ762" s="713" t="s">
        <v>58</v>
      </c>
      <c r="AK762" s="713" t="s">
        <v>58</v>
      </c>
      <c r="AL762" s="714">
        <v>0.94454345387965444</v>
      </c>
      <c r="AM762" s="713" t="s">
        <v>58</v>
      </c>
      <c r="AN762" s="713" t="s">
        <v>58</v>
      </c>
      <c r="AO762" s="713" t="s">
        <v>58</v>
      </c>
      <c r="AP762" s="747">
        <v>9.85</v>
      </c>
      <c r="AQ762" s="747">
        <v>98.5</v>
      </c>
      <c r="AR762" s="709"/>
      <c r="AS762" s="763">
        <v>0</v>
      </c>
      <c r="AT762" s="763">
        <v>0</v>
      </c>
      <c r="AU762" s="763">
        <v>0</v>
      </c>
      <c r="AV762" s="763">
        <v>0.57042783241417694</v>
      </c>
      <c r="AW762" s="763">
        <v>0.34234060777660719</v>
      </c>
      <c r="AX762" s="763">
        <v>0.34234060777660719</v>
      </c>
      <c r="AY762" s="763">
        <v>0</v>
      </c>
      <c r="AZ762" s="763">
        <v>0</v>
      </c>
      <c r="BA762" s="763">
        <v>0</v>
      </c>
      <c r="BB762" s="763">
        <v>0</v>
      </c>
      <c r="BC762" s="763">
        <v>0</v>
      </c>
      <c r="BD762" s="763">
        <v>0</v>
      </c>
      <c r="BE762" s="763">
        <v>0</v>
      </c>
      <c r="BF762" s="763">
        <v>0</v>
      </c>
      <c r="BG762" s="763">
        <v>0</v>
      </c>
      <c r="BH762" s="763">
        <v>0</v>
      </c>
      <c r="BI762" s="763">
        <v>0</v>
      </c>
      <c r="BJ762" s="763">
        <v>0</v>
      </c>
      <c r="BK762" s="763">
        <v>0</v>
      </c>
      <c r="BL762" s="763">
        <v>0</v>
      </c>
      <c r="BM762" s="763">
        <v>0</v>
      </c>
      <c r="BN762" s="763">
        <v>0</v>
      </c>
      <c r="BO762" s="763">
        <v>0</v>
      </c>
      <c r="BP762" s="763">
        <v>0</v>
      </c>
      <c r="BQ762" s="763">
        <v>0</v>
      </c>
      <c r="BR762" s="763">
        <v>0</v>
      </c>
      <c r="BS762" s="762">
        <v>0</v>
      </c>
      <c r="BT762" s="762">
        <v>0</v>
      </c>
      <c r="BU762" s="762">
        <v>0</v>
      </c>
      <c r="BV762" s="762">
        <v>2897.1665566037332</v>
      </c>
      <c r="BW762" s="762">
        <v>1738.7260990057055</v>
      </c>
      <c r="BX762" s="762">
        <v>1738.7260990057055</v>
      </c>
      <c r="BY762" s="762">
        <v>0</v>
      </c>
      <c r="BZ762" s="762">
        <v>0</v>
      </c>
      <c r="CA762" s="762">
        <v>0</v>
      </c>
      <c r="CB762" s="762">
        <v>0</v>
      </c>
      <c r="CC762" s="762">
        <v>0</v>
      </c>
      <c r="CD762" s="762">
        <v>0</v>
      </c>
      <c r="CE762" s="762">
        <v>0</v>
      </c>
      <c r="CF762" s="762">
        <v>0</v>
      </c>
      <c r="CG762" s="762">
        <v>0</v>
      </c>
      <c r="CH762" s="762">
        <v>0</v>
      </c>
      <c r="CI762" s="762">
        <v>0</v>
      </c>
      <c r="CJ762" s="762">
        <v>0</v>
      </c>
      <c r="CK762" s="762">
        <v>0</v>
      </c>
      <c r="CL762" s="762">
        <v>0</v>
      </c>
      <c r="CM762" s="762">
        <v>0</v>
      </c>
      <c r="CN762" s="762">
        <v>0</v>
      </c>
      <c r="CO762" s="762">
        <v>0</v>
      </c>
      <c r="CP762" s="762">
        <v>0</v>
      </c>
      <c r="CQ762" s="762">
        <v>0</v>
      </c>
      <c r="CR762" s="762">
        <v>0</v>
      </c>
    </row>
    <row r="763" spans="1:96" s="53" customFormat="1">
      <c r="A763" s="721" t="s">
        <v>3</v>
      </c>
      <c r="B763" s="723">
        <v>41644</v>
      </c>
      <c r="C763" s="721">
        <v>2014</v>
      </c>
      <c r="D763" s="713" t="s">
        <v>1</v>
      </c>
      <c r="E763" s="713" t="s">
        <v>674</v>
      </c>
      <c r="F763" s="723" t="s">
        <v>685</v>
      </c>
      <c r="G763" s="713" t="s">
        <v>58</v>
      </c>
      <c r="H763" s="723" t="s">
        <v>703</v>
      </c>
      <c r="I763" s="713" t="s">
        <v>5</v>
      </c>
      <c r="J763" s="713" t="s">
        <v>376</v>
      </c>
      <c r="K763" s="766">
        <v>9</v>
      </c>
      <c r="L763" s="766" t="s">
        <v>671</v>
      </c>
      <c r="M763" s="765" t="s">
        <v>762</v>
      </c>
      <c r="N763" s="765">
        <v>3</v>
      </c>
      <c r="O763" s="765">
        <v>1</v>
      </c>
      <c r="P763" s="735">
        <v>0.60014709718448678</v>
      </c>
      <c r="Q763" s="713" t="s">
        <v>58</v>
      </c>
      <c r="R763" s="713" t="s">
        <v>58</v>
      </c>
      <c r="S763" s="713" t="s">
        <v>58</v>
      </c>
      <c r="T763" s="713" t="s">
        <v>58</v>
      </c>
      <c r="U763" s="764">
        <v>0.69299999999999995</v>
      </c>
      <c r="V763" s="764">
        <v>3343.7249999999999</v>
      </c>
      <c r="W763" s="764">
        <v>0.54352718984400505</v>
      </c>
      <c r="X763" s="764">
        <v>2762.5086452670748</v>
      </c>
      <c r="Y763" s="764">
        <v>6078.3317340752428</v>
      </c>
      <c r="Z763" s="764">
        <v>5737.1568791536292</v>
      </c>
      <c r="AA763" s="764">
        <v>2607.4499009433594</v>
      </c>
      <c r="AB763" s="764">
        <v>0.51338504917275918</v>
      </c>
      <c r="AC763" s="714">
        <v>0.82617698682369967</v>
      </c>
      <c r="AD763" s="714">
        <v>0.7843105192554185</v>
      </c>
      <c r="AE763" s="713" t="s">
        <v>58</v>
      </c>
      <c r="AF763" s="713" t="s">
        <v>58</v>
      </c>
      <c r="AG763" s="713" t="s">
        <v>58</v>
      </c>
      <c r="AH763" s="714">
        <v>0.94387031345969796</v>
      </c>
      <c r="AI763" s="713" t="s">
        <v>58</v>
      </c>
      <c r="AJ763" s="713" t="s">
        <v>58</v>
      </c>
      <c r="AK763" s="713" t="s">
        <v>58</v>
      </c>
      <c r="AL763" s="714">
        <v>0.94454345387965444</v>
      </c>
      <c r="AM763" s="713" t="s">
        <v>58</v>
      </c>
      <c r="AN763" s="713" t="s">
        <v>58</v>
      </c>
      <c r="AO763" s="713" t="s">
        <v>58</v>
      </c>
      <c r="AP763" s="747">
        <v>9.85</v>
      </c>
      <c r="AQ763" s="747">
        <v>88.649999999999991</v>
      </c>
      <c r="AR763" s="709"/>
      <c r="AS763" s="763">
        <v>0</v>
      </c>
      <c r="AT763" s="763">
        <v>0</v>
      </c>
      <c r="AU763" s="763">
        <v>0</v>
      </c>
      <c r="AV763" s="763">
        <v>0.51338504917275918</v>
      </c>
      <c r="AW763" s="763">
        <v>0.30810654699894641</v>
      </c>
      <c r="AX763" s="763">
        <v>0.30810654699894641</v>
      </c>
      <c r="AY763" s="763">
        <v>0</v>
      </c>
      <c r="AZ763" s="763">
        <v>0</v>
      </c>
      <c r="BA763" s="763">
        <v>0</v>
      </c>
      <c r="BB763" s="763">
        <v>0</v>
      </c>
      <c r="BC763" s="763">
        <v>0</v>
      </c>
      <c r="BD763" s="763">
        <v>0</v>
      </c>
      <c r="BE763" s="763">
        <v>0</v>
      </c>
      <c r="BF763" s="763">
        <v>0</v>
      </c>
      <c r="BG763" s="763">
        <v>0</v>
      </c>
      <c r="BH763" s="763">
        <v>0</v>
      </c>
      <c r="BI763" s="763">
        <v>0</v>
      </c>
      <c r="BJ763" s="763">
        <v>0</v>
      </c>
      <c r="BK763" s="763">
        <v>0</v>
      </c>
      <c r="BL763" s="763">
        <v>0</v>
      </c>
      <c r="BM763" s="763">
        <v>0</v>
      </c>
      <c r="BN763" s="763">
        <v>0</v>
      </c>
      <c r="BO763" s="763">
        <v>0</v>
      </c>
      <c r="BP763" s="763">
        <v>0</v>
      </c>
      <c r="BQ763" s="763">
        <v>0</v>
      </c>
      <c r="BR763" s="763">
        <v>0</v>
      </c>
      <c r="BS763" s="762">
        <v>0</v>
      </c>
      <c r="BT763" s="762">
        <v>0</v>
      </c>
      <c r="BU763" s="762">
        <v>0</v>
      </c>
      <c r="BV763" s="762">
        <v>2607.4499009433594</v>
      </c>
      <c r="BW763" s="762">
        <v>1564.8534891051347</v>
      </c>
      <c r="BX763" s="762">
        <v>1564.8534891051347</v>
      </c>
      <c r="BY763" s="762">
        <v>0</v>
      </c>
      <c r="BZ763" s="762">
        <v>0</v>
      </c>
      <c r="CA763" s="762">
        <v>0</v>
      </c>
      <c r="CB763" s="762">
        <v>0</v>
      </c>
      <c r="CC763" s="762">
        <v>0</v>
      </c>
      <c r="CD763" s="762">
        <v>0</v>
      </c>
      <c r="CE763" s="762">
        <v>0</v>
      </c>
      <c r="CF763" s="762">
        <v>0</v>
      </c>
      <c r="CG763" s="762">
        <v>0</v>
      </c>
      <c r="CH763" s="762">
        <v>0</v>
      </c>
      <c r="CI763" s="762">
        <v>0</v>
      </c>
      <c r="CJ763" s="762">
        <v>0</v>
      </c>
      <c r="CK763" s="762">
        <v>0</v>
      </c>
      <c r="CL763" s="762">
        <v>0</v>
      </c>
      <c r="CM763" s="762">
        <v>0</v>
      </c>
      <c r="CN763" s="762">
        <v>0</v>
      </c>
      <c r="CO763" s="762">
        <v>0</v>
      </c>
      <c r="CP763" s="762">
        <v>0</v>
      </c>
      <c r="CQ763" s="762">
        <v>0</v>
      </c>
      <c r="CR763" s="762">
        <v>0</v>
      </c>
    </row>
    <row r="764" spans="1:96" s="53" customFormat="1">
      <c r="A764" s="721" t="s">
        <v>3</v>
      </c>
      <c r="B764" s="723">
        <v>41644</v>
      </c>
      <c r="C764" s="721">
        <v>2014</v>
      </c>
      <c r="D764" s="713" t="s">
        <v>1</v>
      </c>
      <c r="E764" s="713" t="s">
        <v>674</v>
      </c>
      <c r="F764" s="723" t="s">
        <v>685</v>
      </c>
      <c r="G764" s="713" t="s">
        <v>58</v>
      </c>
      <c r="H764" s="723" t="s">
        <v>677</v>
      </c>
      <c r="I764" s="713" t="s">
        <v>5</v>
      </c>
      <c r="J764" s="713" t="s">
        <v>376</v>
      </c>
      <c r="K764" s="766">
        <v>1</v>
      </c>
      <c r="L764" s="766" t="s">
        <v>671</v>
      </c>
      <c r="M764" s="765" t="s">
        <v>762</v>
      </c>
      <c r="N764" s="765">
        <v>0</v>
      </c>
      <c r="O764" s="765">
        <v>0</v>
      </c>
      <c r="P764" s="735">
        <v>0</v>
      </c>
      <c r="Q764" s="713" t="s">
        <v>58</v>
      </c>
      <c r="R764" s="713" t="s">
        <v>58</v>
      </c>
      <c r="S764" s="713" t="s">
        <v>58</v>
      </c>
      <c r="T764" s="713" t="s">
        <v>58</v>
      </c>
      <c r="U764" s="764">
        <v>0</v>
      </c>
      <c r="V764" s="764">
        <v>0</v>
      </c>
      <c r="W764" s="764">
        <v>0</v>
      </c>
      <c r="X764" s="764">
        <v>0</v>
      </c>
      <c r="Y764" s="764">
        <v>0</v>
      </c>
      <c r="Z764" s="764">
        <v>0</v>
      </c>
      <c r="AA764" s="764">
        <v>0</v>
      </c>
      <c r="AB764" s="764">
        <v>0</v>
      </c>
      <c r="AC764" s="714">
        <v>0.82617698682369967</v>
      </c>
      <c r="AD764" s="714">
        <v>0.7843105192554185</v>
      </c>
      <c r="AE764" s="713" t="s">
        <v>58</v>
      </c>
      <c r="AF764" s="713" t="s">
        <v>58</v>
      </c>
      <c r="AG764" s="713" t="s">
        <v>58</v>
      </c>
      <c r="AH764" s="714">
        <v>0.94387031345969796</v>
      </c>
      <c r="AI764" s="713" t="s">
        <v>58</v>
      </c>
      <c r="AJ764" s="713" t="s">
        <v>58</v>
      </c>
      <c r="AK764" s="713" t="s">
        <v>58</v>
      </c>
      <c r="AL764" s="714">
        <v>0.94454345387965444</v>
      </c>
      <c r="AM764" s="713" t="s">
        <v>58</v>
      </c>
      <c r="AN764" s="713" t="s">
        <v>58</v>
      </c>
      <c r="AO764" s="713" t="s">
        <v>58</v>
      </c>
      <c r="AP764" s="747">
        <v>51</v>
      </c>
      <c r="AQ764" s="747">
        <v>51</v>
      </c>
      <c r="AR764" s="709"/>
      <c r="AS764" s="763">
        <v>0</v>
      </c>
      <c r="AT764" s="763">
        <v>0</v>
      </c>
      <c r="AU764" s="763">
        <v>0</v>
      </c>
      <c r="AV764" s="763">
        <v>0</v>
      </c>
      <c r="AW764" s="763">
        <v>0</v>
      </c>
      <c r="AX764" s="763">
        <v>0</v>
      </c>
      <c r="AY764" s="763">
        <v>0</v>
      </c>
      <c r="AZ764" s="763">
        <v>0</v>
      </c>
      <c r="BA764" s="763">
        <v>0</v>
      </c>
      <c r="BB764" s="763">
        <v>0</v>
      </c>
      <c r="BC764" s="763">
        <v>0</v>
      </c>
      <c r="BD764" s="763">
        <v>0</v>
      </c>
      <c r="BE764" s="763">
        <v>0</v>
      </c>
      <c r="BF764" s="763">
        <v>0</v>
      </c>
      <c r="BG764" s="763">
        <v>0</v>
      </c>
      <c r="BH764" s="763">
        <v>0</v>
      </c>
      <c r="BI764" s="763">
        <v>0</v>
      </c>
      <c r="BJ764" s="763">
        <v>0</v>
      </c>
      <c r="BK764" s="763">
        <v>0</v>
      </c>
      <c r="BL764" s="763">
        <v>0</v>
      </c>
      <c r="BM764" s="763">
        <v>0</v>
      </c>
      <c r="BN764" s="763">
        <v>0</v>
      </c>
      <c r="BO764" s="763">
        <v>0</v>
      </c>
      <c r="BP764" s="763">
        <v>0</v>
      </c>
      <c r="BQ764" s="763">
        <v>0</v>
      </c>
      <c r="BR764" s="763">
        <v>0</v>
      </c>
      <c r="BS764" s="762">
        <v>0</v>
      </c>
      <c r="BT764" s="762">
        <v>0</v>
      </c>
      <c r="BU764" s="762">
        <v>0</v>
      </c>
      <c r="BV764" s="762">
        <v>0</v>
      </c>
      <c r="BW764" s="762">
        <v>0</v>
      </c>
      <c r="BX764" s="762">
        <v>0</v>
      </c>
      <c r="BY764" s="762">
        <v>0</v>
      </c>
      <c r="BZ764" s="762">
        <v>0</v>
      </c>
      <c r="CA764" s="762">
        <v>0</v>
      </c>
      <c r="CB764" s="762">
        <v>0</v>
      </c>
      <c r="CC764" s="762">
        <v>0</v>
      </c>
      <c r="CD764" s="762">
        <v>0</v>
      </c>
      <c r="CE764" s="762">
        <v>0</v>
      </c>
      <c r="CF764" s="762">
        <v>0</v>
      </c>
      <c r="CG764" s="762">
        <v>0</v>
      </c>
      <c r="CH764" s="762">
        <v>0</v>
      </c>
      <c r="CI764" s="762">
        <v>0</v>
      </c>
      <c r="CJ764" s="762">
        <v>0</v>
      </c>
      <c r="CK764" s="762">
        <v>0</v>
      </c>
      <c r="CL764" s="762">
        <v>0</v>
      </c>
      <c r="CM764" s="762">
        <v>0</v>
      </c>
      <c r="CN764" s="762">
        <v>0</v>
      </c>
      <c r="CO764" s="762">
        <v>0</v>
      </c>
      <c r="CP764" s="762">
        <v>0</v>
      </c>
      <c r="CQ764" s="762">
        <v>0</v>
      </c>
      <c r="CR764" s="762">
        <v>0</v>
      </c>
    </row>
    <row r="765" spans="1:96" s="53" customFormat="1">
      <c r="A765" s="721" t="s">
        <v>3</v>
      </c>
      <c r="B765" s="723">
        <v>41644</v>
      </c>
      <c r="C765" s="721">
        <v>2014</v>
      </c>
      <c r="D765" s="713" t="s">
        <v>1</v>
      </c>
      <c r="E765" s="713" t="s">
        <v>674</v>
      </c>
      <c r="F765" s="723" t="s">
        <v>685</v>
      </c>
      <c r="G765" s="713" t="s">
        <v>58</v>
      </c>
      <c r="H765" s="723" t="s">
        <v>676</v>
      </c>
      <c r="I765" s="713" t="s">
        <v>5</v>
      </c>
      <c r="J765" s="713" t="s">
        <v>376</v>
      </c>
      <c r="K765" s="766">
        <v>1</v>
      </c>
      <c r="L765" s="766" t="s">
        <v>671</v>
      </c>
      <c r="M765" s="765" t="s">
        <v>762</v>
      </c>
      <c r="N765" s="765">
        <v>12</v>
      </c>
      <c r="O765" s="765">
        <v>3</v>
      </c>
      <c r="P765" s="735">
        <v>0.31578947368421051</v>
      </c>
      <c r="Q765" s="713" t="s">
        <v>58</v>
      </c>
      <c r="R765" s="713" t="s">
        <v>58</v>
      </c>
      <c r="S765" s="713" t="s">
        <v>58</v>
      </c>
      <c r="T765" s="713" t="s">
        <v>58</v>
      </c>
      <c r="U765" s="764">
        <v>3.7999999999999999E-2</v>
      </c>
      <c r="V765" s="764">
        <v>183.35</v>
      </c>
      <c r="W765" s="764">
        <v>2.9803799731705907E-2</v>
      </c>
      <c r="X765" s="764">
        <v>151.47955053412531</v>
      </c>
      <c r="Y765" s="764">
        <v>884.9594794362057</v>
      </c>
      <c r="Z765" s="764">
        <v>835.28698125458266</v>
      </c>
      <c r="AA765" s="764">
        <v>142.97705084537901</v>
      </c>
      <c r="AB765" s="764">
        <v>2.8150983937323015E-2</v>
      </c>
      <c r="AC765" s="714">
        <v>0.82617698682369967</v>
      </c>
      <c r="AD765" s="714">
        <v>0.7843105192554185</v>
      </c>
      <c r="AE765" s="713" t="s">
        <v>58</v>
      </c>
      <c r="AF765" s="713" t="s">
        <v>58</v>
      </c>
      <c r="AG765" s="713" t="s">
        <v>58</v>
      </c>
      <c r="AH765" s="714">
        <v>0.94387031345969796</v>
      </c>
      <c r="AI765" s="713" t="s">
        <v>58</v>
      </c>
      <c r="AJ765" s="713" t="s">
        <v>58</v>
      </c>
      <c r="AK765" s="713" t="s">
        <v>58</v>
      </c>
      <c r="AL765" s="714">
        <v>0.94454345387965444</v>
      </c>
      <c r="AM765" s="713" t="s">
        <v>58</v>
      </c>
      <c r="AN765" s="713" t="s">
        <v>58</v>
      </c>
      <c r="AO765" s="713" t="s">
        <v>58</v>
      </c>
      <c r="AP765" s="747">
        <v>57</v>
      </c>
      <c r="AQ765" s="747">
        <v>57</v>
      </c>
      <c r="AR765" s="709"/>
      <c r="AS765" s="763">
        <v>0</v>
      </c>
      <c r="AT765" s="763">
        <v>0</v>
      </c>
      <c r="AU765" s="763">
        <v>0</v>
      </c>
      <c r="AV765" s="763">
        <v>2.8150983937323015E-2</v>
      </c>
      <c r="AW765" s="763">
        <v>2.8150983937323015E-2</v>
      </c>
      <c r="AX765" s="763">
        <v>2.8150983937323015E-2</v>
      </c>
      <c r="AY765" s="763">
        <v>8.8897844012598998E-3</v>
      </c>
      <c r="AZ765" s="763">
        <v>8.8897844012598998E-3</v>
      </c>
      <c r="BA765" s="763">
        <v>8.8897844012598998E-3</v>
      </c>
      <c r="BB765" s="763">
        <v>8.8897844012598998E-3</v>
      </c>
      <c r="BC765" s="763">
        <v>8.8897844012598998E-3</v>
      </c>
      <c r="BD765" s="763">
        <v>8.8897844012598998E-3</v>
      </c>
      <c r="BE765" s="763">
        <v>8.8897844012598998E-3</v>
      </c>
      <c r="BF765" s="763">
        <v>8.8897844012598998E-3</v>
      </c>
      <c r="BG765" s="763">
        <v>8.8897844012598998E-3</v>
      </c>
      <c r="BH765" s="763">
        <v>0</v>
      </c>
      <c r="BI765" s="763">
        <v>0</v>
      </c>
      <c r="BJ765" s="763">
        <v>0</v>
      </c>
      <c r="BK765" s="763">
        <v>0</v>
      </c>
      <c r="BL765" s="763">
        <v>0</v>
      </c>
      <c r="BM765" s="763">
        <v>0</v>
      </c>
      <c r="BN765" s="763">
        <v>0</v>
      </c>
      <c r="BO765" s="763">
        <v>0</v>
      </c>
      <c r="BP765" s="763">
        <v>0</v>
      </c>
      <c r="BQ765" s="763">
        <v>0</v>
      </c>
      <c r="BR765" s="763">
        <v>0</v>
      </c>
      <c r="BS765" s="762">
        <v>0</v>
      </c>
      <c r="BT765" s="762">
        <v>0</v>
      </c>
      <c r="BU765" s="762">
        <v>0</v>
      </c>
      <c r="BV765" s="762">
        <v>142.97705084537901</v>
      </c>
      <c r="BW765" s="762">
        <v>142.97705084537901</v>
      </c>
      <c r="BX765" s="762">
        <v>142.97705084537901</v>
      </c>
      <c r="BY765" s="762">
        <v>45.150647635382846</v>
      </c>
      <c r="BZ765" s="762">
        <v>45.150647635382846</v>
      </c>
      <c r="CA765" s="762">
        <v>45.150647635382846</v>
      </c>
      <c r="CB765" s="762">
        <v>45.150647635382846</v>
      </c>
      <c r="CC765" s="762">
        <v>45.150647635382846</v>
      </c>
      <c r="CD765" s="762">
        <v>45.150647635382846</v>
      </c>
      <c r="CE765" s="762">
        <v>45.150647635382846</v>
      </c>
      <c r="CF765" s="762">
        <v>45.150647635382846</v>
      </c>
      <c r="CG765" s="762">
        <v>45.150647635382846</v>
      </c>
      <c r="CH765" s="762">
        <v>0</v>
      </c>
      <c r="CI765" s="762">
        <v>0</v>
      </c>
      <c r="CJ765" s="762">
        <v>0</v>
      </c>
      <c r="CK765" s="762">
        <v>0</v>
      </c>
      <c r="CL765" s="762">
        <v>0</v>
      </c>
      <c r="CM765" s="762">
        <v>0</v>
      </c>
      <c r="CN765" s="762">
        <v>0</v>
      </c>
      <c r="CO765" s="762">
        <v>0</v>
      </c>
      <c r="CP765" s="762">
        <v>0</v>
      </c>
      <c r="CQ765" s="762">
        <v>0</v>
      </c>
      <c r="CR765" s="762">
        <v>0</v>
      </c>
    </row>
    <row r="766" spans="1:96" s="53" customFormat="1">
      <c r="A766" s="721" t="s">
        <v>3</v>
      </c>
      <c r="B766" s="723">
        <v>41978</v>
      </c>
      <c r="C766" s="721">
        <v>2014</v>
      </c>
      <c r="D766" s="713" t="s">
        <v>1</v>
      </c>
      <c r="E766" s="713" t="s">
        <v>674</v>
      </c>
      <c r="F766" s="723" t="s">
        <v>685</v>
      </c>
      <c r="G766" s="713" t="s">
        <v>58</v>
      </c>
      <c r="H766" s="723" t="s">
        <v>678</v>
      </c>
      <c r="I766" s="713" t="s">
        <v>5</v>
      </c>
      <c r="J766" s="713" t="s">
        <v>376</v>
      </c>
      <c r="K766" s="766">
        <v>2</v>
      </c>
      <c r="L766" s="766" t="s">
        <v>671</v>
      </c>
      <c r="M766" s="765" t="s">
        <v>762</v>
      </c>
      <c r="N766" s="765">
        <v>3</v>
      </c>
      <c r="O766" s="765">
        <v>2</v>
      </c>
      <c r="P766" s="735">
        <v>0.6149863305954828</v>
      </c>
      <c r="Q766" s="713" t="s">
        <v>58</v>
      </c>
      <c r="R766" s="713" t="s">
        <v>58</v>
      </c>
      <c r="S766" s="713" t="s">
        <v>58</v>
      </c>
      <c r="T766" s="713" t="s">
        <v>58</v>
      </c>
      <c r="U766" s="764">
        <v>9.4E-2</v>
      </c>
      <c r="V766" s="764">
        <v>453.55</v>
      </c>
      <c r="W766" s="764">
        <v>7.3725188810009348E-2</v>
      </c>
      <c r="X766" s="764">
        <v>374.71257237388897</v>
      </c>
      <c r="Y766" s="764">
        <v>979.86825465999027</v>
      </c>
      <c r="Z766" s="764">
        <v>924.86855667513214</v>
      </c>
      <c r="AA766" s="764">
        <v>353.68007314383237</v>
      </c>
      <c r="AB766" s="764">
        <v>6.9636644476535878E-2</v>
      </c>
      <c r="AC766" s="714">
        <v>0.82617698682369967</v>
      </c>
      <c r="AD766" s="714">
        <v>0.7843105192554185</v>
      </c>
      <c r="AE766" s="713" t="s">
        <v>58</v>
      </c>
      <c r="AF766" s="713" t="s">
        <v>58</v>
      </c>
      <c r="AG766" s="713" t="s">
        <v>58</v>
      </c>
      <c r="AH766" s="714">
        <v>0.94387031345969796</v>
      </c>
      <c r="AI766" s="713" t="s">
        <v>58</v>
      </c>
      <c r="AJ766" s="713" t="s">
        <v>58</v>
      </c>
      <c r="AK766" s="713" t="s">
        <v>58</v>
      </c>
      <c r="AL766" s="714">
        <v>0.94454345387965444</v>
      </c>
      <c r="AM766" s="713" t="s">
        <v>58</v>
      </c>
      <c r="AN766" s="713" t="s">
        <v>58</v>
      </c>
      <c r="AO766" s="713" t="s">
        <v>58</v>
      </c>
      <c r="AP766" s="747">
        <v>8</v>
      </c>
      <c r="AQ766" s="747">
        <v>16</v>
      </c>
      <c r="AR766" s="709"/>
      <c r="AS766" s="763">
        <v>0</v>
      </c>
      <c r="AT766" s="763">
        <v>0</v>
      </c>
      <c r="AU766" s="763">
        <v>0</v>
      </c>
      <c r="AV766" s="763">
        <v>6.9636644476535878E-2</v>
      </c>
      <c r="AW766" s="763">
        <v>6.9636644476535878E-2</v>
      </c>
      <c r="AX766" s="763">
        <v>4.2825584461606996E-2</v>
      </c>
      <c r="AY766" s="763">
        <v>0</v>
      </c>
      <c r="AZ766" s="763">
        <v>0</v>
      </c>
      <c r="BA766" s="763">
        <v>0</v>
      </c>
      <c r="BB766" s="763">
        <v>0</v>
      </c>
      <c r="BC766" s="763">
        <v>0</v>
      </c>
      <c r="BD766" s="763">
        <v>0</v>
      </c>
      <c r="BE766" s="763">
        <v>0</v>
      </c>
      <c r="BF766" s="763">
        <v>0</v>
      </c>
      <c r="BG766" s="763">
        <v>0</v>
      </c>
      <c r="BH766" s="763">
        <v>0</v>
      </c>
      <c r="BI766" s="763">
        <v>0</v>
      </c>
      <c r="BJ766" s="763">
        <v>0</v>
      </c>
      <c r="BK766" s="763">
        <v>0</v>
      </c>
      <c r="BL766" s="763">
        <v>0</v>
      </c>
      <c r="BM766" s="763">
        <v>0</v>
      </c>
      <c r="BN766" s="763">
        <v>0</v>
      </c>
      <c r="BO766" s="763">
        <v>0</v>
      </c>
      <c r="BP766" s="763">
        <v>0</v>
      </c>
      <c r="BQ766" s="763">
        <v>0</v>
      </c>
      <c r="BR766" s="763">
        <v>0</v>
      </c>
      <c r="BS766" s="762">
        <v>0</v>
      </c>
      <c r="BT766" s="762">
        <v>0</v>
      </c>
      <c r="BU766" s="762">
        <v>0</v>
      </c>
      <c r="BV766" s="762">
        <v>353.68007314383237</v>
      </c>
      <c r="BW766" s="762">
        <v>353.68007314383237</v>
      </c>
      <c r="BX766" s="762">
        <v>217.50841038746742</v>
      </c>
      <c r="BY766" s="762">
        <v>0</v>
      </c>
      <c r="BZ766" s="762">
        <v>0</v>
      </c>
      <c r="CA766" s="762">
        <v>0</v>
      </c>
      <c r="CB766" s="762">
        <v>0</v>
      </c>
      <c r="CC766" s="762">
        <v>0</v>
      </c>
      <c r="CD766" s="762">
        <v>0</v>
      </c>
      <c r="CE766" s="762">
        <v>0</v>
      </c>
      <c r="CF766" s="762">
        <v>0</v>
      </c>
      <c r="CG766" s="762">
        <v>0</v>
      </c>
      <c r="CH766" s="762">
        <v>0</v>
      </c>
      <c r="CI766" s="762">
        <v>0</v>
      </c>
      <c r="CJ766" s="762">
        <v>0</v>
      </c>
      <c r="CK766" s="762">
        <v>0</v>
      </c>
      <c r="CL766" s="762">
        <v>0</v>
      </c>
      <c r="CM766" s="762">
        <v>0</v>
      </c>
      <c r="CN766" s="762">
        <v>0</v>
      </c>
      <c r="CO766" s="762">
        <v>0</v>
      </c>
      <c r="CP766" s="762">
        <v>0</v>
      </c>
      <c r="CQ766" s="762">
        <v>0</v>
      </c>
      <c r="CR766" s="762">
        <v>0</v>
      </c>
    </row>
    <row r="767" spans="1:96" s="53" customFormat="1">
      <c r="A767" s="721" t="s">
        <v>3</v>
      </c>
      <c r="B767" s="723">
        <v>41978</v>
      </c>
      <c r="C767" s="721">
        <v>2014</v>
      </c>
      <c r="D767" s="713" t="s">
        <v>1</v>
      </c>
      <c r="E767" s="713" t="s">
        <v>674</v>
      </c>
      <c r="F767" s="723" t="s">
        <v>685</v>
      </c>
      <c r="G767" s="713" t="s">
        <v>58</v>
      </c>
      <c r="H767" s="723" t="s">
        <v>703</v>
      </c>
      <c r="I767" s="713" t="s">
        <v>5</v>
      </c>
      <c r="J767" s="713" t="s">
        <v>376</v>
      </c>
      <c r="K767" s="766">
        <v>9</v>
      </c>
      <c r="L767" s="766" t="s">
        <v>671</v>
      </c>
      <c r="M767" s="765" t="s">
        <v>762</v>
      </c>
      <c r="N767" s="765">
        <v>3</v>
      </c>
      <c r="O767" s="765">
        <v>1</v>
      </c>
      <c r="P767" s="735">
        <v>0.60014709718448678</v>
      </c>
      <c r="Q767" s="713" t="s">
        <v>58</v>
      </c>
      <c r="R767" s="713" t="s">
        <v>58</v>
      </c>
      <c r="S767" s="713" t="s">
        <v>58</v>
      </c>
      <c r="T767" s="713" t="s">
        <v>58</v>
      </c>
      <c r="U767" s="764">
        <v>0.69299999999999995</v>
      </c>
      <c r="V767" s="764">
        <v>3343.7249999999999</v>
      </c>
      <c r="W767" s="764">
        <v>0.54352718984400505</v>
      </c>
      <c r="X767" s="764">
        <v>2762.5086452670748</v>
      </c>
      <c r="Y767" s="764">
        <v>6078.3317340752428</v>
      </c>
      <c r="Z767" s="764">
        <v>5737.1568791536292</v>
      </c>
      <c r="AA767" s="764">
        <v>2607.4499009433594</v>
      </c>
      <c r="AB767" s="764">
        <v>0.51338504917275918</v>
      </c>
      <c r="AC767" s="714">
        <v>0.82617698682369967</v>
      </c>
      <c r="AD767" s="714">
        <v>0.7843105192554185</v>
      </c>
      <c r="AE767" s="713" t="s">
        <v>58</v>
      </c>
      <c r="AF767" s="713" t="s">
        <v>58</v>
      </c>
      <c r="AG767" s="713" t="s">
        <v>58</v>
      </c>
      <c r="AH767" s="714">
        <v>0.94387031345969796</v>
      </c>
      <c r="AI767" s="713" t="s">
        <v>58</v>
      </c>
      <c r="AJ767" s="713" t="s">
        <v>58</v>
      </c>
      <c r="AK767" s="713" t="s">
        <v>58</v>
      </c>
      <c r="AL767" s="714">
        <v>0.94454345387965444</v>
      </c>
      <c r="AM767" s="713" t="s">
        <v>58</v>
      </c>
      <c r="AN767" s="713" t="s">
        <v>58</v>
      </c>
      <c r="AO767" s="713" t="s">
        <v>58</v>
      </c>
      <c r="AP767" s="747">
        <v>9.85</v>
      </c>
      <c r="AQ767" s="747">
        <v>88.649999999999991</v>
      </c>
      <c r="AR767" s="709"/>
      <c r="AS767" s="763">
        <v>0</v>
      </c>
      <c r="AT767" s="763">
        <v>0</v>
      </c>
      <c r="AU767" s="763">
        <v>0</v>
      </c>
      <c r="AV767" s="763">
        <v>0.51338504917275918</v>
      </c>
      <c r="AW767" s="763">
        <v>0.30810654699894641</v>
      </c>
      <c r="AX767" s="763">
        <v>0.30810654699894641</v>
      </c>
      <c r="AY767" s="763">
        <v>0</v>
      </c>
      <c r="AZ767" s="763">
        <v>0</v>
      </c>
      <c r="BA767" s="763">
        <v>0</v>
      </c>
      <c r="BB767" s="763">
        <v>0</v>
      </c>
      <c r="BC767" s="763">
        <v>0</v>
      </c>
      <c r="BD767" s="763">
        <v>0</v>
      </c>
      <c r="BE767" s="763">
        <v>0</v>
      </c>
      <c r="BF767" s="763">
        <v>0</v>
      </c>
      <c r="BG767" s="763">
        <v>0</v>
      </c>
      <c r="BH767" s="763">
        <v>0</v>
      </c>
      <c r="BI767" s="763">
        <v>0</v>
      </c>
      <c r="BJ767" s="763">
        <v>0</v>
      </c>
      <c r="BK767" s="763">
        <v>0</v>
      </c>
      <c r="BL767" s="763">
        <v>0</v>
      </c>
      <c r="BM767" s="763">
        <v>0</v>
      </c>
      <c r="BN767" s="763">
        <v>0</v>
      </c>
      <c r="BO767" s="763">
        <v>0</v>
      </c>
      <c r="BP767" s="763">
        <v>0</v>
      </c>
      <c r="BQ767" s="763">
        <v>0</v>
      </c>
      <c r="BR767" s="763">
        <v>0</v>
      </c>
      <c r="BS767" s="762">
        <v>0</v>
      </c>
      <c r="BT767" s="762">
        <v>0</v>
      </c>
      <c r="BU767" s="762">
        <v>0</v>
      </c>
      <c r="BV767" s="762">
        <v>2607.4499009433594</v>
      </c>
      <c r="BW767" s="762">
        <v>1564.8534891051347</v>
      </c>
      <c r="BX767" s="762">
        <v>1564.8534891051347</v>
      </c>
      <c r="BY767" s="762">
        <v>0</v>
      </c>
      <c r="BZ767" s="762">
        <v>0</v>
      </c>
      <c r="CA767" s="762">
        <v>0</v>
      </c>
      <c r="CB767" s="762">
        <v>0</v>
      </c>
      <c r="CC767" s="762">
        <v>0</v>
      </c>
      <c r="CD767" s="762">
        <v>0</v>
      </c>
      <c r="CE767" s="762">
        <v>0</v>
      </c>
      <c r="CF767" s="762">
        <v>0</v>
      </c>
      <c r="CG767" s="762">
        <v>0</v>
      </c>
      <c r="CH767" s="762">
        <v>0</v>
      </c>
      <c r="CI767" s="762">
        <v>0</v>
      </c>
      <c r="CJ767" s="762">
        <v>0</v>
      </c>
      <c r="CK767" s="762">
        <v>0</v>
      </c>
      <c r="CL767" s="762">
        <v>0</v>
      </c>
      <c r="CM767" s="762">
        <v>0</v>
      </c>
      <c r="CN767" s="762">
        <v>0</v>
      </c>
      <c r="CO767" s="762">
        <v>0</v>
      </c>
      <c r="CP767" s="762">
        <v>0</v>
      </c>
      <c r="CQ767" s="762">
        <v>0</v>
      </c>
      <c r="CR767" s="762">
        <v>0</v>
      </c>
    </row>
    <row r="768" spans="1:96" s="53" customFormat="1">
      <c r="A768" s="721" t="s">
        <v>3</v>
      </c>
      <c r="B768" s="723">
        <v>41978</v>
      </c>
      <c r="C768" s="721">
        <v>2014</v>
      </c>
      <c r="D768" s="713" t="s">
        <v>1</v>
      </c>
      <c r="E768" s="713" t="s">
        <v>674</v>
      </c>
      <c r="F768" s="723" t="s">
        <v>685</v>
      </c>
      <c r="G768" s="713" t="s">
        <v>58</v>
      </c>
      <c r="H768" s="723" t="s">
        <v>703</v>
      </c>
      <c r="I768" s="713" t="s">
        <v>5</v>
      </c>
      <c r="J768" s="713" t="s">
        <v>376</v>
      </c>
      <c r="K768" s="766">
        <v>1</v>
      </c>
      <c r="L768" s="766" t="s">
        <v>671</v>
      </c>
      <c r="M768" s="765" t="s">
        <v>762</v>
      </c>
      <c r="N768" s="765">
        <v>3</v>
      </c>
      <c r="O768" s="765">
        <v>1</v>
      </c>
      <c r="P768" s="735">
        <v>0.60014709718448678</v>
      </c>
      <c r="Q768" s="713" t="s">
        <v>58</v>
      </c>
      <c r="R768" s="713" t="s">
        <v>58</v>
      </c>
      <c r="S768" s="713" t="s">
        <v>58</v>
      </c>
      <c r="T768" s="713" t="s">
        <v>58</v>
      </c>
      <c r="U768" s="764">
        <v>7.6999999999999999E-2</v>
      </c>
      <c r="V768" s="764">
        <v>371.52499999999998</v>
      </c>
      <c r="W768" s="764">
        <v>6.0391909982667233E-2</v>
      </c>
      <c r="X768" s="764">
        <v>306.94540502967504</v>
      </c>
      <c r="Y768" s="764">
        <v>675.37019267502706</v>
      </c>
      <c r="Z768" s="764">
        <v>637.46187546151441</v>
      </c>
      <c r="AA768" s="764">
        <v>289.71665566037336</v>
      </c>
      <c r="AB768" s="764">
        <v>5.7042783241417691E-2</v>
      </c>
      <c r="AC768" s="714">
        <v>0.82617698682369967</v>
      </c>
      <c r="AD768" s="714">
        <v>0.7843105192554185</v>
      </c>
      <c r="AE768" s="713" t="s">
        <v>58</v>
      </c>
      <c r="AF768" s="713" t="s">
        <v>58</v>
      </c>
      <c r="AG768" s="713" t="s">
        <v>58</v>
      </c>
      <c r="AH768" s="714">
        <v>0.94387031345969796</v>
      </c>
      <c r="AI768" s="713" t="s">
        <v>58</v>
      </c>
      <c r="AJ768" s="713" t="s">
        <v>58</v>
      </c>
      <c r="AK768" s="713" t="s">
        <v>58</v>
      </c>
      <c r="AL768" s="714">
        <v>0.94454345387965444</v>
      </c>
      <c r="AM768" s="713" t="s">
        <v>58</v>
      </c>
      <c r="AN768" s="713" t="s">
        <v>58</v>
      </c>
      <c r="AO768" s="713" t="s">
        <v>58</v>
      </c>
      <c r="AP768" s="747">
        <v>9.85</v>
      </c>
      <c r="AQ768" s="747">
        <v>9.85</v>
      </c>
      <c r="AR768" s="709"/>
      <c r="AS768" s="763">
        <v>0</v>
      </c>
      <c r="AT768" s="763">
        <v>0</v>
      </c>
      <c r="AU768" s="763">
        <v>0</v>
      </c>
      <c r="AV768" s="763">
        <v>5.7042783241417691E-2</v>
      </c>
      <c r="AW768" s="763">
        <v>3.4234060777660717E-2</v>
      </c>
      <c r="AX768" s="763">
        <v>3.4234060777660717E-2</v>
      </c>
      <c r="AY768" s="763">
        <v>0</v>
      </c>
      <c r="AZ768" s="763">
        <v>0</v>
      </c>
      <c r="BA768" s="763">
        <v>0</v>
      </c>
      <c r="BB768" s="763">
        <v>0</v>
      </c>
      <c r="BC768" s="763">
        <v>0</v>
      </c>
      <c r="BD768" s="763">
        <v>0</v>
      </c>
      <c r="BE768" s="763">
        <v>0</v>
      </c>
      <c r="BF768" s="763">
        <v>0</v>
      </c>
      <c r="BG768" s="763">
        <v>0</v>
      </c>
      <c r="BH768" s="763">
        <v>0</v>
      </c>
      <c r="BI768" s="763">
        <v>0</v>
      </c>
      <c r="BJ768" s="763">
        <v>0</v>
      </c>
      <c r="BK768" s="763">
        <v>0</v>
      </c>
      <c r="BL768" s="763">
        <v>0</v>
      </c>
      <c r="BM768" s="763">
        <v>0</v>
      </c>
      <c r="BN768" s="763">
        <v>0</v>
      </c>
      <c r="BO768" s="763">
        <v>0</v>
      </c>
      <c r="BP768" s="763">
        <v>0</v>
      </c>
      <c r="BQ768" s="763">
        <v>0</v>
      </c>
      <c r="BR768" s="763">
        <v>0</v>
      </c>
      <c r="BS768" s="762">
        <v>0</v>
      </c>
      <c r="BT768" s="762">
        <v>0</v>
      </c>
      <c r="BU768" s="762">
        <v>0</v>
      </c>
      <c r="BV768" s="762">
        <v>289.71665566037336</v>
      </c>
      <c r="BW768" s="762">
        <v>173.87260990057058</v>
      </c>
      <c r="BX768" s="762">
        <v>173.87260990057058</v>
      </c>
      <c r="BY768" s="762">
        <v>0</v>
      </c>
      <c r="BZ768" s="762">
        <v>0</v>
      </c>
      <c r="CA768" s="762">
        <v>0</v>
      </c>
      <c r="CB768" s="762">
        <v>0</v>
      </c>
      <c r="CC768" s="762">
        <v>0</v>
      </c>
      <c r="CD768" s="762">
        <v>0</v>
      </c>
      <c r="CE768" s="762">
        <v>0</v>
      </c>
      <c r="CF768" s="762">
        <v>0</v>
      </c>
      <c r="CG768" s="762">
        <v>0</v>
      </c>
      <c r="CH768" s="762">
        <v>0</v>
      </c>
      <c r="CI768" s="762">
        <v>0</v>
      </c>
      <c r="CJ768" s="762">
        <v>0</v>
      </c>
      <c r="CK768" s="762">
        <v>0</v>
      </c>
      <c r="CL768" s="762">
        <v>0</v>
      </c>
      <c r="CM768" s="762">
        <v>0</v>
      </c>
      <c r="CN768" s="762">
        <v>0</v>
      </c>
      <c r="CO768" s="762">
        <v>0</v>
      </c>
      <c r="CP768" s="762">
        <v>0</v>
      </c>
      <c r="CQ768" s="762">
        <v>0</v>
      </c>
      <c r="CR768" s="762">
        <v>0</v>
      </c>
    </row>
    <row r="769" spans="1:96" s="53" customFormat="1">
      <c r="A769" s="721" t="s">
        <v>3</v>
      </c>
      <c r="B769" s="723">
        <v>41978</v>
      </c>
      <c r="C769" s="721">
        <v>2014</v>
      </c>
      <c r="D769" s="713" t="s">
        <v>1</v>
      </c>
      <c r="E769" s="713" t="s">
        <v>674</v>
      </c>
      <c r="F769" s="723" t="s">
        <v>685</v>
      </c>
      <c r="G769" s="713" t="s">
        <v>58</v>
      </c>
      <c r="H769" s="723" t="s">
        <v>703</v>
      </c>
      <c r="I769" s="713" t="s">
        <v>5</v>
      </c>
      <c r="J769" s="713" t="s">
        <v>376</v>
      </c>
      <c r="K769" s="766">
        <v>3</v>
      </c>
      <c r="L769" s="766" t="s">
        <v>671</v>
      </c>
      <c r="M769" s="765" t="s">
        <v>762</v>
      </c>
      <c r="N769" s="765">
        <v>3</v>
      </c>
      <c r="O769" s="765">
        <v>1</v>
      </c>
      <c r="P769" s="735">
        <v>0.60014709718448678</v>
      </c>
      <c r="Q769" s="713" t="s">
        <v>58</v>
      </c>
      <c r="R769" s="713" t="s">
        <v>58</v>
      </c>
      <c r="S769" s="713" t="s">
        <v>58</v>
      </c>
      <c r="T769" s="713" t="s">
        <v>58</v>
      </c>
      <c r="U769" s="764">
        <v>0.23100000000000001</v>
      </c>
      <c r="V769" s="764">
        <v>1114.575</v>
      </c>
      <c r="W769" s="764">
        <v>0.18117572994800171</v>
      </c>
      <c r="X769" s="764">
        <v>920.83621508902513</v>
      </c>
      <c r="Y769" s="764">
        <v>2026.1105780250814</v>
      </c>
      <c r="Z769" s="764">
        <v>1912.3856263845435</v>
      </c>
      <c r="AA769" s="764">
        <v>869.14996698111997</v>
      </c>
      <c r="AB769" s="764">
        <v>0.17112834972425309</v>
      </c>
      <c r="AC769" s="714">
        <v>0.82617698682369967</v>
      </c>
      <c r="AD769" s="714">
        <v>0.7843105192554185</v>
      </c>
      <c r="AE769" s="713" t="s">
        <v>58</v>
      </c>
      <c r="AF769" s="713" t="s">
        <v>58</v>
      </c>
      <c r="AG769" s="713" t="s">
        <v>58</v>
      </c>
      <c r="AH769" s="714">
        <v>0.94387031345969796</v>
      </c>
      <c r="AI769" s="713" t="s">
        <v>58</v>
      </c>
      <c r="AJ769" s="713" t="s">
        <v>58</v>
      </c>
      <c r="AK769" s="713" t="s">
        <v>58</v>
      </c>
      <c r="AL769" s="714">
        <v>0.94454345387965444</v>
      </c>
      <c r="AM769" s="713" t="s">
        <v>58</v>
      </c>
      <c r="AN769" s="713" t="s">
        <v>58</v>
      </c>
      <c r="AO769" s="713" t="s">
        <v>58</v>
      </c>
      <c r="AP769" s="747">
        <v>9.85</v>
      </c>
      <c r="AQ769" s="747">
        <v>29.549999999999997</v>
      </c>
      <c r="AR769" s="709"/>
      <c r="AS769" s="763">
        <v>0</v>
      </c>
      <c r="AT769" s="763">
        <v>0</v>
      </c>
      <c r="AU769" s="763">
        <v>0</v>
      </c>
      <c r="AV769" s="763">
        <v>0.17112834972425309</v>
      </c>
      <c r="AW769" s="763">
        <v>0.10270218233298216</v>
      </c>
      <c r="AX769" s="763">
        <v>0.10270218233298216</v>
      </c>
      <c r="AY769" s="763">
        <v>0</v>
      </c>
      <c r="AZ769" s="763">
        <v>0</v>
      </c>
      <c r="BA769" s="763">
        <v>0</v>
      </c>
      <c r="BB769" s="763">
        <v>0</v>
      </c>
      <c r="BC769" s="763">
        <v>0</v>
      </c>
      <c r="BD769" s="763">
        <v>0</v>
      </c>
      <c r="BE769" s="763">
        <v>0</v>
      </c>
      <c r="BF769" s="763">
        <v>0</v>
      </c>
      <c r="BG769" s="763">
        <v>0</v>
      </c>
      <c r="BH769" s="763">
        <v>0</v>
      </c>
      <c r="BI769" s="763">
        <v>0</v>
      </c>
      <c r="BJ769" s="763">
        <v>0</v>
      </c>
      <c r="BK769" s="763">
        <v>0</v>
      </c>
      <c r="BL769" s="763">
        <v>0</v>
      </c>
      <c r="BM769" s="763">
        <v>0</v>
      </c>
      <c r="BN769" s="763">
        <v>0</v>
      </c>
      <c r="BO769" s="763">
        <v>0</v>
      </c>
      <c r="BP769" s="763">
        <v>0</v>
      </c>
      <c r="BQ769" s="763">
        <v>0</v>
      </c>
      <c r="BR769" s="763">
        <v>0</v>
      </c>
      <c r="BS769" s="762">
        <v>0</v>
      </c>
      <c r="BT769" s="762">
        <v>0</v>
      </c>
      <c r="BU769" s="762">
        <v>0</v>
      </c>
      <c r="BV769" s="762">
        <v>869.14996698111997</v>
      </c>
      <c r="BW769" s="762">
        <v>521.61782970171168</v>
      </c>
      <c r="BX769" s="762">
        <v>521.61782970171168</v>
      </c>
      <c r="BY769" s="762">
        <v>0</v>
      </c>
      <c r="BZ769" s="762">
        <v>0</v>
      </c>
      <c r="CA769" s="762">
        <v>0</v>
      </c>
      <c r="CB769" s="762">
        <v>0</v>
      </c>
      <c r="CC769" s="762">
        <v>0</v>
      </c>
      <c r="CD769" s="762">
        <v>0</v>
      </c>
      <c r="CE769" s="762">
        <v>0</v>
      </c>
      <c r="CF769" s="762">
        <v>0</v>
      </c>
      <c r="CG769" s="762">
        <v>0</v>
      </c>
      <c r="CH769" s="762">
        <v>0</v>
      </c>
      <c r="CI769" s="762">
        <v>0</v>
      </c>
      <c r="CJ769" s="762">
        <v>0</v>
      </c>
      <c r="CK769" s="762">
        <v>0</v>
      </c>
      <c r="CL769" s="762">
        <v>0</v>
      </c>
      <c r="CM769" s="762">
        <v>0</v>
      </c>
      <c r="CN769" s="762">
        <v>0</v>
      </c>
      <c r="CO769" s="762">
        <v>0</v>
      </c>
      <c r="CP769" s="762">
        <v>0</v>
      </c>
      <c r="CQ769" s="762">
        <v>0</v>
      </c>
      <c r="CR769" s="762">
        <v>0</v>
      </c>
    </row>
    <row r="770" spans="1:96" s="53" customFormat="1">
      <c r="A770" s="721" t="s">
        <v>3</v>
      </c>
      <c r="B770" s="723">
        <v>41978</v>
      </c>
      <c r="C770" s="721">
        <v>2014</v>
      </c>
      <c r="D770" s="713" t="s">
        <v>1</v>
      </c>
      <c r="E770" s="713" t="s">
        <v>674</v>
      </c>
      <c r="F770" s="723" t="s">
        <v>685</v>
      </c>
      <c r="G770" s="713" t="s">
        <v>58</v>
      </c>
      <c r="H770" s="723" t="s">
        <v>690</v>
      </c>
      <c r="I770" s="713" t="s">
        <v>5</v>
      </c>
      <c r="J770" s="713" t="s">
        <v>376</v>
      </c>
      <c r="K770" s="766">
        <v>4</v>
      </c>
      <c r="L770" s="766" t="s">
        <v>671</v>
      </c>
      <c r="M770" s="765" t="s">
        <v>762</v>
      </c>
      <c r="N770" s="765">
        <v>3</v>
      </c>
      <c r="O770" s="765" t="s">
        <v>7</v>
      </c>
      <c r="P770" s="735">
        <v>1</v>
      </c>
      <c r="Q770" s="713" t="s">
        <v>58</v>
      </c>
      <c r="R770" s="713" t="s">
        <v>58</v>
      </c>
      <c r="S770" s="713" t="s">
        <v>58</v>
      </c>
      <c r="T770" s="713" t="s">
        <v>58</v>
      </c>
      <c r="U770" s="764">
        <v>0.18</v>
      </c>
      <c r="V770" s="764">
        <v>868.5</v>
      </c>
      <c r="W770" s="764">
        <v>0.14117589346597534</v>
      </c>
      <c r="X770" s="764">
        <v>717.53471305638311</v>
      </c>
      <c r="Y770" s="764">
        <v>2152.6041391691492</v>
      </c>
      <c r="Z770" s="764">
        <v>2031.7791435922281</v>
      </c>
      <c r="AA770" s="764">
        <v>677.25971453074271</v>
      </c>
      <c r="AB770" s="764">
        <v>0.13334676601889847</v>
      </c>
      <c r="AC770" s="714">
        <v>0.82617698682369967</v>
      </c>
      <c r="AD770" s="714">
        <v>0.7843105192554185</v>
      </c>
      <c r="AE770" s="713" t="s">
        <v>58</v>
      </c>
      <c r="AF770" s="713" t="s">
        <v>58</v>
      </c>
      <c r="AG770" s="713" t="s">
        <v>58</v>
      </c>
      <c r="AH770" s="714">
        <v>0.94387031345969796</v>
      </c>
      <c r="AI770" s="713" t="s">
        <v>58</v>
      </c>
      <c r="AJ770" s="713" t="s">
        <v>58</v>
      </c>
      <c r="AK770" s="713" t="s">
        <v>58</v>
      </c>
      <c r="AL770" s="714">
        <v>0.94454345387965444</v>
      </c>
      <c r="AM770" s="713" t="s">
        <v>58</v>
      </c>
      <c r="AN770" s="713" t="s">
        <v>58</v>
      </c>
      <c r="AO770" s="713" t="s">
        <v>58</v>
      </c>
      <c r="AP770" s="747">
        <v>13</v>
      </c>
      <c r="AQ770" s="747">
        <v>52</v>
      </c>
      <c r="AR770" s="709"/>
      <c r="AS770" s="763">
        <v>0</v>
      </c>
      <c r="AT770" s="763">
        <v>0</v>
      </c>
      <c r="AU770" s="763">
        <v>0</v>
      </c>
      <c r="AV770" s="763">
        <v>0.13334676601889847</v>
      </c>
      <c r="AW770" s="763">
        <v>0.13334676601889847</v>
      </c>
      <c r="AX770" s="763">
        <v>0.13334676601889847</v>
      </c>
      <c r="AY770" s="763">
        <v>0</v>
      </c>
      <c r="AZ770" s="763">
        <v>0</v>
      </c>
      <c r="BA770" s="763">
        <v>0</v>
      </c>
      <c r="BB770" s="763">
        <v>0</v>
      </c>
      <c r="BC770" s="763">
        <v>0</v>
      </c>
      <c r="BD770" s="763">
        <v>0</v>
      </c>
      <c r="BE770" s="763">
        <v>0</v>
      </c>
      <c r="BF770" s="763">
        <v>0</v>
      </c>
      <c r="BG770" s="763">
        <v>0</v>
      </c>
      <c r="BH770" s="763">
        <v>0</v>
      </c>
      <c r="BI770" s="763">
        <v>0</v>
      </c>
      <c r="BJ770" s="763">
        <v>0</v>
      </c>
      <c r="BK770" s="763">
        <v>0</v>
      </c>
      <c r="BL770" s="763">
        <v>0</v>
      </c>
      <c r="BM770" s="763">
        <v>0</v>
      </c>
      <c r="BN770" s="763">
        <v>0</v>
      </c>
      <c r="BO770" s="763">
        <v>0</v>
      </c>
      <c r="BP770" s="763">
        <v>0</v>
      </c>
      <c r="BQ770" s="763">
        <v>0</v>
      </c>
      <c r="BR770" s="763">
        <v>0</v>
      </c>
      <c r="BS770" s="762">
        <v>0</v>
      </c>
      <c r="BT770" s="762">
        <v>0</v>
      </c>
      <c r="BU770" s="762">
        <v>0</v>
      </c>
      <c r="BV770" s="762">
        <v>677.25971453074271</v>
      </c>
      <c r="BW770" s="762">
        <v>677.25971453074271</v>
      </c>
      <c r="BX770" s="762">
        <v>677.25971453074271</v>
      </c>
      <c r="BY770" s="762">
        <v>0</v>
      </c>
      <c r="BZ770" s="762">
        <v>0</v>
      </c>
      <c r="CA770" s="762">
        <v>0</v>
      </c>
      <c r="CB770" s="762">
        <v>0</v>
      </c>
      <c r="CC770" s="762">
        <v>0</v>
      </c>
      <c r="CD770" s="762">
        <v>0</v>
      </c>
      <c r="CE770" s="762">
        <v>0</v>
      </c>
      <c r="CF770" s="762">
        <v>0</v>
      </c>
      <c r="CG770" s="762">
        <v>0</v>
      </c>
      <c r="CH770" s="762">
        <v>0</v>
      </c>
      <c r="CI770" s="762">
        <v>0</v>
      </c>
      <c r="CJ770" s="762">
        <v>0</v>
      </c>
      <c r="CK770" s="762">
        <v>0</v>
      </c>
      <c r="CL770" s="762">
        <v>0</v>
      </c>
      <c r="CM770" s="762">
        <v>0</v>
      </c>
      <c r="CN770" s="762">
        <v>0</v>
      </c>
      <c r="CO770" s="762">
        <v>0</v>
      </c>
      <c r="CP770" s="762">
        <v>0</v>
      </c>
      <c r="CQ770" s="762">
        <v>0</v>
      </c>
      <c r="CR770" s="762">
        <v>0</v>
      </c>
    </row>
    <row r="771" spans="1:96" s="53" customFormat="1">
      <c r="A771" s="721" t="s">
        <v>3</v>
      </c>
      <c r="B771" s="723">
        <v>41978</v>
      </c>
      <c r="C771" s="721">
        <v>2014</v>
      </c>
      <c r="D771" s="713" t="s">
        <v>1</v>
      </c>
      <c r="E771" s="713" t="s">
        <v>674</v>
      </c>
      <c r="F771" s="723" t="s">
        <v>685</v>
      </c>
      <c r="G771" s="713" t="s">
        <v>58</v>
      </c>
      <c r="H771" s="723" t="s">
        <v>690</v>
      </c>
      <c r="I771" s="713" t="s">
        <v>5</v>
      </c>
      <c r="J771" s="713" t="s">
        <v>376</v>
      </c>
      <c r="K771" s="766">
        <v>2</v>
      </c>
      <c r="L771" s="766" t="s">
        <v>671</v>
      </c>
      <c r="M771" s="765" t="s">
        <v>762</v>
      </c>
      <c r="N771" s="765">
        <v>3</v>
      </c>
      <c r="O771" s="765" t="s">
        <v>7</v>
      </c>
      <c r="P771" s="735">
        <v>1</v>
      </c>
      <c r="Q771" s="713" t="s">
        <v>58</v>
      </c>
      <c r="R771" s="713" t="s">
        <v>58</v>
      </c>
      <c r="S771" s="713" t="s">
        <v>58</v>
      </c>
      <c r="T771" s="713" t="s">
        <v>58</v>
      </c>
      <c r="U771" s="764">
        <v>0.09</v>
      </c>
      <c r="V771" s="764">
        <v>434.25</v>
      </c>
      <c r="W771" s="764">
        <v>7.0587946732987669E-2</v>
      </c>
      <c r="X771" s="764">
        <v>358.76735652819156</v>
      </c>
      <c r="Y771" s="764">
        <v>1076.3020695845746</v>
      </c>
      <c r="Z771" s="764">
        <v>1015.8895717961141</v>
      </c>
      <c r="AA771" s="764">
        <v>338.62985726537136</v>
      </c>
      <c r="AB771" s="764">
        <v>6.6673383009449236E-2</v>
      </c>
      <c r="AC771" s="714">
        <v>0.82617698682369967</v>
      </c>
      <c r="AD771" s="714">
        <v>0.7843105192554185</v>
      </c>
      <c r="AE771" s="713" t="s">
        <v>58</v>
      </c>
      <c r="AF771" s="713" t="s">
        <v>58</v>
      </c>
      <c r="AG771" s="713" t="s">
        <v>58</v>
      </c>
      <c r="AH771" s="714">
        <v>0.94387031345969796</v>
      </c>
      <c r="AI771" s="713" t="s">
        <v>58</v>
      </c>
      <c r="AJ771" s="713" t="s">
        <v>58</v>
      </c>
      <c r="AK771" s="713" t="s">
        <v>58</v>
      </c>
      <c r="AL771" s="714">
        <v>0.94454345387965444</v>
      </c>
      <c r="AM771" s="713" t="s">
        <v>58</v>
      </c>
      <c r="AN771" s="713" t="s">
        <v>58</v>
      </c>
      <c r="AO771" s="713" t="s">
        <v>58</v>
      </c>
      <c r="AP771" s="747">
        <v>13</v>
      </c>
      <c r="AQ771" s="747">
        <v>26</v>
      </c>
      <c r="AR771" s="709"/>
      <c r="AS771" s="763">
        <v>0</v>
      </c>
      <c r="AT771" s="763">
        <v>0</v>
      </c>
      <c r="AU771" s="763">
        <v>0</v>
      </c>
      <c r="AV771" s="763">
        <v>6.6673383009449236E-2</v>
      </c>
      <c r="AW771" s="763">
        <v>6.6673383009449236E-2</v>
      </c>
      <c r="AX771" s="763">
        <v>6.6673383009449236E-2</v>
      </c>
      <c r="AY771" s="763">
        <v>0</v>
      </c>
      <c r="AZ771" s="763">
        <v>0</v>
      </c>
      <c r="BA771" s="763">
        <v>0</v>
      </c>
      <c r="BB771" s="763">
        <v>0</v>
      </c>
      <c r="BC771" s="763">
        <v>0</v>
      </c>
      <c r="BD771" s="763">
        <v>0</v>
      </c>
      <c r="BE771" s="763">
        <v>0</v>
      </c>
      <c r="BF771" s="763">
        <v>0</v>
      </c>
      <c r="BG771" s="763">
        <v>0</v>
      </c>
      <c r="BH771" s="763">
        <v>0</v>
      </c>
      <c r="BI771" s="763">
        <v>0</v>
      </c>
      <c r="BJ771" s="763">
        <v>0</v>
      </c>
      <c r="BK771" s="763">
        <v>0</v>
      </c>
      <c r="BL771" s="763">
        <v>0</v>
      </c>
      <c r="BM771" s="763">
        <v>0</v>
      </c>
      <c r="BN771" s="763">
        <v>0</v>
      </c>
      <c r="BO771" s="763">
        <v>0</v>
      </c>
      <c r="BP771" s="763">
        <v>0</v>
      </c>
      <c r="BQ771" s="763">
        <v>0</v>
      </c>
      <c r="BR771" s="763">
        <v>0</v>
      </c>
      <c r="BS771" s="762">
        <v>0</v>
      </c>
      <c r="BT771" s="762">
        <v>0</v>
      </c>
      <c r="BU771" s="762">
        <v>0</v>
      </c>
      <c r="BV771" s="762">
        <v>338.62985726537136</v>
      </c>
      <c r="BW771" s="762">
        <v>338.62985726537136</v>
      </c>
      <c r="BX771" s="762">
        <v>338.62985726537136</v>
      </c>
      <c r="BY771" s="762">
        <v>0</v>
      </c>
      <c r="BZ771" s="762">
        <v>0</v>
      </c>
      <c r="CA771" s="762">
        <v>0</v>
      </c>
      <c r="CB771" s="762">
        <v>0</v>
      </c>
      <c r="CC771" s="762">
        <v>0</v>
      </c>
      <c r="CD771" s="762">
        <v>0</v>
      </c>
      <c r="CE771" s="762">
        <v>0</v>
      </c>
      <c r="CF771" s="762">
        <v>0</v>
      </c>
      <c r="CG771" s="762">
        <v>0</v>
      </c>
      <c r="CH771" s="762">
        <v>0</v>
      </c>
      <c r="CI771" s="762">
        <v>0</v>
      </c>
      <c r="CJ771" s="762">
        <v>0</v>
      </c>
      <c r="CK771" s="762">
        <v>0</v>
      </c>
      <c r="CL771" s="762">
        <v>0</v>
      </c>
      <c r="CM771" s="762">
        <v>0</v>
      </c>
      <c r="CN771" s="762">
        <v>0</v>
      </c>
      <c r="CO771" s="762">
        <v>0</v>
      </c>
      <c r="CP771" s="762">
        <v>0</v>
      </c>
      <c r="CQ771" s="762">
        <v>0</v>
      </c>
      <c r="CR771" s="762">
        <v>0</v>
      </c>
    </row>
    <row r="772" spans="1:96" s="53" customFormat="1">
      <c r="A772" s="721" t="s">
        <v>3</v>
      </c>
      <c r="B772" s="723">
        <v>41978</v>
      </c>
      <c r="C772" s="721">
        <v>2014</v>
      </c>
      <c r="D772" s="713" t="s">
        <v>1</v>
      </c>
      <c r="E772" s="713" t="s">
        <v>674</v>
      </c>
      <c r="F772" s="723" t="s">
        <v>685</v>
      </c>
      <c r="G772" s="713" t="s">
        <v>58</v>
      </c>
      <c r="H772" s="723" t="s">
        <v>677</v>
      </c>
      <c r="I772" s="713" t="s">
        <v>5</v>
      </c>
      <c r="J772" s="713" t="s">
        <v>376</v>
      </c>
      <c r="K772" s="766">
        <v>1</v>
      </c>
      <c r="L772" s="766" t="s">
        <v>671</v>
      </c>
      <c r="M772" s="765" t="s">
        <v>762</v>
      </c>
      <c r="N772" s="765">
        <v>0</v>
      </c>
      <c r="O772" s="765">
        <v>0</v>
      </c>
      <c r="P772" s="735">
        <v>0</v>
      </c>
      <c r="Q772" s="713" t="s">
        <v>58</v>
      </c>
      <c r="R772" s="713" t="s">
        <v>58</v>
      </c>
      <c r="S772" s="713" t="s">
        <v>58</v>
      </c>
      <c r="T772" s="713" t="s">
        <v>58</v>
      </c>
      <c r="U772" s="764">
        <v>0</v>
      </c>
      <c r="V772" s="764">
        <v>0</v>
      </c>
      <c r="W772" s="764">
        <v>0</v>
      </c>
      <c r="X772" s="764">
        <v>0</v>
      </c>
      <c r="Y772" s="764">
        <v>0</v>
      </c>
      <c r="Z772" s="764">
        <v>0</v>
      </c>
      <c r="AA772" s="764">
        <v>0</v>
      </c>
      <c r="AB772" s="764">
        <v>0</v>
      </c>
      <c r="AC772" s="714">
        <v>0.82617698682369967</v>
      </c>
      <c r="AD772" s="714">
        <v>0.7843105192554185</v>
      </c>
      <c r="AE772" s="713" t="s">
        <v>58</v>
      </c>
      <c r="AF772" s="713" t="s">
        <v>58</v>
      </c>
      <c r="AG772" s="713" t="s">
        <v>58</v>
      </c>
      <c r="AH772" s="714">
        <v>0.94387031345969796</v>
      </c>
      <c r="AI772" s="713" t="s">
        <v>58</v>
      </c>
      <c r="AJ772" s="713" t="s">
        <v>58</v>
      </c>
      <c r="AK772" s="713" t="s">
        <v>58</v>
      </c>
      <c r="AL772" s="714">
        <v>0.94454345387965444</v>
      </c>
      <c r="AM772" s="713" t="s">
        <v>58</v>
      </c>
      <c r="AN772" s="713" t="s">
        <v>58</v>
      </c>
      <c r="AO772" s="713" t="s">
        <v>58</v>
      </c>
      <c r="AP772" s="747">
        <v>51</v>
      </c>
      <c r="AQ772" s="747">
        <v>51</v>
      </c>
      <c r="AR772" s="709"/>
      <c r="AS772" s="763">
        <v>0</v>
      </c>
      <c r="AT772" s="763">
        <v>0</v>
      </c>
      <c r="AU772" s="763">
        <v>0</v>
      </c>
      <c r="AV772" s="763">
        <v>0</v>
      </c>
      <c r="AW772" s="763">
        <v>0</v>
      </c>
      <c r="AX772" s="763">
        <v>0</v>
      </c>
      <c r="AY772" s="763">
        <v>0</v>
      </c>
      <c r="AZ772" s="763">
        <v>0</v>
      </c>
      <c r="BA772" s="763">
        <v>0</v>
      </c>
      <c r="BB772" s="763">
        <v>0</v>
      </c>
      <c r="BC772" s="763">
        <v>0</v>
      </c>
      <c r="BD772" s="763">
        <v>0</v>
      </c>
      <c r="BE772" s="763">
        <v>0</v>
      </c>
      <c r="BF772" s="763">
        <v>0</v>
      </c>
      <c r="BG772" s="763">
        <v>0</v>
      </c>
      <c r="BH772" s="763">
        <v>0</v>
      </c>
      <c r="BI772" s="763">
        <v>0</v>
      </c>
      <c r="BJ772" s="763">
        <v>0</v>
      </c>
      <c r="BK772" s="763">
        <v>0</v>
      </c>
      <c r="BL772" s="763">
        <v>0</v>
      </c>
      <c r="BM772" s="763">
        <v>0</v>
      </c>
      <c r="BN772" s="763">
        <v>0</v>
      </c>
      <c r="BO772" s="763">
        <v>0</v>
      </c>
      <c r="BP772" s="763">
        <v>0</v>
      </c>
      <c r="BQ772" s="763">
        <v>0</v>
      </c>
      <c r="BR772" s="763">
        <v>0</v>
      </c>
      <c r="BS772" s="762">
        <v>0</v>
      </c>
      <c r="BT772" s="762">
        <v>0</v>
      </c>
      <c r="BU772" s="762">
        <v>0</v>
      </c>
      <c r="BV772" s="762">
        <v>0</v>
      </c>
      <c r="BW772" s="762">
        <v>0</v>
      </c>
      <c r="BX772" s="762">
        <v>0</v>
      </c>
      <c r="BY772" s="762">
        <v>0</v>
      </c>
      <c r="BZ772" s="762">
        <v>0</v>
      </c>
      <c r="CA772" s="762">
        <v>0</v>
      </c>
      <c r="CB772" s="762">
        <v>0</v>
      </c>
      <c r="CC772" s="762">
        <v>0</v>
      </c>
      <c r="CD772" s="762">
        <v>0</v>
      </c>
      <c r="CE772" s="762">
        <v>0</v>
      </c>
      <c r="CF772" s="762">
        <v>0</v>
      </c>
      <c r="CG772" s="762">
        <v>0</v>
      </c>
      <c r="CH772" s="762">
        <v>0</v>
      </c>
      <c r="CI772" s="762">
        <v>0</v>
      </c>
      <c r="CJ772" s="762">
        <v>0</v>
      </c>
      <c r="CK772" s="762">
        <v>0</v>
      </c>
      <c r="CL772" s="762">
        <v>0</v>
      </c>
      <c r="CM772" s="762">
        <v>0</v>
      </c>
      <c r="CN772" s="762">
        <v>0</v>
      </c>
      <c r="CO772" s="762">
        <v>0</v>
      </c>
      <c r="CP772" s="762">
        <v>0</v>
      </c>
      <c r="CQ772" s="762">
        <v>0</v>
      </c>
      <c r="CR772" s="762">
        <v>0</v>
      </c>
    </row>
    <row r="773" spans="1:96" s="53" customFormat="1">
      <c r="A773" s="721" t="s">
        <v>3</v>
      </c>
      <c r="B773" s="723">
        <v>41978</v>
      </c>
      <c r="C773" s="721">
        <v>2014</v>
      </c>
      <c r="D773" s="713" t="s">
        <v>1</v>
      </c>
      <c r="E773" s="713" t="s">
        <v>674</v>
      </c>
      <c r="F773" s="723" t="s">
        <v>685</v>
      </c>
      <c r="G773" s="713" t="s">
        <v>58</v>
      </c>
      <c r="H773" s="723" t="s">
        <v>676</v>
      </c>
      <c r="I773" s="713" t="s">
        <v>5</v>
      </c>
      <c r="J773" s="713" t="s">
        <v>376</v>
      </c>
      <c r="K773" s="766">
        <v>1</v>
      </c>
      <c r="L773" s="766" t="s">
        <v>671</v>
      </c>
      <c r="M773" s="765" t="s">
        <v>762</v>
      </c>
      <c r="N773" s="765">
        <v>12</v>
      </c>
      <c r="O773" s="765">
        <v>3</v>
      </c>
      <c r="P773" s="735">
        <v>0.31578947368421051</v>
      </c>
      <c r="Q773" s="713" t="s">
        <v>58</v>
      </c>
      <c r="R773" s="713" t="s">
        <v>58</v>
      </c>
      <c r="S773" s="713" t="s">
        <v>58</v>
      </c>
      <c r="T773" s="713" t="s">
        <v>58</v>
      </c>
      <c r="U773" s="764">
        <v>3.7999999999999999E-2</v>
      </c>
      <c r="V773" s="764">
        <v>183.35</v>
      </c>
      <c r="W773" s="764">
        <v>2.9803799731705907E-2</v>
      </c>
      <c r="X773" s="764">
        <v>151.47955053412531</v>
      </c>
      <c r="Y773" s="764">
        <v>884.9594794362057</v>
      </c>
      <c r="Z773" s="764">
        <v>835.28698125458266</v>
      </c>
      <c r="AA773" s="764">
        <v>142.97705084537901</v>
      </c>
      <c r="AB773" s="764">
        <v>2.8150983937323015E-2</v>
      </c>
      <c r="AC773" s="714">
        <v>0.82617698682369967</v>
      </c>
      <c r="AD773" s="714">
        <v>0.7843105192554185</v>
      </c>
      <c r="AE773" s="713" t="s">
        <v>58</v>
      </c>
      <c r="AF773" s="713" t="s">
        <v>58</v>
      </c>
      <c r="AG773" s="713" t="s">
        <v>58</v>
      </c>
      <c r="AH773" s="714">
        <v>0.94387031345969796</v>
      </c>
      <c r="AI773" s="713" t="s">
        <v>58</v>
      </c>
      <c r="AJ773" s="713" t="s">
        <v>58</v>
      </c>
      <c r="AK773" s="713" t="s">
        <v>58</v>
      </c>
      <c r="AL773" s="714">
        <v>0.94454345387965444</v>
      </c>
      <c r="AM773" s="713" t="s">
        <v>58</v>
      </c>
      <c r="AN773" s="713" t="s">
        <v>58</v>
      </c>
      <c r="AO773" s="713" t="s">
        <v>58</v>
      </c>
      <c r="AP773" s="747">
        <v>57</v>
      </c>
      <c r="AQ773" s="747">
        <v>57</v>
      </c>
      <c r="AR773" s="709"/>
      <c r="AS773" s="763">
        <v>0</v>
      </c>
      <c r="AT773" s="763">
        <v>0</v>
      </c>
      <c r="AU773" s="763">
        <v>0</v>
      </c>
      <c r="AV773" s="763">
        <v>2.8150983937323015E-2</v>
      </c>
      <c r="AW773" s="763">
        <v>2.8150983937323015E-2</v>
      </c>
      <c r="AX773" s="763">
        <v>2.8150983937323015E-2</v>
      </c>
      <c r="AY773" s="763">
        <v>8.8897844012598998E-3</v>
      </c>
      <c r="AZ773" s="763">
        <v>8.8897844012598998E-3</v>
      </c>
      <c r="BA773" s="763">
        <v>8.8897844012598998E-3</v>
      </c>
      <c r="BB773" s="763">
        <v>8.8897844012598998E-3</v>
      </c>
      <c r="BC773" s="763">
        <v>8.8897844012598998E-3</v>
      </c>
      <c r="BD773" s="763">
        <v>8.8897844012598998E-3</v>
      </c>
      <c r="BE773" s="763">
        <v>8.8897844012598998E-3</v>
      </c>
      <c r="BF773" s="763">
        <v>8.8897844012598998E-3</v>
      </c>
      <c r="BG773" s="763">
        <v>8.8897844012598998E-3</v>
      </c>
      <c r="BH773" s="763">
        <v>0</v>
      </c>
      <c r="BI773" s="763">
        <v>0</v>
      </c>
      <c r="BJ773" s="763">
        <v>0</v>
      </c>
      <c r="BK773" s="763">
        <v>0</v>
      </c>
      <c r="BL773" s="763">
        <v>0</v>
      </c>
      <c r="BM773" s="763">
        <v>0</v>
      </c>
      <c r="BN773" s="763">
        <v>0</v>
      </c>
      <c r="BO773" s="763">
        <v>0</v>
      </c>
      <c r="BP773" s="763">
        <v>0</v>
      </c>
      <c r="BQ773" s="763">
        <v>0</v>
      </c>
      <c r="BR773" s="763">
        <v>0</v>
      </c>
      <c r="BS773" s="762">
        <v>0</v>
      </c>
      <c r="BT773" s="762">
        <v>0</v>
      </c>
      <c r="BU773" s="762">
        <v>0</v>
      </c>
      <c r="BV773" s="762">
        <v>142.97705084537901</v>
      </c>
      <c r="BW773" s="762">
        <v>142.97705084537901</v>
      </c>
      <c r="BX773" s="762">
        <v>142.97705084537901</v>
      </c>
      <c r="BY773" s="762">
        <v>45.150647635382846</v>
      </c>
      <c r="BZ773" s="762">
        <v>45.150647635382846</v>
      </c>
      <c r="CA773" s="762">
        <v>45.150647635382846</v>
      </c>
      <c r="CB773" s="762">
        <v>45.150647635382846</v>
      </c>
      <c r="CC773" s="762">
        <v>45.150647635382846</v>
      </c>
      <c r="CD773" s="762">
        <v>45.150647635382846</v>
      </c>
      <c r="CE773" s="762">
        <v>45.150647635382846</v>
      </c>
      <c r="CF773" s="762">
        <v>45.150647635382846</v>
      </c>
      <c r="CG773" s="762">
        <v>45.150647635382846</v>
      </c>
      <c r="CH773" s="762">
        <v>0</v>
      </c>
      <c r="CI773" s="762">
        <v>0</v>
      </c>
      <c r="CJ773" s="762">
        <v>0</v>
      </c>
      <c r="CK773" s="762">
        <v>0</v>
      </c>
      <c r="CL773" s="762">
        <v>0</v>
      </c>
      <c r="CM773" s="762">
        <v>0</v>
      </c>
      <c r="CN773" s="762">
        <v>0</v>
      </c>
      <c r="CO773" s="762">
        <v>0</v>
      </c>
      <c r="CP773" s="762">
        <v>0</v>
      </c>
      <c r="CQ773" s="762">
        <v>0</v>
      </c>
      <c r="CR773" s="762">
        <v>0</v>
      </c>
    </row>
    <row r="774" spans="1:96" s="53" customFormat="1">
      <c r="A774" s="721" t="s">
        <v>3</v>
      </c>
      <c r="B774" s="723">
        <v>41978</v>
      </c>
      <c r="C774" s="721">
        <v>2014</v>
      </c>
      <c r="D774" s="713" t="s">
        <v>1</v>
      </c>
      <c r="E774" s="713" t="s">
        <v>674</v>
      </c>
      <c r="F774" s="723" t="s">
        <v>685</v>
      </c>
      <c r="G774" s="713" t="s">
        <v>58</v>
      </c>
      <c r="H774" s="723" t="s">
        <v>684</v>
      </c>
      <c r="I774" s="713" t="s">
        <v>5</v>
      </c>
      <c r="J774" s="713" t="s">
        <v>376</v>
      </c>
      <c r="K774" s="766">
        <v>2</v>
      </c>
      <c r="L774" s="766" t="s">
        <v>671</v>
      </c>
      <c r="M774" s="765" t="s">
        <v>762</v>
      </c>
      <c r="N774" s="765">
        <v>11</v>
      </c>
      <c r="O774" s="765">
        <v>2</v>
      </c>
      <c r="P774" s="735">
        <v>0.43976996379393668</v>
      </c>
      <c r="Q774" s="713" t="s">
        <v>58</v>
      </c>
      <c r="R774" s="713" t="s">
        <v>58</v>
      </c>
      <c r="S774" s="713" t="s">
        <v>58</v>
      </c>
      <c r="T774" s="713" t="s">
        <v>58</v>
      </c>
      <c r="U774" s="764">
        <v>0.13600000000000001</v>
      </c>
      <c r="V774" s="764">
        <v>656.2</v>
      </c>
      <c r="W774" s="764">
        <v>0.10666623061873694</v>
      </c>
      <c r="X774" s="764">
        <v>542.13733875371167</v>
      </c>
      <c r="Y774" s="764">
        <v>3230.016138022972</v>
      </c>
      <c r="Z774" s="764">
        <v>3048.7163446756258</v>
      </c>
      <c r="AA774" s="764">
        <v>511.70733986767232</v>
      </c>
      <c r="AB774" s="764">
        <v>0.10075088988094553</v>
      </c>
      <c r="AC774" s="714">
        <v>0.82617698682369967</v>
      </c>
      <c r="AD774" s="714">
        <v>0.7843105192554185</v>
      </c>
      <c r="AE774" s="713" t="s">
        <v>58</v>
      </c>
      <c r="AF774" s="713" t="s">
        <v>58</v>
      </c>
      <c r="AG774" s="713" t="s">
        <v>58</v>
      </c>
      <c r="AH774" s="714">
        <v>0.94387031345969796</v>
      </c>
      <c r="AI774" s="713" t="s">
        <v>58</v>
      </c>
      <c r="AJ774" s="713" t="s">
        <v>58</v>
      </c>
      <c r="AK774" s="713" t="s">
        <v>58</v>
      </c>
      <c r="AL774" s="714">
        <v>0.94454345387965444</v>
      </c>
      <c r="AM774" s="713" t="s">
        <v>58</v>
      </c>
      <c r="AN774" s="713" t="s">
        <v>58</v>
      </c>
      <c r="AO774" s="713" t="s">
        <v>58</v>
      </c>
      <c r="AP774" s="747">
        <v>48</v>
      </c>
      <c r="AQ774" s="747">
        <v>96</v>
      </c>
      <c r="AR774" s="709"/>
      <c r="AS774" s="763">
        <v>0</v>
      </c>
      <c r="AT774" s="763">
        <v>0</v>
      </c>
      <c r="AU774" s="763">
        <v>0</v>
      </c>
      <c r="AV774" s="763">
        <v>0.10075088988094553</v>
      </c>
      <c r="AW774" s="763">
        <v>0.10075088988094553</v>
      </c>
      <c r="AX774" s="763">
        <v>4.4307215195150317E-2</v>
      </c>
      <c r="AY774" s="763">
        <v>4.4307215195150317E-2</v>
      </c>
      <c r="AZ774" s="763">
        <v>4.4307215195150317E-2</v>
      </c>
      <c r="BA774" s="763">
        <v>4.4307215195150317E-2</v>
      </c>
      <c r="BB774" s="763">
        <v>4.4307215195150317E-2</v>
      </c>
      <c r="BC774" s="763">
        <v>4.4307215195150317E-2</v>
      </c>
      <c r="BD774" s="763">
        <v>4.4307215195150317E-2</v>
      </c>
      <c r="BE774" s="763">
        <v>4.4307215195150317E-2</v>
      </c>
      <c r="BF774" s="763">
        <v>4.4307215195150317E-2</v>
      </c>
      <c r="BG774" s="763">
        <v>0</v>
      </c>
      <c r="BH774" s="763">
        <v>0</v>
      </c>
      <c r="BI774" s="763">
        <v>0</v>
      </c>
      <c r="BJ774" s="763">
        <v>0</v>
      </c>
      <c r="BK774" s="763">
        <v>0</v>
      </c>
      <c r="BL774" s="763">
        <v>0</v>
      </c>
      <c r="BM774" s="763">
        <v>0</v>
      </c>
      <c r="BN774" s="763">
        <v>0</v>
      </c>
      <c r="BO774" s="763">
        <v>0</v>
      </c>
      <c r="BP774" s="763">
        <v>0</v>
      </c>
      <c r="BQ774" s="763">
        <v>0</v>
      </c>
      <c r="BR774" s="763">
        <v>0</v>
      </c>
      <c r="BS774" s="762">
        <v>0</v>
      </c>
      <c r="BT774" s="762">
        <v>0</v>
      </c>
      <c r="BU774" s="762">
        <v>0</v>
      </c>
      <c r="BV774" s="762">
        <v>511.70733986767232</v>
      </c>
      <c r="BW774" s="762">
        <v>511.70733986767232</v>
      </c>
      <c r="BX774" s="762">
        <v>225.0335183266979</v>
      </c>
      <c r="BY774" s="762">
        <v>225.0335183266979</v>
      </c>
      <c r="BZ774" s="762">
        <v>225.0335183266979</v>
      </c>
      <c r="CA774" s="762">
        <v>225.0335183266979</v>
      </c>
      <c r="CB774" s="762">
        <v>225.0335183266979</v>
      </c>
      <c r="CC774" s="762">
        <v>225.0335183266979</v>
      </c>
      <c r="CD774" s="762">
        <v>225.0335183266979</v>
      </c>
      <c r="CE774" s="762">
        <v>225.0335183266979</v>
      </c>
      <c r="CF774" s="762">
        <v>225.0335183266979</v>
      </c>
      <c r="CG774" s="762">
        <v>0</v>
      </c>
      <c r="CH774" s="762">
        <v>0</v>
      </c>
      <c r="CI774" s="762">
        <v>0</v>
      </c>
      <c r="CJ774" s="762">
        <v>0</v>
      </c>
      <c r="CK774" s="762">
        <v>0</v>
      </c>
      <c r="CL774" s="762">
        <v>0</v>
      </c>
      <c r="CM774" s="762">
        <v>0</v>
      </c>
      <c r="CN774" s="762">
        <v>0</v>
      </c>
      <c r="CO774" s="762">
        <v>0</v>
      </c>
      <c r="CP774" s="762">
        <v>0</v>
      </c>
      <c r="CQ774" s="762">
        <v>0</v>
      </c>
      <c r="CR774" s="762">
        <v>0</v>
      </c>
    </row>
    <row r="775" spans="1:96" s="53" customFormat="1">
      <c r="A775" s="721" t="s">
        <v>3</v>
      </c>
      <c r="B775" s="723">
        <v>41978</v>
      </c>
      <c r="C775" s="721">
        <v>2014</v>
      </c>
      <c r="D775" s="713" t="s">
        <v>1</v>
      </c>
      <c r="E775" s="713" t="s">
        <v>674</v>
      </c>
      <c r="F775" s="723" t="s">
        <v>685</v>
      </c>
      <c r="G775" s="713" t="s">
        <v>58</v>
      </c>
      <c r="H775" s="723" t="s">
        <v>684</v>
      </c>
      <c r="I775" s="713" t="s">
        <v>5</v>
      </c>
      <c r="J775" s="713" t="s">
        <v>376</v>
      </c>
      <c r="K775" s="766">
        <v>3</v>
      </c>
      <c r="L775" s="766" t="s">
        <v>671</v>
      </c>
      <c r="M775" s="765" t="s">
        <v>762</v>
      </c>
      <c r="N775" s="765">
        <v>11</v>
      </c>
      <c r="O775" s="765">
        <v>2</v>
      </c>
      <c r="P775" s="735">
        <v>0.43976996379393668</v>
      </c>
      <c r="Q775" s="713" t="s">
        <v>58</v>
      </c>
      <c r="R775" s="713" t="s">
        <v>58</v>
      </c>
      <c r="S775" s="713" t="s">
        <v>58</v>
      </c>
      <c r="T775" s="713" t="s">
        <v>58</v>
      </c>
      <c r="U775" s="764">
        <v>0.20399999999999999</v>
      </c>
      <c r="V775" s="764">
        <v>984.3</v>
      </c>
      <c r="W775" s="764">
        <v>0.15999934592810541</v>
      </c>
      <c r="X775" s="764">
        <v>813.20600813056751</v>
      </c>
      <c r="Y775" s="764">
        <v>4845.0242070344584</v>
      </c>
      <c r="Z775" s="764">
        <v>4573.0745170134387</v>
      </c>
      <c r="AA775" s="764">
        <v>767.56100980150848</v>
      </c>
      <c r="AB775" s="764">
        <v>0.15112633482141832</v>
      </c>
      <c r="AC775" s="714">
        <v>0.82617698682369967</v>
      </c>
      <c r="AD775" s="714">
        <v>0.7843105192554185</v>
      </c>
      <c r="AE775" s="713" t="s">
        <v>58</v>
      </c>
      <c r="AF775" s="713" t="s">
        <v>58</v>
      </c>
      <c r="AG775" s="713" t="s">
        <v>58</v>
      </c>
      <c r="AH775" s="714">
        <v>0.94387031345969796</v>
      </c>
      <c r="AI775" s="713" t="s">
        <v>58</v>
      </c>
      <c r="AJ775" s="713" t="s">
        <v>58</v>
      </c>
      <c r="AK775" s="713" t="s">
        <v>58</v>
      </c>
      <c r="AL775" s="714">
        <v>0.94454345387965444</v>
      </c>
      <c r="AM775" s="713" t="s">
        <v>58</v>
      </c>
      <c r="AN775" s="713" t="s">
        <v>58</v>
      </c>
      <c r="AO775" s="713" t="s">
        <v>58</v>
      </c>
      <c r="AP775" s="747">
        <v>48</v>
      </c>
      <c r="AQ775" s="747">
        <v>144</v>
      </c>
      <c r="AR775" s="709"/>
      <c r="AS775" s="763">
        <v>0</v>
      </c>
      <c r="AT775" s="763">
        <v>0</v>
      </c>
      <c r="AU775" s="763">
        <v>0</v>
      </c>
      <c r="AV775" s="763">
        <v>0.15112633482141832</v>
      </c>
      <c r="AW775" s="763">
        <v>0.15112633482141832</v>
      </c>
      <c r="AX775" s="763">
        <v>6.6460822792725485E-2</v>
      </c>
      <c r="AY775" s="763">
        <v>6.6460822792725485E-2</v>
      </c>
      <c r="AZ775" s="763">
        <v>6.6460822792725485E-2</v>
      </c>
      <c r="BA775" s="763">
        <v>6.6460822792725485E-2</v>
      </c>
      <c r="BB775" s="763">
        <v>6.6460822792725485E-2</v>
      </c>
      <c r="BC775" s="763">
        <v>6.6460822792725485E-2</v>
      </c>
      <c r="BD775" s="763">
        <v>6.6460822792725485E-2</v>
      </c>
      <c r="BE775" s="763">
        <v>6.6460822792725485E-2</v>
      </c>
      <c r="BF775" s="763">
        <v>6.6460822792725485E-2</v>
      </c>
      <c r="BG775" s="763">
        <v>0</v>
      </c>
      <c r="BH775" s="763">
        <v>0</v>
      </c>
      <c r="BI775" s="763">
        <v>0</v>
      </c>
      <c r="BJ775" s="763">
        <v>0</v>
      </c>
      <c r="BK775" s="763">
        <v>0</v>
      </c>
      <c r="BL775" s="763">
        <v>0</v>
      </c>
      <c r="BM775" s="763">
        <v>0</v>
      </c>
      <c r="BN775" s="763">
        <v>0</v>
      </c>
      <c r="BO775" s="763">
        <v>0</v>
      </c>
      <c r="BP775" s="763">
        <v>0</v>
      </c>
      <c r="BQ775" s="763">
        <v>0</v>
      </c>
      <c r="BR775" s="763">
        <v>0</v>
      </c>
      <c r="BS775" s="762">
        <v>0</v>
      </c>
      <c r="BT775" s="762">
        <v>0</v>
      </c>
      <c r="BU775" s="762">
        <v>0</v>
      </c>
      <c r="BV775" s="762">
        <v>767.56100980150848</v>
      </c>
      <c r="BW775" s="762">
        <v>767.56100980150848</v>
      </c>
      <c r="BX775" s="762">
        <v>337.55027749004688</v>
      </c>
      <c r="BY775" s="762">
        <v>337.55027749004688</v>
      </c>
      <c r="BZ775" s="762">
        <v>337.55027749004688</v>
      </c>
      <c r="CA775" s="762">
        <v>337.55027749004688</v>
      </c>
      <c r="CB775" s="762">
        <v>337.55027749004688</v>
      </c>
      <c r="CC775" s="762">
        <v>337.55027749004688</v>
      </c>
      <c r="CD775" s="762">
        <v>337.55027749004688</v>
      </c>
      <c r="CE775" s="762">
        <v>337.55027749004688</v>
      </c>
      <c r="CF775" s="762">
        <v>337.55027749004688</v>
      </c>
      <c r="CG775" s="762">
        <v>0</v>
      </c>
      <c r="CH775" s="762">
        <v>0</v>
      </c>
      <c r="CI775" s="762">
        <v>0</v>
      </c>
      <c r="CJ775" s="762">
        <v>0</v>
      </c>
      <c r="CK775" s="762">
        <v>0</v>
      </c>
      <c r="CL775" s="762">
        <v>0</v>
      </c>
      <c r="CM775" s="762">
        <v>0</v>
      </c>
      <c r="CN775" s="762">
        <v>0</v>
      </c>
      <c r="CO775" s="762">
        <v>0</v>
      </c>
      <c r="CP775" s="762">
        <v>0</v>
      </c>
      <c r="CQ775" s="762">
        <v>0</v>
      </c>
      <c r="CR775" s="762">
        <v>0</v>
      </c>
    </row>
    <row r="776" spans="1:96" s="53" customFormat="1">
      <c r="A776" s="721" t="s">
        <v>3</v>
      </c>
      <c r="B776" s="723">
        <v>41978</v>
      </c>
      <c r="C776" s="721">
        <v>2014</v>
      </c>
      <c r="D776" s="713" t="s">
        <v>1</v>
      </c>
      <c r="E776" s="713" t="s">
        <v>674</v>
      </c>
      <c r="F776" s="723" t="s">
        <v>685</v>
      </c>
      <c r="G776" s="713" t="s">
        <v>58</v>
      </c>
      <c r="H776" s="723" t="s">
        <v>688</v>
      </c>
      <c r="I776" s="713" t="s">
        <v>5</v>
      </c>
      <c r="J776" s="713" t="s">
        <v>376</v>
      </c>
      <c r="K776" s="766">
        <v>4</v>
      </c>
      <c r="L776" s="766" t="s">
        <v>671</v>
      </c>
      <c r="M776" s="765" t="s">
        <v>762</v>
      </c>
      <c r="N776" s="765">
        <v>11</v>
      </c>
      <c r="O776" s="765" t="s">
        <v>7</v>
      </c>
      <c r="P776" s="735">
        <v>1</v>
      </c>
      <c r="Q776" s="713" t="s">
        <v>58</v>
      </c>
      <c r="R776" s="713" t="s">
        <v>58</v>
      </c>
      <c r="S776" s="713" t="s">
        <v>58</v>
      </c>
      <c r="T776" s="713" t="s">
        <v>58</v>
      </c>
      <c r="U776" s="764">
        <v>0.13600000000000001</v>
      </c>
      <c r="V776" s="764">
        <v>656.2</v>
      </c>
      <c r="W776" s="764">
        <v>0.10666623061873694</v>
      </c>
      <c r="X776" s="764">
        <v>542.13733875371167</v>
      </c>
      <c r="Y776" s="764">
        <v>5963.5107262908286</v>
      </c>
      <c r="Z776" s="764">
        <v>5628.7807385443957</v>
      </c>
      <c r="AA776" s="764">
        <v>511.70733986767232</v>
      </c>
      <c r="AB776" s="764">
        <v>0.10075088988094553</v>
      </c>
      <c r="AC776" s="714">
        <v>0.82617698682369967</v>
      </c>
      <c r="AD776" s="714">
        <v>0.7843105192554185</v>
      </c>
      <c r="AE776" s="713" t="s">
        <v>58</v>
      </c>
      <c r="AF776" s="713" t="s">
        <v>58</v>
      </c>
      <c r="AG776" s="713" t="s">
        <v>58</v>
      </c>
      <c r="AH776" s="714">
        <v>0.94387031345969796</v>
      </c>
      <c r="AI776" s="713" t="s">
        <v>58</v>
      </c>
      <c r="AJ776" s="713" t="s">
        <v>58</v>
      </c>
      <c r="AK776" s="713" t="s">
        <v>58</v>
      </c>
      <c r="AL776" s="714">
        <v>0.94454345387965444</v>
      </c>
      <c r="AM776" s="713" t="s">
        <v>58</v>
      </c>
      <c r="AN776" s="713" t="s">
        <v>58</v>
      </c>
      <c r="AO776" s="713" t="s">
        <v>58</v>
      </c>
      <c r="AP776" s="747">
        <v>47</v>
      </c>
      <c r="AQ776" s="747">
        <v>188</v>
      </c>
      <c r="AR776" s="709"/>
      <c r="AS776" s="763">
        <v>0</v>
      </c>
      <c r="AT776" s="763">
        <v>0</v>
      </c>
      <c r="AU776" s="763">
        <v>0</v>
      </c>
      <c r="AV776" s="763">
        <v>0.10075088988094553</v>
      </c>
      <c r="AW776" s="763">
        <v>0.10075088988094553</v>
      </c>
      <c r="AX776" s="763">
        <v>0.10075088988094553</v>
      </c>
      <c r="AY776" s="763">
        <v>0.10075088988094553</v>
      </c>
      <c r="AZ776" s="763">
        <v>0.10075088988094553</v>
      </c>
      <c r="BA776" s="763">
        <v>0.10075088988094553</v>
      </c>
      <c r="BB776" s="763">
        <v>0.10075088988094553</v>
      </c>
      <c r="BC776" s="763">
        <v>0.10075088988094553</v>
      </c>
      <c r="BD776" s="763">
        <v>0.10075088988094553</v>
      </c>
      <c r="BE776" s="763">
        <v>0.10075088988094553</v>
      </c>
      <c r="BF776" s="763">
        <v>0.10075088988094553</v>
      </c>
      <c r="BG776" s="763">
        <v>0</v>
      </c>
      <c r="BH776" s="763">
        <v>0</v>
      </c>
      <c r="BI776" s="763">
        <v>0</v>
      </c>
      <c r="BJ776" s="763">
        <v>0</v>
      </c>
      <c r="BK776" s="763">
        <v>0</v>
      </c>
      <c r="BL776" s="763">
        <v>0</v>
      </c>
      <c r="BM776" s="763">
        <v>0</v>
      </c>
      <c r="BN776" s="763">
        <v>0</v>
      </c>
      <c r="BO776" s="763">
        <v>0</v>
      </c>
      <c r="BP776" s="763">
        <v>0</v>
      </c>
      <c r="BQ776" s="763">
        <v>0</v>
      </c>
      <c r="BR776" s="763">
        <v>0</v>
      </c>
      <c r="BS776" s="762">
        <v>0</v>
      </c>
      <c r="BT776" s="762">
        <v>0</v>
      </c>
      <c r="BU776" s="762">
        <v>0</v>
      </c>
      <c r="BV776" s="762">
        <v>511.70733986767232</v>
      </c>
      <c r="BW776" s="762">
        <v>511.70733986767232</v>
      </c>
      <c r="BX776" s="762">
        <v>511.70733986767232</v>
      </c>
      <c r="BY776" s="762">
        <v>511.70733986767232</v>
      </c>
      <c r="BZ776" s="762">
        <v>511.70733986767232</v>
      </c>
      <c r="CA776" s="762">
        <v>511.70733986767232</v>
      </c>
      <c r="CB776" s="762">
        <v>511.70733986767232</v>
      </c>
      <c r="CC776" s="762">
        <v>511.70733986767232</v>
      </c>
      <c r="CD776" s="762">
        <v>511.70733986767232</v>
      </c>
      <c r="CE776" s="762">
        <v>511.70733986767232</v>
      </c>
      <c r="CF776" s="762">
        <v>511.70733986767232</v>
      </c>
      <c r="CG776" s="762">
        <v>0</v>
      </c>
      <c r="CH776" s="762">
        <v>0</v>
      </c>
      <c r="CI776" s="762">
        <v>0</v>
      </c>
      <c r="CJ776" s="762">
        <v>0</v>
      </c>
      <c r="CK776" s="762">
        <v>0</v>
      </c>
      <c r="CL776" s="762">
        <v>0</v>
      </c>
      <c r="CM776" s="762">
        <v>0</v>
      </c>
      <c r="CN776" s="762">
        <v>0</v>
      </c>
      <c r="CO776" s="762">
        <v>0</v>
      </c>
      <c r="CP776" s="762">
        <v>0</v>
      </c>
      <c r="CQ776" s="762">
        <v>0</v>
      </c>
      <c r="CR776" s="762">
        <v>0</v>
      </c>
    </row>
    <row r="777" spans="1:96" s="53" customFormat="1">
      <c r="A777" s="721" t="s">
        <v>3</v>
      </c>
      <c r="B777" s="723">
        <v>41751</v>
      </c>
      <c r="C777" s="721">
        <v>2014</v>
      </c>
      <c r="D777" s="713" t="s">
        <v>1</v>
      </c>
      <c r="E777" s="713" t="s">
        <v>674</v>
      </c>
      <c r="F777" s="723" t="s">
        <v>673</v>
      </c>
      <c r="G777" s="713" t="s">
        <v>58</v>
      </c>
      <c r="H777" s="723" t="s">
        <v>704</v>
      </c>
      <c r="I777" s="713" t="s">
        <v>5</v>
      </c>
      <c r="J777" s="713" t="s">
        <v>376</v>
      </c>
      <c r="K777" s="766">
        <v>1</v>
      </c>
      <c r="L777" s="766" t="s">
        <v>671</v>
      </c>
      <c r="M777" s="765" t="s">
        <v>753</v>
      </c>
      <c r="N777" s="765">
        <v>12</v>
      </c>
      <c r="O777" s="765">
        <v>3</v>
      </c>
      <c r="P777" s="735">
        <v>4.5454545454545456E-2</v>
      </c>
      <c r="Q777" s="713" t="s">
        <v>58</v>
      </c>
      <c r="R777" s="713" t="s">
        <v>58</v>
      </c>
      <c r="S777" s="713" t="s">
        <v>58</v>
      </c>
      <c r="T777" s="713" t="s">
        <v>58</v>
      </c>
      <c r="U777" s="764">
        <v>2.1999999999999999E-2</v>
      </c>
      <c r="V777" s="764">
        <v>57.067999999999998</v>
      </c>
      <c r="W777" s="764">
        <v>1.7254831423619207E-2</v>
      </c>
      <c r="X777" s="764">
        <v>47.148268284054886</v>
      </c>
      <c r="Y777" s="764">
        <v>160.73273278655074</v>
      </c>
      <c r="Z777" s="764">
        <v>151.71085487847552</v>
      </c>
      <c r="AA777" s="764">
        <v>44.501850764352824</v>
      </c>
      <c r="AB777" s="764">
        <v>1.6297938068976482E-2</v>
      </c>
      <c r="AC777" s="714">
        <v>0.82617698682369967</v>
      </c>
      <c r="AD777" s="714">
        <v>0.7843105192554185</v>
      </c>
      <c r="AE777" s="713" t="s">
        <v>58</v>
      </c>
      <c r="AF777" s="713" t="s">
        <v>58</v>
      </c>
      <c r="AG777" s="713" t="s">
        <v>58</v>
      </c>
      <c r="AH777" s="714">
        <v>0.94387031345969796</v>
      </c>
      <c r="AI777" s="713" t="s">
        <v>58</v>
      </c>
      <c r="AJ777" s="713" t="s">
        <v>58</v>
      </c>
      <c r="AK777" s="713" t="s">
        <v>58</v>
      </c>
      <c r="AL777" s="714">
        <v>0.94454345387965444</v>
      </c>
      <c r="AM777" s="713" t="s">
        <v>58</v>
      </c>
      <c r="AN777" s="713" t="s">
        <v>58</v>
      </c>
      <c r="AO777" s="713" t="s">
        <v>58</v>
      </c>
      <c r="AP777" s="747">
        <v>75</v>
      </c>
      <c r="AQ777" s="747">
        <v>75</v>
      </c>
      <c r="AR777" s="709"/>
      <c r="AS777" s="763">
        <v>0</v>
      </c>
      <c r="AT777" s="763">
        <v>0</v>
      </c>
      <c r="AU777" s="763">
        <v>0</v>
      </c>
      <c r="AV777" s="763">
        <v>1.6297938068976482E-2</v>
      </c>
      <c r="AW777" s="763">
        <v>1.6297938068976482E-2</v>
      </c>
      <c r="AX777" s="763">
        <v>1.6297938068976482E-2</v>
      </c>
      <c r="AY777" s="763">
        <v>7.4081536677165832E-4</v>
      </c>
      <c r="AZ777" s="763">
        <v>7.4081536677165832E-4</v>
      </c>
      <c r="BA777" s="763">
        <v>7.4081536677165832E-4</v>
      </c>
      <c r="BB777" s="763">
        <v>7.4081536677165832E-4</v>
      </c>
      <c r="BC777" s="763">
        <v>7.4081536677165832E-4</v>
      </c>
      <c r="BD777" s="763">
        <v>7.4081536677165832E-4</v>
      </c>
      <c r="BE777" s="763">
        <v>7.4081536677165832E-4</v>
      </c>
      <c r="BF777" s="763">
        <v>7.4081536677165832E-4</v>
      </c>
      <c r="BG777" s="763">
        <v>7.4081536677165832E-4</v>
      </c>
      <c r="BH777" s="763">
        <v>0</v>
      </c>
      <c r="BI777" s="763">
        <v>0</v>
      </c>
      <c r="BJ777" s="763">
        <v>0</v>
      </c>
      <c r="BK777" s="763">
        <v>0</v>
      </c>
      <c r="BL777" s="763">
        <v>0</v>
      </c>
      <c r="BM777" s="763">
        <v>0</v>
      </c>
      <c r="BN777" s="763">
        <v>0</v>
      </c>
      <c r="BO777" s="763">
        <v>0</v>
      </c>
      <c r="BP777" s="763">
        <v>0</v>
      </c>
      <c r="BQ777" s="763">
        <v>0</v>
      </c>
      <c r="BR777" s="763">
        <v>0</v>
      </c>
      <c r="BS777" s="762">
        <v>0</v>
      </c>
      <c r="BT777" s="762">
        <v>0</v>
      </c>
      <c r="BU777" s="762">
        <v>0</v>
      </c>
      <c r="BV777" s="762">
        <v>44.501850764352824</v>
      </c>
      <c r="BW777" s="762">
        <v>44.501850764352824</v>
      </c>
      <c r="BX777" s="762">
        <v>44.501850764352824</v>
      </c>
      <c r="BY777" s="762">
        <v>2.0228113983796741</v>
      </c>
      <c r="BZ777" s="762">
        <v>2.0228113983796741</v>
      </c>
      <c r="CA777" s="762">
        <v>2.0228113983796741</v>
      </c>
      <c r="CB777" s="762">
        <v>2.0228113983796741</v>
      </c>
      <c r="CC777" s="762">
        <v>2.0228113983796741</v>
      </c>
      <c r="CD777" s="762">
        <v>2.0228113983796741</v>
      </c>
      <c r="CE777" s="762">
        <v>2.0228113983796741</v>
      </c>
      <c r="CF777" s="762">
        <v>2.0228113983796741</v>
      </c>
      <c r="CG777" s="762">
        <v>2.0228113983796741</v>
      </c>
      <c r="CH777" s="762">
        <v>0</v>
      </c>
      <c r="CI777" s="762">
        <v>0</v>
      </c>
      <c r="CJ777" s="762">
        <v>0</v>
      </c>
      <c r="CK777" s="762">
        <v>0</v>
      </c>
      <c r="CL777" s="762">
        <v>0</v>
      </c>
      <c r="CM777" s="762">
        <v>0</v>
      </c>
      <c r="CN777" s="762">
        <v>0</v>
      </c>
      <c r="CO777" s="762">
        <v>0</v>
      </c>
      <c r="CP777" s="762">
        <v>0</v>
      </c>
      <c r="CQ777" s="762">
        <v>0</v>
      </c>
      <c r="CR777" s="762">
        <v>0</v>
      </c>
    </row>
    <row r="778" spans="1:96" s="53" customFormat="1">
      <c r="A778" s="721" t="s">
        <v>3</v>
      </c>
      <c r="B778" s="723">
        <v>41751</v>
      </c>
      <c r="C778" s="721">
        <v>2014</v>
      </c>
      <c r="D778" s="713" t="s">
        <v>1</v>
      </c>
      <c r="E778" s="713" t="s">
        <v>674</v>
      </c>
      <c r="F778" s="723" t="s">
        <v>673</v>
      </c>
      <c r="G778" s="713" t="s">
        <v>58</v>
      </c>
      <c r="H778" s="723" t="s">
        <v>677</v>
      </c>
      <c r="I778" s="713" t="s">
        <v>5</v>
      </c>
      <c r="J778" s="713" t="s">
        <v>376</v>
      </c>
      <c r="K778" s="766">
        <v>1</v>
      </c>
      <c r="L778" s="766" t="s">
        <v>671</v>
      </c>
      <c r="M778" s="765" t="s">
        <v>753</v>
      </c>
      <c r="N778" s="765">
        <v>0</v>
      </c>
      <c r="O778" s="765">
        <v>0</v>
      </c>
      <c r="P778" s="735">
        <v>0</v>
      </c>
      <c r="Q778" s="713" t="s">
        <v>58</v>
      </c>
      <c r="R778" s="713" t="s">
        <v>58</v>
      </c>
      <c r="S778" s="713" t="s">
        <v>58</v>
      </c>
      <c r="T778" s="713" t="s">
        <v>58</v>
      </c>
      <c r="U778" s="764">
        <v>0</v>
      </c>
      <c r="V778" s="764">
        <v>0</v>
      </c>
      <c r="W778" s="764">
        <v>0</v>
      </c>
      <c r="X778" s="764">
        <v>0</v>
      </c>
      <c r="Y778" s="764">
        <v>0</v>
      </c>
      <c r="Z778" s="764">
        <v>0</v>
      </c>
      <c r="AA778" s="764">
        <v>0</v>
      </c>
      <c r="AB778" s="764">
        <v>0</v>
      </c>
      <c r="AC778" s="714">
        <v>0.82617698682369967</v>
      </c>
      <c r="AD778" s="714">
        <v>0.7843105192554185</v>
      </c>
      <c r="AE778" s="713" t="s">
        <v>58</v>
      </c>
      <c r="AF778" s="713" t="s">
        <v>58</v>
      </c>
      <c r="AG778" s="713" t="s">
        <v>58</v>
      </c>
      <c r="AH778" s="714">
        <v>0.94387031345969796</v>
      </c>
      <c r="AI778" s="713" t="s">
        <v>58</v>
      </c>
      <c r="AJ778" s="713" t="s">
        <v>58</v>
      </c>
      <c r="AK778" s="713" t="s">
        <v>58</v>
      </c>
      <c r="AL778" s="714">
        <v>0.94454345387965444</v>
      </c>
      <c r="AM778" s="713" t="s">
        <v>58</v>
      </c>
      <c r="AN778" s="713" t="s">
        <v>58</v>
      </c>
      <c r="AO778" s="713" t="s">
        <v>58</v>
      </c>
      <c r="AP778" s="747">
        <v>51</v>
      </c>
      <c r="AQ778" s="747">
        <v>51</v>
      </c>
      <c r="AR778" s="709"/>
      <c r="AS778" s="763">
        <v>0</v>
      </c>
      <c r="AT778" s="763">
        <v>0</v>
      </c>
      <c r="AU778" s="763">
        <v>0</v>
      </c>
      <c r="AV778" s="763">
        <v>0</v>
      </c>
      <c r="AW778" s="763">
        <v>0</v>
      </c>
      <c r="AX778" s="763">
        <v>0</v>
      </c>
      <c r="AY778" s="763">
        <v>0</v>
      </c>
      <c r="AZ778" s="763">
        <v>0</v>
      </c>
      <c r="BA778" s="763">
        <v>0</v>
      </c>
      <c r="BB778" s="763">
        <v>0</v>
      </c>
      <c r="BC778" s="763">
        <v>0</v>
      </c>
      <c r="BD778" s="763">
        <v>0</v>
      </c>
      <c r="BE778" s="763">
        <v>0</v>
      </c>
      <c r="BF778" s="763">
        <v>0</v>
      </c>
      <c r="BG778" s="763">
        <v>0</v>
      </c>
      <c r="BH778" s="763">
        <v>0</v>
      </c>
      <c r="BI778" s="763">
        <v>0</v>
      </c>
      <c r="BJ778" s="763">
        <v>0</v>
      </c>
      <c r="BK778" s="763">
        <v>0</v>
      </c>
      <c r="BL778" s="763">
        <v>0</v>
      </c>
      <c r="BM778" s="763">
        <v>0</v>
      </c>
      <c r="BN778" s="763">
        <v>0</v>
      </c>
      <c r="BO778" s="763">
        <v>0</v>
      </c>
      <c r="BP778" s="763">
        <v>0</v>
      </c>
      <c r="BQ778" s="763">
        <v>0</v>
      </c>
      <c r="BR778" s="763">
        <v>0</v>
      </c>
      <c r="BS778" s="762">
        <v>0</v>
      </c>
      <c r="BT778" s="762">
        <v>0</v>
      </c>
      <c r="BU778" s="762">
        <v>0</v>
      </c>
      <c r="BV778" s="762">
        <v>0</v>
      </c>
      <c r="BW778" s="762">
        <v>0</v>
      </c>
      <c r="BX778" s="762">
        <v>0</v>
      </c>
      <c r="BY778" s="762">
        <v>0</v>
      </c>
      <c r="BZ778" s="762">
        <v>0</v>
      </c>
      <c r="CA778" s="762">
        <v>0</v>
      </c>
      <c r="CB778" s="762">
        <v>0</v>
      </c>
      <c r="CC778" s="762">
        <v>0</v>
      </c>
      <c r="CD778" s="762">
        <v>0</v>
      </c>
      <c r="CE778" s="762">
        <v>0</v>
      </c>
      <c r="CF778" s="762">
        <v>0</v>
      </c>
      <c r="CG778" s="762">
        <v>0</v>
      </c>
      <c r="CH778" s="762">
        <v>0</v>
      </c>
      <c r="CI778" s="762">
        <v>0</v>
      </c>
      <c r="CJ778" s="762">
        <v>0</v>
      </c>
      <c r="CK778" s="762">
        <v>0</v>
      </c>
      <c r="CL778" s="762">
        <v>0</v>
      </c>
      <c r="CM778" s="762">
        <v>0</v>
      </c>
      <c r="CN778" s="762">
        <v>0</v>
      </c>
      <c r="CO778" s="762">
        <v>0</v>
      </c>
      <c r="CP778" s="762">
        <v>0</v>
      </c>
      <c r="CQ778" s="762">
        <v>0</v>
      </c>
      <c r="CR778" s="762">
        <v>0</v>
      </c>
    </row>
    <row r="779" spans="1:96" s="53" customFormat="1">
      <c r="A779" s="721" t="s">
        <v>3</v>
      </c>
      <c r="B779" s="723">
        <v>41751</v>
      </c>
      <c r="C779" s="721">
        <v>2014</v>
      </c>
      <c r="D779" s="713" t="s">
        <v>1</v>
      </c>
      <c r="E779" s="713" t="s">
        <v>674</v>
      </c>
      <c r="F779" s="723" t="s">
        <v>673</v>
      </c>
      <c r="G779" s="713" t="s">
        <v>58</v>
      </c>
      <c r="H779" s="723" t="s">
        <v>675</v>
      </c>
      <c r="I779" s="713" t="s">
        <v>5</v>
      </c>
      <c r="J779" s="713" t="s">
        <v>376</v>
      </c>
      <c r="K779" s="766">
        <v>16</v>
      </c>
      <c r="L779" s="766" t="s">
        <v>671</v>
      </c>
      <c r="M779" s="765" t="s">
        <v>753</v>
      </c>
      <c r="N779" s="765">
        <v>12</v>
      </c>
      <c r="O779" s="765">
        <v>3</v>
      </c>
      <c r="P779" s="735">
        <v>0.36842105263157893</v>
      </c>
      <c r="Q779" s="713" t="s">
        <v>58</v>
      </c>
      <c r="R779" s="713" t="s">
        <v>58</v>
      </c>
      <c r="S779" s="713" t="s">
        <v>58</v>
      </c>
      <c r="T779" s="713" t="s">
        <v>58</v>
      </c>
      <c r="U779" s="764">
        <v>0.91200000000000003</v>
      </c>
      <c r="V779" s="764">
        <v>2365.7280000000001</v>
      </c>
      <c r="W779" s="764">
        <v>0.71529119356094184</v>
      </c>
      <c r="X779" s="764">
        <v>1954.5100306844574</v>
      </c>
      <c r="Y779" s="764">
        <v>12344.273878007098</v>
      </c>
      <c r="Z779" s="764">
        <v>11651.393654666921</v>
      </c>
      <c r="AA779" s="764">
        <v>1844.8039953222626</v>
      </c>
      <c r="AB779" s="764">
        <v>0.67562361449575248</v>
      </c>
      <c r="AC779" s="714">
        <v>0.82617698682369967</v>
      </c>
      <c r="AD779" s="714">
        <v>0.7843105192554185</v>
      </c>
      <c r="AE779" s="713" t="s">
        <v>58</v>
      </c>
      <c r="AF779" s="713" t="s">
        <v>58</v>
      </c>
      <c r="AG779" s="713" t="s">
        <v>58</v>
      </c>
      <c r="AH779" s="714">
        <v>0.94387031345969796</v>
      </c>
      <c r="AI779" s="713" t="s">
        <v>58</v>
      </c>
      <c r="AJ779" s="713" t="s">
        <v>58</v>
      </c>
      <c r="AK779" s="713" t="s">
        <v>58</v>
      </c>
      <c r="AL779" s="714">
        <v>0.94454345387965444</v>
      </c>
      <c r="AM779" s="713" t="s">
        <v>58</v>
      </c>
      <c r="AN779" s="713" t="s">
        <v>58</v>
      </c>
      <c r="AO779" s="713" t="s">
        <v>58</v>
      </c>
      <c r="AP779" s="747">
        <v>73</v>
      </c>
      <c r="AQ779" s="747">
        <v>1168</v>
      </c>
      <c r="AR779" s="709"/>
      <c r="AS779" s="763">
        <v>0</v>
      </c>
      <c r="AT779" s="763">
        <v>0</v>
      </c>
      <c r="AU779" s="763">
        <v>0</v>
      </c>
      <c r="AV779" s="763">
        <v>0.67562361449575248</v>
      </c>
      <c r="AW779" s="763">
        <v>0.67562361449575248</v>
      </c>
      <c r="AX779" s="763">
        <v>0.67562361449575248</v>
      </c>
      <c r="AY779" s="763">
        <v>0.2489139632352772</v>
      </c>
      <c r="AZ779" s="763">
        <v>0.2489139632352772</v>
      </c>
      <c r="BA779" s="763">
        <v>0.2489139632352772</v>
      </c>
      <c r="BB779" s="763">
        <v>0.2489139632352772</v>
      </c>
      <c r="BC779" s="763">
        <v>0.2489139632352772</v>
      </c>
      <c r="BD779" s="763">
        <v>0.2489139632352772</v>
      </c>
      <c r="BE779" s="763">
        <v>0.2489139632352772</v>
      </c>
      <c r="BF779" s="763">
        <v>0.2489139632352772</v>
      </c>
      <c r="BG779" s="763">
        <v>0.2489139632352772</v>
      </c>
      <c r="BH779" s="763">
        <v>0</v>
      </c>
      <c r="BI779" s="763">
        <v>0</v>
      </c>
      <c r="BJ779" s="763">
        <v>0</v>
      </c>
      <c r="BK779" s="763">
        <v>0</v>
      </c>
      <c r="BL779" s="763">
        <v>0</v>
      </c>
      <c r="BM779" s="763">
        <v>0</v>
      </c>
      <c r="BN779" s="763">
        <v>0</v>
      </c>
      <c r="BO779" s="763">
        <v>0</v>
      </c>
      <c r="BP779" s="763">
        <v>0</v>
      </c>
      <c r="BQ779" s="763">
        <v>0</v>
      </c>
      <c r="BR779" s="763">
        <v>0</v>
      </c>
      <c r="BS779" s="762">
        <v>0</v>
      </c>
      <c r="BT779" s="762">
        <v>0</v>
      </c>
      <c r="BU779" s="762">
        <v>0</v>
      </c>
      <c r="BV779" s="762">
        <v>1844.8039953222626</v>
      </c>
      <c r="BW779" s="762">
        <v>1844.8039953222626</v>
      </c>
      <c r="BX779" s="762">
        <v>1844.8039953222626</v>
      </c>
      <c r="BY779" s="762">
        <v>679.66462985557041</v>
      </c>
      <c r="BZ779" s="762">
        <v>679.66462985557041</v>
      </c>
      <c r="CA779" s="762">
        <v>679.66462985557041</v>
      </c>
      <c r="CB779" s="762">
        <v>679.66462985557041</v>
      </c>
      <c r="CC779" s="762">
        <v>679.66462985557041</v>
      </c>
      <c r="CD779" s="762">
        <v>679.66462985557041</v>
      </c>
      <c r="CE779" s="762">
        <v>679.66462985557041</v>
      </c>
      <c r="CF779" s="762">
        <v>679.66462985557041</v>
      </c>
      <c r="CG779" s="762">
        <v>679.66462985557041</v>
      </c>
      <c r="CH779" s="762">
        <v>0</v>
      </c>
      <c r="CI779" s="762">
        <v>0</v>
      </c>
      <c r="CJ779" s="762">
        <v>0</v>
      </c>
      <c r="CK779" s="762">
        <v>0</v>
      </c>
      <c r="CL779" s="762">
        <v>0</v>
      </c>
      <c r="CM779" s="762">
        <v>0</v>
      </c>
      <c r="CN779" s="762">
        <v>0</v>
      </c>
      <c r="CO779" s="762">
        <v>0</v>
      </c>
      <c r="CP779" s="762">
        <v>0</v>
      </c>
      <c r="CQ779" s="762">
        <v>0</v>
      </c>
      <c r="CR779" s="762">
        <v>0</v>
      </c>
    </row>
    <row r="780" spans="1:96" s="53" customFormat="1">
      <c r="A780" s="721" t="s">
        <v>3</v>
      </c>
      <c r="B780" s="723">
        <v>41758</v>
      </c>
      <c r="C780" s="721">
        <v>2014</v>
      </c>
      <c r="D780" s="713" t="s">
        <v>1</v>
      </c>
      <c r="E780" s="713" t="s">
        <v>674</v>
      </c>
      <c r="F780" s="723" t="s">
        <v>685</v>
      </c>
      <c r="G780" s="713" t="s">
        <v>58</v>
      </c>
      <c r="H780" s="723" t="s">
        <v>678</v>
      </c>
      <c r="I780" s="713" t="s">
        <v>5</v>
      </c>
      <c r="J780" s="713" t="s">
        <v>376</v>
      </c>
      <c r="K780" s="766">
        <v>9</v>
      </c>
      <c r="L780" s="766" t="s">
        <v>671</v>
      </c>
      <c r="M780" s="765" t="s">
        <v>744</v>
      </c>
      <c r="N780" s="765">
        <v>3</v>
      </c>
      <c r="O780" s="765">
        <v>2</v>
      </c>
      <c r="P780" s="735">
        <v>0.6149863305954828</v>
      </c>
      <c r="Q780" s="713" t="s">
        <v>58</v>
      </c>
      <c r="R780" s="713" t="s">
        <v>58</v>
      </c>
      <c r="S780" s="713" t="s">
        <v>58</v>
      </c>
      <c r="T780" s="713" t="s">
        <v>58</v>
      </c>
      <c r="U780" s="764">
        <v>0.42299999999999999</v>
      </c>
      <c r="V780" s="764">
        <v>2040.9749999999999</v>
      </c>
      <c r="W780" s="764">
        <v>0.33176334964504206</v>
      </c>
      <c r="X780" s="764">
        <v>1686.2065756825002</v>
      </c>
      <c r="Y780" s="764">
        <v>4409.4071459699553</v>
      </c>
      <c r="Z780" s="764">
        <v>4161.9085050380936</v>
      </c>
      <c r="AA780" s="764">
        <v>1591.5603291472453</v>
      </c>
      <c r="AB780" s="764">
        <v>0.31336490014441143</v>
      </c>
      <c r="AC780" s="714">
        <v>0.82617698682369967</v>
      </c>
      <c r="AD780" s="714">
        <v>0.7843105192554185</v>
      </c>
      <c r="AE780" s="713" t="s">
        <v>58</v>
      </c>
      <c r="AF780" s="713" t="s">
        <v>58</v>
      </c>
      <c r="AG780" s="713" t="s">
        <v>58</v>
      </c>
      <c r="AH780" s="714">
        <v>0.94387031345969796</v>
      </c>
      <c r="AI780" s="713" t="s">
        <v>58</v>
      </c>
      <c r="AJ780" s="713" t="s">
        <v>58</v>
      </c>
      <c r="AK780" s="713" t="s">
        <v>58</v>
      </c>
      <c r="AL780" s="714">
        <v>0.94454345387965444</v>
      </c>
      <c r="AM780" s="713" t="s">
        <v>58</v>
      </c>
      <c r="AN780" s="713" t="s">
        <v>58</v>
      </c>
      <c r="AO780" s="713" t="s">
        <v>58</v>
      </c>
      <c r="AP780" s="747">
        <v>8</v>
      </c>
      <c r="AQ780" s="747">
        <v>72</v>
      </c>
      <c r="AR780" s="709"/>
      <c r="AS780" s="763">
        <v>0</v>
      </c>
      <c r="AT780" s="763">
        <v>0</v>
      </c>
      <c r="AU780" s="763">
        <v>0</v>
      </c>
      <c r="AV780" s="763">
        <v>0.31336490014441143</v>
      </c>
      <c r="AW780" s="763">
        <v>0.31336490014441143</v>
      </c>
      <c r="AX780" s="763">
        <v>0.19271513007723146</v>
      </c>
      <c r="AY780" s="763">
        <v>0</v>
      </c>
      <c r="AZ780" s="763">
        <v>0</v>
      </c>
      <c r="BA780" s="763">
        <v>0</v>
      </c>
      <c r="BB780" s="763">
        <v>0</v>
      </c>
      <c r="BC780" s="763">
        <v>0</v>
      </c>
      <c r="BD780" s="763">
        <v>0</v>
      </c>
      <c r="BE780" s="763">
        <v>0</v>
      </c>
      <c r="BF780" s="763">
        <v>0</v>
      </c>
      <c r="BG780" s="763">
        <v>0</v>
      </c>
      <c r="BH780" s="763">
        <v>0</v>
      </c>
      <c r="BI780" s="763">
        <v>0</v>
      </c>
      <c r="BJ780" s="763">
        <v>0</v>
      </c>
      <c r="BK780" s="763">
        <v>0</v>
      </c>
      <c r="BL780" s="763">
        <v>0</v>
      </c>
      <c r="BM780" s="763">
        <v>0</v>
      </c>
      <c r="BN780" s="763">
        <v>0</v>
      </c>
      <c r="BO780" s="763">
        <v>0</v>
      </c>
      <c r="BP780" s="763">
        <v>0</v>
      </c>
      <c r="BQ780" s="763">
        <v>0</v>
      </c>
      <c r="BR780" s="763">
        <v>0</v>
      </c>
      <c r="BS780" s="762">
        <v>0</v>
      </c>
      <c r="BT780" s="762">
        <v>0</v>
      </c>
      <c r="BU780" s="762">
        <v>0</v>
      </c>
      <c r="BV780" s="762">
        <v>1591.5603291472453</v>
      </c>
      <c r="BW780" s="762">
        <v>1591.5603291472453</v>
      </c>
      <c r="BX780" s="762">
        <v>978.78784674360315</v>
      </c>
      <c r="BY780" s="762">
        <v>0</v>
      </c>
      <c r="BZ780" s="762">
        <v>0</v>
      </c>
      <c r="CA780" s="762">
        <v>0</v>
      </c>
      <c r="CB780" s="762">
        <v>0</v>
      </c>
      <c r="CC780" s="762">
        <v>0</v>
      </c>
      <c r="CD780" s="762">
        <v>0</v>
      </c>
      <c r="CE780" s="762">
        <v>0</v>
      </c>
      <c r="CF780" s="762">
        <v>0</v>
      </c>
      <c r="CG780" s="762">
        <v>0</v>
      </c>
      <c r="CH780" s="762">
        <v>0</v>
      </c>
      <c r="CI780" s="762">
        <v>0</v>
      </c>
      <c r="CJ780" s="762">
        <v>0</v>
      </c>
      <c r="CK780" s="762">
        <v>0</v>
      </c>
      <c r="CL780" s="762">
        <v>0</v>
      </c>
      <c r="CM780" s="762">
        <v>0</v>
      </c>
      <c r="CN780" s="762">
        <v>0</v>
      </c>
      <c r="CO780" s="762">
        <v>0</v>
      </c>
      <c r="CP780" s="762">
        <v>0</v>
      </c>
      <c r="CQ780" s="762">
        <v>0</v>
      </c>
      <c r="CR780" s="762">
        <v>0</v>
      </c>
    </row>
    <row r="781" spans="1:96" s="53" customFormat="1">
      <c r="A781" s="721" t="s">
        <v>3</v>
      </c>
      <c r="B781" s="723">
        <v>41758</v>
      </c>
      <c r="C781" s="721">
        <v>2014</v>
      </c>
      <c r="D781" s="713" t="s">
        <v>1</v>
      </c>
      <c r="E781" s="713" t="s">
        <v>674</v>
      </c>
      <c r="F781" s="723" t="s">
        <v>685</v>
      </c>
      <c r="G781" s="713" t="s">
        <v>58</v>
      </c>
      <c r="H781" s="723" t="s">
        <v>677</v>
      </c>
      <c r="I781" s="713" t="s">
        <v>5</v>
      </c>
      <c r="J781" s="713" t="s">
        <v>376</v>
      </c>
      <c r="K781" s="766">
        <v>1</v>
      </c>
      <c r="L781" s="766" t="s">
        <v>671</v>
      </c>
      <c r="M781" s="765" t="s">
        <v>744</v>
      </c>
      <c r="N781" s="765">
        <v>0</v>
      </c>
      <c r="O781" s="765">
        <v>0</v>
      </c>
      <c r="P781" s="735">
        <v>0</v>
      </c>
      <c r="Q781" s="713" t="s">
        <v>58</v>
      </c>
      <c r="R781" s="713" t="s">
        <v>58</v>
      </c>
      <c r="S781" s="713" t="s">
        <v>58</v>
      </c>
      <c r="T781" s="713" t="s">
        <v>58</v>
      </c>
      <c r="U781" s="764">
        <v>0</v>
      </c>
      <c r="V781" s="764">
        <v>0</v>
      </c>
      <c r="W781" s="764">
        <v>0</v>
      </c>
      <c r="X781" s="764">
        <v>0</v>
      </c>
      <c r="Y781" s="764">
        <v>0</v>
      </c>
      <c r="Z781" s="764">
        <v>0</v>
      </c>
      <c r="AA781" s="764">
        <v>0</v>
      </c>
      <c r="AB781" s="764">
        <v>0</v>
      </c>
      <c r="AC781" s="714">
        <v>0.82617698682369967</v>
      </c>
      <c r="AD781" s="714">
        <v>0.7843105192554185</v>
      </c>
      <c r="AE781" s="713" t="s">
        <v>58</v>
      </c>
      <c r="AF781" s="713" t="s">
        <v>58</v>
      </c>
      <c r="AG781" s="713" t="s">
        <v>58</v>
      </c>
      <c r="AH781" s="714">
        <v>0.94387031345969796</v>
      </c>
      <c r="AI781" s="713" t="s">
        <v>58</v>
      </c>
      <c r="AJ781" s="713" t="s">
        <v>58</v>
      </c>
      <c r="AK781" s="713" t="s">
        <v>58</v>
      </c>
      <c r="AL781" s="714">
        <v>0.94454345387965444</v>
      </c>
      <c r="AM781" s="713" t="s">
        <v>58</v>
      </c>
      <c r="AN781" s="713" t="s">
        <v>58</v>
      </c>
      <c r="AO781" s="713" t="s">
        <v>58</v>
      </c>
      <c r="AP781" s="747">
        <v>51</v>
      </c>
      <c r="AQ781" s="747">
        <v>51</v>
      </c>
      <c r="AR781" s="709"/>
      <c r="AS781" s="763">
        <v>0</v>
      </c>
      <c r="AT781" s="763">
        <v>0</v>
      </c>
      <c r="AU781" s="763">
        <v>0</v>
      </c>
      <c r="AV781" s="763">
        <v>0</v>
      </c>
      <c r="AW781" s="763">
        <v>0</v>
      </c>
      <c r="AX781" s="763">
        <v>0</v>
      </c>
      <c r="AY781" s="763">
        <v>0</v>
      </c>
      <c r="AZ781" s="763">
        <v>0</v>
      </c>
      <c r="BA781" s="763">
        <v>0</v>
      </c>
      <c r="BB781" s="763">
        <v>0</v>
      </c>
      <c r="BC781" s="763">
        <v>0</v>
      </c>
      <c r="BD781" s="763">
        <v>0</v>
      </c>
      <c r="BE781" s="763">
        <v>0</v>
      </c>
      <c r="BF781" s="763">
        <v>0</v>
      </c>
      <c r="BG781" s="763">
        <v>0</v>
      </c>
      <c r="BH781" s="763">
        <v>0</v>
      </c>
      <c r="BI781" s="763">
        <v>0</v>
      </c>
      <c r="BJ781" s="763">
        <v>0</v>
      </c>
      <c r="BK781" s="763">
        <v>0</v>
      </c>
      <c r="BL781" s="763">
        <v>0</v>
      </c>
      <c r="BM781" s="763">
        <v>0</v>
      </c>
      <c r="BN781" s="763">
        <v>0</v>
      </c>
      <c r="BO781" s="763">
        <v>0</v>
      </c>
      <c r="BP781" s="763">
        <v>0</v>
      </c>
      <c r="BQ781" s="763">
        <v>0</v>
      </c>
      <c r="BR781" s="763">
        <v>0</v>
      </c>
      <c r="BS781" s="762">
        <v>0</v>
      </c>
      <c r="BT781" s="762">
        <v>0</v>
      </c>
      <c r="BU781" s="762">
        <v>0</v>
      </c>
      <c r="BV781" s="762">
        <v>0</v>
      </c>
      <c r="BW781" s="762">
        <v>0</v>
      </c>
      <c r="BX781" s="762">
        <v>0</v>
      </c>
      <c r="BY781" s="762">
        <v>0</v>
      </c>
      <c r="BZ781" s="762">
        <v>0</v>
      </c>
      <c r="CA781" s="762">
        <v>0</v>
      </c>
      <c r="CB781" s="762">
        <v>0</v>
      </c>
      <c r="CC781" s="762">
        <v>0</v>
      </c>
      <c r="CD781" s="762">
        <v>0</v>
      </c>
      <c r="CE781" s="762">
        <v>0</v>
      </c>
      <c r="CF781" s="762">
        <v>0</v>
      </c>
      <c r="CG781" s="762">
        <v>0</v>
      </c>
      <c r="CH781" s="762">
        <v>0</v>
      </c>
      <c r="CI781" s="762">
        <v>0</v>
      </c>
      <c r="CJ781" s="762">
        <v>0</v>
      </c>
      <c r="CK781" s="762">
        <v>0</v>
      </c>
      <c r="CL781" s="762">
        <v>0</v>
      </c>
      <c r="CM781" s="762">
        <v>0</v>
      </c>
      <c r="CN781" s="762">
        <v>0</v>
      </c>
      <c r="CO781" s="762">
        <v>0</v>
      </c>
      <c r="CP781" s="762">
        <v>0</v>
      </c>
      <c r="CQ781" s="762">
        <v>0</v>
      </c>
      <c r="CR781" s="762">
        <v>0</v>
      </c>
    </row>
    <row r="782" spans="1:96" s="53" customFormat="1">
      <c r="A782" s="721" t="s">
        <v>3</v>
      </c>
      <c r="B782" s="723">
        <v>41758</v>
      </c>
      <c r="C782" s="721">
        <v>2014</v>
      </c>
      <c r="D782" s="713" t="s">
        <v>1</v>
      </c>
      <c r="E782" s="713" t="s">
        <v>674</v>
      </c>
      <c r="F782" s="723" t="s">
        <v>685</v>
      </c>
      <c r="G782" s="713" t="s">
        <v>58</v>
      </c>
      <c r="H782" s="723" t="s">
        <v>735</v>
      </c>
      <c r="I782" s="713" t="s">
        <v>5</v>
      </c>
      <c r="J782" s="713" t="s">
        <v>376</v>
      </c>
      <c r="K782" s="766">
        <v>2</v>
      </c>
      <c r="L782" s="766" t="s">
        <v>671</v>
      </c>
      <c r="M782" s="765" t="s">
        <v>744</v>
      </c>
      <c r="N782" s="765">
        <v>12</v>
      </c>
      <c r="O782" s="765">
        <v>3</v>
      </c>
      <c r="P782" s="735">
        <v>0.6097560975609756</v>
      </c>
      <c r="Q782" s="713" t="s">
        <v>58</v>
      </c>
      <c r="R782" s="713" t="s">
        <v>58</v>
      </c>
      <c r="S782" s="713" t="s">
        <v>58</v>
      </c>
      <c r="T782" s="713" t="s">
        <v>58</v>
      </c>
      <c r="U782" s="764">
        <v>8.2000000000000003E-2</v>
      </c>
      <c r="V782" s="764">
        <v>395.65</v>
      </c>
      <c r="W782" s="764">
        <v>6.4313462578944339E-2</v>
      </c>
      <c r="X782" s="764">
        <v>326.87692483679672</v>
      </c>
      <c r="Y782" s="764">
        <v>2774.467557151348</v>
      </c>
      <c r="Z782" s="764">
        <v>2618.7375628522054</v>
      </c>
      <c r="AA782" s="764">
        <v>308.52942550844944</v>
      </c>
      <c r="AB782" s="764">
        <v>6.0746860075275994E-2</v>
      </c>
      <c r="AC782" s="714">
        <v>0.82617698682369967</v>
      </c>
      <c r="AD782" s="714">
        <v>0.7843105192554185</v>
      </c>
      <c r="AE782" s="713" t="s">
        <v>58</v>
      </c>
      <c r="AF782" s="713" t="s">
        <v>58</v>
      </c>
      <c r="AG782" s="713" t="s">
        <v>58</v>
      </c>
      <c r="AH782" s="714">
        <v>0.94387031345969796</v>
      </c>
      <c r="AI782" s="713" t="s">
        <v>58</v>
      </c>
      <c r="AJ782" s="713" t="s">
        <v>58</v>
      </c>
      <c r="AK782" s="713" t="s">
        <v>58</v>
      </c>
      <c r="AL782" s="714">
        <v>0.94454345387965444</v>
      </c>
      <c r="AM782" s="713" t="s">
        <v>58</v>
      </c>
      <c r="AN782" s="713" t="s">
        <v>58</v>
      </c>
      <c r="AO782" s="713" t="s">
        <v>58</v>
      </c>
      <c r="AP782" s="747">
        <v>119</v>
      </c>
      <c r="AQ782" s="747">
        <v>238</v>
      </c>
      <c r="AR782" s="709"/>
      <c r="AS782" s="763">
        <v>0</v>
      </c>
      <c r="AT782" s="763">
        <v>0</v>
      </c>
      <c r="AU782" s="763">
        <v>0</v>
      </c>
      <c r="AV782" s="763">
        <v>6.0746860075275994E-2</v>
      </c>
      <c r="AW782" s="763">
        <v>6.0746860075275994E-2</v>
      </c>
      <c r="AX782" s="763">
        <v>6.0746860075275994E-2</v>
      </c>
      <c r="AY782" s="763">
        <v>3.704076833858292E-2</v>
      </c>
      <c r="AZ782" s="763">
        <v>3.704076833858292E-2</v>
      </c>
      <c r="BA782" s="763">
        <v>3.704076833858292E-2</v>
      </c>
      <c r="BB782" s="763">
        <v>3.704076833858292E-2</v>
      </c>
      <c r="BC782" s="763">
        <v>3.704076833858292E-2</v>
      </c>
      <c r="BD782" s="763">
        <v>3.704076833858292E-2</v>
      </c>
      <c r="BE782" s="763">
        <v>3.704076833858292E-2</v>
      </c>
      <c r="BF782" s="763">
        <v>3.704076833858292E-2</v>
      </c>
      <c r="BG782" s="763">
        <v>3.704076833858292E-2</v>
      </c>
      <c r="BH782" s="763">
        <v>0</v>
      </c>
      <c r="BI782" s="763">
        <v>0</v>
      </c>
      <c r="BJ782" s="763">
        <v>0</v>
      </c>
      <c r="BK782" s="763">
        <v>0</v>
      </c>
      <c r="BL782" s="763">
        <v>0</v>
      </c>
      <c r="BM782" s="763">
        <v>0</v>
      </c>
      <c r="BN782" s="763">
        <v>0</v>
      </c>
      <c r="BO782" s="763">
        <v>0</v>
      </c>
      <c r="BP782" s="763">
        <v>0</v>
      </c>
      <c r="BQ782" s="763">
        <v>0</v>
      </c>
      <c r="BR782" s="763">
        <v>0</v>
      </c>
      <c r="BS782" s="762">
        <v>0</v>
      </c>
      <c r="BT782" s="762">
        <v>0</v>
      </c>
      <c r="BU782" s="762">
        <v>0</v>
      </c>
      <c r="BV782" s="762">
        <v>308.52942550844944</v>
      </c>
      <c r="BW782" s="762">
        <v>308.52942550844944</v>
      </c>
      <c r="BX782" s="762">
        <v>308.52942550844944</v>
      </c>
      <c r="BY782" s="762">
        <v>188.12769848076184</v>
      </c>
      <c r="BZ782" s="762">
        <v>188.12769848076184</v>
      </c>
      <c r="CA782" s="762">
        <v>188.12769848076184</v>
      </c>
      <c r="CB782" s="762">
        <v>188.12769848076184</v>
      </c>
      <c r="CC782" s="762">
        <v>188.12769848076184</v>
      </c>
      <c r="CD782" s="762">
        <v>188.12769848076184</v>
      </c>
      <c r="CE782" s="762">
        <v>188.12769848076184</v>
      </c>
      <c r="CF782" s="762">
        <v>188.12769848076184</v>
      </c>
      <c r="CG782" s="762">
        <v>188.12769848076184</v>
      </c>
      <c r="CH782" s="762">
        <v>0</v>
      </c>
      <c r="CI782" s="762">
        <v>0</v>
      </c>
      <c r="CJ782" s="762">
        <v>0</v>
      </c>
      <c r="CK782" s="762">
        <v>0</v>
      </c>
      <c r="CL782" s="762">
        <v>0</v>
      </c>
      <c r="CM782" s="762">
        <v>0</v>
      </c>
      <c r="CN782" s="762">
        <v>0</v>
      </c>
      <c r="CO782" s="762">
        <v>0</v>
      </c>
      <c r="CP782" s="762">
        <v>0</v>
      </c>
      <c r="CQ782" s="762">
        <v>0</v>
      </c>
      <c r="CR782" s="762">
        <v>0</v>
      </c>
    </row>
    <row r="783" spans="1:96" s="53" customFormat="1">
      <c r="A783" s="721" t="s">
        <v>3</v>
      </c>
      <c r="B783" s="723">
        <v>41758</v>
      </c>
      <c r="C783" s="721">
        <v>2014</v>
      </c>
      <c r="D783" s="713" t="s">
        <v>1</v>
      </c>
      <c r="E783" s="713" t="s">
        <v>674</v>
      </c>
      <c r="F783" s="723" t="s">
        <v>685</v>
      </c>
      <c r="G783" s="713" t="s">
        <v>58</v>
      </c>
      <c r="H783" s="723" t="s">
        <v>675</v>
      </c>
      <c r="I783" s="713" t="s">
        <v>5</v>
      </c>
      <c r="J783" s="713" t="s">
        <v>376</v>
      </c>
      <c r="K783" s="766">
        <v>4</v>
      </c>
      <c r="L783" s="766" t="s">
        <v>671</v>
      </c>
      <c r="M783" s="765" t="s">
        <v>744</v>
      </c>
      <c r="N783" s="765">
        <v>12</v>
      </c>
      <c r="O783" s="765">
        <v>3</v>
      </c>
      <c r="P783" s="735">
        <v>0.36842105263157893</v>
      </c>
      <c r="Q783" s="713" t="s">
        <v>58</v>
      </c>
      <c r="R783" s="713" t="s">
        <v>58</v>
      </c>
      <c r="S783" s="713" t="s">
        <v>58</v>
      </c>
      <c r="T783" s="713" t="s">
        <v>58</v>
      </c>
      <c r="U783" s="764">
        <v>0.22800000000000001</v>
      </c>
      <c r="V783" s="764">
        <v>1100.0999999999999</v>
      </c>
      <c r="W783" s="764">
        <v>0.17882279839023546</v>
      </c>
      <c r="X783" s="764">
        <v>908.87730320475191</v>
      </c>
      <c r="Y783" s="764">
        <v>5740.277704451064</v>
      </c>
      <c r="Z783" s="764">
        <v>5418.0777162459408</v>
      </c>
      <c r="AA783" s="764">
        <v>857.86230507227413</v>
      </c>
      <c r="AB783" s="764">
        <v>0.16890590362393812</v>
      </c>
      <c r="AC783" s="714">
        <v>0.82617698682369967</v>
      </c>
      <c r="AD783" s="714">
        <v>0.7843105192554185</v>
      </c>
      <c r="AE783" s="713" t="s">
        <v>58</v>
      </c>
      <c r="AF783" s="713" t="s">
        <v>58</v>
      </c>
      <c r="AG783" s="713" t="s">
        <v>58</v>
      </c>
      <c r="AH783" s="714">
        <v>0.94387031345969796</v>
      </c>
      <c r="AI783" s="713" t="s">
        <v>58</v>
      </c>
      <c r="AJ783" s="713" t="s">
        <v>58</v>
      </c>
      <c r="AK783" s="713" t="s">
        <v>58</v>
      </c>
      <c r="AL783" s="714">
        <v>0.94454345387965444</v>
      </c>
      <c r="AM783" s="713" t="s">
        <v>58</v>
      </c>
      <c r="AN783" s="713" t="s">
        <v>58</v>
      </c>
      <c r="AO783" s="713" t="s">
        <v>58</v>
      </c>
      <c r="AP783" s="747">
        <v>73</v>
      </c>
      <c r="AQ783" s="747">
        <v>292</v>
      </c>
      <c r="AR783" s="709"/>
      <c r="AS783" s="763">
        <v>0</v>
      </c>
      <c r="AT783" s="763">
        <v>0</v>
      </c>
      <c r="AU783" s="763">
        <v>0</v>
      </c>
      <c r="AV783" s="763">
        <v>0.16890590362393812</v>
      </c>
      <c r="AW783" s="763">
        <v>0.16890590362393812</v>
      </c>
      <c r="AX783" s="763">
        <v>0.16890590362393812</v>
      </c>
      <c r="AY783" s="763">
        <v>6.2228490808819301E-2</v>
      </c>
      <c r="AZ783" s="763">
        <v>6.2228490808819301E-2</v>
      </c>
      <c r="BA783" s="763">
        <v>6.2228490808819301E-2</v>
      </c>
      <c r="BB783" s="763">
        <v>6.2228490808819301E-2</v>
      </c>
      <c r="BC783" s="763">
        <v>6.2228490808819301E-2</v>
      </c>
      <c r="BD783" s="763">
        <v>6.2228490808819301E-2</v>
      </c>
      <c r="BE783" s="763">
        <v>6.2228490808819301E-2</v>
      </c>
      <c r="BF783" s="763">
        <v>6.2228490808819301E-2</v>
      </c>
      <c r="BG783" s="763">
        <v>6.2228490808819301E-2</v>
      </c>
      <c r="BH783" s="763">
        <v>0</v>
      </c>
      <c r="BI783" s="763">
        <v>0</v>
      </c>
      <c r="BJ783" s="763">
        <v>0</v>
      </c>
      <c r="BK783" s="763">
        <v>0</v>
      </c>
      <c r="BL783" s="763">
        <v>0</v>
      </c>
      <c r="BM783" s="763">
        <v>0</v>
      </c>
      <c r="BN783" s="763">
        <v>0</v>
      </c>
      <c r="BO783" s="763">
        <v>0</v>
      </c>
      <c r="BP783" s="763">
        <v>0</v>
      </c>
      <c r="BQ783" s="763">
        <v>0</v>
      </c>
      <c r="BR783" s="763">
        <v>0</v>
      </c>
      <c r="BS783" s="762">
        <v>0</v>
      </c>
      <c r="BT783" s="762">
        <v>0</v>
      </c>
      <c r="BU783" s="762">
        <v>0</v>
      </c>
      <c r="BV783" s="762">
        <v>857.86230507227413</v>
      </c>
      <c r="BW783" s="762">
        <v>857.86230507227413</v>
      </c>
      <c r="BX783" s="762">
        <v>857.86230507227413</v>
      </c>
      <c r="BY783" s="762">
        <v>316.05453344767994</v>
      </c>
      <c r="BZ783" s="762">
        <v>316.05453344767994</v>
      </c>
      <c r="CA783" s="762">
        <v>316.05453344767994</v>
      </c>
      <c r="CB783" s="762">
        <v>316.05453344767994</v>
      </c>
      <c r="CC783" s="762">
        <v>316.05453344767994</v>
      </c>
      <c r="CD783" s="762">
        <v>316.05453344767994</v>
      </c>
      <c r="CE783" s="762">
        <v>316.05453344767994</v>
      </c>
      <c r="CF783" s="762">
        <v>316.05453344767994</v>
      </c>
      <c r="CG783" s="762">
        <v>316.05453344767994</v>
      </c>
      <c r="CH783" s="762">
        <v>0</v>
      </c>
      <c r="CI783" s="762">
        <v>0</v>
      </c>
      <c r="CJ783" s="762">
        <v>0</v>
      </c>
      <c r="CK783" s="762">
        <v>0</v>
      </c>
      <c r="CL783" s="762">
        <v>0</v>
      </c>
      <c r="CM783" s="762">
        <v>0</v>
      </c>
      <c r="CN783" s="762">
        <v>0</v>
      </c>
      <c r="CO783" s="762">
        <v>0</v>
      </c>
      <c r="CP783" s="762">
        <v>0</v>
      </c>
      <c r="CQ783" s="762">
        <v>0</v>
      </c>
      <c r="CR783" s="762">
        <v>0</v>
      </c>
    </row>
    <row r="784" spans="1:96" s="53" customFormat="1">
      <c r="A784" s="721" t="s">
        <v>3</v>
      </c>
      <c r="B784" s="723">
        <v>41758</v>
      </c>
      <c r="C784" s="721">
        <v>2014</v>
      </c>
      <c r="D784" s="713" t="s">
        <v>1</v>
      </c>
      <c r="E784" s="713" t="s">
        <v>674</v>
      </c>
      <c r="F784" s="723" t="s">
        <v>685</v>
      </c>
      <c r="G784" s="713" t="s">
        <v>58</v>
      </c>
      <c r="H784" s="723" t="s">
        <v>761</v>
      </c>
      <c r="I784" s="713" t="s">
        <v>5</v>
      </c>
      <c r="J784" s="713" t="s">
        <v>376</v>
      </c>
      <c r="K784" s="766">
        <v>4</v>
      </c>
      <c r="L784" s="766" t="s">
        <v>671</v>
      </c>
      <c r="M784" s="765" t="s">
        <v>744</v>
      </c>
      <c r="N784" s="765">
        <v>11</v>
      </c>
      <c r="O784" s="765" t="s">
        <v>7</v>
      </c>
      <c r="P784" s="735">
        <v>1</v>
      </c>
      <c r="Q784" s="713" t="s">
        <v>58</v>
      </c>
      <c r="R784" s="713" t="s">
        <v>58</v>
      </c>
      <c r="S784" s="713" t="s">
        <v>58</v>
      </c>
      <c r="T784" s="713" t="s">
        <v>58</v>
      </c>
      <c r="U784" s="764">
        <v>0.26200000000000001</v>
      </c>
      <c r="V784" s="764">
        <v>1264.1500000000001</v>
      </c>
      <c r="W784" s="764">
        <v>0.20548935604491969</v>
      </c>
      <c r="X784" s="764">
        <v>1044.4116378931799</v>
      </c>
      <c r="Y784" s="764">
        <v>11488.528016824979</v>
      </c>
      <c r="Z784" s="764">
        <v>10843.680540431114</v>
      </c>
      <c r="AA784" s="764">
        <v>985.78914003919226</v>
      </c>
      <c r="AB784" s="764">
        <v>0.19409362609417449</v>
      </c>
      <c r="AC784" s="714">
        <v>0.82617698682369967</v>
      </c>
      <c r="AD784" s="714">
        <v>0.7843105192554185</v>
      </c>
      <c r="AE784" s="713" t="s">
        <v>58</v>
      </c>
      <c r="AF784" s="713" t="s">
        <v>58</v>
      </c>
      <c r="AG784" s="713" t="s">
        <v>58</v>
      </c>
      <c r="AH784" s="714">
        <v>0.94387031345969796</v>
      </c>
      <c r="AI784" s="713" t="s">
        <v>58</v>
      </c>
      <c r="AJ784" s="713" t="s">
        <v>58</v>
      </c>
      <c r="AK784" s="713" t="s">
        <v>58</v>
      </c>
      <c r="AL784" s="714">
        <v>0.94454345387965444</v>
      </c>
      <c r="AM784" s="713" t="s">
        <v>58</v>
      </c>
      <c r="AN784" s="713" t="s">
        <v>58</v>
      </c>
      <c r="AO784" s="713" t="s">
        <v>58</v>
      </c>
      <c r="AP784" s="747">
        <v>57</v>
      </c>
      <c r="AQ784" s="747">
        <v>228</v>
      </c>
      <c r="AR784" s="709"/>
      <c r="AS784" s="763">
        <v>0</v>
      </c>
      <c r="AT784" s="763">
        <v>0</v>
      </c>
      <c r="AU784" s="763">
        <v>0</v>
      </c>
      <c r="AV784" s="763">
        <v>0.19409362609417449</v>
      </c>
      <c r="AW784" s="763">
        <v>0.19409362609417449</v>
      </c>
      <c r="AX784" s="763">
        <v>0.19409362609417449</v>
      </c>
      <c r="AY784" s="763">
        <v>0.19409362609417449</v>
      </c>
      <c r="AZ784" s="763">
        <v>0.19409362609417449</v>
      </c>
      <c r="BA784" s="763">
        <v>0.19409362609417449</v>
      </c>
      <c r="BB784" s="763">
        <v>0.19409362609417449</v>
      </c>
      <c r="BC784" s="763">
        <v>0.19409362609417449</v>
      </c>
      <c r="BD784" s="763">
        <v>0.19409362609417449</v>
      </c>
      <c r="BE784" s="763">
        <v>0.19409362609417449</v>
      </c>
      <c r="BF784" s="763">
        <v>0.19409362609417449</v>
      </c>
      <c r="BG784" s="763">
        <v>0</v>
      </c>
      <c r="BH784" s="763">
        <v>0</v>
      </c>
      <c r="BI784" s="763">
        <v>0</v>
      </c>
      <c r="BJ784" s="763">
        <v>0</v>
      </c>
      <c r="BK784" s="763">
        <v>0</v>
      </c>
      <c r="BL784" s="763">
        <v>0</v>
      </c>
      <c r="BM784" s="763">
        <v>0</v>
      </c>
      <c r="BN784" s="763">
        <v>0</v>
      </c>
      <c r="BO784" s="763">
        <v>0</v>
      </c>
      <c r="BP784" s="763">
        <v>0</v>
      </c>
      <c r="BQ784" s="763">
        <v>0</v>
      </c>
      <c r="BR784" s="763">
        <v>0</v>
      </c>
      <c r="BS784" s="762">
        <v>0</v>
      </c>
      <c r="BT784" s="762">
        <v>0</v>
      </c>
      <c r="BU784" s="762">
        <v>0</v>
      </c>
      <c r="BV784" s="762">
        <v>985.78914003919226</v>
      </c>
      <c r="BW784" s="762">
        <v>985.78914003919226</v>
      </c>
      <c r="BX784" s="762">
        <v>985.78914003919226</v>
      </c>
      <c r="BY784" s="762">
        <v>985.78914003919226</v>
      </c>
      <c r="BZ784" s="762">
        <v>985.78914003919226</v>
      </c>
      <c r="CA784" s="762">
        <v>985.78914003919226</v>
      </c>
      <c r="CB784" s="762">
        <v>985.78914003919226</v>
      </c>
      <c r="CC784" s="762">
        <v>985.78914003919226</v>
      </c>
      <c r="CD784" s="762">
        <v>985.78914003919226</v>
      </c>
      <c r="CE784" s="762">
        <v>985.78914003919226</v>
      </c>
      <c r="CF784" s="762">
        <v>985.78914003919226</v>
      </c>
      <c r="CG784" s="762">
        <v>0</v>
      </c>
      <c r="CH784" s="762">
        <v>0</v>
      </c>
      <c r="CI784" s="762">
        <v>0</v>
      </c>
      <c r="CJ784" s="762">
        <v>0</v>
      </c>
      <c r="CK784" s="762">
        <v>0</v>
      </c>
      <c r="CL784" s="762">
        <v>0</v>
      </c>
      <c r="CM784" s="762">
        <v>0</v>
      </c>
      <c r="CN784" s="762">
        <v>0</v>
      </c>
      <c r="CO784" s="762">
        <v>0</v>
      </c>
      <c r="CP784" s="762">
        <v>0</v>
      </c>
      <c r="CQ784" s="762">
        <v>0</v>
      </c>
      <c r="CR784" s="762">
        <v>0</v>
      </c>
    </row>
    <row r="785" spans="1:96" s="53" customFormat="1">
      <c r="A785" s="721" t="s">
        <v>3</v>
      </c>
      <c r="B785" s="723">
        <v>41772</v>
      </c>
      <c r="C785" s="721">
        <v>2014</v>
      </c>
      <c r="D785" s="713" t="s">
        <v>1</v>
      </c>
      <c r="E785" s="713" t="s">
        <v>674</v>
      </c>
      <c r="F785" s="723" t="s">
        <v>673</v>
      </c>
      <c r="G785" s="713" t="s">
        <v>58</v>
      </c>
      <c r="H785" s="723" t="s">
        <v>678</v>
      </c>
      <c r="I785" s="713" t="s">
        <v>5</v>
      </c>
      <c r="J785" s="713" t="s">
        <v>376</v>
      </c>
      <c r="K785" s="766">
        <v>1</v>
      </c>
      <c r="L785" s="766" t="s">
        <v>671</v>
      </c>
      <c r="M785" s="765" t="s">
        <v>759</v>
      </c>
      <c r="N785" s="765">
        <v>3</v>
      </c>
      <c r="O785" s="765">
        <v>2</v>
      </c>
      <c r="P785" s="735">
        <v>0.6149863305954828</v>
      </c>
      <c r="Q785" s="713" t="s">
        <v>58</v>
      </c>
      <c r="R785" s="713" t="s">
        <v>58</v>
      </c>
      <c r="S785" s="713" t="s">
        <v>58</v>
      </c>
      <c r="T785" s="713" t="s">
        <v>58</v>
      </c>
      <c r="U785" s="764">
        <v>4.7E-2</v>
      </c>
      <c r="V785" s="764">
        <v>144.85400000000001</v>
      </c>
      <c r="W785" s="764">
        <v>3.6862594405004674E-2</v>
      </c>
      <c r="X785" s="764">
        <v>119.67504124936021</v>
      </c>
      <c r="Y785" s="764">
        <v>312.9485969805275</v>
      </c>
      <c r="Z785" s="764">
        <v>295.38289032878316</v>
      </c>
      <c r="AA785" s="764">
        <v>112.95771869733591</v>
      </c>
      <c r="AB785" s="764">
        <v>3.4818322238267939E-2</v>
      </c>
      <c r="AC785" s="714">
        <v>0.82617698682369967</v>
      </c>
      <c r="AD785" s="714">
        <v>0.7843105192554185</v>
      </c>
      <c r="AE785" s="713" t="s">
        <v>58</v>
      </c>
      <c r="AF785" s="713" t="s">
        <v>58</v>
      </c>
      <c r="AG785" s="713" t="s">
        <v>58</v>
      </c>
      <c r="AH785" s="714">
        <v>0.94387031345969796</v>
      </c>
      <c r="AI785" s="713" t="s">
        <v>58</v>
      </c>
      <c r="AJ785" s="713" t="s">
        <v>58</v>
      </c>
      <c r="AK785" s="713" t="s">
        <v>58</v>
      </c>
      <c r="AL785" s="714">
        <v>0.94454345387965444</v>
      </c>
      <c r="AM785" s="713" t="s">
        <v>58</v>
      </c>
      <c r="AN785" s="713" t="s">
        <v>58</v>
      </c>
      <c r="AO785" s="713" t="s">
        <v>58</v>
      </c>
      <c r="AP785" s="747">
        <v>8</v>
      </c>
      <c r="AQ785" s="747">
        <v>8</v>
      </c>
      <c r="AR785" s="709"/>
      <c r="AS785" s="763">
        <v>0</v>
      </c>
      <c r="AT785" s="763">
        <v>0</v>
      </c>
      <c r="AU785" s="763">
        <v>0</v>
      </c>
      <c r="AV785" s="763">
        <v>3.4818322238267939E-2</v>
      </c>
      <c r="AW785" s="763">
        <v>3.4818322238267939E-2</v>
      </c>
      <c r="AX785" s="763">
        <v>2.1412792230803498E-2</v>
      </c>
      <c r="AY785" s="763">
        <v>0</v>
      </c>
      <c r="AZ785" s="763">
        <v>0</v>
      </c>
      <c r="BA785" s="763">
        <v>0</v>
      </c>
      <c r="BB785" s="763">
        <v>0</v>
      </c>
      <c r="BC785" s="763">
        <v>0</v>
      </c>
      <c r="BD785" s="763">
        <v>0</v>
      </c>
      <c r="BE785" s="763">
        <v>0</v>
      </c>
      <c r="BF785" s="763">
        <v>0</v>
      </c>
      <c r="BG785" s="763">
        <v>0</v>
      </c>
      <c r="BH785" s="763">
        <v>0</v>
      </c>
      <c r="BI785" s="763">
        <v>0</v>
      </c>
      <c r="BJ785" s="763">
        <v>0</v>
      </c>
      <c r="BK785" s="763">
        <v>0</v>
      </c>
      <c r="BL785" s="763">
        <v>0</v>
      </c>
      <c r="BM785" s="763">
        <v>0</v>
      </c>
      <c r="BN785" s="763">
        <v>0</v>
      </c>
      <c r="BO785" s="763">
        <v>0</v>
      </c>
      <c r="BP785" s="763">
        <v>0</v>
      </c>
      <c r="BQ785" s="763">
        <v>0</v>
      </c>
      <c r="BR785" s="763">
        <v>0</v>
      </c>
      <c r="BS785" s="762">
        <v>0</v>
      </c>
      <c r="BT785" s="762">
        <v>0</v>
      </c>
      <c r="BU785" s="762">
        <v>0</v>
      </c>
      <c r="BV785" s="762">
        <v>112.95771869733591</v>
      </c>
      <c r="BW785" s="762">
        <v>112.95771869733591</v>
      </c>
      <c r="BX785" s="762">
        <v>69.467452934111364</v>
      </c>
      <c r="BY785" s="762">
        <v>0</v>
      </c>
      <c r="BZ785" s="762">
        <v>0</v>
      </c>
      <c r="CA785" s="762">
        <v>0</v>
      </c>
      <c r="CB785" s="762">
        <v>0</v>
      </c>
      <c r="CC785" s="762">
        <v>0</v>
      </c>
      <c r="CD785" s="762">
        <v>0</v>
      </c>
      <c r="CE785" s="762">
        <v>0</v>
      </c>
      <c r="CF785" s="762">
        <v>0</v>
      </c>
      <c r="CG785" s="762">
        <v>0</v>
      </c>
      <c r="CH785" s="762">
        <v>0</v>
      </c>
      <c r="CI785" s="762">
        <v>0</v>
      </c>
      <c r="CJ785" s="762">
        <v>0</v>
      </c>
      <c r="CK785" s="762">
        <v>0</v>
      </c>
      <c r="CL785" s="762">
        <v>0</v>
      </c>
      <c r="CM785" s="762">
        <v>0</v>
      </c>
      <c r="CN785" s="762">
        <v>0</v>
      </c>
      <c r="CO785" s="762">
        <v>0</v>
      </c>
      <c r="CP785" s="762">
        <v>0</v>
      </c>
      <c r="CQ785" s="762">
        <v>0</v>
      </c>
      <c r="CR785" s="762">
        <v>0</v>
      </c>
    </row>
    <row r="786" spans="1:96" s="53" customFormat="1">
      <c r="A786" s="721" t="s">
        <v>3</v>
      </c>
      <c r="B786" s="723">
        <v>41772</v>
      </c>
      <c r="C786" s="721">
        <v>2014</v>
      </c>
      <c r="D786" s="713" t="s">
        <v>1</v>
      </c>
      <c r="E786" s="713" t="s">
        <v>674</v>
      </c>
      <c r="F786" s="723" t="s">
        <v>673</v>
      </c>
      <c r="G786" s="713" t="s">
        <v>58</v>
      </c>
      <c r="H786" s="723" t="s">
        <v>678</v>
      </c>
      <c r="I786" s="713" t="s">
        <v>5</v>
      </c>
      <c r="J786" s="713" t="s">
        <v>376</v>
      </c>
      <c r="K786" s="766">
        <v>1</v>
      </c>
      <c r="L786" s="766" t="s">
        <v>671</v>
      </c>
      <c r="M786" s="765" t="s">
        <v>759</v>
      </c>
      <c r="N786" s="765">
        <v>3</v>
      </c>
      <c r="O786" s="765">
        <v>2</v>
      </c>
      <c r="P786" s="735">
        <v>0.6149863305954828</v>
      </c>
      <c r="Q786" s="713" t="s">
        <v>58</v>
      </c>
      <c r="R786" s="713" t="s">
        <v>58</v>
      </c>
      <c r="S786" s="713" t="s">
        <v>58</v>
      </c>
      <c r="T786" s="713" t="s">
        <v>58</v>
      </c>
      <c r="U786" s="764">
        <v>4.7E-2</v>
      </c>
      <c r="V786" s="764">
        <v>144.85400000000001</v>
      </c>
      <c r="W786" s="764">
        <v>3.6862594405004674E-2</v>
      </c>
      <c r="X786" s="764">
        <v>119.67504124936021</v>
      </c>
      <c r="Y786" s="764">
        <v>312.9485969805275</v>
      </c>
      <c r="Z786" s="764">
        <v>295.38289032878316</v>
      </c>
      <c r="AA786" s="764">
        <v>112.95771869733591</v>
      </c>
      <c r="AB786" s="764">
        <v>3.4818322238267939E-2</v>
      </c>
      <c r="AC786" s="714">
        <v>0.82617698682369967</v>
      </c>
      <c r="AD786" s="714">
        <v>0.7843105192554185</v>
      </c>
      <c r="AE786" s="713" t="s">
        <v>58</v>
      </c>
      <c r="AF786" s="713" t="s">
        <v>58</v>
      </c>
      <c r="AG786" s="713" t="s">
        <v>58</v>
      </c>
      <c r="AH786" s="714">
        <v>0.94387031345969796</v>
      </c>
      <c r="AI786" s="713" t="s">
        <v>58</v>
      </c>
      <c r="AJ786" s="713" t="s">
        <v>58</v>
      </c>
      <c r="AK786" s="713" t="s">
        <v>58</v>
      </c>
      <c r="AL786" s="714">
        <v>0.94454345387965444</v>
      </c>
      <c r="AM786" s="713" t="s">
        <v>58</v>
      </c>
      <c r="AN786" s="713" t="s">
        <v>58</v>
      </c>
      <c r="AO786" s="713" t="s">
        <v>58</v>
      </c>
      <c r="AP786" s="747">
        <v>8</v>
      </c>
      <c r="AQ786" s="747">
        <v>8</v>
      </c>
      <c r="AR786" s="709"/>
      <c r="AS786" s="763">
        <v>0</v>
      </c>
      <c r="AT786" s="763">
        <v>0</v>
      </c>
      <c r="AU786" s="763">
        <v>0</v>
      </c>
      <c r="AV786" s="763">
        <v>3.4818322238267939E-2</v>
      </c>
      <c r="AW786" s="763">
        <v>3.4818322238267939E-2</v>
      </c>
      <c r="AX786" s="763">
        <v>2.1412792230803498E-2</v>
      </c>
      <c r="AY786" s="763">
        <v>0</v>
      </c>
      <c r="AZ786" s="763">
        <v>0</v>
      </c>
      <c r="BA786" s="763">
        <v>0</v>
      </c>
      <c r="BB786" s="763">
        <v>0</v>
      </c>
      <c r="BC786" s="763">
        <v>0</v>
      </c>
      <c r="BD786" s="763">
        <v>0</v>
      </c>
      <c r="BE786" s="763">
        <v>0</v>
      </c>
      <c r="BF786" s="763">
        <v>0</v>
      </c>
      <c r="BG786" s="763">
        <v>0</v>
      </c>
      <c r="BH786" s="763">
        <v>0</v>
      </c>
      <c r="BI786" s="763">
        <v>0</v>
      </c>
      <c r="BJ786" s="763">
        <v>0</v>
      </c>
      <c r="BK786" s="763">
        <v>0</v>
      </c>
      <c r="BL786" s="763">
        <v>0</v>
      </c>
      <c r="BM786" s="763">
        <v>0</v>
      </c>
      <c r="BN786" s="763">
        <v>0</v>
      </c>
      <c r="BO786" s="763">
        <v>0</v>
      </c>
      <c r="BP786" s="763">
        <v>0</v>
      </c>
      <c r="BQ786" s="763">
        <v>0</v>
      </c>
      <c r="BR786" s="763">
        <v>0</v>
      </c>
      <c r="BS786" s="762">
        <v>0</v>
      </c>
      <c r="BT786" s="762">
        <v>0</v>
      </c>
      <c r="BU786" s="762">
        <v>0</v>
      </c>
      <c r="BV786" s="762">
        <v>112.95771869733591</v>
      </c>
      <c r="BW786" s="762">
        <v>112.95771869733591</v>
      </c>
      <c r="BX786" s="762">
        <v>69.467452934111364</v>
      </c>
      <c r="BY786" s="762">
        <v>0</v>
      </c>
      <c r="BZ786" s="762">
        <v>0</v>
      </c>
      <c r="CA786" s="762">
        <v>0</v>
      </c>
      <c r="CB786" s="762">
        <v>0</v>
      </c>
      <c r="CC786" s="762">
        <v>0</v>
      </c>
      <c r="CD786" s="762">
        <v>0</v>
      </c>
      <c r="CE786" s="762">
        <v>0</v>
      </c>
      <c r="CF786" s="762">
        <v>0</v>
      </c>
      <c r="CG786" s="762">
        <v>0</v>
      </c>
      <c r="CH786" s="762">
        <v>0</v>
      </c>
      <c r="CI786" s="762">
        <v>0</v>
      </c>
      <c r="CJ786" s="762">
        <v>0</v>
      </c>
      <c r="CK786" s="762">
        <v>0</v>
      </c>
      <c r="CL786" s="762">
        <v>0</v>
      </c>
      <c r="CM786" s="762">
        <v>0</v>
      </c>
      <c r="CN786" s="762">
        <v>0</v>
      </c>
      <c r="CO786" s="762">
        <v>0</v>
      </c>
      <c r="CP786" s="762">
        <v>0</v>
      </c>
      <c r="CQ786" s="762">
        <v>0</v>
      </c>
      <c r="CR786" s="762">
        <v>0</v>
      </c>
    </row>
    <row r="787" spans="1:96" s="53" customFormat="1">
      <c r="A787" s="721" t="s">
        <v>3</v>
      </c>
      <c r="B787" s="723">
        <v>41772</v>
      </c>
      <c r="C787" s="721">
        <v>2014</v>
      </c>
      <c r="D787" s="713" t="s">
        <v>1</v>
      </c>
      <c r="E787" s="713" t="s">
        <v>674</v>
      </c>
      <c r="F787" s="723" t="s">
        <v>673</v>
      </c>
      <c r="G787" s="713" t="s">
        <v>58</v>
      </c>
      <c r="H787" s="723" t="s">
        <v>677</v>
      </c>
      <c r="I787" s="713" t="s">
        <v>5</v>
      </c>
      <c r="J787" s="713" t="s">
        <v>376</v>
      </c>
      <c r="K787" s="766">
        <v>1</v>
      </c>
      <c r="L787" s="766" t="s">
        <v>671</v>
      </c>
      <c r="M787" s="765" t="s">
        <v>759</v>
      </c>
      <c r="N787" s="765">
        <v>0</v>
      </c>
      <c r="O787" s="765">
        <v>0</v>
      </c>
      <c r="P787" s="735">
        <v>0</v>
      </c>
      <c r="Q787" s="713" t="s">
        <v>58</v>
      </c>
      <c r="R787" s="713" t="s">
        <v>58</v>
      </c>
      <c r="S787" s="713" t="s">
        <v>58</v>
      </c>
      <c r="T787" s="713" t="s">
        <v>58</v>
      </c>
      <c r="U787" s="764">
        <v>0</v>
      </c>
      <c r="V787" s="764">
        <v>0</v>
      </c>
      <c r="W787" s="764">
        <v>0</v>
      </c>
      <c r="X787" s="764">
        <v>0</v>
      </c>
      <c r="Y787" s="764">
        <v>0</v>
      </c>
      <c r="Z787" s="764">
        <v>0</v>
      </c>
      <c r="AA787" s="764">
        <v>0</v>
      </c>
      <c r="AB787" s="764">
        <v>0</v>
      </c>
      <c r="AC787" s="714">
        <v>0.82617698682369967</v>
      </c>
      <c r="AD787" s="714">
        <v>0.7843105192554185</v>
      </c>
      <c r="AE787" s="713" t="s">
        <v>58</v>
      </c>
      <c r="AF787" s="713" t="s">
        <v>58</v>
      </c>
      <c r="AG787" s="713" t="s">
        <v>58</v>
      </c>
      <c r="AH787" s="714">
        <v>0.94387031345969796</v>
      </c>
      <c r="AI787" s="713" t="s">
        <v>58</v>
      </c>
      <c r="AJ787" s="713" t="s">
        <v>58</v>
      </c>
      <c r="AK787" s="713" t="s">
        <v>58</v>
      </c>
      <c r="AL787" s="714">
        <v>0.94454345387965444</v>
      </c>
      <c r="AM787" s="713" t="s">
        <v>58</v>
      </c>
      <c r="AN787" s="713" t="s">
        <v>58</v>
      </c>
      <c r="AO787" s="713" t="s">
        <v>58</v>
      </c>
      <c r="AP787" s="747">
        <v>51</v>
      </c>
      <c r="AQ787" s="747">
        <v>51</v>
      </c>
      <c r="AR787" s="709"/>
      <c r="AS787" s="763">
        <v>0</v>
      </c>
      <c r="AT787" s="763">
        <v>0</v>
      </c>
      <c r="AU787" s="763">
        <v>0</v>
      </c>
      <c r="AV787" s="763">
        <v>0</v>
      </c>
      <c r="AW787" s="763">
        <v>0</v>
      </c>
      <c r="AX787" s="763">
        <v>0</v>
      </c>
      <c r="AY787" s="763">
        <v>0</v>
      </c>
      <c r="AZ787" s="763">
        <v>0</v>
      </c>
      <c r="BA787" s="763">
        <v>0</v>
      </c>
      <c r="BB787" s="763">
        <v>0</v>
      </c>
      <c r="BC787" s="763">
        <v>0</v>
      </c>
      <c r="BD787" s="763">
        <v>0</v>
      </c>
      <c r="BE787" s="763">
        <v>0</v>
      </c>
      <c r="BF787" s="763">
        <v>0</v>
      </c>
      <c r="BG787" s="763">
        <v>0</v>
      </c>
      <c r="BH787" s="763">
        <v>0</v>
      </c>
      <c r="BI787" s="763">
        <v>0</v>
      </c>
      <c r="BJ787" s="763">
        <v>0</v>
      </c>
      <c r="BK787" s="763">
        <v>0</v>
      </c>
      <c r="BL787" s="763">
        <v>0</v>
      </c>
      <c r="BM787" s="763">
        <v>0</v>
      </c>
      <c r="BN787" s="763">
        <v>0</v>
      </c>
      <c r="BO787" s="763">
        <v>0</v>
      </c>
      <c r="BP787" s="763">
        <v>0</v>
      </c>
      <c r="BQ787" s="763">
        <v>0</v>
      </c>
      <c r="BR787" s="763">
        <v>0</v>
      </c>
      <c r="BS787" s="762">
        <v>0</v>
      </c>
      <c r="BT787" s="762">
        <v>0</v>
      </c>
      <c r="BU787" s="762">
        <v>0</v>
      </c>
      <c r="BV787" s="762">
        <v>0</v>
      </c>
      <c r="BW787" s="762">
        <v>0</v>
      </c>
      <c r="BX787" s="762">
        <v>0</v>
      </c>
      <c r="BY787" s="762">
        <v>0</v>
      </c>
      <c r="BZ787" s="762">
        <v>0</v>
      </c>
      <c r="CA787" s="762">
        <v>0</v>
      </c>
      <c r="CB787" s="762">
        <v>0</v>
      </c>
      <c r="CC787" s="762">
        <v>0</v>
      </c>
      <c r="CD787" s="762">
        <v>0</v>
      </c>
      <c r="CE787" s="762">
        <v>0</v>
      </c>
      <c r="CF787" s="762">
        <v>0</v>
      </c>
      <c r="CG787" s="762">
        <v>0</v>
      </c>
      <c r="CH787" s="762">
        <v>0</v>
      </c>
      <c r="CI787" s="762">
        <v>0</v>
      </c>
      <c r="CJ787" s="762">
        <v>0</v>
      </c>
      <c r="CK787" s="762">
        <v>0</v>
      </c>
      <c r="CL787" s="762">
        <v>0</v>
      </c>
      <c r="CM787" s="762">
        <v>0</v>
      </c>
      <c r="CN787" s="762">
        <v>0</v>
      </c>
      <c r="CO787" s="762">
        <v>0</v>
      </c>
      <c r="CP787" s="762">
        <v>0</v>
      </c>
      <c r="CQ787" s="762">
        <v>0</v>
      </c>
      <c r="CR787" s="762">
        <v>0</v>
      </c>
    </row>
    <row r="788" spans="1:96" s="53" customFormat="1">
      <c r="A788" s="721" t="s">
        <v>3</v>
      </c>
      <c r="B788" s="723">
        <v>41772</v>
      </c>
      <c r="C788" s="721">
        <v>2014</v>
      </c>
      <c r="D788" s="713" t="s">
        <v>1</v>
      </c>
      <c r="E788" s="713" t="s">
        <v>674</v>
      </c>
      <c r="F788" s="723" t="s">
        <v>673</v>
      </c>
      <c r="G788" s="713" t="s">
        <v>58</v>
      </c>
      <c r="H788" s="723" t="s">
        <v>760</v>
      </c>
      <c r="I788" s="713" t="s">
        <v>5</v>
      </c>
      <c r="J788" s="713" t="s">
        <v>376</v>
      </c>
      <c r="K788" s="766">
        <v>15</v>
      </c>
      <c r="L788" s="766" t="s">
        <v>671</v>
      </c>
      <c r="M788" s="765" t="s">
        <v>759</v>
      </c>
      <c r="N788" s="765">
        <v>11</v>
      </c>
      <c r="O788" s="765" t="s">
        <v>7</v>
      </c>
      <c r="P788" s="735">
        <v>1</v>
      </c>
      <c r="Q788" s="713" t="s">
        <v>58</v>
      </c>
      <c r="R788" s="713" t="s">
        <v>58</v>
      </c>
      <c r="S788" s="713" t="s">
        <v>58</v>
      </c>
      <c r="T788" s="713" t="s">
        <v>58</v>
      </c>
      <c r="U788" s="764">
        <v>0.48749999999999999</v>
      </c>
      <c r="V788" s="764">
        <v>1502.4749999999999</v>
      </c>
      <c r="W788" s="764">
        <v>0.38235137813701658</v>
      </c>
      <c r="X788" s="764">
        <v>1241.3102682779381</v>
      </c>
      <c r="Y788" s="764">
        <v>13654.412951057318</v>
      </c>
      <c r="Z788" s="764">
        <v>12887.99503222263</v>
      </c>
      <c r="AA788" s="764">
        <v>1171.6359120202392</v>
      </c>
      <c r="AB788" s="764">
        <v>0.36114749130118345</v>
      </c>
      <c r="AC788" s="714">
        <v>0.82617698682369967</v>
      </c>
      <c r="AD788" s="714">
        <v>0.7843105192554185</v>
      </c>
      <c r="AE788" s="713" t="s">
        <v>58</v>
      </c>
      <c r="AF788" s="713" t="s">
        <v>58</v>
      </c>
      <c r="AG788" s="713" t="s">
        <v>58</v>
      </c>
      <c r="AH788" s="714">
        <v>0.94387031345969796</v>
      </c>
      <c r="AI788" s="713" t="s">
        <v>58</v>
      </c>
      <c r="AJ788" s="713" t="s">
        <v>58</v>
      </c>
      <c r="AK788" s="713" t="s">
        <v>58</v>
      </c>
      <c r="AL788" s="714">
        <v>0.94454345387965444</v>
      </c>
      <c r="AM788" s="713" t="s">
        <v>58</v>
      </c>
      <c r="AN788" s="713" t="s">
        <v>58</v>
      </c>
      <c r="AO788" s="713" t="s">
        <v>58</v>
      </c>
      <c r="AP788" s="747">
        <v>47</v>
      </c>
      <c r="AQ788" s="747">
        <v>705</v>
      </c>
      <c r="AR788" s="709"/>
      <c r="AS788" s="763">
        <v>0</v>
      </c>
      <c r="AT788" s="763">
        <v>0</v>
      </c>
      <c r="AU788" s="763">
        <v>0</v>
      </c>
      <c r="AV788" s="763">
        <v>0.36114749130118345</v>
      </c>
      <c r="AW788" s="763">
        <v>0.36114749130118345</v>
      </c>
      <c r="AX788" s="763">
        <v>0.36114749130118345</v>
      </c>
      <c r="AY788" s="763">
        <v>0.36114749130118345</v>
      </c>
      <c r="AZ788" s="763">
        <v>0.36114749130118345</v>
      </c>
      <c r="BA788" s="763">
        <v>0.36114749130118345</v>
      </c>
      <c r="BB788" s="763">
        <v>0.36114749130118345</v>
      </c>
      <c r="BC788" s="763">
        <v>0.36114749130118345</v>
      </c>
      <c r="BD788" s="763">
        <v>0.36114749130118345</v>
      </c>
      <c r="BE788" s="763">
        <v>0.36114749130118345</v>
      </c>
      <c r="BF788" s="763">
        <v>0.36114749130118345</v>
      </c>
      <c r="BG788" s="763">
        <v>0</v>
      </c>
      <c r="BH788" s="763">
        <v>0</v>
      </c>
      <c r="BI788" s="763">
        <v>0</v>
      </c>
      <c r="BJ788" s="763">
        <v>0</v>
      </c>
      <c r="BK788" s="763">
        <v>0</v>
      </c>
      <c r="BL788" s="763">
        <v>0</v>
      </c>
      <c r="BM788" s="763">
        <v>0</v>
      </c>
      <c r="BN788" s="763">
        <v>0</v>
      </c>
      <c r="BO788" s="763">
        <v>0</v>
      </c>
      <c r="BP788" s="763">
        <v>0</v>
      </c>
      <c r="BQ788" s="763">
        <v>0</v>
      </c>
      <c r="BR788" s="763">
        <v>0</v>
      </c>
      <c r="BS788" s="762">
        <v>0</v>
      </c>
      <c r="BT788" s="762">
        <v>0</v>
      </c>
      <c r="BU788" s="762">
        <v>0</v>
      </c>
      <c r="BV788" s="762">
        <v>1171.6359120202392</v>
      </c>
      <c r="BW788" s="762">
        <v>1171.6359120202392</v>
      </c>
      <c r="BX788" s="762">
        <v>1171.6359120202392</v>
      </c>
      <c r="BY788" s="762">
        <v>1171.6359120202392</v>
      </c>
      <c r="BZ788" s="762">
        <v>1171.6359120202392</v>
      </c>
      <c r="CA788" s="762">
        <v>1171.6359120202392</v>
      </c>
      <c r="CB788" s="762">
        <v>1171.6359120202392</v>
      </c>
      <c r="CC788" s="762">
        <v>1171.6359120202392</v>
      </c>
      <c r="CD788" s="762">
        <v>1171.6359120202392</v>
      </c>
      <c r="CE788" s="762">
        <v>1171.6359120202392</v>
      </c>
      <c r="CF788" s="762">
        <v>1171.6359120202392</v>
      </c>
      <c r="CG788" s="762">
        <v>0</v>
      </c>
      <c r="CH788" s="762">
        <v>0</v>
      </c>
      <c r="CI788" s="762">
        <v>0</v>
      </c>
      <c r="CJ788" s="762">
        <v>0</v>
      </c>
      <c r="CK788" s="762">
        <v>0</v>
      </c>
      <c r="CL788" s="762">
        <v>0</v>
      </c>
      <c r="CM788" s="762">
        <v>0</v>
      </c>
      <c r="CN788" s="762">
        <v>0</v>
      </c>
      <c r="CO788" s="762">
        <v>0</v>
      </c>
      <c r="CP788" s="762">
        <v>0</v>
      </c>
      <c r="CQ788" s="762">
        <v>0</v>
      </c>
      <c r="CR788" s="762">
        <v>0</v>
      </c>
    </row>
    <row r="789" spans="1:96" s="53" customFormat="1">
      <c r="A789" s="721" t="s">
        <v>3</v>
      </c>
      <c r="B789" s="723">
        <v>41734</v>
      </c>
      <c r="C789" s="721">
        <v>2014</v>
      </c>
      <c r="D789" s="713" t="s">
        <v>1</v>
      </c>
      <c r="E789" s="713" t="s">
        <v>674</v>
      </c>
      <c r="F789" s="723" t="s">
        <v>689</v>
      </c>
      <c r="G789" s="713" t="s">
        <v>58</v>
      </c>
      <c r="H789" s="723" t="s">
        <v>678</v>
      </c>
      <c r="I789" s="713" t="s">
        <v>5</v>
      </c>
      <c r="J789" s="713" t="s">
        <v>376</v>
      </c>
      <c r="K789" s="766">
        <v>10</v>
      </c>
      <c r="L789" s="766" t="s">
        <v>671</v>
      </c>
      <c r="M789" s="765" t="s">
        <v>758</v>
      </c>
      <c r="N789" s="765">
        <v>3</v>
      </c>
      <c r="O789" s="765">
        <v>2</v>
      </c>
      <c r="P789" s="735">
        <v>0.6149863305954828</v>
      </c>
      <c r="Q789" s="713" t="s">
        <v>58</v>
      </c>
      <c r="R789" s="713" t="s">
        <v>58</v>
      </c>
      <c r="S789" s="713" t="s">
        <v>58</v>
      </c>
      <c r="T789" s="713" t="s">
        <v>58</v>
      </c>
      <c r="U789" s="764">
        <v>0.47</v>
      </c>
      <c r="V789" s="764">
        <v>1748.87</v>
      </c>
      <c r="W789" s="764">
        <v>0.36862594405004673</v>
      </c>
      <c r="X789" s="764">
        <v>1444.8761469463634</v>
      </c>
      <c r="Y789" s="764">
        <v>3778.3313736682103</v>
      </c>
      <c r="Z789" s="764">
        <v>3566.2548180188251</v>
      </c>
      <c r="AA789" s="764">
        <v>1363.7757017287047</v>
      </c>
      <c r="AB789" s="764">
        <v>0.3481832223826794</v>
      </c>
      <c r="AC789" s="714">
        <v>0.82617698682369967</v>
      </c>
      <c r="AD789" s="714">
        <v>0.7843105192554185</v>
      </c>
      <c r="AE789" s="713" t="s">
        <v>58</v>
      </c>
      <c r="AF789" s="713" t="s">
        <v>58</v>
      </c>
      <c r="AG789" s="713" t="s">
        <v>58</v>
      </c>
      <c r="AH789" s="714">
        <v>0.94387031345969796</v>
      </c>
      <c r="AI789" s="713" t="s">
        <v>58</v>
      </c>
      <c r="AJ789" s="713" t="s">
        <v>58</v>
      </c>
      <c r="AK789" s="713" t="s">
        <v>58</v>
      </c>
      <c r="AL789" s="714">
        <v>0.94454345387965444</v>
      </c>
      <c r="AM789" s="713" t="s">
        <v>58</v>
      </c>
      <c r="AN789" s="713" t="s">
        <v>58</v>
      </c>
      <c r="AO789" s="713" t="s">
        <v>58</v>
      </c>
      <c r="AP789" s="747">
        <v>8</v>
      </c>
      <c r="AQ789" s="747">
        <v>80</v>
      </c>
      <c r="AR789" s="709"/>
      <c r="AS789" s="763">
        <v>0</v>
      </c>
      <c r="AT789" s="763">
        <v>0</v>
      </c>
      <c r="AU789" s="763">
        <v>0</v>
      </c>
      <c r="AV789" s="763">
        <v>0.3481832223826794</v>
      </c>
      <c r="AW789" s="763">
        <v>0.3481832223826794</v>
      </c>
      <c r="AX789" s="763">
        <v>0.21412792230803498</v>
      </c>
      <c r="AY789" s="763">
        <v>0</v>
      </c>
      <c r="AZ789" s="763">
        <v>0</v>
      </c>
      <c r="BA789" s="763">
        <v>0</v>
      </c>
      <c r="BB789" s="763">
        <v>0</v>
      </c>
      <c r="BC789" s="763">
        <v>0</v>
      </c>
      <c r="BD789" s="763">
        <v>0</v>
      </c>
      <c r="BE789" s="763">
        <v>0</v>
      </c>
      <c r="BF789" s="763">
        <v>0</v>
      </c>
      <c r="BG789" s="763">
        <v>0</v>
      </c>
      <c r="BH789" s="763">
        <v>0</v>
      </c>
      <c r="BI789" s="763">
        <v>0</v>
      </c>
      <c r="BJ789" s="763">
        <v>0</v>
      </c>
      <c r="BK789" s="763">
        <v>0</v>
      </c>
      <c r="BL789" s="763">
        <v>0</v>
      </c>
      <c r="BM789" s="763">
        <v>0</v>
      </c>
      <c r="BN789" s="763">
        <v>0</v>
      </c>
      <c r="BO789" s="763">
        <v>0</v>
      </c>
      <c r="BP789" s="763">
        <v>0</v>
      </c>
      <c r="BQ789" s="763">
        <v>0</v>
      </c>
      <c r="BR789" s="763">
        <v>0</v>
      </c>
      <c r="BS789" s="762">
        <v>0</v>
      </c>
      <c r="BT789" s="762">
        <v>0</v>
      </c>
      <c r="BU789" s="762">
        <v>0</v>
      </c>
      <c r="BV789" s="762">
        <v>1363.7757017287047</v>
      </c>
      <c r="BW789" s="762">
        <v>1363.7757017287047</v>
      </c>
      <c r="BX789" s="762">
        <v>838.70341456141568</v>
      </c>
      <c r="BY789" s="762">
        <v>0</v>
      </c>
      <c r="BZ789" s="762">
        <v>0</v>
      </c>
      <c r="CA789" s="762">
        <v>0</v>
      </c>
      <c r="CB789" s="762">
        <v>0</v>
      </c>
      <c r="CC789" s="762">
        <v>0</v>
      </c>
      <c r="CD789" s="762">
        <v>0</v>
      </c>
      <c r="CE789" s="762">
        <v>0</v>
      </c>
      <c r="CF789" s="762">
        <v>0</v>
      </c>
      <c r="CG789" s="762">
        <v>0</v>
      </c>
      <c r="CH789" s="762">
        <v>0</v>
      </c>
      <c r="CI789" s="762">
        <v>0</v>
      </c>
      <c r="CJ789" s="762">
        <v>0</v>
      </c>
      <c r="CK789" s="762">
        <v>0</v>
      </c>
      <c r="CL789" s="762">
        <v>0</v>
      </c>
      <c r="CM789" s="762">
        <v>0</v>
      </c>
      <c r="CN789" s="762">
        <v>0</v>
      </c>
      <c r="CO789" s="762">
        <v>0</v>
      </c>
      <c r="CP789" s="762">
        <v>0</v>
      </c>
      <c r="CQ789" s="762">
        <v>0</v>
      </c>
      <c r="CR789" s="762">
        <v>0</v>
      </c>
    </row>
    <row r="790" spans="1:96" s="53" customFormat="1">
      <c r="A790" s="721" t="s">
        <v>3</v>
      </c>
      <c r="B790" s="723">
        <v>41734</v>
      </c>
      <c r="C790" s="721">
        <v>2014</v>
      </c>
      <c r="D790" s="713" t="s">
        <v>1</v>
      </c>
      <c r="E790" s="713" t="s">
        <v>674</v>
      </c>
      <c r="F790" s="723" t="s">
        <v>689</v>
      </c>
      <c r="G790" s="713" t="s">
        <v>58</v>
      </c>
      <c r="H790" s="723" t="s">
        <v>678</v>
      </c>
      <c r="I790" s="713" t="s">
        <v>5</v>
      </c>
      <c r="J790" s="713" t="s">
        <v>376</v>
      </c>
      <c r="K790" s="766">
        <v>4</v>
      </c>
      <c r="L790" s="766" t="s">
        <v>671</v>
      </c>
      <c r="M790" s="765" t="s">
        <v>758</v>
      </c>
      <c r="N790" s="765">
        <v>3</v>
      </c>
      <c r="O790" s="765">
        <v>2</v>
      </c>
      <c r="P790" s="735">
        <v>0.6149863305954828</v>
      </c>
      <c r="Q790" s="713" t="s">
        <v>58</v>
      </c>
      <c r="R790" s="713" t="s">
        <v>58</v>
      </c>
      <c r="S790" s="713" t="s">
        <v>58</v>
      </c>
      <c r="T790" s="713" t="s">
        <v>58</v>
      </c>
      <c r="U790" s="764">
        <v>0.188</v>
      </c>
      <c r="V790" s="764">
        <v>699.548</v>
      </c>
      <c r="W790" s="764">
        <v>0.1474503776200187</v>
      </c>
      <c r="X790" s="764">
        <v>577.95045877854545</v>
      </c>
      <c r="Y790" s="764">
        <v>1511.3325494672845</v>
      </c>
      <c r="Z790" s="764">
        <v>1426.5019272075303</v>
      </c>
      <c r="AA790" s="764">
        <v>545.51028069148197</v>
      </c>
      <c r="AB790" s="764">
        <v>0.13927328895307176</v>
      </c>
      <c r="AC790" s="714">
        <v>0.82617698682369967</v>
      </c>
      <c r="AD790" s="714">
        <v>0.7843105192554185</v>
      </c>
      <c r="AE790" s="713" t="s">
        <v>58</v>
      </c>
      <c r="AF790" s="713" t="s">
        <v>58</v>
      </c>
      <c r="AG790" s="713" t="s">
        <v>58</v>
      </c>
      <c r="AH790" s="714">
        <v>0.94387031345969796</v>
      </c>
      <c r="AI790" s="713" t="s">
        <v>58</v>
      </c>
      <c r="AJ790" s="713" t="s">
        <v>58</v>
      </c>
      <c r="AK790" s="713" t="s">
        <v>58</v>
      </c>
      <c r="AL790" s="714">
        <v>0.94454345387965444</v>
      </c>
      <c r="AM790" s="713" t="s">
        <v>58</v>
      </c>
      <c r="AN790" s="713" t="s">
        <v>58</v>
      </c>
      <c r="AO790" s="713" t="s">
        <v>58</v>
      </c>
      <c r="AP790" s="747">
        <v>8</v>
      </c>
      <c r="AQ790" s="747">
        <v>32</v>
      </c>
      <c r="AR790" s="709"/>
      <c r="AS790" s="763">
        <v>0</v>
      </c>
      <c r="AT790" s="763">
        <v>0</v>
      </c>
      <c r="AU790" s="763">
        <v>0</v>
      </c>
      <c r="AV790" s="763">
        <v>0.13927328895307176</v>
      </c>
      <c r="AW790" s="763">
        <v>0.13927328895307176</v>
      </c>
      <c r="AX790" s="763">
        <v>8.5651168923213991E-2</v>
      </c>
      <c r="AY790" s="763">
        <v>0</v>
      </c>
      <c r="AZ790" s="763">
        <v>0</v>
      </c>
      <c r="BA790" s="763">
        <v>0</v>
      </c>
      <c r="BB790" s="763">
        <v>0</v>
      </c>
      <c r="BC790" s="763">
        <v>0</v>
      </c>
      <c r="BD790" s="763">
        <v>0</v>
      </c>
      <c r="BE790" s="763">
        <v>0</v>
      </c>
      <c r="BF790" s="763">
        <v>0</v>
      </c>
      <c r="BG790" s="763">
        <v>0</v>
      </c>
      <c r="BH790" s="763">
        <v>0</v>
      </c>
      <c r="BI790" s="763">
        <v>0</v>
      </c>
      <c r="BJ790" s="763">
        <v>0</v>
      </c>
      <c r="BK790" s="763">
        <v>0</v>
      </c>
      <c r="BL790" s="763">
        <v>0</v>
      </c>
      <c r="BM790" s="763">
        <v>0</v>
      </c>
      <c r="BN790" s="763">
        <v>0</v>
      </c>
      <c r="BO790" s="763">
        <v>0</v>
      </c>
      <c r="BP790" s="763">
        <v>0</v>
      </c>
      <c r="BQ790" s="763">
        <v>0</v>
      </c>
      <c r="BR790" s="763">
        <v>0</v>
      </c>
      <c r="BS790" s="762">
        <v>0</v>
      </c>
      <c r="BT790" s="762">
        <v>0</v>
      </c>
      <c r="BU790" s="762">
        <v>0</v>
      </c>
      <c r="BV790" s="762">
        <v>545.51028069148197</v>
      </c>
      <c r="BW790" s="762">
        <v>545.51028069148197</v>
      </c>
      <c r="BX790" s="762">
        <v>335.48136582456635</v>
      </c>
      <c r="BY790" s="762">
        <v>0</v>
      </c>
      <c r="BZ790" s="762">
        <v>0</v>
      </c>
      <c r="CA790" s="762">
        <v>0</v>
      </c>
      <c r="CB790" s="762">
        <v>0</v>
      </c>
      <c r="CC790" s="762">
        <v>0</v>
      </c>
      <c r="CD790" s="762">
        <v>0</v>
      </c>
      <c r="CE790" s="762">
        <v>0</v>
      </c>
      <c r="CF790" s="762">
        <v>0</v>
      </c>
      <c r="CG790" s="762">
        <v>0</v>
      </c>
      <c r="CH790" s="762">
        <v>0</v>
      </c>
      <c r="CI790" s="762">
        <v>0</v>
      </c>
      <c r="CJ790" s="762">
        <v>0</v>
      </c>
      <c r="CK790" s="762">
        <v>0</v>
      </c>
      <c r="CL790" s="762">
        <v>0</v>
      </c>
      <c r="CM790" s="762">
        <v>0</v>
      </c>
      <c r="CN790" s="762">
        <v>0</v>
      </c>
      <c r="CO790" s="762">
        <v>0</v>
      </c>
      <c r="CP790" s="762">
        <v>0</v>
      </c>
      <c r="CQ790" s="762">
        <v>0</v>
      </c>
      <c r="CR790" s="762">
        <v>0</v>
      </c>
    </row>
    <row r="791" spans="1:96" s="53" customFormat="1">
      <c r="A791" s="721" t="s">
        <v>3</v>
      </c>
      <c r="B791" s="723">
        <v>41734</v>
      </c>
      <c r="C791" s="721">
        <v>2014</v>
      </c>
      <c r="D791" s="713" t="s">
        <v>1</v>
      </c>
      <c r="E791" s="713" t="s">
        <v>674</v>
      </c>
      <c r="F791" s="723" t="s">
        <v>689</v>
      </c>
      <c r="G791" s="713" t="s">
        <v>58</v>
      </c>
      <c r="H791" s="723" t="s">
        <v>677</v>
      </c>
      <c r="I791" s="713" t="s">
        <v>5</v>
      </c>
      <c r="J791" s="713" t="s">
        <v>376</v>
      </c>
      <c r="K791" s="766">
        <v>1</v>
      </c>
      <c r="L791" s="766" t="s">
        <v>671</v>
      </c>
      <c r="M791" s="765" t="s">
        <v>758</v>
      </c>
      <c r="N791" s="765">
        <v>0</v>
      </c>
      <c r="O791" s="765">
        <v>0</v>
      </c>
      <c r="P791" s="735">
        <v>0</v>
      </c>
      <c r="Q791" s="713" t="s">
        <v>58</v>
      </c>
      <c r="R791" s="713" t="s">
        <v>58</v>
      </c>
      <c r="S791" s="713" t="s">
        <v>58</v>
      </c>
      <c r="T791" s="713" t="s">
        <v>58</v>
      </c>
      <c r="U791" s="764">
        <v>0</v>
      </c>
      <c r="V791" s="764">
        <v>0</v>
      </c>
      <c r="W791" s="764">
        <v>0</v>
      </c>
      <c r="X791" s="764">
        <v>0</v>
      </c>
      <c r="Y791" s="764">
        <v>0</v>
      </c>
      <c r="Z791" s="764">
        <v>0</v>
      </c>
      <c r="AA791" s="764">
        <v>0</v>
      </c>
      <c r="AB791" s="764">
        <v>0</v>
      </c>
      <c r="AC791" s="714">
        <v>0.82617698682369967</v>
      </c>
      <c r="AD791" s="714">
        <v>0.7843105192554185</v>
      </c>
      <c r="AE791" s="713" t="s">
        <v>58</v>
      </c>
      <c r="AF791" s="713" t="s">
        <v>58</v>
      </c>
      <c r="AG791" s="713" t="s">
        <v>58</v>
      </c>
      <c r="AH791" s="714">
        <v>0.94387031345969796</v>
      </c>
      <c r="AI791" s="713" t="s">
        <v>58</v>
      </c>
      <c r="AJ791" s="713" t="s">
        <v>58</v>
      </c>
      <c r="AK791" s="713" t="s">
        <v>58</v>
      </c>
      <c r="AL791" s="714">
        <v>0.94454345387965444</v>
      </c>
      <c r="AM791" s="713" t="s">
        <v>58</v>
      </c>
      <c r="AN791" s="713" t="s">
        <v>58</v>
      </c>
      <c r="AO791" s="713" t="s">
        <v>58</v>
      </c>
      <c r="AP791" s="747">
        <v>51</v>
      </c>
      <c r="AQ791" s="747">
        <v>51</v>
      </c>
      <c r="AR791" s="709"/>
      <c r="AS791" s="763">
        <v>0</v>
      </c>
      <c r="AT791" s="763">
        <v>0</v>
      </c>
      <c r="AU791" s="763">
        <v>0</v>
      </c>
      <c r="AV791" s="763">
        <v>0</v>
      </c>
      <c r="AW791" s="763">
        <v>0</v>
      </c>
      <c r="AX791" s="763">
        <v>0</v>
      </c>
      <c r="AY791" s="763">
        <v>0</v>
      </c>
      <c r="AZ791" s="763">
        <v>0</v>
      </c>
      <c r="BA791" s="763">
        <v>0</v>
      </c>
      <c r="BB791" s="763">
        <v>0</v>
      </c>
      <c r="BC791" s="763">
        <v>0</v>
      </c>
      <c r="BD791" s="763">
        <v>0</v>
      </c>
      <c r="BE791" s="763">
        <v>0</v>
      </c>
      <c r="BF791" s="763">
        <v>0</v>
      </c>
      <c r="BG791" s="763">
        <v>0</v>
      </c>
      <c r="BH791" s="763">
        <v>0</v>
      </c>
      <c r="BI791" s="763">
        <v>0</v>
      </c>
      <c r="BJ791" s="763">
        <v>0</v>
      </c>
      <c r="BK791" s="763">
        <v>0</v>
      </c>
      <c r="BL791" s="763">
        <v>0</v>
      </c>
      <c r="BM791" s="763">
        <v>0</v>
      </c>
      <c r="BN791" s="763">
        <v>0</v>
      </c>
      <c r="BO791" s="763">
        <v>0</v>
      </c>
      <c r="BP791" s="763">
        <v>0</v>
      </c>
      <c r="BQ791" s="763">
        <v>0</v>
      </c>
      <c r="BR791" s="763">
        <v>0</v>
      </c>
      <c r="BS791" s="762">
        <v>0</v>
      </c>
      <c r="BT791" s="762">
        <v>0</v>
      </c>
      <c r="BU791" s="762">
        <v>0</v>
      </c>
      <c r="BV791" s="762">
        <v>0</v>
      </c>
      <c r="BW791" s="762">
        <v>0</v>
      </c>
      <c r="BX791" s="762">
        <v>0</v>
      </c>
      <c r="BY791" s="762">
        <v>0</v>
      </c>
      <c r="BZ791" s="762">
        <v>0</v>
      </c>
      <c r="CA791" s="762">
        <v>0</v>
      </c>
      <c r="CB791" s="762">
        <v>0</v>
      </c>
      <c r="CC791" s="762">
        <v>0</v>
      </c>
      <c r="CD791" s="762">
        <v>0</v>
      </c>
      <c r="CE791" s="762">
        <v>0</v>
      </c>
      <c r="CF791" s="762">
        <v>0</v>
      </c>
      <c r="CG791" s="762">
        <v>0</v>
      </c>
      <c r="CH791" s="762">
        <v>0</v>
      </c>
      <c r="CI791" s="762">
        <v>0</v>
      </c>
      <c r="CJ791" s="762">
        <v>0</v>
      </c>
      <c r="CK791" s="762">
        <v>0</v>
      </c>
      <c r="CL791" s="762">
        <v>0</v>
      </c>
      <c r="CM791" s="762">
        <v>0</v>
      </c>
      <c r="CN791" s="762">
        <v>0</v>
      </c>
      <c r="CO791" s="762">
        <v>0</v>
      </c>
      <c r="CP791" s="762">
        <v>0</v>
      </c>
      <c r="CQ791" s="762">
        <v>0</v>
      </c>
      <c r="CR791" s="762">
        <v>0</v>
      </c>
    </row>
    <row r="792" spans="1:96" s="53" customFormat="1">
      <c r="A792" s="721" t="s">
        <v>3</v>
      </c>
      <c r="B792" s="723">
        <v>41734</v>
      </c>
      <c r="C792" s="721">
        <v>2014</v>
      </c>
      <c r="D792" s="713" t="s">
        <v>1</v>
      </c>
      <c r="E792" s="713" t="s">
        <v>674</v>
      </c>
      <c r="F792" s="723" t="s">
        <v>689</v>
      </c>
      <c r="G792" s="713" t="s">
        <v>58</v>
      </c>
      <c r="H792" s="723" t="s">
        <v>676</v>
      </c>
      <c r="I792" s="713" t="s">
        <v>5</v>
      </c>
      <c r="J792" s="713" t="s">
        <v>376</v>
      </c>
      <c r="K792" s="766">
        <v>3</v>
      </c>
      <c r="L792" s="766" t="s">
        <v>671</v>
      </c>
      <c r="M792" s="765" t="s">
        <v>758</v>
      </c>
      <c r="N792" s="765">
        <v>12</v>
      </c>
      <c r="O792" s="765">
        <v>3</v>
      </c>
      <c r="P792" s="735">
        <v>0.31578947368421051</v>
      </c>
      <c r="Q792" s="713" t="s">
        <v>58</v>
      </c>
      <c r="R792" s="713" t="s">
        <v>58</v>
      </c>
      <c r="S792" s="713" t="s">
        <v>58</v>
      </c>
      <c r="T792" s="713" t="s">
        <v>58</v>
      </c>
      <c r="U792" s="764">
        <v>0.114</v>
      </c>
      <c r="V792" s="764">
        <v>370.84199999999998</v>
      </c>
      <c r="W792" s="764">
        <v>8.941139919511773E-2</v>
      </c>
      <c r="X792" s="764">
        <v>306.38112614767442</v>
      </c>
      <c r="Y792" s="764">
        <v>1789.9107895995717</v>
      </c>
      <c r="Z792" s="764">
        <v>1689.4436580442432</v>
      </c>
      <c r="AA792" s="764">
        <v>289.1840495751407</v>
      </c>
      <c r="AB792" s="764">
        <v>8.445295181196906E-2</v>
      </c>
      <c r="AC792" s="714">
        <v>0.82617698682369967</v>
      </c>
      <c r="AD792" s="714">
        <v>0.7843105192554185</v>
      </c>
      <c r="AE792" s="713" t="s">
        <v>58</v>
      </c>
      <c r="AF792" s="713" t="s">
        <v>58</v>
      </c>
      <c r="AG792" s="713" t="s">
        <v>58</v>
      </c>
      <c r="AH792" s="714">
        <v>0.94387031345969796</v>
      </c>
      <c r="AI792" s="713" t="s">
        <v>58</v>
      </c>
      <c r="AJ792" s="713" t="s">
        <v>58</v>
      </c>
      <c r="AK792" s="713" t="s">
        <v>58</v>
      </c>
      <c r="AL792" s="714">
        <v>0.94454345387965444</v>
      </c>
      <c r="AM792" s="713" t="s">
        <v>58</v>
      </c>
      <c r="AN792" s="713" t="s">
        <v>58</v>
      </c>
      <c r="AO792" s="713" t="s">
        <v>58</v>
      </c>
      <c r="AP792" s="747">
        <v>57</v>
      </c>
      <c r="AQ792" s="747">
        <v>171</v>
      </c>
      <c r="AR792" s="709"/>
      <c r="AS792" s="763">
        <v>0</v>
      </c>
      <c r="AT792" s="763">
        <v>0</v>
      </c>
      <c r="AU792" s="763">
        <v>0</v>
      </c>
      <c r="AV792" s="763">
        <v>8.445295181196906E-2</v>
      </c>
      <c r="AW792" s="763">
        <v>8.445295181196906E-2</v>
      </c>
      <c r="AX792" s="763">
        <v>8.445295181196906E-2</v>
      </c>
      <c r="AY792" s="763">
        <v>2.6669353203779701E-2</v>
      </c>
      <c r="AZ792" s="763">
        <v>2.6669353203779701E-2</v>
      </c>
      <c r="BA792" s="763">
        <v>2.6669353203779701E-2</v>
      </c>
      <c r="BB792" s="763">
        <v>2.6669353203779701E-2</v>
      </c>
      <c r="BC792" s="763">
        <v>2.6669353203779701E-2</v>
      </c>
      <c r="BD792" s="763">
        <v>2.6669353203779701E-2</v>
      </c>
      <c r="BE792" s="763">
        <v>2.6669353203779701E-2</v>
      </c>
      <c r="BF792" s="763">
        <v>2.6669353203779701E-2</v>
      </c>
      <c r="BG792" s="763">
        <v>2.6669353203779701E-2</v>
      </c>
      <c r="BH792" s="763">
        <v>0</v>
      </c>
      <c r="BI792" s="763">
        <v>0</v>
      </c>
      <c r="BJ792" s="763">
        <v>0</v>
      </c>
      <c r="BK792" s="763">
        <v>0</v>
      </c>
      <c r="BL792" s="763">
        <v>0</v>
      </c>
      <c r="BM792" s="763">
        <v>0</v>
      </c>
      <c r="BN792" s="763">
        <v>0</v>
      </c>
      <c r="BO792" s="763">
        <v>0</v>
      </c>
      <c r="BP792" s="763">
        <v>0</v>
      </c>
      <c r="BQ792" s="763">
        <v>0</v>
      </c>
      <c r="BR792" s="763">
        <v>0</v>
      </c>
      <c r="BS792" s="762">
        <v>0</v>
      </c>
      <c r="BT792" s="762">
        <v>0</v>
      </c>
      <c r="BU792" s="762">
        <v>0</v>
      </c>
      <c r="BV792" s="762">
        <v>289.1840495751407</v>
      </c>
      <c r="BW792" s="762">
        <v>289.1840495751407</v>
      </c>
      <c r="BX792" s="762">
        <v>289.1840495751407</v>
      </c>
      <c r="BY792" s="762">
        <v>91.321278813202326</v>
      </c>
      <c r="BZ792" s="762">
        <v>91.321278813202326</v>
      </c>
      <c r="CA792" s="762">
        <v>91.321278813202326</v>
      </c>
      <c r="CB792" s="762">
        <v>91.321278813202326</v>
      </c>
      <c r="CC792" s="762">
        <v>91.321278813202326</v>
      </c>
      <c r="CD792" s="762">
        <v>91.321278813202326</v>
      </c>
      <c r="CE792" s="762">
        <v>91.321278813202326</v>
      </c>
      <c r="CF792" s="762">
        <v>91.321278813202326</v>
      </c>
      <c r="CG792" s="762">
        <v>91.321278813202326</v>
      </c>
      <c r="CH792" s="762">
        <v>0</v>
      </c>
      <c r="CI792" s="762">
        <v>0</v>
      </c>
      <c r="CJ792" s="762">
        <v>0</v>
      </c>
      <c r="CK792" s="762">
        <v>0</v>
      </c>
      <c r="CL792" s="762">
        <v>0</v>
      </c>
      <c r="CM792" s="762">
        <v>0</v>
      </c>
      <c r="CN792" s="762">
        <v>0</v>
      </c>
      <c r="CO792" s="762">
        <v>0</v>
      </c>
      <c r="CP792" s="762">
        <v>0</v>
      </c>
      <c r="CQ792" s="762">
        <v>0</v>
      </c>
      <c r="CR792" s="762">
        <v>0</v>
      </c>
    </row>
    <row r="793" spans="1:96" s="53" customFormat="1">
      <c r="A793" s="721" t="s">
        <v>3</v>
      </c>
      <c r="B793" s="723">
        <v>41734</v>
      </c>
      <c r="C793" s="721">
        <v>2014</v>
      </c>
      <c r="D793" s="713" t="s">
        <v>1</v>
      </c>
      <c r="E793" s="713" t="s">
        <v>674</v>
      </c>
      <c r="F793" s="723" t="s">
        <v>689</v>
      </c>
      <c r="G793" s="713" t="s">
        <v>58</v>
      </c>
      <c r="H793" s="723" t="s">
        <v>675</v>
      </c>
      <c r="I793" s="713" t="s">
        <v>5</v>
      </c>
      <c r="J793" s="713" t="s">
        <v>376</v>
      </c>
      <c r="K793" s="766">
        <v>3</v>
      </c>
      <c r="L793" s="766" t="s">
        <v>671</v>
      </c>
      <c r="M793" s="765" t="s">
        <v>758</v>
      </c>
      <c r="N793" s="765">
        <v>12</v>
      </c>
      <c r="O793" s="765">
        <v>3</v>
      </c>
      <c r="P793" s="735">
        <v>0.36842105263157893</v>
      </c>
      <c r="Q793" s="713" t="s">
        <v>58</v>
      </c>
      <c r="R793" s="713" t="s">
        <v>58</v>
      </c>
      <c r="S793" s="713" t="s">
        <v>58</v>
      </c>
      <c r="T793" s="713" t="s">
        <v>58</v>
      </c>
      <c r="U793" s="764">
        <v>0.17100000000000001</v>
      </c>
      <c r="V793" s="764">
        <v>556.26300000000003</v>
      </c>
      <c r="W793" s="764">
        <v>0.13411709879267658</v>
      </c>
      <c r="X793" s="764">
        <v>459.57168922151169</v>
      </c>
      <c r="Y793" s="764">
        <v>2902.5580371884948</v>
      </c>
      <c r="Z793" s="764">
        <v>2739.6383643960703</v>
      </c>
      <c r="AA793" s="764">
        <v>433.77607436271114</v>
      </c>
      <c r="AB793" s="764">
        <v>0.12667942771795357</v>
      </c>
      <c r="AC793" s="714">
        <v>0.82617698682369967</v>
      </c>
      <c r="AD793" s="714">
        <v>0.7843105192554185</v>
      </c>
      <c r="AE793" s="713" t="s">
        <v>58</v>
      </c>
      <c r="AF793" s="713" t="s">
        <v>58</v>
      </c>
      <c r="AG793" s="713" t="s">
        <v>58</v>
      </c>
      <c r="AH793" s="714">
        <v>0.94387031345969796</v>
      </c>
      <c r="AI793" s="713" t="s">
        <v>58</v>
      </c>
      <c r="AJ793" s="713" t="s">
        <v>58</v>
      </c>
      <c r="AK793" s="713" t="s">
        <v>58</v>
      </c>
      <c r="AL793" s="714">
        <v>0.94454345387965444</v>
      </c>
      <c r="AM793" s="713" t="s">
        <v>58</v>
      </c>
      <c r="AN793" s="713" t="s">
        <v>58</v>
      </c>
      <c r="AO793" s="713" t="s">
        <v>58</v>
      </c>
      <c r="AP793" s="747">
        <v>73</v>
      </c>
      <c r="AQ793" s="747">
        <v>219</v>
      </c>
      <c r="AR793" s="709"/>
      <c r="AS793" s="763">
        <v>0</v>
      </c>
      <c r="AT793" s="763">
        <v>0</v>
      </c>
      <c r="AU793" s="763">
        <v>0</v>
      </c>
      <c r="AV793" s="763">
        <v>0.12667942771795357</v>
      </c>
      <c r="AW793" s="763">
        <v>0.12667942771795357</v>
      </c>
      <c r="AX793" s="763">
        <v>0.12667942771795357</v>
      </c>
      <c r="AY793" s="763">
        <v>4.6671368106614472E-2</v>
      </c>
      <c r="AZ793" s="763">
        <v>4.6671368106614472E-2</v>
      </c>
      <c r="BA793" s="763">
        <v>4.6671368106614472E-2</v>
      </c>
      <c r="BB793" s="763">
        <v>4.6671368106614472E-2</v>
      </c>
      <c r="BC793" s="763">
        <v>4.6671368106614472E-2</v>
      </c>
      <c r="BD793" s="763">
        <v>4.6671368106614472E-2</v>
      </c>
      <c r="BE793" s="763">
        <v>4.6671368106614472E-2</v>
      </c>
      <c r="BF793" s="763">
        <v>4.6671368106614472E-2</v>
      </c>
      <c r="BG793" s="763">
        <v>4.6671368106614472E-2</v>
      </c>
      <c r="BH793" s="763">
        <v>0</v>
      </c>
      <c r="BI793" s="763">
        <v>0</v>
      </c>
      <c r="BJ793" s="763">
        <v>0</v>
      </c>
      <c r="BK793" s="763">
        <v>0</v>
      </c>
      <c r="BL793" s="763">
        <v>0</v>
      </c>
      <c r="BM793" s="763">
        <v>0</v>
      </c>
      <c r="BN793" s="763">
        <v>0</v>
      </c>
      <c r="BO793" s="763">
        <v>0</v>
      </c>
      <c r="BP793" s="763">
        <v>0</v>
      </c>
      <c r="BQ793" s="763">
        <v>0</v>
      </c>
      <c r="BR793" s="763">
        <v>0</v>
      </c>
      <c r="BS793" s="762">
        <v>0</v>
      </c>
      <c r="BT793" s="762">
        <v>0</v>
      </c>
      <c r="BU793" s="762">
        <v>0</v>
      </c>
      <c r="BV793" s="762">
        <v>433.77607436271114</v>
      </c>
      <c r="BW793" s="762">
        <v>433.77607436271114</v>
      </c>
      <c r="BX793" s="762">
        <v>433.77607436271114</v>
      </c>
      <c r="BY793" s="762">
        <v>159.81223792310411</v>
      </c>
      <c r="BZ793" s="762">
        <v>159.81223792310411</v>
      </c>
      <c r="CA793" s="762">
        <v>159.81223792310411</v>
      </c>
      <c r="CB793" s="762">
        <v>159.81223792310411</v>
      </c>
      <c r="CC793" s="762">
        <v>159.81223792310411</v>
      </c>
      <c r="CD793" s="762">
        <v>159.81223792310411</v>
      </c>
      <c r="CE793" s="762">
        <v>159.81223792310411</v>
      </c>
      <c r="CF793" s="762">
        <v>159.81223792310411</v>
      </c>
      <c r="CG793" s="762">
        <v>159.81223792310411</v>
      </c>
      <c r="CH793" s="762">
        <v>0</v>
      </c>
      <c r="CI793" s="762">
        <v>0</v>
      </c>
      <c r="CJ793" s="762">
        <v>0</v>
      </c>
      <c r="CK793" s="762">
        <v>0</v>
      </c>
      <c r="CL793" s="762">
        <v>0</v>
      </c>
      <c r="CM793" s="762">
        <v>0</v>
      </c>
      <c r="CN793" s="762">
        <v>0</v>
      </c>
      <c r="CO793" s="762">
        <v>0</v>
      </c>
      <c r="CP793" s="762">
        <v>0</v>
      </c>
      <c r="CQ793" s="762">
        <v>0</v>
      </c>
      <c r="CR793" s="762">
        <v>0</v>
      </c>
    </row>
    <row r="794" spans="1:96" s="53" customFormat="1">
      <c r="A794" s="721" t="s">
        <v>3</v>
      </c>
      <c r="B794" s="723">
        <v>41750</v>
      </c>
      <c r="C794" s="721">
        <v>2014</v>
      </c>
      <c r="D794" s="713" t="s">
        <v>1</v>
      </c>
      <c r="E794" s="713" t="s">
        <v>674</v>
      </c>
      <c r="F794" s="723" t="s">
        <v>123</v>
      </c>
      <c r="G794" s="713" t="s">
        <v>58</v>
      </c>
      <c r="H794" s="723" t="s">
        <v>704</v>
      </c>
      <c r="I794" s="713" t="s">
        <v>5</v>
      </c>
      <c r="J794" s="713" t="s">
        <v>376</v>
      </c>
      <c r="K794" s="766">
        <v>1</v>
      </c>
      <c r="L794" s="766" t="s">
        <v>671</v>
      </c>
      <c r="M794" s="765" t="s">
        <v>757</v>
      </c>
      <c r="N794" s="765">
        <v>12</v>
      </c>
      <c r="O794" s="765">
        <v>3</v>
      </c>
      <c r="P794" s="735">
        <v>4.5454545454545456E-2</v>
      </c>
      <c r="Q794" s="713" t="s">
        <v>58</v>
      </c>
      <c r="R794" s="713" t="s">
        <v>58</v>
      </c>
      <c r="S794" s="713" t="s">
        <v>58</v>
      </c>
      <c r="T794" s="713" t="s">
        <v>58</v>
      </c>
      <c r="U794" s="764">
        <v>2.1999999999999999E-2</v>
      </c>
      <c r="V794" s="764">
        <v>75.02</v>
      </c>
      <c r="W794" s="764">
        <v>1.7254831423619207E-2</v>
      </c>
      <c r="X794" s="764">
        <v>61.97979755151394</v>
      </c>
      <c r="Y794" s="764">
        <v>211.29476438016115</v>
      </c>
      <c r="Z794" s="764">
        <v>199.43485548789573</v>
      </c>
      <c r="AA794" s="764">
        <v>58.500890943116083</v>
      </c>
      <c r="AB794" s="764">
        <v>1.6297938068976482E-2</v>
      </c>
      <c r="AC794" s="714">
        <v>0.82617698682369967</v>
      </c>
      <c r="AD794" s="714">
        <v>0.7843105192554185</v>
      </c>
      <c r="AE794" s="713" t="s">
        <v>58</v>
      </c>
      <c r="AF794" s="713" t="s">
        <v>58</v>
      </c>
      <c r="AG794" s="713" t="s">
        <v>58</v>
      </c>
      <c r="AH794" s="714">
        <v>0.94387031345969796</v>
      </c>
      <c r="AI794" s="713" t="s">
        <v>58</v>
      </c>
      <c r="AJ794" s="713" t="s">
        <v>58</v>
      </c>
      <c r="AK794" s="713" t="s">
        <v>58</v>
      </c>
      <c r="AL794" s="714">
        <v>0.94454345387965444</v>
      </c>
      <c r="AM794" s="713" t="s">
        <v>58</v>
      </c>
      <c r="AN794" s="713" t="s">
        <v>58</v>
      </c>
      <c r="AO794" s="713" t="s">
        <v>58</v>
      </c>
      <c r="AP794" s="747">
        <v>75</v>
      </c>
      <c r="AQ794" s="747">
        <v>75</v>
      </c>
      <c r="AR794" s="709"/>
      <c r="AS794" s="763">
        <v>0</v>
      </c>
      <c r="AT794" s="763">
        <v>0</v>
      </c>
      <c r="AU794" s="763">
        <v>0</v>
      </c>
      <c r="AV794" s="763">
        <v>1.6297938068976482E-2</v>
      </c>
      <c r="AW794" s="763">
        <v>1.6297938068976482E-2</v>
      </c>
      <c r="AX794" s="763">
        <v>1.6297938068976482E-2</v>
      </c>
      <c r="AY794" s="763">
        <v>7.4081536677165832E-4</v>
      </c>
      <c r="AZ794" s="763">
        <v>7.4081536677165832E-4</v>
      </c>
      <c r="BA794" s="763">
        <v>7.4081536677165832E-4</v>
      </c>
      <c r="BB794" s="763">
        <v>7.4081536677165832E-4</v>
      </c>
      <c r="BC794" s="763">
        <v>7.4081536677165832E-4</v>
      </c>
      <c r="BD794" s="763">
        <v>7.4081536677165832E-4</v>
      </c>
      <c r="BE794" s="763">
        <v>7.4081536677165832E-4</v>
      </c>
      <c r="BF794" s="763">
        <v>7.4081536677165832E-4</v>
      </c>
      <c r="BG794" s="763">
        <v>7.4081536677165832E-4</v>
      </c>
      <c r="BH794" s="763">
        <v>0</v>
      </c>
      <c r="BI794" s="763">
        <v>0</v>
      </c>
      <c r="BJ794" s="763">
        <v>0</v>
      </c>
      <c r="BK794" s="763">
        <v>0</v>
      </c>
      <c r="BL794" s="763">
        <v>0</v>
      </c>
      <c r="BM794" s="763">
        <v>0</v>
      </c>
      <c r="BN794" s="763">
        <v>0</v>
      </c>
      <c r="BO794" s="763">
        <v>0</v>
      </c>
      <c r="BP794" s="763">
        <v>0</v>
      </c>
      <c r="BQ794" s="763">
        <v>0</v>
      </c>
      <c r="BR794" s="763">
        <v>0</v>
      </c>
      <c r="BS794" s="762">
        <v>0</v>
      </c>
      <c r="BT794" s="762">
        <v>0</v>
      </c>
      <c r="BU794" s="762">
        <v>0</v>
      </c>
      <c r="BV794" s="762">
        <v>58.500890943116083</v>
      </c>
      <c r="BW794" s="762">
        <v>58.500890943116083</v>
      </c>
      <c r="BX794" s="762">
        <v>58.500890943116083</v>
      </c>
      <c r="BY794" s="762">
        <v>2.6591314065052765</v>
      </c>
      <c r="BZ794" s="762">
        <v>2.6591314065052765</v>
      </c>
      <c r="CA794" s="762">
        <v>2.6591314065052765</v>
      </c>
      <c r="CB794" s="762">
        <v>2.6591314065052765</v>
      </c>
      <c r="CC794" s="762">
        <v>2.6591314065052765</v>
      </c>
      <c r="CD794" s="762">
        <v>2.6591314065052765</v>
      </c>
      <c r="CE794" s="762">
        <v>2.6591314065052765</v>
      </c>
      <c r="CF794" s="762">
        <v>2.6591314065052765</v>
      </c>
      <c r="CG794" s="762">
        <v>2.6591314065052765</v>
      </c>
      <c r="CH794" s="762">
        <v>0</v>
      </c>
      <c r="CI794" s="762">
        <v>0</v>
      </c>
      <c r="CJ794" s="762">
        <v>0</v>
      </c>
      <c r="CK794" s="762">
        <v>0</v>
      </c>
      <c r="CL794" s="762">
        <v>0</v>
      </c>
      <c r="CM794" s="762">
        <v>0</v>
      </c>
      <c r="CN794" s="762">
        <v>0</v>
      </c>
      <c r="CO794" s="762">
        <v>0</v>
      </c>
      <c r="CP794" s="762">
        <v>0</v>
      </c>
      <c r="CQ794" s="762">
        <v>0</v>
      </c>
      <c r="CR794" s="762">
        <v>0</v>
      </c>
    </row>
    <row r="795" spans="1:96" s="53" customFormat="1">
      <c r="A795" s="721" t="s">
        <v>3</v>
      </c>
      <c r="B795" s="723">
        <v>41750</v>
      </c>
      <c r="C795" s="721">
        <v>2014</v>
      </c>
      <c r="D795" s="713" t="s">
        <v>1</v>
      </c>
      <c r="E795" s="713" t="s">
        <v>674</v>
      </c>
      <c r="F795" s="723" t="s">
        <v>123</v>
      </c>
      <c r="G795" s="713" t="s">
        <v>58</v>
      </c>
      <c r="H795" s="723" t="s">
        <v>710</v>
      </c>
      <c r="I795" s="713" t="s">
        <v>5</v>
      </c>
      <c r="J795" s="713" t="s">
        <v>376</v>
      </c>
      <c r="K795" s="766">
        <v>23</v>
      </c>
      <c r="L795" s="766" t="s">
        <v>671</v>
      </c>
      <c r="M795" s="765" t="s">
        <v>757</v>
      </c>
      <c r="N795" s="765">
        <v>10</v>
      </c>
      <c r="O795" s="765" t="s">
        <v>7</v>
      </c>
      <c r="P795" s="735">
        <v>1</v>
      </c>
      <c r="Q795" s="713" t="s">
        <v>58</v>
      </c>
      <c r="R795" s="713" t="s">
        <v>58</v>
      </c>
      <c r="S795" s="713" t="s">
        <v>58</v>
      </c>
      <c r="T795" s="713" t="s">
        <v>58</v>
      </c>
      <c r="U795" s="764">
        <v>0.621</v>
      </c>
      <c r="V795" s="764">
        <v>5439.96</v>
      </c>
      <c r="W795" s="764">
        <v>0.487056832457615</v>
      </c>
      <c r="X795" s="764">
        <v>4494.3697612414526</v>
      </c>
      <c r="Y795" s="764">
        <v>44943.697612414529</v>
      </c>
      <c r="Z795" s="764">
        <v>42421.021953467578</v>
      </c>
      <c r="AA795" s="764">
        <v>4242.102195346758</v>
      </c>
      <c r="AB795" s="764">
        <v>0.46004634276519984</v>
      </c>
      <c r="AC795" s="714">
        <v>0.82617698682369967</v>
      </c>
      <c r="AD795" s="714">
        <v>0.7843105192554185</v>
      </c>
      <c r="AE795" s="713" t="s">
        <v>58</v>
      </c>
      <c r="AF795" s="713" t="s">
        <v>58</v>
      </c>
      <c r="AG795" s="713" t="s">
        <v>58</v>
      </c>
      <c r="AH795" s="714">
        <v>0.94387031345969796</v>
      </c>
      <c r="AI795" s="713" t="s">
        <v>58</v>
      </c>
      <c r="AJ795" s="713" t="s">
        <v>58</v>
      </c>
      <c r="AK795" s="713" t="s">
        <v>58</v>
      </c>
      <c r="AL795" s="714">
        <v>0.94454345387965444</v>
      </c>
      <c r="AM795" s="713" t="s">
        <v>58</v>
      </c>
      <c r="AN795" s="713" t="s">
        <v>58</v>
      </c>
      <c r="AO795" s="713" t="s">
        <v>58</v>
      </c>
      <c r="AP795" s="747">
        <v>29</v>
      </c>
      <c r="AQ795" s="747">
        <v>667</v>
      </c>
      <c r="AR795" s="709"/>
      <c r="AS795" s="763">
        <v>0</v>
      </c>
      <c r="AT795" s="763">
        <v>0</v>
      </c>
      <c r="AU795" s="763">
        <v>0</v>
      </c>
      <c r="AV795" s="763">
        <v>0.46004634276519984</v>
      </c>
      <c r="AW795" s="763">
        <v>0.46004634276519984</v>
      </c>
      <c r="AX795" s="763">
        <v>0.46004634276519984</v>
      </c>
      <c r="AY795" s="763">
        <v>0.46004634276519984</v>
      </c>
      <c r="AZ795" s="763">
        <v>0.46004634276519984</v>
      </c>
      <c r="BA795" s="763">
        <v>0.46004634276519984</v>
      </c>
      <c r="BB795" s="763">
        <v>0.46004634276519984</v>
      </c>
      <c r="BC795" s="763">
        <v>0.46004634276519984</v>
      </c>
      <c r="BD795" s="763">
        <v>0.46004634276519984</v>
      </c>
      <c r="BE795" s="763">
        <v>0.46004634276519984</v>
      </c>
      <c r="BF795" s="763">
        <v>0</v>
      </c>
      <c r="BG795" s="763">
        <v>0</v>
      </c>
      <c r="BH795" s="763">
        <v>0</v>
      </c>
      <c r="BI795" s="763">
        <v>0</v>
      </c>
      <c r="BJ795" s="763">
        <v>0</v>
      </c>
      <c r="BK795" s="763">
        <v>0</v>
      </c>
      <c r="BL795" s="763">
        <v>0</v>
      </c>
      <c r="BM795" s="763">
        <v>0</v>
      </c>
      <c r="BN795" s="763">
        <v>0</v>
      </c>
      <c r="BO795" s="763">
        <v>0</v>
      </c>
      <c r="BP795" s="763">
        <v>0</v>
      </c>
      <c r="BQ795" s="763">
        <v>0</v>
      </c>
      <c r="BR795" s="763">
        <v>0</v>
      </c>
      <c r="BS795" s="762">
        <v>0</v>
      </c>
      <c r="BT795" s="762">
        <v>0</v>
      </c>
      <c r="BU795" s="762">
        <v>0</v>
      </c>
      <c r="BV795" s="762">
        <v>4242.102195346758</v>
      </c>
      <c r="BW795" s="762">
        <v>4242.102195346758</v>
      </c>
      <c r="BX795" s="762">
        <v>4242.102195346758</v>
      </c>
      <c r="BY795" s="762">
        <v>4242.102195346758</v>
      </c>
      <c r="BZ795" s="762">
        <v>4242.102195346758</v>
      </c>
      <c r="CA795" s="762">
        <v>4242.102195346758</v>
      </c>
      <c r="CB795" s="762">
        <v>4242.102195346758</v>
      </c>
      <c r="CC795" s="762">
        <v>4242.102195346758</v>
      </c>
      <c r="CD795" s="762">
        <v>4242.102195346758</v>
      </c>
      <c r="CE795" s="762">
        <v>4242.102195346758</v>
      </c>
      <c r="CF795" s="762">
        <v>0</v>
      </c>
      <c r="CG795" s="762">
        <v>0</v>
      </c>
      <c r="CH795" s="762">
        <v>0</v>
      </c>
      <c r="CI795" s="762">
        <v>0</v>
      </c>
      <c r="CJ795" s="762">
        <v>0</v>
      </c>
      <c r="CK795" s="762">
        <v>0</v>
      </c>
      <c r="CL795" s="762">
        <v>0</v>
      </c>
      <c r="CM795" s="762">
        <v>0</v>
      </c>
      <c r="CN795" s="762">
        <v>0</v>
      </c>
      <c r="CO795" s="762">
        <v>0</v>
      </c>
      <c r="CP795" s="762">
        <v>0</v>
      </c>
      <c r="CQ795" s="762">
        <v>0</v>
      </c>
      <c r="CR795" s="762">
        <v>0</v>
      </c>
    </row>
    <row r="796" spans="1:96" s="53" customFormat="1">
      <c r="A796" s="721" t="s">
        <v>3</v>
      </c>
      <c r="B796" s="723">
        <v>41750</v>
      </c>
      <c r="C796" s="721">
        <v>2014</v>
      </c>
      <c r="D796" s="713" t="s">
        <v>1</v>
      </c>
      <c r="E796" s="713" t="s">
        <v>674</v>
      </c>
      <c r="F796" s="723" t="s">
        <v>123</v>
      </c>
      <c r="G796" s="713" t="s">
        <v>58</v>
      </c>
      <c r="H796" s="723" t="s">
        <v>678</v>
      </c>
      <c r="I796" s="713" t="s">
        <v>5</v>
      </c>
      <c r="J796" s="713" t="s">
        <v>376</v>
      </c>
      <c r="K796" s="766">
        <v>6</v>
      </c>
      <c r="L796" s="766" t="s">
        <v>671</v>
      </c>
      <c r="M796" s="765" t="s">
        <v>757</v>
      </c>
      <c r="N796" s="765">
        <v>3</v>
      </c>
      <c r="O796" s="765">
        <v>2</v>
      </c>
      <c r="P796" s="735">
        <v>0.6149863305954828</v>
      </c>
      <c r="Q796" s="713" t="s">
        <v>58</v>
      </c>
      <c r="R796" s="713" t="s">
        <v>58</v>
      </c>
      <c r="S796" s="713" t="s">
        <v>58</v>
      </c>
      <c r="T796" s="713" t="s">
        <v>58</v>
      </c>
      <c r="U796" s="764">
        <v>0.28199999999999997</v>
      </c>
      <c r="V796" s="764">
        <v>895.06799999999998</v>
      </c>
      <c r="W796" s="764">
        <v>0.221175566430028</v>
      </c>
      <c r="X796" s="764">
        <v>739.48458324231524</v>
      </c>
      <c r="Y796" s="764">
        <v>1933.7420768647517</v>
      </c>
      <c r="Z796" s="764">
        <v>1825.2017402405404</v>
      </c>
      <c r="AA796" s="764">
        <v>697.9775453835382</v>
      </c>
      <c r="AB796" s="764">
        <v>0.20890993342960759</v>
      </c>
      <c r="AC796" s="714">
        <v>0.82617698682369967</v>
      </c>
      <c r="AD796" s="714">
        <v>0.7843105192554185</v>
      </c>
      <c r="AE796" s="713" t="s">
        <v>58</v>
      </c>
      <c r="AF796" s="713" t="s">
        <v>58</v>
      </c>
      <c r="AG796" s="713" t="s">
        <v>58</v>
      </c>
      <c r="AH796" s="714">
        <v>0.94387031345969796</v>
      </c>
      <c r="AI796" s="713" t="s">
        <v>58</v>
      </c>
      <c r="AJ796" s="713" t="s">
        <v>58</v>
      </c>
      <c r="AK796" s="713" t="s">
        <v>58</v>
      </c>
      <c r="AL796" s="714">
        <v>0.94454345387965444</v>
      </c>
      <c r="AM796" s="713" t="s">
        <v>58</v>
      </c>
      <c r="AN796" s="713" t="s">
        <v>58</v>
      </c>
      <c r="AO796" s="713" t="s">
        <v>58</v>
      </c>
      <c r="AP796" s="747">
        <v>8</v>
      </c>
      <c r="AQ796" s="747">
        <v>48</v>
      </c>
      <c r="AR796" s="709"/>
      <c r="AS796" s="763">
        <v>0</v>
      </c>
      <c r="AT796" s="763">
        <v>0</v>
      </c>
      <c r="AU796" s="763">
        <v>0</v>
      </c>
      <c r="AV796" s="763">
        <v>0.20890993342960759</v>
      </c>
      <c r="AW796" s="763">
        <v>0.20890993342960759</v>
      </c>
      <c r="AX796" s="763">
        <v>0.12847675338482095</v>
      </c>
      <c r="AY796" s="763">
        <v>0</v>
      </c>
      <c r="AZ796" s="763">
        <v>0</v>
      </c>
      <c r="BA796" s="763">
        <v>0</v>
      </c>
      <c r="BB796" s="763">
        <v>0</v>
      </c>
      <c r="BC796" s="763">
        <v>0</v>
      </c>
      <c r="BD796" s="763">
        <v>0</v>
      </c>
      <c r="BE796" s="763">
        <v>0</v>
      </c>
      <c r="BF796" s="763">
        <v>0</v>
      </c>
      <c r="BG796" s="763">
        <v>0</v>
      </c>
      <c r="BH796" s="763">
        <v>0</v>
      </c>
      <c r="BI796" s="763">
        <v>0</v>
      </c>
      <c r="BJ796" s="763">
        <v>0</v>
      </c>
      <c r="BK796" s="763">
        <v>0</v>
      </c>
      <c r="BL796" s="763">
        <v>0</v>
      </c>
      <c r="BM796" s="763">
        <v>0</v>
      </c>
      <c r="BN796" s="763">
        <v>0</v>
      </c>
      <c r="BO796" s="763">
        <v>0</v>
      </c>
      <c r="BP796" s="763">
        <v>0</v>
      </c>
      <c r="BQ796" s="763">
        <v>0</v>
      </c>
      <c r="BR796" s="763">
        <v>0</v>
      </c>
      <c r="BS796" s="762">
        <v>0</v>
      </c>
      <c r="BT796" s="762">
        <v>0</v>
      </c>
      <c r="BU796" s="762">
        <v>0</v>
      </c>
      <c r="BV796" s="762">
        <v>697.9775453835382</v>
      </c>
      <c r="BW796" s="762">
        <v>697.9775453835382</v>
      </c>
      <c r="BX796" s="762">
        <v>429.24664947346423</v>
      </c>
      <c r="BY796" s="762">
        <v>0</v>
      </c>
      <c r="BZ796" s="762">
        <v>0</v>
      </c>
      <c r="CA796" s="762">
        <v>0</v>
      </c>
      <c r="CB796" s="762">
        <v>0</v>
      </c>
      <c r="CC796" s="762">
        <v>0</v>
      </c>
      <c r="CD796" s="762">
        <v>0</v>
      </c>
      <c r="CE796" s="762">
        <v>0</v>
      </c>
      <c r="CF796" s="762">
        <v>0</v>
      </c>
      <c r="CG796" s="762">
        <v>0</v>
      </c>
      <c r="CH796" s="762">
        <v>0</v>
      </c>
      <c r="CI796" s="762">
        <v>0</v>
      </c>
      <c r="CJ796" s="762">
        <v>0</v>
      </c>
      <c r="CK796" s="762">
        <v>0</v>
      </c>
      <c r="CL796" s="762">
        <v>0</v>
      </c>
      <c r="CM796" s="762">
        <v>0</v>
      </c>
      <c r="CN796" s="762">
        <v>0</v>
      </c>
      <c r="CO796" s="762">
        <v>0</v>
      </c>
      <c r="CP796" s="762">
        <v>0</v>
      </c>
      <c r="CQ796" s="762">
        <v>0</v>
      </c>
      <c r="CR796" s="762">
        <v>0</v>
      </c>
    </row>
    <row r="797" spans="1:96" s="53" customFormat="1">
      <c r="A797" s="721" t="s">
        <v>3</v>
      </c>
      <c r="B797" s="723">
        <v>41750</v>
      </c>
      <c r="C797" s="721">
        <v>2014</v>
      </c>
      <c r="D797" s="713" t="s">
        <v>1</v>
      </c>
      <c r="E797" s="713" t="s">
        <v>674</v>
      </c>
      <c r="F797" s="723" t="s">
        <v>123</v>
      </c>
      <c r="G797" s="713" t="s">
        <v>58</v>
      </c>
      <c r="H797" s="723" t="s">
        <v>678</v>
      </c>
      <c r="I797" s="713" t="s">
        <v>5</v>
      </c>
      <c r="J797" s="713" t="s">
        <v>376</v>
      </c>
      <c r="K797" s="766">
        <v>11</v>
      </c>
      <c r="L797" s="766" t="s">
        <v>671</v>
      </c>
      <c r="M797" s="765" t="s">
        <v>757</v>
      </c>
      <c r="N797" s="765">
        <v>3</v>
      </c>
      <c r="O797" s="765">
        <v>2</v>
      </c>
      <c r="P797" s="735">
        <v>0.6149863305954828</v>
      </c>
      <c r="Q797" s="713" t="s">
        <v>58</v>
      </c>
      <c r="R797" s="713" t="s">
        <v>58</v>
      </c>
      <c r="S797" s="713" t="s">
        <v>58</v>
      </c>
      <c r="T797" s="713" t="s">
        <v>58</v>
      </c>
      <c r="U797" s="764">
        <v>0.51700000000000002</v>
      </c>
      <c r="V797" s="764">
        <v>1640.9580000000001</v>
      </c>
      <c r="W797" s="764">
        <v>0.40548853845505145</v>
      </c>
      <c r="X797" s="764">
        <v>1355.7217359442445</v>
      </c>
      <c r="Y797" s="764">
        <v>3545.1938075853782</v>
      </c>
      <c r="Z797" s="764">
        <v>3346.203190440991</v>
      </c>
      <c r="AA797" s="764">
        <v>1279.62549986982</v>
      </c>
      <c r="AB797" s="764">
        <v>0.38300154462094738</v>
      </c>
      <c r="AC797" s="714">
        <v>0.82617698682369967</v>
      </c>
      <c r="AD797" s="714">
        <v>0.7843105192554185</v>
      </c>
      <c r="AE797" s="713" t="s">
        <v>58</v>
      </c>
      <c r="AF797" s="713" t="s">
        <v>58</v>
      </c>
      <c r="AG797" s="713" t="s">
        <v>58</v>
      </c>
      <c r="AH797" s="714">
        <v>0.94387031345969796</v>
      </c>
      <c r="AI797" s="713" t="s">
        <v>58</v>
      </c>
      <c r="AJ797" s="713" t="s">
        <v>58</v>
      </c>
      <c r="AK797" s="713" t="s">
        <v>58</v>
      </c>
      <c r="AL797" s="714">
        <v>0.94454345387965444</v>
      </c>
      <c r="AM797" s="713" t="s">
        <v>58</v>
      </c>
      <c r="AN797" s="713" t="s">
        <v>58</v>
      </c>
      <c r="AO797" s="713" t="s">
        <v>58</v>
      </c>
      <c r="AP797" s="747">
        <v>1</v>
      </c>
      <c r="AQ797" s="747">
        <v>11</v>
      </c>
      <c r="AR797" s="709"/>
      <c r="AS797" s="763">
        <v>0</v>
      </c>
      <c r="AT797" s="763">
        <v>0</v>
      </c>
      <c r="AU797" s="763">
        <v>0</v>
      </c>
      <c r="AV797" s="763">
        <v>0.38300154462094738</v>
      </c>
      <c r="AW797" s="763">
        <v>0.38300154462094738</v>
      </c>
      <c r="AX797" s="763">
        <v>0.23554071453883851</v>
      </c>
      <c r="AY797" s="763">
        <v>0</v>
      </c>
      <c r="AZ797" s="763">
        <v>0</v>
      </c>
      <c r="BA797" s="763">
        <v>0</v>
      </c>
      <c r="BB797" s="763">
        <v>0</v>
      </c>
      <c r="BC797" s="763">
        <v>0</v>
      </c>
      <c r="BD797" s="763">
        <v>0</v>
      </c>
      <c r="BE797" s="763">
        <v>0</v>
      </c>
      <c r="BF797" s="763">
        <v>0</v>
      </c>
      <c r="BG797" s="763">
        <v>0</v>
      </c>
      <c r="BH797" s="763">
        <v>0</v>
      </c>
      <c r="BI797" s="763">
        <v>0</v>
      </c>
      <c r="BJ797" s="763">
        <v>0</v>
      </c>
      <c r="BK797" s="763">
        <v>0</v>
      </c>
      <c r="BL797" s="763">
        <v>0</v>
      </c>
      <c r="BM797" s="763">
        <v>0</v>
      </c>
      <c r="BN797" s="763">
        <v>0</v>
      </c>
      <c r="BO797" s="763">
        <v>0</v>
      </c>
      <c r="BP797" s="763">
        <v>0</v>
      </c>
      <c r="BQ797" s="763">
        <v>0</v>
      </c>
      <c r="BR797" s="763">
        <v>0</v>
      </c>
      <c r="BS797" s="762">
        <v>0</v>
      </c>
      <c r="BT797" s="762">
        <v>0</v>
      </c>
      <c r="BU797" s="762">
        <v>0</v>
      </c>
      <c r="BV797" s="762">
        <v>1279.62549986982</v>
      </c>
      <c r="BW797" s="762">
        <v>1279.62549986982</v>
      </c>
      <c r="BX797" s="762">
        <v>786.95219070135113</v>
      </c>
      <c r="BY797" s="762">
        <v>0</v>
      </c>
      <c r="BZ797" s="762">
        <v>0</v>
      </c>
      <c r="CA797" s="762">
        <v>0</v>
      </c>
      <c r="CB797" s="762">
        <v>0</v>
      </c>
      <c r="CC797" s="762">
        <v>0</v>
      </c>
      <c r="CD797" s="762">
        <v>0</v>
      </c>
      <c r="CE797" s="762">
        <v>0</v>
      </c>
      <c r="CF797" s="762">
        <v>0</v>
      </c>
      <c r="CG797" s="762">
        <v>0</v>
      </c>
      <c r="CH797" s="762">
        <v>0</v>
      </c>
      <c r="CI797" s="762">
        <v>0</v>
      </c>
      <c r="CJ797" s="762">
        <v>0</v>
      </c>
      <c r="CK797" s="762">
        <v>0</v>
      </c>
      <c r="CL797" s="762">
        <v>0</v>
      </c>
      <c r="CM797" s="762">
        <v>0</v>
      </c>
      <c r="CN797" s="762">
        <v>0</v>
      </c>
      <c r="CO797" s="762">
        <v>0</v>
      </c>
      <c r="CP797" s="762">
        <v>0</v>
      </c>
      <c r="CQ797" s="762">
        <v>0</v>
      </c>
      <c r="CR797" s="762">
        <v>0</v>
      </c>
    </row>
    <row r="798" spans="1:96" s="53" customFormat="1">
      <c r="A798" s="721" t="s">
        <v>3</v>
      </c>
      <c r="B798" s="723">
        <v>41750</v>
      </c>
      <c r="C798" s="721">
        <v>2014</v>
      </c>
      <c r="D798" s="713" t="s">
        <v>1</v>
      </c>
      <c r="E798" s="713" t="s">
        <v>674</v>
      </c>
      <c r="F798" s="723" t="s">
        <v>123</v>
      </c>
      <c r="G798" s="713" t="s">
        <v>58</v>
      </c>
      <c r="H798" s="723" t="s">
        <v>677</v>
      </c>
      <c r="I798" s="713" t="s">
        <v>5</v>
      </c>
      <c r="J798" s="713" t="s">
        <v>376</v>
      </c>
      <c r="K798" s="766">
        <v>1</v>
      </c>
      <c r="L798" s="766" t="s">
        <v>671</v>
      </c>
      <c r="M798" s="765" t="s">
        <v>757</v>
      </c>
      <c r="N798" s="765">
        <v>0</v>
      </c>
      <c r="O798" s="765">
        <v>0</v>
      </c>
      <c r="P798" s="735">
        <v>0</v>
      </c>
      <c r="Q798" s="713" t="s">
        <v>58</v>
      </c>
      <c r="R798" s="713" t="s">
        <v>58</v>
      </c>
      <c r="S798" s="713" t="s">
        <v>58</v>
      </c>
      <c r="T798" s="713" t="s">
        <v>58</v>
      </c>
      <c r="U798" s="764">
        <v>0</v>
      </c>
      <c r="V798" s="764">
        <v>0</v>
      </c>
      <c r="W798" s="764">
        <v>0</v>
      </c>
      <c r="X798" s="764">
        <v>0</v>
      </c>
      <c r="Y798" s="764">
        <v>0</v>
      </c>
      <c r="Z798" s="764">
        <v>0</v>
      </c>
      <c r="AA798" s="764">
        <v>0</v>
      </c>
      <c r="AB798" s="764">
        <v>0</v>
      </c>
      <c r="AC798" s="714">
        <v>0.82617698682369967</v>
      </c>
      <c r="AD798" s="714">
        <v>0.7843105192554185</v>
      </c>
      <c r="AE798" s="713" t="s">
        <v>58</v>
      </c>
      <c r="AF798" s="713" t="s">
        <v>58</v>
      </c>
      <c r="AG798" s="713" t="s">
        <v>58</v>
      </c>
      <c r="AH798" s="714">
        <v>0.94387031345969796</v>
      </c>
      <c r="AI798" s="713" t="s">
        <v>58</v>
      </c>
      <c r="AJ798" s="713" t="s">
        <v>58</v>
      </c>
      <c r="AK798" s="713" t="s">
        <v>58</v>
      </c>
      <c r="AL798" s="714">
        <v>0.94454345387965444</v>
      </c>
      <c r="AM798" s="713" t="s">
        <v>58</v>
      </c>
      <c r="AN798" s="713" t="s">
        <v>58</v>
      </c>
      <c r="AO798" s="713" t="s">
        <v>58</v>
      </c>
      <c r="AP798" s="747">
        <v>51</v>
      </c>
      <c r="AQ798" s="747">
        <v>51</v>
      </c>
      <c r="AR798" s="709"/>
      <c r="AS798" s="763">
        <v>0</v>
      </c>
      <c r="AT798" s="763">
        <v>0</v>
      </c>
      <c r="AU798" s="763">
        <v>0</v>
      </c>
      <c r="AV798" s="763">
        <v>0</v>
      </c>
      <c r="AW798" s="763">
        <v>0</v>
      </c>
      <c r="AX798" s="763">
        <v>0</v>
      </c>
      <c r="AY798" s="763">
        <v>0</v>
      </c>
      <c r="AZ798" s="763">
        <v>0</v>
      </c>
      <c r="BA798" s="763">
        <v>0</v>
      </c>
      <c r="BB798" s="763">
        <v>0</v>
      </c>
      <c r="BC798" s="763">
        <v>0</v>
      </c>
      <c r="BD798" s="763">
        <v>0</v>
      </c>
      <c r="BE798" s="763">
        <v>0</v>
      </c>
      <c r="BF798" s="763">
        <v>0</v>
      </c>
      <c r="BG798" s="763">
        <v>0</v>
      </c>
      <c r="BH798" s="763">
        <v>0</v>
      </c>
      <c r="BI798" s="763">
        <v>0</v>
      </c>
      <c r="BJ798" s="763">
        <v>0</v>
      </c>
      <c r="BK798" s="763">
        <v>0</v>
      </c>
      <c r="BL798" s="763">
        <v>0</v>
      </c>
      <c r="BM798" s="763">
        <v>0</v>
      </c>
      <c r="BN798" s="763">
        <v>0</v>
      </c>
      <c r="BO798" s="763">
        <v>0</v>
      </c>
      <c r="BP798" s="763">
        <v>0</v>
      </c>
      <c r="BQ798" s="763">
        <v>0</v>
      </c>
      <c r="BR798" s="763">
        <v>0</v>
      </c>
      <c r="BS798" s="762">
        <v>0</v>
      </c>
      <c r="BT798" s="762">
        <v>0</v>
      </c>
      <c r="BU798" s="762">
        <v>0</v>
      </c>
      <c r="BV798" s="762">
        <v>0</v>
      </c>
      <c r="BW798" s="762">
        <v>0</v>
      </c>
      <c r="BX798" s="762">
        <v>0</v>
      </c>
      <c r="BY798" s="762">
        <v>0</v>
      </c>
      <c r="BZ798" s="762">
        <v>0</v>
      </c>
      <c r="CA798" s="762">
        <v>0</v>
      </c>
      <c r="CB798" s="762">
        <v>0</v>
      </c>
      <c r="CC798" s="762">
        <v>0</v>
      </c>
      <c r="CD798" s="762">
        <v>0</v>
      </c>
      <c r="CE798" s="762">
        <v>0</v>
      </c>
      <c r="CF798" s="762">
        <v>0</v>
      </c>
      <c r="CG798" s="762">
        <v>0</v>
      </c>
      <c r="CH798" s="762">
        <v>0</v>
      </c>
      <c r="CI798" s="762">
        <v>0</v>
      </c>
      <c r="CJ798" s="762">
        <v>0</v>
      </c>
      <c r="CK798" s="762">
        <v>0</v>
      </c>
      <c r="CL798" s="762">
        <v>0</v>
      </c>
      <c r="CM798" s="762">
        <v>0</v>
      </c>
      <c r="CN798" s="762">
        <v>0</v>
      </c>
      <c r="CO798" s="762">
        <v>0</v>
      </c>
      <c r="CP798" s="762">
        <v>0</v>
      </c>
      <c r="CQ798" s="762">
        <v>0</v>
      </c>
      <c r="CR798" s="762">
        <v>0</v>
      </c>
    </row>
    <row r="799" spans="1:96" s="53" customFormat="1">
      <c r="A799" s="721" t="s">
        <v>3</v>
      </c>
      <c r="B799" s="723">
        <v>41750</v>
      </c>
      <c r="C799" s="721">
        <v>2014</v>
      </c>
      <c r="D799" s="713" t="s">
        <v>1</v>
      </c>
      <c r="E799" s="713" t="s">
        <v>674</v>
      </c>
      <c r="F799" s="723" t="s">
        <v>123</v>
      </c>
      <c r="G799" s="713" t="s">
        <v>58</v>
      </c>
      <c r="H799" s="723" t="s">
        <v>682</v>
      </c>
      <c r="I799" s="713" t="s">
        <v>5</v>
      </c>
      <c r="J799" s="713" t="s">
        <v>376</v>
      </c>
      <c r="K799" s="766">
        <v>3</v>
      </c>
      <c r="L799" s="766" t="s">
        <v>671</v>
      </c>
      <c r="M799" s="765" t="s">
        <v>757</v>
      </c>
      <c r="N799" s="765">
        <v>12</v>
      </c>
      <c r="O799" s="765">
        <v>3</v>
      </c>
      <c r="P799" s="735">
        <v>0.4</v>
      </c>
      <c r="Q799" s="713" t="s">
        <v>58</v>
      </c>
      <c r="R799" s="713" t="s">
        <v>58</v>
      </c>
      <c r="S799" s="713" t="s">
        <v>58</v>
      </c>
      <c r="T799" s="713" t="s">
        <v>58</v>
      </c>
      <c r="U799" s="764">
        <v>7.4999999999999997E-2</v>
      </c>
      <c r="V799" s="764">
        <v>255.75</v>
      </c>
      <c r="W799" s="764">
        <v>5.88232889441564E-2</v>
      </c>
      <c r="X799" s="764">
        <v>211.29476438016118</v>
      </c>
      <c r="Y799" s="764">
        <v>1394.5454449090639</v>
      </c>
      <c r="Z799" s="764">
        <v>1316.2700462201121</v>
      </c>
      <c r="AA799" s="764">
        <v>199.43485548789576</v>
      </c>
      <c r="AB799" s="764">
        <v>5.5561152507874377E-2</v>
      </c>
      <c r="AC799" s="714">
        <v>0.82617698682369967</v>
      </c>
      <c r="AD799" s="714">
        <v>0.7843105192554185</v>
      </c>
      <c r="AE799" s="713" t="s">
        <v>58</v>
      </c>
      <c r="AF799" s="713" t="s">
        <v>58</v>
      </c>
      <c r="AG799" s="713" t="s">
        <v>58</v>
      </c>
      <c r="AH799" s="714">
        <v>0.94387031345969796</v>
      </c>
      <c r="AI799" s="713" t="s">
        <v>58</v>
      </c>
      <c r="AJ799" s="713" t="s">
        <v>58</v>
      </c>
      <c r="AK799" s="713" t="s">
        <v>58</v>
      </c>
      <c r="AL799" s="714">
        <v>0.94454345387965444</v>
      </c>
      <c r="AM799" s="713" t="s">
        <v>58</v>
      </c>
      <c r="AN799" s="713" t="s">
        <v>58</v>
      </c>
      <c r="AO799" s="713" t="s">
        <v>58</v>
      </c>
      <c r="AP799" s="747">
        <v>47</v>
      </c>
      <c r="AQ799" s="747">
        <v>141</v>
      </c>
      <c r="AR799" s="709"/>
      <c r="AS799" s="763">
        <v>0</v>
      </c>
      <c r="AT799" s="763">
        <v>0</v>
      </c>
      <c r="AU799" s="763">
        <v>0</v>
      </c>
      <c r="AV799" s="763">
        <v>5.5561152507874377E-2</v>
      </c>
      <c r="AW799" s="763">
        <v>5.5561152507874377E-2</v>
      </c>
      <c r="AX799" s="763">
        <v>5.5561152507874377E-2</v>
      </c>
      <c r="AY799" s="763">
        <v>2.2224461003149752E-2</v>
      </c>
      <c r="AZ799" s="763">
        <v>2.2224461003149752E-2</v>
      </c>
      <c r="BA799" s="763">
        <v>2.2224461003149752E-2</v>
      </c>
      <c r="BB799" s="763">
        <v>2.2224461003149752E-2</v>
      </c>
      <c r="BC799" s="763">
        <v>2.2224461003149752E-2</v>
      </c>
      <c r="BD799" s="763">
        <v>2.2224461003149752E-2</v>
      </c>
      <c r="BE799" s="763">
        <v>2.2224461003149752E-2</v>
      </c>
      <c r="BF799" s="763">
        <v>2.2224461003149752E-2</v>
      </c>
      <c r="BG799" s="763">
        <v>2.2224461003149752E-2</v>
      </c>
      <c r="BH799" s="763">
        <v>0</v>
      </c>
      <c r="BI799" s="763">
        <v>0</v>
      </c>
      <c r="BJ799" s="763">
        <v>0</v>
      </c>
      <c r="BK799" s="763">
        <v>0</v>
      </c>
      <c r="BL799" s="763">
        <v>0</v>
      </c>
      <c r="BM799" s="763">
        <v>0</v>
      </c>
      <c r="BN799" s="763">
        <v>0</v>
      </c>
      <c r="BO799" s="763">
        <v>0</v>
      </c>
      <c r="BP799" s="763">
        <v>0</v>
      </c>
      <c r="BQ799" s="763">
        <v>0</v>
      </c>
      <c r="BR799" s="763">
        <v>0</v>
      </c>
      <c r="BS799" s="762">
        <v>0</v>
      </c>
      <c r="BT799" s="762">
        <v>0</v>
      </c>
      <c r="BU799" s="762">
        <v>0</v>
      </c>
      <c r="BV799" s="762">
        <v>199.43485548789576</v>
      </c>
      <c r="BW799" s="762">
        <v>199.43485548789576</v>
      </c>
      <c r="BX799" s="762">
        <v>199.43485548789576</v>
      </c>
      <c r="BY799" s="762">
        <v>79.773942195158313</v>
      </c>
      <c r="BZ799" s="762">
        <v>79.773942195158313</v>
      </c>
      <c r="CA799" s="762">
        <v>79.773942195158313</v>
      </c>
      <c r="CB799" s="762">
        <v>79.773942195158313</v>
      </c>
      <c r="CC799" s="762">
        <v>79.773942195158313</v>
      </c>
      <c r="CD799" s="762">
        <v>79.773942195158313</v>
      </c>
      <c r="CE799" s="762">
        <v>79.773942195158313</v>
      </c>
      <c r="CF799" s="762">
        <v>79.773942195158313</v>
      </c>
      <c r="CG799" s="762">
        <v>79.773942195158313</v>
      </c>
      <c r="CH799" s="762">
        <v>0</v>
      </c>
      <c r="CI799" s="762">
        <v>0</v>
      </c>
      <c r="CJ799" s="762">
        <v>0</v>
      </c>
      <c r="CK799" s="762">
        <v>0</v>
      </c>
      <c r="CL799" s="762">
        <v>0</v>
      </c>
      <c r="CM799" s="762">
        <v>0</v>
      </c>
      <c r="CN799" s="762">
        <v>0</v>
      </c>
      <c r="CO799" s="762">
        <v>0</v>
      </c>
      <c r="CP799" s="762">
        <v>0</v>
      </c>
      <c r="CQ799" s="762">
        <v>0</v>
      </c>
      <c r="CR799" s="762">
        <v>0</v>
      </c>
    </row>
    <row r="800" spans="1:96" s="53" customFormat="1">
      <c r="A800" s="721" t="s">
        <v>3</v>
      </c>
      <c r="B800" s="723">
        <v>41750</v>
      </c>
      <c r="C800" s="721">
        <v>2014</v>
      </c>
      <c r="D800" s="713" t="s">
        <v>1</v>
      </c>
      <c r="E800" s="713" t="s">
        <v>674</v>
      </c>
      <c r="F800" s="723" t="s">
        <v>123</v>
      </c>
      <c r="G800" s="713" t="s">
        <v>58</v>
      </c>
      <c r="H800" s="723" t="s">
        <v>682</v>
      </c>
      <c r="I800" s="713" t="s">
        <v>5</v>
      </c>
      <c r="J800" s="713" t="s">
        <v>376</v>
      </c>
      <c r="K800" s="766">
        <v>6</v>
      </c>
      <c r="L800" s="766" t="s">
        <v>671</v>
      </c>
      <c r="M800" s="765" t="s">
        <v>757</v>
      </c>
      <c r="N800" s="765">
        <v>12</v>
      </c>
      <c r="O800" s="765">
        <v>3</v>
      </c>
      <c r="P800" s="735">
        <v>0.4</v>
      </c>
      <c r="Q800" s="713" t="s">
        <v>58</v>
      </c>
      <c r="R800" s="713" t="s">
        <v>58</v>
      </c>
      <c r="S800" s="713" t="s">
        <v>58</v>
      </c>
      <c r="T800" s="713" t="s">
        <v>58</v>
      </c>
      <c r="U800" s="764">
        <v>0.15</v>
      </c>
      <c r="V800" s="764">
        <v>511.5</v>
      </c>
      <c r="W800" s="764">
        <v>0.1176465778883128</v>
      </c>
      <c r="X800" s="764">
        <v>422.58952876032237</v>
      </c>
      <c r="Y800" s="764">
        <v>2789.0908898181278</v>
      </c>
      <c r="Z800" s="764">
        <v>2632.5400924402243</v>
      </c>
      <c r="AA800" s="764">
        <v>398.86971097579152</v>
      </c>
      <c r="AB800" s="764">
        <v>0.11112230501574875</v>
      </c>
      <c r="AC800" s="714">
        <v>0.82617698682369967</v>
      </c>
      <c r="AD800" s="714">
        <v>0.7843105192554185</v>
      </c>
      <c r="AE800" s="713" t="s">
        <v>58</v>
      </c>
      <c r="AF800" s="713" t="s">
        <v>58</v>
      </c>
      <c r="AG800" s="713" t="s">
        <v>58</v>
      </c>
      <c r="AH800" s="714">
        <v>0.94387031345969796</v>
      </c>
      <c r="AI800" s="713" t="s">
        <v>58</v>
      </c>
      <c r="AJ800" s="713" t="s">
        <v>58</v>
      </c>
      <c r="AK800" s="713" t="s">
        <v>58</v>
      </c>
      <c r="AL800" s="714">
        <v>0.94454345387965444</v>
      </c>
      <c r="AM800" s="713" t="s">
        <v>58</v>
      </c>
      <c r="AN800" s="713" t="s">
        <v>58</v>
      </c>
      <c r="AO800" s="713" t="s">
        <v>58</v>
      </c>
      <c r="AP800" s="747">
        <v>47</v>
      </c>
      <c r="AQ800" s="747">
        <v>282</v>
      </c>
      <c r="AR800" s="709"/>
      <c r="AS800" s="763">
        <v>0</v>
      </c>
      <c r="AT800" s="763">
        <v>0</v>
      </c>
      <c r="AU800" s="763">
        <v>0</v>
      </c>
      <c r="AV800" s="763">
        <v>0.11112230501574875</v>
      </c>
      <c r="AW800" s="763">
        <v>0.11112230501574875</v>
      </c>
      <c r="AX800" s="763">
        <v>0.11112230501574875</v>
      </c>
      <c r="AY800" s="763">
        <v>4.4448922006299504E-2</v>
      </c>
      <c r="AZ800" s="763">
        <v>4.4448922006299504E-2</v>
      </c>
      <c r="BA800" s="763">
        <v>4.4448922006299504E-2</v>
      </c>
      <c r="BB800" s="763">
        <v>4.4448922006299504E-2</v>
      </c>
      <c r="BC800" s="763">
        <v>4.4448922006299504E-2</v>
      </c>
      <c r="BD800" s="763">
        <v>4.4448922006299504E-2</v>
      </c>
      <c r="BE800" s="763">
        <v>4.4448922006299504E-2</v>
      </c>
      <c r="BF800" s="763">
        <v>4.4448922006299504E-2</v>
      </c>
      <c r="BG800" s="763">
        <v>4.4448922006299504E-2</v>
      </c>
      <c r="BH800" s="763">
        <v>0</v>
      </c>
      <c r="BI800" s="763">
        <v>0</v>
      </c>
      <c r="BJ800" s="763">
        <v>0</v>
      </c>
      <c r="BK800" s="763">
        <v>0</v>
      </c>
      <c r="BL800" s="763">
        <v>0</v>
      </c>
      <c r="BM800" s="763">
        <v>0</v>
      </c>
      <c r="BN800" s="763">
        <v>0</v>
      </c>
      <c r="BO800" s="763">
        <v>0</v>
      </c>
      <c r="BP800" s="763">
        <v>0</v>
      </c>
      <c r="BQ800" s="763">
        <v>0</v>
      </c>
      <c r="BR800" s="763">
        <v>0</v>
      </c>
      <c r="BS800" s="762">
        <v>0</v>
      </c>
      <c r="BT800" s="762">
        <v>0</v>
      </c>
      <c r="BU800" s="762">
        <v>0</v>
      </c>
      <c r="BV800" s="762">
        <v>398.86971097579152</v>
      </c>
      <c r="BW800" s="762">
        <v>398.86971097579152</v>
      </c>
      <c r="BX800" s="762">
        <v>398.86971097579152</v>
      </c>
      <c r="BY800" s="762">
        <v>159.54788439031663</v>
      </c>
      <c r="BZ800" s="762">
        <v>159.54788439031663</v>
      </c>
      <c r="CA800" s="762">
        <v>159.54788439031663</v>
      </c>
      <c r="CB800" s="762">
        <v>159.54788439031663</v>
      </c>
      <c r="CC800" s="762">
        <v>159.54788439031663</v>
      </c>
      <c r="CD800" s="762">
        <v>159.54788439031663</v>
      </c>
      <c r="CE800" s="762">
        <v>159.54788439031663</v>
      </c>
      <c r="CF800" s="762">
        <v>159.54788439031663</v>
      </c>
      <c r="CG800" s="762">
        <v>159.54788439031663</v>
      </c>
      <c r="CH800" s="762">
        <v>0</v>
      </c>
      <c r="CI800" s="762">
        <v>0</v>
      </c>
      <c r="CJ800" s="762">
        <v>0</v>
      </c>
      <c r="CK800" s="762">
        <v>0</v>
      </c>
      <c r="CL800" s="762">
        <v>0</v>
      </c>
      <c r="CM800" s="762">
        <v>0</v>
      </c>
      <c r="CN800" s="762">
        <v>0</v>
      </c>
      <c r="CO800" s="762">
        <v>0</v>
      </c>
      <c r="CP800" s="762">
        <v>0</v>
      </c>
      <c r="CQ800" s="762">
        <v>0</v>
      </c>
      <c r="CR800" s="762">
        <v>0</v>
      </c>
    </row>
    <row r="801" spans="1:96" s="53" customFormat="1">
      <c r="A801" s="721" t="s">
        <v>3</v>
      </c>
      <c r="B801" s="723">
        <v>41750</v>
      </c>
      <c r="C801" s="721">
        <v>2014</v>
      </c>
      <c r="D801" s="713" t="s">
        <v>1</v>
      </c>
      <c r="E801" s="713" t="s">
        <v>674</v>
      </c>
      <c r="F801" s="723" t="s">
        <v>123</v>
      </c>
      <c r="G801" s="713" t="s">
        <v>58</v>
      </c>
      <c r="H801" s="723" t="s">
        <v>676</v>
      </c>
      <c r="I801" s="713" t="s">
        <v>5</v>
      </c>
      <c r="J801" s="713" t="s">
        <v>376</v>
      </c>
      <c r="K801" s="766">
        <v>3</v>
      </c>
      <c r="L801" s="766" t="s">
        <v>671</v>
      </c>
      <c r="M801" s="765" t="s">
        <v>757</v>
      </c>
      <c r="N801" s="765">
        <v>12</v>
      </c>
      <c r="O801" s="765">
        <v>3</v>
      </c>
      <c r="P801" s="735">
        <v>0.31578947368421051</v>
      </c>
      <c r="Q801" s="713" t="s">
        <v>58</v>
      </c>
      <c r="R801" s="713" t="s">
        <v>58</v>
      </c>
      <c r="S801" s="713" t="s">
        <v>58</v>
      </c>
      <c r="T801" s="713" t="s">
        <v>58</v>
      </c>
      <c r="U801" s="764">
        <v>0.114</v>
      </c>
      <c r="V801" s="764">
        <v>388.74</v>
      </c>
      <c r="W801" s="764">
        <v>8.941139919511773E-2</v>
      </c>
      <c r="X801" s="764">
        <v>321.16804185784503</v>
      </c>
      <c r="Y801" s="764">
        <v>1876.2975076958314</v>
      </c>
      <c r="Z801" s="764">
        <v>1770.9815167325144</v>
      </c>
      <c r="AA801" s="764">
        <v>303.14098034160156</v>
      </c>
      <c r="AB801" s="764">
        <v>8.445295181196906E-2</v>
      </c>
      <c r="AC801" s="714">
        <v>0.82617698682369967</v>
      </c>
      <c r="AD801" s="714">
        <v>0.7843105192554185</v>
      </c>
      <c r="AE801" s="713" t="s">
        <v>58</v>
      </c>
      <c r="AF801" s="713" t="s">
        <v>58</v>
      </c>
      <c r="AG801" s="713" t="s">
        <v>58</v>
      </c>
      <c r="AH801" s="714">
        <v>0.94387031345969796</v>
      </c>
      <c r="AI801" s="713" t="s">
        <v>58</v>
      </c>
      <c r="AJ801" s="713" t="s">
        <v>58</v>
      </c>
      <c r="AK801" s="713" t="s">
        <v>58</v>
      </c>
      <c r="AL801" s="714">
        <v>0.94454345387965444</v>
      </c>
      <c r="AM801" s="713" t="s">
        <v>58</v>
      </c>
      <c r="AN801" s="713" t="s">
        <v>58</v>
      </c>
      <c r="AO801" s="713" t="s">
        <v>58</v>
      </c>
      <c r="AP801" s="747">
        <v>57</v>
      </c>
      <c r="AQ801" s="747">
        <v>171</v>
      </c>
      <c r="AR801" s="709"/>
      <c r="AS801" s="763">
        <v>0</v>
      </c>
      <c r="AT801" s="763">
        <v>0</v>
      </c>
      <c r="AU801" s="763">
        <v>0</v>
      </c>
      <c r="AV801" s="763">
        <v>8.445295181196906E-2</v>
      </c>
      <c r="AW801" s="763">
        <v>8.445295181196906E-2</v>
      </c>
      <c r="AX801" s="763">
        <v>8.445295181196906E-2</v>
      </c>
      <c r="AY801" s="763">
        <v>2.6669353203779701E-2</v>
      </c>
      <c r="AZ801" s="763">
        <v>2.6669353203779701E-2</v>
      </c>
      <c r="BA801" s="763">
        <v>2.6669353203779701E-2</v>
      </c>
      <c r="BB801" s="763">
        <v>2.6669353203779701E-2</v>
      </c>
      <c r="BC801" s="763">
        <v>2.6669353203779701E-2</v>
      </c>
      <c r="BD801" s="763">
        <v>2.6669353203779701E-2</v>
      </c>
      <c r="BE801" s="763">
        <v>2.6669353203779701E-2</v>
      </c>
      <c r="BF801" s="763">
        <v>2.6669353203779701E-2</v>
      </c>
      <c r="BG801" s="763">
        <v>2.6669353203779701E-2</v>
      </c>
      <c r="BH801" s="763">
        <v>0</v>
      </c>
      <c r="BI801" s="763">
        <v>0</v>
      </c>
      <c r="BJ801" s="763">
        <v>0</v>
      </c>
      <c r="BK801" s="763">
        <v>0</v>
      </c>
      <c r="BL801" s="763">
        <v>0</v>
      </c>
      <c r="BM801" s="763">
        <v>0</v>
      </c>
      <c r="BN801" s="763">
        <v>0</v>
      </c>
      <c r="BO801" s="763">
        <v>0</v>
      </c>
      <c r="BP801" s="763">
        <v>0</v>
      </c>
      <c r="BQ801" s="763">
        <v>0</v>
      </c>
      <c r="BR801" s="763">
        <v>0</v>
      </c>
      <c r="BS801" s="762">
        <v>0</v>
      </c>
      <c r="BT801" s="762">
        <v>0</v>
      </c>
      <c r="BU801" s="762">
        <v>0</v>
      </c>
      <c r="BV801" s="762">
        <v>303.14098034160156</v>
      </c>
      <c r="BW801" s="762">
        <v>303.14098034160156</v>
      </c>
      <c r="BX801" s="762">
        <v>303.14098034160156</v>
      </c>
      <c r="BY801" s="762">
        <v>95.728730634189958</v>
      </c>
      <c r="BZ801" s="762">
        <v>95.728730634189958</v>
      </c>
      <c r="CA801" s="762">
        <v>95.728730634189958</v>
      </c>
      <c r="CB801" s="762">
        <v>95.728730634189958</v>
      </c>
      <c r="CC801" s="762">
        <v>95.728730634189958</v>
      </c>
      <c r="CD801" s="762">
        <v>95.728730634189958</v>
      </c>
      <c r="CE801" s="762">
        <v>95.728730634189958</v>
      </c>
      <c r="CF801" s="762">
        <v>95.728730634189958</v>
      </c>
      <c r="CG801" s="762">
        <v>95.728730634189958</v>
      </c>
      <c r="CH801" s="762">
        <v>0</v>
      </c>
      <c r="CI801" s="762">
        <v>0</v>
      </c>
      <c r="CJ801" s="762">
        <v>0</v>
      </c>
      <c r="CK801" s="762">
        <v>0</v>
      </c>
      <c r="CL801" s="762">
        <v>0</v>
      </c>
      <c r="CM801" s="762">
        <v>0</v>
      </c>
      <c r="CN801" s="762">
        <v>0</v>
      </c>
      <c r="CO801" s="762">
        <v>0</v>
      </c>
      <c r="CP801" s="762">
        <v>0</v>
      </c>
      <c r="CQ801" s="762">
        <v>0</v>
      </c>
      <c r="CR801" s="762">
        <v>0</v>
      </c>
    </row>
    <row r="802" spans="1:96" s="53" customFormat="1">
      <c r="A802" s="721" t="s">
        <v>3</v>
      </c>
      <c r="B802" s="723">
        <v>41750</v>
      </c>
      <c r="C802" s="721">
        <v>2014</v>
      </c>
      <c r="D802" s="713" t="s">
        <v>1</v>
      </c>
      <c r="E802" s="713" t="s">
        <v>674</v>
      </c>
      <c r="F802" s="723" t="s">
        <v>123</v>
      </c>
      <c r="G802" s="713" t="s">
        <v>58</v>
      </c>
      <c r="H802" s="723" t="s">
        <v>676</v>
      </c>
      <c r="I802" s="713" t="s">
        <v>5</v>
      </c>
      <c r="J802" s="713" t="s">
        <v>376</v>
      </c>
      <c r="K802" s="766">
        <v>1</v>
      </c>
      <c r="L802" s="766" t="s">
        <v>671</v>
      </c>
      <c r="M802" s="765" t="s">
        <v>757</v>
      </c>
      <c r="N802" s="765">
        <v>12</v>
      </c>
      <c r="O802" s="765">
        <v>3</v>
      </c>
      <c r="P802" s="735">
        <v>0.31578947368421051</v>
      </c>
      <c r="Q802" s="713" t="s">
        <v>58</v>
      </c>
      <c r="R802" s="713" t="s">
        <v>58</v>
      </c>
      <c r="S802" s="713" t="s">
        <v>58</v>
      </c>
      <c r="T802" s="713" t="s">
        <v>58</v>
      </c>
      <c r="U802" s="764">
        <v>3.7999999999999999E-2</v>
      </c>
      <c r="V802" s="764">
        <v>129.58000000000001</v>
      </c>
      <c r="W802" s="764">
        <v>2.9803799731705907E-2</v>
      </c>
      <c r="X802" s="764">
        <v>107.05601395261502</v>
      </c>
      <c r="Y802" s="764">
        <v>625.43250256527722</v>
      </c>
      <c r="Z802" s="764">
        <v>590.32717224417161</v>
      </c>
      <c r="AA802" s="764">
        <v>101.04699344720053</v>
      </c>
      <c r="AB802" s="764">
        <v>2.8150983937323015E-2</v>
      </c>
      <c r="AC802" s="714">
        <v>0.82617698682369967</v>
      </c>
      <c r="AD802" s="714">
        <v>0.7843105192554185</v>
      </c>
      <c r="AE802" s="713" t="s">
        <v>58</v>
      </c>
      <c r="AF802" s="713" t="s">
        <v>58</v>
      </c>
      <c r="AG802" s="713" t="s">
        <v>58</v>
      </c>
      <c r="AH802" s="714">
        <v>0.94387031345969796</v>
      </c>
      <c r="AI802" s="713" t="s">
        <v>58</v>
      </c>
      <c r="AJ802" s="713" t="s">
        <v>58</v>
      </c>
      <c r="AK802" s="713" t="s">
        <v>58</v>
      </c>
      <c r="AL802" s="714">
        <v>0.94454345387965444</v>
      </c>
      <c r="AM802" s="713" t="s">
        <v>58</v>
      </c>
      <c r="AN802" s="713" t="s">
        <v>58</v>
      </c>
      <c r="AO802" s="713" t="s">
        <v>58</v>
      </c>
      <c r="AP802" s="747">
        <v>57</v>
      </c>
      <c r="AQ802" s="747">
        <v>57</v>
      </c>
      <c r="AR802" s="709"/>
      <c r="AS802" s="763">
        <v>0</v>
      </c>
      <c r="AT802" s="763">
        <v>0</v>
      </c>
      <c r="AU802" s="763">
        <v>0</v>
      </c>
      <c r="AV802" s="763">
        <v>2.8150983937323015E-2</v>
      </c>
      <c r="AW802" s="763">
        <v>2.8150983937323015E-2</v>
      </c>
      <c r="AX802" s="763">
        <v>2.8150983937323015E-2</v>
      </c>
      <c r="AY802" s="763">
        <v>8.8897844012598998E-3</v>
      </c>
      <c r="AZ802" s="763">
        <v>8.8897844012598998E-3</v>
      </c>
      <c r="BA802" s="763">
        <v>8.8897844012598998E-3</v>
      </c>
      <c r="BB802" s="763">
        <v>8.8897844012598998E-3</v>
      </c>
      <c r="BC802" s="763">
        <v>8.8897844012598998E-3</v>
      </c>
      <c r="BD802" s="763">
        <v>8.8897844012598998E-3</v>
      </c>
      <c r="BE802" s="763">
        <v>8.8897844012598998E-3</v>
      </c>
      <c r="BF802" s="763">
        <v>8.8897844012598998E-3</v>
      </c>
      <c r="BG802" s="763">
        <v>8.8897844012598998E-3</v>
      </c>
      <c r="BH802" s="763">
        <v>0</v>
      </c>
      <c r="BI802" s="763">
        <v>0</v>
      </c>
      <c r="BJ802" s="763">
        <v>0</v>
      </c>
      <c r="BK802" s="763">
        <v>0</v>
      </c>
      <c r="BL802" s="763">
        <v>0</v>
      </c>
      <c r="BM802" s="763">
        <v>0</v>
      </c>
      <c r="BN802" s="763">
        <v>0</v>
      </c>
      <c r="BO802" s="763">
        <v>0</v>
      </c>
      <c r="BP802" s="763">
        <v>0</v>
      </c>
      <c r="BQ802" s="763">
        <v>0</v>
      </c>
      <c r="BR802" s="763">
        <v>0</v>
      </c>
      <c r="BS802" s="762">
        <v>0</v>
      </c>
      <c r="BT802" s="762">
        <v>0</v>
      </c>
      <c r="BU802" s="762">
        <v>0</v>
      </c>
      <c r="BV802" s="762">
        <v>101.04699344720053</v>
      </c>
      <c r="BW802" s="762">
        <v>101.04699344720053</v>
      </c>
      <c r="BX802" s="762">
        <v>101.04699344720053</v>
      </c>
      <c r="BY802" s="762">
        <v>31.909576878063326</v>
      </c>
      <c r="BZ802" s="762">
        <v>31.909576878063326</v>
      </c>
      <c r="CA802" s="762">
        <v>31.909576878063326</v>
      </c>
      <c r="CB802" s="762">
        <v>31.909576878063326</v>
      </c>
      <c r="CC802" s="762">
        <v>31.909576878063326</v>
      </c>
      <c r="CD802" s="762">
        <v>31.909576878063326</v>
      </c>
      <c r="CE802" s="762">
        <v>31.909576878063326</v>
      </c>
      <c r="CF802" s="762">
        <v>31.909576878063326</v>
      </c>
      <c r="CG802" s="762">
        <v>31.909576878063326</v>
      </c>
      <c r="CH802" s="762">
        <v>0</v>
      </c>
      <c r="CI802" s="762">
        <v>0</v>
      </c>
      <c r="CJ802" s="762">
        <v>0</v>
      </c>
      <c r="CK802" s="762">
        <v>0</v>
      </c>
      <c r="CL802" s="762">
        <v>0</v>
      </c>
      <c r="CM802" s="762">
        <v>0</v>
      </c>
      <c r="CN802" s="762">
        <v>0</v>
      </c>
      <c r="CO802" s="762">
        <v>0</v>
      </c>
      <c r="CP802" s="762">
        <v>0</v>
      </c>
      <c r="CQ802" s="762">
        <v>0</v>
      </c>
      <c r="CR802" s="762">
        <v>0</v>
      </c>
    </row>
    <row r="803" spans="1:96" s="53" customFormat="1">
      <c r="A803" s="721" t="s">
        <v>3</v>
      </c>
      <c r="B803" s="723">
        <v>41750</v>
      </c>
      <c r="C803" s="721">
        <v>2014</v>
      </c>
      <c r="D803" s="713" t="s">
        <v>1</v>
      </c>
      <c r="E803" s="713" t="s">
        <v>674</v>
      </c>
      <c r="F803" s="723" t="s">
        <v>689</v>
      </c>
      <c r="G803" s="713" t="s">
        <v>58</v>
      </c>
      <c r="H803" s="723" t="s">
        <v>677</v>
      </c>
      <c r="I803" s="713" t="s">
        <v>5</v>
      </c>
      <c r="J803" s="713" t="s">
        <v>376</v>
      </c>
      <c r="K803" s="766">
        <v>1</v>
      </c>
      <c r="L803" s="766" t="s">
        <v>671</v>
      </c>
      <c r="M803" s="765" t="s">
        <v>756</v>
      </c>
      <c r="N803" s="765">
        <v>0</v>
      </c>
      <c r="O803" s="765">
        <v>0</v>
      </c>
      <c r="P803" s="735">
        <v>0</v>
      </c>
      <c r="Q803" s="713" t="s">
        <v>58</v>
      </c>
      <c r="R803" s="713" t="s">
        <v>58</v>
      </c>
      <c r="S803" s="713" t="s">
        <v>58</v>
      </c>
      <c r="T803" s="713" t="s">
        <v>58</v>
      </c>
      <c r="U803" s="764">
        <v>0</v>
      </c>
      <c r="V803" s="764">
        <v>0</v>
      </c>
      <c r="W803" s="764">
        <v>0</v>
      </c>
      <c r="X803" s="764">
        <v>0</v>
      </c>
      <c r="Y803" s="764">
        <v>0</v>
      </c>
      <c r="Z803" s="764">
        <v>0</v>
      </c>
      <c r="AA803" s="764">
        <v>0</v>
      </c>
      <c r="AB803" s="764">
        <v>0</v>
      </c>
      <c r="AC803" s="714">
        <v>0.82617698682369967</v>
      </c>
      <c r="AD803" s="714">
        <v>0.7843105192554185</v>
      </c>
      <c r="AE803" s="713" t="s">
        <v>58</v>
      </c>
      <c r="AF803" s="713" t="s">
        <v>58</v>
      </c>
      <c r="AG803" s="713" t="s">
        <v>58</v>
      </c>
      <c r="AH803" s="714">
        <v>0.94387031345969796</v>
      </c>
      <c r="AI803" s="713" t="s">
        <v>58</v>
      </c>
      <c r="AJ803" s="713" t="s">
        <v>58</v>
      </c>
      <c r="AK803" s="713" t="s">
        <v>58</v>
      </c>
      <c r="AL803" s="714">
        <v>0.94454345387965444</v>
      </c>
      <c r="AM803" s="713" t="s">
        <v>58</v>
      </c>
      <c r="AN803" s="713" t="s">
        <v>58</v>
      </c>
      <c r="AO803" s="713" t="s">
        <v>58</v>
      </c>
      <c r="AP803" s="747">
        <v>51</v>
      </c>
      <c r="AQ803" s="747">
        <v>51</v>
      </c>
      <c r="AR803" s="709"/>
      <c r="AS803" s="763">
        <v>0</v>
      </c>
      <c r="AT803" s="763">
        <v>0</v>
      </c>
      <c r="AU803" s="763">
        <v>0</v>
      </c>
      <c r="AV803" s="763">
        <v>0</v>
      </c>
      <c r="AW803" s="763">
        <v>0</v>
      </c>
      <c r="AX803" s="763">
        <v>0</v>
      </c>
      <c r="AY803" s="763">
        <v>0</v>
      </c>
      <c r="AZ803" s="763">
        <v>0</v>
      </c>
      <c r="BA803" s="763">
        <v>0</v>
      </c>
      <c r="BB803" s="763">
        <v>0</v>
      </c>
      <c r="BC803" s="763">
        <v>0</v>
      </c>
      <c r="BD803" s="763">
        <v>0</v>
      </c>
      <c r="BE803" s="763">
        <v>0</v>
      </c>
      <c r="BF803" s="763">
        <v>0</v>
      </c>
      <c r="BG803" s="763">
        <v>0</v>
      </c>
      <c r="BH803" s="763">
        <v>0</v>
      </c>
      <c r="BI803" s="763">
        <v>0</v>
      </c>
      <c r="BJ803" s="763">
        <v>0</v>
      </c>
      <c r="BK803" s="763">
        <v>0</v>
      </c>
      <c r="BL803" s="763">
        <v>0</v>
      </c>
      <c r="BM803" s="763">
        <v>0</v>
      </c>
      <c r="BN803" s="763">
        <v>0</v>
      </c>
      <c r="BO803" s="763">
        <v>0</v>
      </c>
      <c r="BP803" s="763">
        <v>0</v>
      </c>
      <c r="BQ803" s="763">
        <v>0</v>
      </c>
      <c r="BR803" s="763">
        <v>0</v>
      </c>
      <c r="BS803" s="762">
        <v>0</v>
      </c>
      <c r="BT803" s="762">
        <v>0</v>
      </c>
      <c r="BU803" s="762">
        <v>0</v>
      </c>
      <c r="BV803" s="762">
        <v>0</v>
      </c>
      <c r="BW803" s="762">
        <v>0</v>
      </c>
      <c r="BX803" s="762">
        <v>0</v>
      </c>
      <c r="BY803" s="762">
        <v>0</v>
      </c>
      <c r="BZ803" s="762">
        <v>0</v>
      </c>
      <c r="CA803" s="762">
        <v>0</v>
      </c>
      <c r="CB803" s="762">
        <v>0</v>
      </c>
      <c r="CC803" s="762">
        <v>0</v>
      </c>
      <c r="CD803" s="762">
        <v>0</v>
      </c>
      <c r="CE803" s="762">
        <v>0</v>
      </c>
      <c r="CF803" s="762">
        <v>0</v>
      </c>
      <c r="CG803" s="762">
        <v>0</v>
      </c>
      <c r="CH803" s="762">
        <v>0</v>
      </c>
      <c r="CI803" s="762">
        <v>0</v>
      </c>
      <c r="CJ803" s="762">
        <v>0</v>
      </c>
      <c r="CK803" s="762">
        <v>0</v>
      </c>
      <c r="CL803" s="762">
        <v>0</v>
      </c>
      <c r="CM803" s="762">
        <v>0</v>
      </c>
      <c r="CN803" s="762">
        <v>0</v>
      </c>
      <c r="CO803" s="762">
        <v>0</v>
      </c>
      <c r="CP803" s="762">
        <v>0</v>
      </c>
      <c r="CQ803" s="762">
        <v>0</v>
      </c>
      <c r="CR803" s="762">
        <v>0</v>
      </c>
    </row>
    <row r="804" spans="1:96" s="53" customFormat="1">
      <c r="A804" s="721" t="s">
        <v>3</v>
      </c>
      <c r="B804" s="723">
        <v>41750</v>
      </c>
      <c r="C804" s="721">
        <v>2014</v>
      </c>
      <c r="D804" s="713" t="s">
        <v>1</v>
      </c>
      <c r="E804" s="713" t="s">
        <v>674</v>
      </c>
      <c r="F804" s="723" t="s">
        <v>689</v>
      </c>
      <c r="G804" s="713" t="s">
        <v>58</v>
      </c>
      <c r="H804" s="723" t="s">
        <v>712</v>
      </c>
      <c r="I804" s="713" t="s">
        <v>5</v>
      </c>
      <c r="J804" s="713" t="s">
        <v>376</v>
      </c>
      <c r="K804" s="766">
        <v>1</v>
      </c>
      <c r="L804" s="766" t="s">
        <v>671</v>
      </c>
      <c r="M804" s="765" t="s">
        <v>756</v>
      </c>
      <c r="N804" s="765">
        <v>0</v>
      </c>
      <c r="O804" s="765">
        <v>0</v>
      </c>
      <c r="P804" s="735">
        <v>0</v>
      </c>
      <c r="Q804" s="713" t="s">
        <v>58</v>
      </c>
      <c r="R804" s="713" t="s">
        <v>58</v>
      </c>
      <c r="S804" s="713" t="s">
        <v>58</v>
      </c>
      <c r="T804" s="713" t="s">
        <v>58</v>
      </c>
      <c r="U804" s="764">
        <v>0</v>
      </c>
      <c r="V804" s="764">
        <v>0</v>
      </c>
      <c r="W804" s="764">
        <v>0</v>
      </c>
      <c r="X804" s="764">
        <v>0</v>
      </c>
      <c r="Y804" s="764">
        <v>0</v>
      </c>
      <c r="Z804" s="764">
        <v>0</v>
      </c>
      <c r="AA804" s="764">
        <v>0</v>
      </c>
      <c r="AB804" s="764">
        <v>0</v>
      </c>
      <c r="AC804" s="714">
        <v>0.82617698682369967</v>
      </c>
      <c r="AD804" s="714">
        <v>0.7843105192554185</v>
      </c>
      <c r="AE804" s="713" t="s">
        <v>58</v>
      </c>
      <c r="AF804" s="713" t="s">
        <v>58</v>
      </c>
      <c r="AG804" s="713" t="s">
        <v>58</v>
      </c>
      <c r="AH804" s="714">
        <v>0.94387031345969796</v>
      </c>
      <c r="AI804" s="713" t="s">
        <v>58</v>
      </c>
      <c r="AJ804" s="713" t="s">
        <v>58</v>
      </c>
      <c r="AK804" s="713" t="s">
        <v>58</v>
      </c>
      <c r="AL804" s="714">
        <v>0.94454345387965444</v>
      </c>
      <c r="AM804" s="713" t="s">
        <v>58</v>
      </c>
      <c r="AN804" s="713" t="s">
        <v>58</v>
      </c>
      <c r="AO804" s="713" t="s">
        <v>58</v>
      </c>
      <c r="AP804" s="747">
        <v>0</v>
      </c>
      <c r="AQ804" s="747">
        <v>0</v>
      </c>
      <c r="AR804" s="709"/>
      <c r="AS804" s="763">
        <v>0</v>
      </c>
      <c r="AT804" s="763">
        <v>0</v>
      </c>
      <c r="AU804" s="763">
        <v>0</v>
      </c>
      <c r="AV804" s="763">
        <v>0</v>
      </c>
      <c r="AW804" s="763">
        <v>0</v>
      </c>
      <c r="AX804" s="763">
        <v>0</v>
      </c>
      <c r="AY804" s="763">
        <v>0</v>
      </c>
      <c r="AZ804" s="763">
        <v>0</v>
      </c>
      <c r="BA804" s="763">
        <v>0</v>
      </c>
      <c r="BB804" s="763">
        <v>0</v>
      </c>
      <c r="BC804" s="763">
        <v>0</v>
      </c>
      <c r="BD804" s="763">
        <v>0</v>
      </c>
      <c r="BE804" s="763">
        <v>0</v>
      </c>
      <c r="BF804" s="763">
        <v>0</v>
      </c>
      <c r="BG804" s="763">
        <v>0</v>
      </c>
      <c r="BH804" s="763">
        <v>0</v>
      </c>
      <c r="BI804" s="763">
        <v>0</v>
      </c>
      <c r="BJ804" s="763">
        <v>0</v>
      </c>
      <c r="BK804" s="763">
        <v>0</v>
      </c>
      <c r="BL804" s="763">
        <v>0</v>
      </c>
      <c r="BM804" s="763">
        <v>0</v>
      </c>
      <c r="BN804" s="763">
        <v>0</v>
      </c>
      <c r="BO804" s="763">
        <v>0</v>
      </c>
      <c r="BP804" s="763">
        <v>0</v>
      </c>
      <c r="BQ804" s="763">
        <v>0</v>
      </c>
      <c r="BR804" s="763">
        <v>0</v>
      </c>
      <c r="BS804" s="762">
        <v>0</v>
      </c>
      <c r="BT804" s="762">
        <v>0</v>
      </c>
      <c r="BU804" s="762">
        <v>0</v>
      </c>
      <c r="BV804" s="762">
        <v>0</v>
      </c>
      <c r="BW804" s="762">
        <v>0</v>
      </c>
      <c r="BX804" s="762">
        <v>0</v>
      </c>
      <c r="BY804" s="762">
        <v>0</v>
      </c>
      <c r="BZ804" s="762">
        <v>0</v>
      </c>
      <c r="CA804" s="762">
        <v>0</v>
      </c>
      <c r="CB804" s="762">
        <v>0</v>
      </c>
      <c r="CC804" s="762">
        <v>0</v>
      </c>
      <c r="CD804" s="762">
        <v>0</v>
      </c>
      <c r="CE804" s="762">
        <v>0</v>
      </c>
      <c r="CF804" s="762">
        <v>0</v>
      </c>
      <c r="CG804" s="762">
        <v>0</v>
      </c>
      <c r="CH804" s="762">
        <v>0</v>
      </c>
      <c r="CI804" s="762">
        <v>0</v>
      </c>
      <c r="CJ804" s="762">
        <v>0</v>
      </c>
      <c r="CK804" s="762">
        <v>0</v>
      </c>
      <c r="CL804" s="762">
        <v>0</v>
      </c>
      <c r="CM804" s="762">
        <v>0</v>
      </c>
      <c r="CN804" s="762">
        <v>0</v>
      </c>
      <c r="CO804" s="762">
        <v>0</v>
      </c>
      <c r="CP804" s="762">
        <v>0</v>
      </c>
      <c r="CQ804" s="762">
        <v>0</v>
      </c>
      <c r="CR804" s="762">
        <v>0</v>
      </c>
    </row>
    <row r="805" spans="1:96" s="53" customFormat="1">
      <c r="A805" s="721" t="s">
        <v>3</v>
      </c>
      <c r="B805" s="723">
        <v>41750</v>
      </c>
      <c r="C805" s="721">
        <v>2014</v>
      </c>
      <c r="D805" s="713" t="s">
        <v>1</v>
      </c>
      <c r="E805" s="713" t="s">
        <v>674</v>
      </c>
      <c r="F805" s="723" t="s">
        <v>689</v>
      </c>
      <c r="G805" s="713" t="s">
        <v>58</v>
      </c>
      <c r="H805" s="723" t="s">
        <v>676</v>
      </c>
      <c r="I805" s="713" t="s">
        <v>5</v>
      </c>
      <c r="J805" s="713" t="s">
        <v>376</v>
      </c>
      <c r="K805" s="766">
        <v>26</v>
      </c>
      <c r="L805" s="766" t="s">
        <v>671</v>
      </c>
      <c r="M805" s="765" t="s">
        <v>756</v>
      </c>
      <c r="N805" s="765">
        <v>12</v>
      </c>
      <c r="O805" s="765">
        <v>3</v>
      </c>
      <c r="P805" s="735">
        <v>0.31578947368421051</v>
      </c>
      <c r="Q805" s="713" t="s">
        <v>58</v>
      </c>
      <c r="R805" s="713" t="s">
        <v>58</v>
      </c>
      <c r="S805" s="713" t="s">
        <v>58</v>
      </c>
      <c r="T805" s="713" t="s">
        <v>58</v>
      </c>
      <c r="U805" s="764">
        <v>0.93600000000000005</v>
      </c>
      <c r="V805" s="764">
        <v>3044.808</v>
      </c>
      <c r="W805" s="764">
        <v>0.73411464602307186</v>
      </c>
      <c r="X805" s="764">
        <v>2515.550298896695</v>
      </c>
      <c r="Y805" s="764">
        <v>14696.109640922798</v>
      </c>
      <c r="Z805" s="764">
        <v>13871.22161341589</v>
      </c>
      <c r="AA805" s="764">
        <v>2374.3532491432607</v>
      </c>
      <c r="AB805" s="764">
        <v>0.69340318329827222</v>
      </c>
      <c r="AC805" s="714">
        <v>0.82617698682369967</v>
      </c>
      <c r="AD805" s="714">
        <v>0.7843105192554185</v>
      </c>
      <c r="AE805" s="713" t="s">
        <v>58</v>
      </c>
      <c r="AF805" s="713" t="s">
        <v>58</v>
      </c>
      <c r="AG805" s="713" t="s">
        <v>58</v>
      </c>
      <c r="AH805" s="714">
        <v>0.94387031345969796</v>
      </c>
      <c r="AI805" s="713" t="s">
        <v>58</v>
      </c>
      <c r="AJ805" s="713" t="s">
        <v>58</v>
      </c>
      <c r="AK805" s="713" t="s">
        <v>58</v>
      </c>
      <c r="AL805" s="714">
        <v>0.94454345387965444</v>
      </c>
      <c r="AM805" s="713" t="s">
        <v>58</v>
      </c>
      <c r="AN805" s="713" t="s">
        <v>58</v>
      </c>
      <c r="AO805" s="713" t="s">
        <v>58</v>
      </c>
      <c r="AP805" s="747">
        <v>57</v>
      </c>
      <c r="AQ805" s="747">
        <v>1482</v>
      </c>
      <c r="AR805" s="709"/>
      <c r="AS805" s="763">
        <v>0</v>
      </c>
      <c r="AT805" s="763">
        <v>0</v>
      </c>
      <c r="AU805" s="763">
        <v>0</v>
      </c>
      <c r="AV805" s="763">
        <v>0.69340318329827222</v>
      </c>
      <c r="AW805" s="763">
        <v>0.69340318329827222</v>
      </c>
      <c r="AX805" s="763">
        <v>0.69340318329827222</v>
      </c>
      <c r="AY805" s="763">
        <v>0.21896942630471752</v>
      </c>
      <c r="AZ805" s="763">
        <v>0.21896942630471752</v>
      </c>
      <c r="BA805" s="763">
        <v>0.21896942630471752</v>
      </c>
      <c r="BB805" s="763">
        <v>0.21896942630471752</v>
      </c>
      <c r="BC805" s="763">
        <v>0.21896942630471752</v>
      </c>
      <c r="BD805" s="763">
        <v>0.21896942630471752</v>
      </c>
      <c r="BE805" s="763">
        <v>0.21896942630471752</v>
      </c>
      <c r="BF805" s="763">
        <v>0.21896942630471752</v>
      </c>
      <c r="BG805" s="763">
        <v>0.21896942630471752</v>
      </c>
      <c r="BH805" s="763">
        <v>0</v>
      </c>
      <c r="BI805" s="763">
        <v>0</v>
      </c>
      <c r="BJ805" s="763">
        <v>0</v>
      </c>
      <c r="BK805" s="763">
        <v>0</v>
      </c>
      <c r="BL805" s="763">
        <v>0</v>
      </c>
      <c r="BM805" s="763">
        <v>0</v>
      </c>
      <c r="BN805" s="763">
        <v>0</v>
      </c>
      <c r="BO805" s="763">
        <v>0</v>
      </c>
      <c r="BP805" s="763">
        <v>0</v>
      </c>
      <c r="BQ805" s="763">
        <v>0</v>
      </c>
      <c r="BR805" s="763">
        <v>0</v>
      </c>
      <c r="BS805" s="762">
        <v>0</v>
      </c>
      <c r="BT805" s="762">
        <v>0</v>
      </c>
      <c r="BU805" s="762">
        <v>0</v>
      </c>
      <c r="BV805" s="762">
        <v>2374.3532491432607</v>
      </c>
      <c r="BW805" s="762">
        <v>2374.3532491432607</v>
      </c>
      <c r="BX805" s="762">
        <v>2374.3532491432607</v>
      </c>
      <c r="BY805" s="762">
        <v>749.7957628873454</v>
      </c>
      <c r="BZ805" s="762">
        <v>749.7957628873454</v>
      </c>
      <c r="CA805" s="762">
        <v>749.7957628873454</v>
      </c>
      <c r="CB805" s="762">
        <v>749.7957628873454</v>
      </c>
      <c r="CC805" s="762">
        <v>749.7957628873454</v>
      </c>
      <c r="CD805" s="762">
        <v>749.7957628873454</v>
      </c>
      <c r="CE805" s="762">
        <v>749.7957628873454</v>
      </c>
      <c r="CF805" s="762">
        <v>749.7957628873454</v>
      </c>
      <c r="CG805" s="762">
        <v>749.7957628873454</v>
      </c>
      <c r="CH805" s="762">
        <v>0</v>
      </c>
      <c r="CI805" s="762">
        <v>0</v>
      </c>
      <c r="CJ805" s="762">
        <v>0</v>
      </c>
      <c r="CK805" s="762">
        <v>0</v>
      </c>
      <c r="CL805" s="762">
        <v>0</v>
      </c>
      <c r="CM805" s="762">
        <v>0</v>
      </c>
      <c r="CN805" s="762">
        <v>0</v>
      </c>
      <c r="CO805" s="762">
        <v>0</v>
      </c>
      <c r="CP805" s="762">
        <v>0</v>
      </c>
      <c r="CQ805" s="762">
        <v>0</v>
      </c>
      <c r="CR805" s="762">
        <v>0</v>
      </c>
    </row>
    <row r="806" spans="1:96" s="53" customFormat="1">
      <c r="A806" s="721" t="s">
        <v>3</v>
      </c>
      <c r="B806" s="723">
        <v>41750</v>
      </c>
      <c r="C806" s="721">
        <v>2014</v>
      </c>
      <c r="D806" s="713" t="s">
        <v>1</v>
      </c>
      <c r="E806" s="713" t="s">
        <v>674</v>
      </c>
      <c r="F806" s="723" t="s">
        <v>689</v>
      </c>
      <c r="G806" s="713" t="s">
        <v>58</v>
      </c>
      <c r="H806" s="723" t="s">
        <v>676</v>
      </c>
      <c r="I806" s="713" t="s">
        <v>5</v>
      </c>
      <c r="J806" s="713" t="s">
        <v>376</v>
      </c>
      <c r="K806" s="766">
        <v>14</v>
      </c>
      <c r="L806" s="766" t="s">
        <v>671</v>
      </c>
      <c r="M806" s="765" t="s">
        <v>756</v>
      </c>
      <c r="N806" s="765">
        <v>12</v>
      </c>
      <c r="O806" s="765">
        <v>3</v>
      </c>
      <c r="P806" s="735">
        <v>0.31578947368421051</v>
      </c>
      <c r="Q806" s="713" t="s">
        <v>58</v>
      </c>
      <c r="R806" s="713" t="s">
        <v>58</v>
      </c>
      <c r="S806" s="713" t="s">
        <v>58</v>
      </c>
      <c r="T806" s="713" t="s">
        <v>58</v>
      </c>
      <c r="U806" s="764">
        <v>0.504</v>
      </c>
      <c r="V806" s="764">
        <v>1639.5119999999999</v>
      </c>
      <c r="W806" s="764">
        <v>0.39529250170473096</v>
      </c>
      <c r="X806" s="764">
        <v>1354.5270840212975</v>
      </c>
      <c r="Y806" s="764">
        <v>7913.2898066507378</v>
      </c>
      <c r="Z806" s="764">
        <v>7469.1193303008649</v>
      </c>
      <c r="AA806" s="764">
        <v>1278.4979033848326</v>
      </c>
      <c r="AB806" s="764">
        <v>0.37337094485291578</v>
      </c>
      <c r="AC806" s="714">
        <v>0.82617698682369967</v>
      </c>
      <c r="AD806" s="714">
        <v>0.7843105192554185</v>
      </c>
      <c r="AE806" s="713" t="s">
        <v>58</v>
      </c>
      <c r="AF806" s="713" t="s">
        <v>58</v>
      </c>
      <c r="AG806" s="713" t="s">
        <v>58</v>
      </c>
      <c r="AH806" s="714">
        <v>0.94387031345969796</v>
      </c>
      <c r="AI806" s="713" t="s">
        <v>58</v>
      </c>
      <c r="AJ806" s="713" t="s">
        <v>58</v>
      </c>
      <c r="AK806" s="713" t="s">
        <v>58</v>
      </c>
      <c r="AL806" s="714">
        <v>0.94454345387965444</v>
      </c>
      <c r="AM806" s="713" t="s">
        <v>58</v>
      </c>
      <c r="AN806" s="713" t="s">
        <v>58</v>
      </c>
      <c r="AO806" s="713" t="s">
        <v>58</v>
      </c>
      <c r="AP806" s="747">
        <v>17</v>
      </c>
      <c r="AQ806" s="747">
        <v>238</v>
      </c>
      <c r="AR806" s="709"/>
      <c r="AS806" s="763">
        <v>0</v>
      </c>
      <c r="AT806" s="763">
        <v>0</v>
      </c>
      <c r="AU806" s="763">
        <v>0</v>
      </c>
      <c r="AV806" s="763">
        <v>0.37337094485291578</v>
      </c>
      <c r="AW806" s="763">
        <v>0.37337094485291578</v>
      </c>
      <c r="AX806" s="763">
        <v>0.37337094485291578</v>
      </c>
      <c r="AY806" s="763">
        <v>0.11790661416407866</v>
      </c>
      <c r="AZ806" s="763">
        <v>0.11790661416407866</v>
      </c>
      <c r="BA806" s="763">
        <v>0.11790661416407866</v>
      </c>
      <c r="BB806" s="763">
        <v>0.11790661416407866</v>
      </c>
      <c r="BC806" s="763">
        <v>0.11790661416407866</v>
      </c>
      <c r="BD806" s="763">
        <v>0.11790661416407866</v>
      </c>
      <c r="BE806" s="763">
        <v>0.11790661416407866</v>
      </c>
      <c r="BF806" s="763">
        <v>0.11790661416407866</v>
      </c>
      <c r="BG806" s="763">
        <v>0.11790661416407866</v>
      </c>
      <c r="BH806" s="763">
        <v>0</v>
      </c>
      <c r="BI806" s="763">
        <v>0</v>
      </c>
      <c r="BJ806" s="763">
        <v>0</v>
      </c>
      <c r="BK806" s="763">
        <v>0</v>
      </c>
      <c r="BL806" s="763">
        <v>0</v>
      </c>
      <c r="BM806" s="763">
        <v>0</v>
      </c>
      <c r="BN806" s="763">
        <v>0</v>
      </c>
      <c r="BO806" s="763">
        <v>0</v>
      </c>
      <c r="BP806" s="763">
        <v>0</v>
      </c>
      <c r="BQ806" s="763">
        <v>0</v>
      </c>
      <c r="BR806" s="763">
        <v>0</v>
      </c>
      <c r="BS806" s="762">
        <v>0</v>
      </c>
      <c r="BT806" s="762">
        <v>0</v>
      </c>
      <c r="BU806" s="762">
        <v>0</v>
      </c>
      <c r="BV806" s="762">
        <v>1278.4979033848326</v>
      </c>
      <c r="BW806" s="762">
        <v>1278.4979033848326</v>
      </c>
      <c r="BX806" s="762">
        <v>1278.4979033848326</v>
      </c>
      <c r="BY806" s="762">
        <v>403.73618001626289</v>
      </c>
      <c r="BZ806" s="762">
        <v>403.73618001626289</v>
      </c>
      <c r="CA806" s="762">
        <v>403.73618001626289</v>
      </c>
      <c r="CB806" s="762">
        <v>403.73618001626289</v>
      </c>
      <c r="CC806" s="762">
        <v>403.73618001626289</v>
      </c>
      <c r="CD806" s="762">
        <v>403.73618001626289</v>
      </c>
      <c r="CE806" s="762">
        <v>403.73618001626289</v>
      </c>
      <c r="CF806" s="762">
        <v>403.73618001626289</v>
      </c>
      <c r="CG806" s="762">
        <v>403.73618001626289</v>
      </c>
      <c r="CH806" s="762">
        <v>0</v>
      </c>
      <c r="CI806" s="762">
        <v>0</v>
      </c>
      <c r="CJ806" s="762">
        <v>0</v>
      </c>
      <c r="CK806" s="762">
        <v>0</v>
      </c>
      <c r="CL806" s="762">
        <v>0</v>
      </c>
      <c r="CM806" s="762">
        <v>0</v>
      </c>
      <c r="CN806" s="762">
        <v>0</v>
      </c>
      <c r="CO806" s="762">
        <v>0</v>
      </c>
      <c r="CP806" s="762">
        <v>0</v>
      </c>
      <c r="CQ806" s="762">
        <v>0</v>
      </c>
      <c r="CR806" s="762">
        <v>0</v>
      </c>
    </row>
    <row r="807" spans="1:96" s="53" customFormat="1">
      <c r="A807" s="721" t="s">
        <v>3</v>
      </c>
      <c r="B807" s="723">
        <v>41978</v>
      </c>
      <c r="C807" s="721">
        <v>2014</v>
      </c>
      <c r="D807" s="713" t="s">
        <v>1</v>
      </c>
      <c r="E807" s="713" t="s">
        <v>674</v>
      </c>
      <c r="F807" s="723" t="s">
        <v>123</v>
      </c>
      <c r="G807" s="713" t="s">
        <v>58</v>
      </c>
      <c r="H807" s="723" t="s">
        <v>678</v>
      </c>
      <c r="I807" s="713" t="s">
        <v>5</v>
      </c>
      <c r="J807" s="713" t="s">
        <v>376</v>
      </c>
      <c r="K807" s="766">
        <v>2</v>
      </c>
      <c r="L807" s="766" t="s">
        <v>671</v>
      </c>
      <c r="M807" s="765" t="s">
        <v>755</v>
      </c>
      <c r="N807" s="765">
        <v>3</v>
      </c>
      <c r="O807" s="765">
        <v>2</v>
      </c>
      <c r="P807" s="735">
        <v>0.6149863305954828</v>
      </c>
      <c r="Q807" s="713" t="s">
        <v>58</v>
      </c>
      <c r="R807" s="713" t="s">
        <v>58</v>
      </c>
      <c r="S807" s="713" t="s">
        <v>58</v>
      </c>
      <c r="T807" s="713" t="s">
        <v>58</v>
      </c>
      <c r="U807" s="764">
        <v>9.4E-2</v>
      </c>
      <c r="V807" s="764">
        <v>298.35599999999999</v>
      </c>
      <c r="W807" s="764">
        <v>7.3725188810009348E-2</v>
      </c>
      <c r="X807" s="764">
        <v>246.49486108077173</v>
      </c>
      <c r="Y807" s="764">
        <v>644.58069228825048</v>
      </c>
      <c r="Z807" s="764">
        <v>608.40058008018013</v>
      </c>
      <c r="AA807" s="764">
        <v>232.6591817945127</v>
      </c>
      <c r="AB807" s="764">
        <v>6.9636644476535878E-2</v>
      </c>
      <c r="AC807" s="714">
        <v>0.82617698682369967</v>
      </c>
      <c r="AD807" s="714">
        <v>0.7843105192554185</v>
      </c>
      <c r="AE807" s="713" t="s">
        <v>58</v>
      </c>
      <c r="AF807" s="713" t="s">
        <v>58</v>
      </c>
      <c r="AG807" s="713" t="s">
        <v>58</v>
      </c>
      <c r="AH807" s="714">
        <v>0.94387031345969796</v>
      </c>
      <c r="AI807" s="713" t="s">
        <v>58</v>
      </c>
      <c r="AJ807" s="713" t="s">
        <v>58</v>
      </c>
      <c r="AK807" s="713" t="s">
        <v>58</v>
      </c>
      <c r="AL807" s="714">
        <v>0.94454345387965444</v>
      </c>
      <c r="AM807" s="713" t="s">
        <v>58</v>
      </c>
      <c r="AN807" s="713" t="s">
        <v>58</v>
      </c>
      <c r="AO807" s="713" t="s">
        <v>58</v>
      </c>
      <c r="AP807" s="747">
        <v>8</v>
      </c>
      <c r="AQ807" s="747">
        <v>16</v>
      </c>
      <c r="AR807" s="709"/>
      <c r="AS807" s="763">
        <v>0</v>
      </c>
      <c r="AT807" s="763">
        <v>0</v>
      </c>
      <c r="AU807" s="763">
        <v>0</v>
      </c>
      <c r="AV807" s="763">
        <v>6.9636644476535878E-2</v>
      </c>
      <c r="AW807" s="763">
        <v>6.9636644476535878E-2</v>
      </c>
      <c r="AX807" s="763">
        <v>4.2825584461606996E-2</v>
      </c>
      <c r="AY807" s="763">
        <v>0</v>
      </c>
      <c r="AZ807" s="763">
        <v>0</v>
      </c>
      <c r="BA807" s="763">
        <v>0</v>
      </c>
      <c r="BB807" s="763">
        <v>0</v>
      </c>
      <c r="BC807" s="763">
        <v>0</v>
      </c>
      <c r="BD807" s="763">
        <v>0</v>
      </c>
      <c r="BE807" s="763">
        <v>0</v>
      </c>
      <c r="BF807" s="763">
        <v>0</v>
      </c>
      <c r="BG807" s="763">
        <v>0</v>
      </c>
      <c r="BH807" s="763">
        <v>0</v>
      </c>
      <c r="BI807" s="763">
        <v>0</v>
      </c>
      <c r="BJ807" s="763">
        <v>0</v>
      </c>
      <c r="BK807" s="763">
        <v>0</v>
      </c>
      <c r="BL807" s="763">
        <v>0</v>
      </c>
      <c r="BM807" s="763">
        <v>0</v>
      </c>
      <c r="BN807" s="763">
        <v>0</v>
      </c>
      <c r="BO807" s="763">
        <v>0</v>
      </c>
      <c r="BP807" s="763">
        <v>0</v>
      </c>
      <c r="BQ807" s="763">
        <v>0</v>
      </c>
      <c r="BR807" s="763">
        <v>0</v>
      </c>
      <c r="BS807" s="762">
        <v>0</v>
      </c>
      <c r="BT807" s="762">
        <v>0</v>
      </c>
      <c r="BU807" s="762">
        <v>0</v>
      </c>
      <c r="BV807" s="762">
        <v>232.6591817945127</v>
      </c>
      <c r="BW807" s="762">
        <v>232.6591817945127</v>
      </c>
      <c r="BX807" s="762">
        <v>143.08221649115472</v>
      </c>
      <c r="BY807" s="762">
        <v>0</v>
      </c>
      <c r="BZ807" s="762">
        <v>0</v>
      </c>
      <c r="CA807" s="762">
        <v>0</v>
      </c>
      <c r="CB807" s="762">
        <v>0</v>
      </c>
      <c r="CC807" s="762">
        <v>0</v>
      </c>
      <c r="CD807" s="762">
        <v>0</v>
      </c>
      <c r="CE807" s="762">
        <v>0</v>
      </c>
      <c r="CF807" s="762">
        <v>0</v>
      </c>
      <c r="CG807" s="762">
        <v>0</v>
      </c>
      <c r="CH807" s="762">
        <v>0</v>
      </c>
      <c r="CI807" s="762">
        <v>0</v>
      </c>
      <c r="CJ807" s="762">
        <v>0</v>
      </c>
      <c r="CK807" s="762">
        <v>0</v>
      </c>
      <c r="CL807" s="762">
        <v>0</v>
      </c>
      <c r="CM807" s="762">
        <v>0</v>
      </c>
      <c r="CN807" s="762">
        <v>0</v>
      </c>
      <c r="CO807" s="762">
        <v>0</v>
      </c>
      <c r="CP807" s="762">
        <v>0</v>
      </c>
      <c r="CQ807" s="762">
        <v>0</v>
      </c>
      <c r="CR807" s="762">
        <v>0</v>
      </c>
    </row>
    <row r="808" spans="1:96" s="53" customFormat="1">
      <c r="A808" s="721" t="s">
        <v>3</v>
      </c>
      <c r="B808" s="723">
        <v>41978</v>
      </c>
      <c r="C808" s="721">
        <v>2014</v>
      </c>
      <c r="D808" s="713" t="s">
        <v>1</v>
      </c>
      <c r="E808" s="713" t="s">
        <v>674</v>
      </c>
      <c r="F808" s="723" t="s">
        <v>123</v>
      </c>
      <c r="G808" s="713" t="s">
        <v>58</v>
      </c>
      <c r="H808" s="723" t="s">
        <v>703</v>
      </c>
      <c r="I808" s="713" t="s">
        <v>5</v>
      </c>
      <c r="J808" s="713" t="s">
        <v>376</v>
      </c>
      <c r="K808" s="766">
        <v>1</v>
      </c>
      <c r="L808" s="766" t="s">
        <v>671</v>
      </c>
      <c r="M808" s="765" t="s">
        <v>755</v>
      </c>
      <c r="N808" s="765">
        <v>3</v>
      </c>
      <c r="O808" s="765">
        <v>1</v>
      </c>
      <c r="P808" s="735">
        <v>0.60014709718448678</v>
      </c>
      <c r="Q808" s="713" t="s">
        <v>58</v>
      </c>
      <c r="R808" s="713" t="s">
        <v>58</v>
      </c>
      <c r="S808" s="713" t="s">
        <v>58</v>
      </c>
      <c r="T808" s="713" t="s">
        <v>58</v>
      </c>
      <c r="U808" s="764">
        <v>7.6999999999999999E-2</v>
      </c>
      <c r="V808" s="764">
        <v>244.398</v>
      </c>
      <c r="W808" s="764">
        <v>6.0391909982667233E-2</v>
      </c>
      <c r="X808" s="764">
        <v>201.91600322573854</v>
      </c>
      <c r="Y808" s="764">
        <v>444.27460964777947</v>
      </c>
      <c r="Z808" s="764">
        <v>419.33761507043454</v>
      </c>
      <c r="AA808" s="764">
        <v>190.58252125720722</v>
      </c>
      <c r="AB808" s="764">
        <v>5.7042783241417691E-2</v>
      </c>
      <c r="AC808" s="714">
        <v>0.82617698682369967</v>
      </c>
      <c r="AD808" s="714">
        <v>0.7843105192554185</v>
      </c>
      <c r="AE808" s="713" t="s">
        <v>58</v>
      </c>
      <c r="AF808" s="713" t="s">
        <v>58</v>
      </c>
      <c r="AG808" s="713" t="s">
        <v>58</v>
      </c>
      <c r="AH808" s="714">
        <v>0.94387031345969796</v>
      </c>
      <c r="AI808" s="713" t="s">
        <v>58</v>
      </c>
      <c r="AJ808" s="713" t="s">
        <v>58</v>
      </c>
      <c r="AK808" s="713" t="s">
        <v>58</v>
      </c>
      <c r="AL808" s="714">
        <v>0.94454345387965444</v>
      </c>
      <c r="AM808" s="713" t="s">
        <v>58</v>
      </c>
      <c r="AN808" s="713" t="s">
        <v>58</v>
      </c>
      <c r="AO808" s="713" t="s">
        <v>58</v>
      </c>
      <c r="AP808" s="747">
        <v>1</v>
      </c>
      <c r="AQ808" s="747">
        <v>1</v>
      </c>
      <c r="AR808" s="709"/>
      <c r="AS808" s="763">
        <v>0</v>
      </c>
      <c r="AT808" s="763">
        <v>0</v>
      </c>
      <c r="AU808" s="763">
        <v>0</v>
      </c>
      <c r="AV808" s="763">
        <v>5.7042783241417691E-2</v>
      </c>
      <c r="AW808" s="763">
        <v>3.4234060777660717E-2</v>
      </c>
      <c r="AX808" s="763">
        <v>3.4234060777660717E-2</v>
      </c>
      <c r="AY808" s="763">
        <v>0</v>
      </c>
      <c r="AZ808" s="763">
        <v>0</v>
      </c>
      <c r="BA808" s="763">
        <v>0</v>
      </c>
      <c r="BB808" s="763">
        <v>0</v>
      </c>
      <c r="BC808" s="763">
        <v>0</v>
      </c>
      <c r="BD808" s="763">
        <v>0</v>
      </c>
      <c r="BE808" s="763">
        <v>0</v>
      </c>
      <c r="BF808" s="763">
        <v>0</v>
      </c>
      <c r="BG808" s="763">
        <v>0</v>
      </c>
      <c r="BH808" s="763">
        <v>0</v>
      </c>
      <c r="BI808" s="763">
        <v>0</v>
      </c>
      <c r="BJ808" s="763">
        <v>0</v>
      </c>
      <c r="BK808" s="763">
        <v>0</v>
      </c>
      <c r="BL808" s="763">
        <v>0</v>
      </c>
      <c r="BM808" s="763">
        <v>0</v>
      </c>
      <c r="BN808" s="763">
        <v>0</v>
      </c>
      <c r="BO808" s="763">
        <v>0</v>
      </c>
      <c r="BP808" s="763">
        <v>0</v>
      </c>
      <c r="BQ808" s="763">
        <v>0</v>
      </c>
      <c r="BR808" s="763">
        <v>0</v>
      </c>
      <c r="BS808" s="762">
        <v>0</v>
      </c>
      <c r="BT808" s="762">
        <v>0</v>
      </c>
      <c r="BU808" s="762">
        <v>0</v>
      </c>
      <c r="BV808" s="762">
        <v>190.58252125720722</v>
      </c>
      <c r="BW808" s="762">
        <v>114.37754690661366</v>
      </c>
      <c r="BX808" s="762">
        <v>114.37754690661366</v>
      </c>
      <c r="BY808" s="762">
        <v>0</v>
      </c>
      <c r="BZ808" s="762">
        <v>0</v>
      </c>
      <c r="CA808" s="762">
        <v>0</v>
      </c>
      <c r="CB808" s="762">
        <v>0</v>
      </c>
      <c r="CC808" s="762">
        <v>0</v>
      </c>
      <c r="CD808" s="762">
        <v>0</v>
      </c>
      <c r="CE808" s="762">
        <v>0</v>
      </c>
      <c r="CF808" s="762">
        <v>0</v>
      </c>
      <c r="CG808" s="762">
        <v>0</v>
      </c>
      <c r="CH808" s="762">
        <v>0</v>
      </c>
      <c r="CI808" s="762">
        <v>0</v>
      </c>
      <c r="CJ808" s="762">
        <v>0</v>
      </c>
      <c r="CK808" s="762">
        <v>0</v>
      </c>
      <c r="CL808" s="762">
        <v>0</v>
      </c>
      <c r="CM808" s="762">
        <v>0</v>
      </c>
      <c r="CN808" s="762">
        <v>0</v>
      </c>
      <c r="CO808" s="762">
        <v>0</v>
      </c>
      <c r="CP808" s="762">
        <v>0</v>
      </c>
      <c r="CQ808" s="762">
        <v>0</v>
      </c>
      <c r="CR808" s="762">
        <v>0</v>
      </c>
    </row>
    <row r="809" spans="1:96" s="53" customFormat="1">
      <c r="A809" s="721" t="s">
        <v>3</v>
      </c>
      <c r="B809" s="723">
        <v>41978</v>
      </c>
      <c r="C809" s="721">
        <v>2014</v>
      </c>
      <c r="D809" s="713" t="s">
        <v>1</v>
      </c>
      <c r="E809" s="713" t="s">
        <v>674</v>
      </c>
      <c r="F809" s="723" t="s">
        <v>123</v>
      </c>
      <c r="G809" s="713" t="s">
        <v>58</v>
      </c>
      <c r="H809" s="723" t="s">
        <v>677</v>
      </c>
      <c r="I809" s="713" t="s">
        <v>5</v>
      </c>
      <c r="J809" s="713" t="s">
        <v>376</v>
      </c>
      <c r="K809" s="766">
        <v>1</v>
      </c>
      <c r="L809" s="766" t="s">
        <v>671</v>
      </c>
      <c r="M809" s="765" t="s">
        <v>755</v>
      </c>
      <c r="N809" s="765">
        <v>0</v>
      </c>
      <c r="O809" s="765">
        <v>0</v>
      </c>
      <c r="P809" s="735">
        <v>0</v>
      </c>
      <c r="Q809" s="713" t="s">
        <v>58</v>
      </c>
      <c r="R809" s="713" t="s">
        <v>58</v>
      </c>
      <c r="S809" s="713" t="s">
        <v>58</v>
      </c>
      <c r="T809" s="713" t="s">
        <v>58</v>
      </c>
      <c r="U809" s="764">
        <v>0</v>
      </c>
      <c r="V809" s="764">
        <v>0</v>
      </c>
      <c r="W809" s="764">
        <v>0</v>
      </c>
      <c r="X809" s="764">
        <v>0</v>
      </c>
      <c r="Y809" s="764">
        <v>0</v>
      </c>
      <c r="Z809" s="764">
        <v>0</v>
      </c>
      <c r="AA809" s="764">
        <v>0</v>
      </c>
      <c r="AB809" s="764">
        <v>0</v>
      </c>
      <c r="AC809" s="714">
        <v>0.82617698682369967</v>
      </c>
      <c r="AD809" s="714">
        <v>0.7843105192554185</v>
      </c>
      <c r="AE809" s="713" t="s">
        <v>58</v>
      </c>
      <c r="AF809" s="713" t="s">
        <v>58</v>
      </c>
      <c r="AG809" s="713" t="s">
        <v>58</v>
      </c>
      <c r="AH809" s="714">
        <v>0.94387031345969796</v>
      </c>
      <c r="AI809" s="713" t="s">
        <v>58</v>
      </c>
      <c r="AJ809" s="713" t="s">
        <v>58</v>
      </c>
      <c r="AK809" s="713" t="s">
        <v>58</v>
      </c>
      <c r="AL809" s="714">
        <v>0.94454345387965444</v>
      </c>
      <c r="AM809" s="713" t="s">
        <v>58</v>
      </c>
      <c r="AN809" s="713" t="s">
        <v>58</v>
      </c>
      <c r="AO809" s="713" t="s">
        <v>58</v>
      </c>
      <c r="AP809" s="747">
        <v>51</v>
      </c>
      <c r="AQ809" s="747">
        <v>51</v>
      </c>
      <c r="AR809" s="709"/>
      <c r="AS809" s="763">
        <v>0</v>
      </c>
      <c r="AT809" s="763">
        <v>0</v>
      </c>
      <c r="AU809" s="763">
        <v>0</v>
      </c>
      <c r="AV809" s="763">
        <v>0</v>
      </c>
      <c r="AW809" s="763">
        <v>0</v>
      </c>
      <c r="AX809" s="763">
        <v>0</v>
      </c>
      <c r="AY809" s="763">
        <v>0</v>
      </c>
      <c r="AZ809" s="763">
        <v>0</v>
      </c>
      <c r="BA809" s="763">
        <v>0</v>
      </c>
      <c r="BB809" s="763">
        <v>0</v>
      </c>
      <c r="BC809" s="763">
        <v>0</v>
      </c>
      <c r="BD809" s="763">
        <v>0</v>
      </c>
      <c r="BE809" s="763">
        <v>0</v>
      </c>
      <c r="BF809" s="763">
        <v>0</v>
      </c>
      <c r="BG809" s="763">
        <v>0</v>
      </c>
      <c r="BH809" s="763">
        <v>0</v>
      </c>
      <c r="BI809" s="763">
        <v>0</v>
      </c>
      <c r="BJ809" s="763">
        <v>0</v>
      </c>
      <c r="BK809" s="763">
        <v>0</v>
      </c>
      <c r="BL809" s="763">
        <v>0</v>
      </c>
      <c r="BM809" s="763">
        <v>0</v>
      </c>
      <c r="BN809" s="763">
        <v>0</v>
      </c>
      <c r="BO809" s="763">
        <v>0</v>
      </c>
      <c r="BP809" s="763">
        <v>0</v>
      </c>
      <c r="BQ809" s="763">
        <v>0</v>
      </c>
      <c r="BR809" s="763">
        <v>0</v>
      </c>
      <c r="BS809" s="762">
        <v>0</v>
      </c>
      <c r="BT809" s="762">
        <v>0</v>
      </c>
      <c r="BU809" s="762">
        <v>0</v>
      </c>
      <c r="BV809" s="762">
        <v>0</v>
      </c>
      <c r="BW809" s="762">
        <v>0</v>
      </c>
      <c r="BX809" s="762">
        <v>0</v>
      </c>
      <c r="BY809" s="762">
        <v>0</v>
      </c>
      <c r="BZ809" s="762">
        <v>0</v>
      </c>
      <c r="CA809" s="762">
        <v>0</v>
      </c>
      <c r="CB809" s="762">
        <v>0</v>
      </c>
      <c r="CC809" s="762">
        <v>0</v>
      </c>
      <c r="CD809" s="762">
        <v>0</v>
      </c>
      <c r="CE809" s="762">
        <v>0</v>
      </c>
      <c r="CF809" s="762">
        <v>0</v>
      </c>
      <c r="CG809" s="762">
        <v>0</v>
      </c>
      <c r="CH809" s="762">
        <v>0</v>
      </c>
      <c r="CI809" s="762">
        <v>0</v>
      </c>
      <c r="CJ809" s="762">
        <v>0</v>
      </c>
      <c r="CK809" s="762">
        <v>0</v>
      </c>
      <c r="CL809" s="762">
        <v>0</v>
      </c>
      <c r="CM809" s="762">
        <v>0</v>
      </c>
      <c r="CN809" s="762">
        <v>0</v>
      </c>
      <c r="CO809" s="762">
        <v>0</v>
      </c>
      <c r="CP809" s="762">
        <v>0</v>
      </c>
      <c r="CQ809" s="762">
        <v>0</v>
      </c>
      <c r="CR809" s="762">
        <v>0</v>
      </c>
    </row>
    <row r="810" spans="1:96" s="53" customFormat="1">
      <c r="A810" s="721" t="s">
        <v>3</v>
      </c>
      <c r="B810" s="723">
        <v>41978</v>
      </c>
      <c r="C810" s="721">
        <v>2014</v>
      </c>
      <c r="D810" s="713" t="s">
        <v>1</v>
      </c>
      <c r="E810" s="713" t="s">
        <v>674</v>
      </c>
      <c r="F810" s="723" t="s">
        <v>123</v>
      </c>
      <c r="G810" s="713" t="s">
        <v>58</v>
      </c>
      <c r="H810" s="723" t="s">
        <v>735</v>
      </c>
      <c r="I810" s="713" t="s">
        <v>5</v>
      </c>
      <c r="J810" s="713" t="s">
        <v>376</v>
      </c>
      <c r="K810" s="766">
        <v>3</v>
      </c>
      <c r="L810" s="766" t="s">
        <v>671</v>
      </c>
      <c r="M810" s="765" t="s">
        <v>755</v>
      </c>
      <c r="N810" s="765">
        <v>12</v>
      </c>
      <c r="O810" s="765">
        <v>3</v>
      </c>
      <c r="P810" s="735">
        <v>0.6097560975609756</v>
      </c>
      <c r="Q810" s="713" t="s">
        <v>58</v>
      </c>
      <c r="R810" s="713" t="s">
        <v>58</v>
      </c>
      <c r="S810" s="713" t="s">
        <v>58</v>
      </c>
      <c r="T810" s="713" t="s">
        <v>58</v>
      </c>
      <c r="U810" s="764">
        <v>0.123</v>
      </c>
      <c r="V810" s="764">
        <v>419.43</v>
      </c>
      <c r="W810" s="764">
        <v>9.6470193868416487E-2</v>
      </c>
      <c r="X810" s="764">
        <v>346.52341358346433</v>
      </c>
      <c r="Y810" s="764">
        <v>2941.2231201718437</v>
      </c>
      <c r="Z810" s="764">
        <v>2776.1331883915091</v>
      </c>
      <c r="AA810" s="764">
        <v>327.07316300014907</v>
      </c>
      <c r="AB810" s="764">
        <v>9.1120290112913976E-2</v>
      </c>
      <c r="AC810" s="714">
        <v>0.82617698682369967</v>
      </c>
      <c r="AD810" s="714">
        <v>0.7843105192554185</v>
      </c>
      <c r="AE810" s="713" t="s">
        <v>58</v>
      </c>
      <c r="AF810" s="713" t="s">
        <v>58</v>
      </c>
      <c r="AG810" s="713" t="s">
        <v>58</v>
      </c>
      <c r="AH810" s="714">
        <v>0.94387031345969796</v>
      </c>
      <c r="AI810" s="713" t="s">
        <v>58</v>
      </c>
      <c r="AJ810" s="713" t="s">
        <v>58</v>
      </c>
      <c r="AK810" s="713" t="s">
        <v>58</v>
      </c>
      <c r="AL810" s="714">
        <v>0.94454345387965444</v>
      </c>
      <c r="AM810" s="713" t="s">
        <v>58</v>
      </c>
      <c r="AN810" s="713" t="s">
        <v>58</v>
      </c>
      <c r="AO810" s="713" t="s">
        <v>58</v>
      </c>
      <c r="AP810" s="747">
        <v>119</v>
      </c>
      <c r="AQ810" s="747">
        <v>357</v>
      </c>
      <c r="AR810" s="709"/>
      <c r="AS810" s="763">
        <v>0</v>
      </c>
      <c r="AT810" s="763">
        <v>0</v>
      </c>
      <c r="AU810" s="763">
        <v>0</v>
      </c>
      <c r="AV810" s="763">
        <v>9.1120290112913976E-2</v>
      </c>
      <c r="AW810" s="763">
        <v>9.1120290112913976E-2</v>
      </c>
      <c r="AX810" s="763">
        <v>9.1120290112913976E-2</v>
      </c>
      <c r="AY810" s="763">
        <v>5.5561152507874377E-2</v>
      </c>
      <c r="AZ810" s="763">
        <v>5.5561152507874377E-2</v>
      </c>
      <c r="BA810" s="763">
        <v>5.5561152507874377E-2</v>
      </c>
      <c r="BB810" s="763">
        <v>5.5561152507874377E-2</v>
      </c>
      <c r="BC810" s="763">
        <v>5.5561152507874377E-2</v>
      </c>
      <c r="BD810" s="763">
        <v>5.5561152507874377E-2</v>
      </c>
      <c r="BE810" s="763">
        <v>5.5561152507874377E-2</v>
      </c>
      <c r="BF810" s="763">
        <v>5.5561152507874377E-2</v>
      </c>
      <c r="BG810" s="763">
        <v>5.5561152507874377E-2</v>
      </c>
      <c r="BH810" s="763">
        <v>0</v>
      </c>
      <c r="BI810" s="763">
        <v>0</v>
      </c>
      <c r="BJ810" s="763">
        <v>0</v>
      </c>
      <c r="BK810" s="763">
        <v>0</v>
      </c>
      <c r="BL810" s="763">
        <v>0</v>
      </c>
      <c r="BM810" s="763">
        <v>0</v>
      </c>
      <c r="BN810" s="763">
        <v>0</v>
      </c>
      <c r="BO810" s="763">
        <v>0</v>
      </c>
      <c r="BP810" s="763">
        <v>0</v>
      </c>
      <c r="BQ810" s="763">
        <v>0</v>
      </c>
      <c r="BR810" s="763">
        <v>0</v>
      </c>
      <c r="BS810" s="762">
        <v>0</v>
      </c>
      <c r="BT810" s="762">
        <v>0</v>
      </c>
      <c r="BU810" s="762">
        <v>0</v>
      </c>
      <c r="BV810" s="762">
        <v>327.07316300014907</v>
      </c>
      <c r="BW810" s="762">
        <v>327.07316300014907</v>
      </c>
      <c r="BX810" s="762">
        <v>327.07316300014907</v>
      </c>
      <c r="BY810" s="762">
        <v>199.43485548789576</v>
      </c>
      <c r="BZ810" s="762">
        <v>199.43485548789576</v>
      </c>
      <c r="CA810" s="762">
        <v>199.43485548789576</v>
      </c>
      <c r="CB810" s="762">
        <v>199.43485548789576</v>
      </c>
      <c r="CC810" s="762">
        <v>199.43485548789576</v>
      </c>
      <c r="CD810" s="762">
        <v>199.43485548789576</v>
      </c>
      <c r="CE810" s="762">
        <v>199.43485548789576</v>
      </c>
      <c r="CF810" s="762">
        <v>199.43485548789576</v>
      </c>
      <c r="CG810" s="762">
        <v>199.43485548789576</v>
      </c>
      <c r="CH810" s="762">
        <v>0</v>
      </c>
      <c r="CI810" s="762">
        <v>0</v>
      </c>
      <c r="CJ810" s="762">
        <v>0</v>
      </c>
      <c r="CK810" s="762">
        <v>0</v>
      </c>
      <c r="CL810" s="762">
        <v>0</v>
      </c>
      <c r="CM810" s="762">
        <v>0</v>
      </c>
      <c r="CN810" s="762">
        <v>0</v>
      </c>
      <c r="CO810" s="762">
        <v>0</v>
      </c>
      <c r="CP810" s="762">
        <v>0</v>
      </c>
      <c r="CQ810" s="762">
        <v>0</v>
      </c>
      <c r="CR810" s="762">
        <v>0</v>
      </c>
    </row>
    <row r="811" spans="1:96" s="53" customFormat="1">
      <c r="A811" s="721" t="s">
        <v>3</v>
      </c>
      <c r="B811" s="723">
        <v>41978</v>
      </c>
      <c r="C811" s="721">
        <v>2014</v>
      </c>
      <c r="D811" s="713" t="s">
        <v>1</v>
      </c>
      <c r="E811" s="713" t="s">
        <v>674</v>
      </c>
      <c r="F811" s="723" t="s">
        <v>123</v>
      </c>
      <c r="G811" s="713" t="s">
        <v>58</v>
      </c>
      <c r="H811" s="723" t="s">
        <v>735</v>
      </c>
      <c r="I811" s="713" t="s">
        <v>5</v>
      </c>
      <c r="J811" s="713" t="s">
        <v>376</v>
      </c>
      <c r="K811" s="766">
        <v>2</v>
      </c>
      <c r="L811" s="766" t="s">
        <v>671</v>
      </c>
      <c r="M811" s="765" t="s">
        <v>755</v>
      </c>
      <c r="N811" s="765">
        <v>12</v>
      </c>
      <c r="O811" s="765">
        <v>3</v>
      </c>
      <c r="P811" s="735">
        <v>0.6097560975609756</v>
      </c>
      <c r="Q811" s="713" t="s">
        <v>58</v>
      </c>
      <c r="R811" s="713" t="s">
        <v>58</v>
      </c>
      <c r="S811" s="713" t="s">
        <v>58</v>
      </c>
      <c r="T811" s="713" t="s">
        <v>58</v>
      </c>
      <c r="U811" s="764">
        <v>8.2000000000000003E-2</v>
      </c>
      <c r="V811" s="764">
        <v>279.62</v>
      </c>
      <c r="W811" s="764">
        <v>6.4313462578944339E-2</v>
      </c>
      <c r="X811" s="764">
        <v>231.0156090556429</v>
      </c>
      <c r="Y811" s="764">
        <v>1960.8154134478959</v>
      </c>
      <c r="Z811" s="764">
        <v>1850.7554589276729</v>
      </c>
      <c r="AA811" s="764">
        <v>218.0487753334327</v>
      </c>
      <c r="AB811" s="764">
        <v>6.0746860075275994E-2</v>
      </c>
      <c r="AC811" s="714">
        <v>0.82617698682369967</v>
      </c>
      <c r="AD811" s="714">
        <v>0.7843105192554185</v>
      </c>
      <c r="AE811" s="713" t="s">
        <v>58</v>
      </c>
      <c r="AF811" s="713" t="s">
        <v>58</v>
      </c>
      <c r="AG811" s="713" t="s">
        <v>58</v>
      </c>
      <c r="AH811" s="714">
        <v>0.94387031345969796</v>
      </c>
      <c r="AI811" s="713" t="s">
        <v>58</v>
      </c>
      <c r="AJ811" s="713" t="s">
        <v>58</v>
      </c>
      <c r="AK811" s="713" t="s">
        <v>58</v>
      </c>
      <c r="AL811" s="714">
        <v>0.94454345387965444</v>
      </c>
      <c r="AM811" s="713" t="s">
        <v>58</v>
      </c>
      <c r="AN811" s="713" t="s">
        <v>58</v>
      </c>
      <c r="AO811" s="713" t="s">
        <v>58</v>
      </c>
      <c r="AP811" s="747">
        <v>119</v>
      </c>
      <c r="AQ811" s="747">
        <v>238</v>
      </c>
      <c r="AR811" s="709"/>
      <c r="AS811" s="763">
        <v>0</v>
      </c>
      <c r="AT811" s="763">
        <v>0</v>
      </c>
      <c r="AU811" s="763">
        <v>0</v>
      </c>
      <c r="AV811" s="763">
        <v>6.0746860075275994E-2</v>
      </c>
      <c r="AW811" s="763">
        <v>6.0746860075275994E-2</v>
      </c>
      <c r="AX811" s="763">
        <v>6.0746860075275994E-2</v>
      </c>
      <c r="AY811" s="763">
        <v>3.704076833858292E-2</v>
      </c>
      <c r="AZ811" s="763">
        <v>3.704076833858292E-2</v>
      </c>
      <c r="BA811" s="763">
        <v>3.704076833858292E-2</v>
      </c>
      <c r="BB811" s="763">
        <v>3.704076833858292E-2</v>
      </c>
      <c r="BC811" s="763">
        <v>3.704076833858292E-2</v>
      </c>
      <c r="BD811" s="763">
        <v>3.704076833858292E-2</v>
      </c>
      <c r="BE811" s="763">
        <v>3.704076833858292E-2</v>
      </c>
      <c r="BF811" s="763">
        <v>3.704076833858292E-2</v>
      </c>
      <c r="BG811" s="763">
        <v>3.704076833858292E-2</v>
      </c>
      <c r="BH811" s="763">
        <v>0</v>
      </c>
      <c r="BI811" s="763">
        <v>0</v>
      </c>
      <c r="BJ811" s="763">
        <v>0</v>
      </c>
      <c r="BK811" s="763">
        <v>0</v>
      </c>
      <c r="BL811" s="763">
        <v>0</v>
      </c>
      <c r="BM811" s="763">
        <v>0</v>
      </c>
      <c r="BN811" s="763">
        <v>0</v>
      </c>
      <c r="BO811" s="763">
        <v>0</v>
      </c>
      <c r="BP811" s="763">
        <v>0</v>
      </c>
      <c r="BQ811" s="763">
        <v>0</v>
      </c>
      <c r="BR811" s="763">
        <v>0</v>
      </c>
      <c r="BS811" s="762">
        <v>0</v>
      </c>
      <c r="BT811" s="762">
        <v>0</v>
      </c>
      <c r="BU811" s="762">
        <v>0</v>
      </c>
      <c r="BV811" s="762">
        <v>218.0487753334327</v>
      </c>
      <c r="BW811" s="762">
        <v>218.0487753334327</v>
      </c>
      <c r="BX811" s="762">
        <v>218.0487753334327</v>
      </c>
      <c r="BY811" s="762">
        <v>132.95657032526384</v>
      </c>
      <c r="BZ811" s="762">
        <v>132.95657032526384</v>
      </c>
      <c r="CA811" s="762">
        <v>132.95657032526384</v>
      </c>
      <c r="CB811" s="762">
        <v>132.95657032526384</v>
      </c>
      <c r="CC811" s="762">
        <v>132.95657032526384</v>
      </c>
      <c r="CD811" s="762">
        <v>132.95657032526384</v>
      </c>
      <c r="CE811" s="762">
        <v>132.95657032526384</v>
      </c>
      <c r="CF811" s="762">
        <v>132.95657032526384</v>
      </c>
      <c r="CG811" s="762">
        <v>132.95657032526384</v>
      </c>
      <c r="CH811" s="762">
        <v>0</v>
      </c>
      <c r="CI811" s="762">
        <v>0</v>
      </c>
      <c r="CJ811" s="762">
        <v>0</v>
      </c>
      <c r="CK811" s="762">
        <v>0</v>
      </c>
      <c r="CL811" s="762">
        <v>0</v>
      </c>
      <c r="CM811" s="762">
        <v>0</v>
      </c>
      <c r="CN811" s="762">
        <v>0</v>
      </c>
      <c r="CO811" s="762">
        <v>0</v>
      </c>
      <c r="CP811" s="762">
        <v>0</v>
      </c>
      <c r="CQ811" s="762">
        <v>0</v>
      </c>
      <c r="CR811" s="762">
        <v>0</v>
      </c>
    </row>
    <row r="812" spans="1:96" s="53" customFormat="1">
      <c r="A812" s="721" t="s">
        <v>3</v>
      </c>
      <c r="B812" s="723">
        <v>41978</v>
      </c>
      <c r="C812" s="721">
        <v>2014</v>
      </c>
      <c r="D812" s="713" t="s">
        <v>1</v>
      </c>
      <c r="E812" s="713" t="s">
        <v>674</v>
      </c>
      <c r="F812" s="723" t="s">
        <v>123</v>
      </c>
      <c r="G812" s="713" t="s">
        <v>58</v>
      </c>
      <c r="H812" s="723" t="s">
        <v>682</v>
      </c>
      <c r="I812" s="713" t="s">
        <v>5</v>
      </c>
      <c r="J812" s="713" t="s">
        <v>376</v>
      </c>
      <c r="K812" s="766">
        <v>2</v>
      </c>
      <c r="L812" s="766" t="s">
        <v>671</v>
      </c>
      <c r="M812" s="765" t="s">
        <v>755</v>
      </c>
      <c r="N812" s="765">
        <v>12</v>
      </c>
      <c r="O812" s="765">
        <v>3</v>
      </c>
      <c r="P812" s="735">
        <v>0.4</v>
      </c>
      <c r="Q812" s="713" t="s">
        <v>58</v>
      </c>
      <c r="R812" s="713" t="s">
        <v>58</v>
      </c>
      <c r="S812" s="713" t="s">
        <v>58</v>
      </c>
      <c r="T812" s="713" t="s">
        <v>58</v>
      </c>
      <c r="U812" s="764">
        <v>0.05</v>
      </c>
      <c r="V812" s="764">
        <v>170.5</v>
      </c>
      <c r="W812" s="764">
        <v>3.9215525962770927E-2</v>
      </c>
      <c r="X812" s="764">
        <v>140.8631762534408</v>
      </c>
      <c r="Y812" s="764">
        <v>929.69696327270935</v>
      </c>
      <c r="Z812" s="764">
        <v>877.51336414674154</v>
      </c>
      <c r="AA812" s="764">
        <v>132.95657032526384</v>
      </c>
      <c r="AB812" s="764">
        <v>3.7040768338582913E-2</v>
      </c>
      <c r="AC812" s="714">
        <v>0.82617698682369967</v>
      </c>
      <c r="AD812" s="714">
        <v>0.7843105192554185</v>
      </c>
      <c r="AE812" s="713" t="s">
        <v>58</v>
      </c>
      <c r="AF812" s="713" t="s">
        <v>58</v>
      </c>
      <c r="AG812" s="713" t="s">
        <v>58</v>
      </c>
      <c r="AH812" s="714">
        <v>0.94387031345969796</v>
      </c>
      <c r="AI812" s="713" t="s">
        <v>58</v>
      </c>
      <c r="AJ812" s="713" t="s">
        <v>58</v>
      </c>
      <c r="AK812" s="713" t="s">
        <v>58</v>
      </c>
      <c r="AL812" s="714">
        <v>0.94454345387965444</v>
      </c>
      <c r="AM812" s="713" t="s">
        <v>58</v>
      </c>
      <c r="AN812" s="713" t="s">
        <v>58</v>
      </c>
      <c r="AO812" s="713" t="s">
        <v>58</v>
      </c>
      <c r="AP812" s="747">
        <v>47</v>
      </c>
      <c r="AQ812" s="747">
        <v>94</v>
      </c>
      <c r="AR812" s="709"/>
      <c r="AS812" s="763">
        <v>0</v>
      </c>
      <c r="AT812" s="763">
        <v>0</v>
      </c>
      <c r="AU812" s="763">
        <v>0</v>
      </c>
      <c r="AV812" s="763">
        <v>3.7040768338582913E-2</v>
      </c>
      <c r="AW812" s="763">
        <v>3.7040768338582913E-2</v>
      </c>
      <c r="AX812" s="763">
        <v>3.7040768338582913E-2</v>
      </c>
      <c r="AY812" s="763">
        <v>1.4816307335433166E-2</v>
      </c>
      <c r="AZ812" s="763">
        <v>1.4816307335433166E-2</v>
      </c>
      <c r="BA812" s="763">
        <v>1.4816307335433166E-2</v>
      </c>
      <c r="BB812" s="763">
        <v>1.4816307335433166E-2</v>
      </c>
      <c r="BC812" s="763">
        <v>1.4816307335433166E-2</v>
      </c>
      <c r="BD812" s="763">
        <v>1.4816307335433166E-2</v>
      </c>
      <c r="BE812" s="763">
        <v>1.4816307335433166E-2</v>
      </c>
      <c r="BF812" s="763">
        <v>1.4816307335433166E-2</v>
      </c>
      <c r="BG812" s="763">
        <v>1.4816307335433166E-2</v>
      </c>
      <c r="BH812" s="763">
        <v>0</v>
      </c>
      <c r="BI812" s="763">
        <v>0</v>
      </c>
      <c r="BJ812" s="763">
        <v>0</v>
      </c>
      <c r="BK812" s="763">
        <v>0</v>
      </c>
      <c r="BL812" s="763">
        <v>0</v>
      </c>
      <c r="BM812" s="763">
        <v>0</v>
      </c>
      <c r="BN812" s="763">
        <v>0</v>
      </c>
      <c r="BO812" s="763">
        <v>0</v>
      </c>
      <c r="BP812" s="763">
        <v>0</v>
      </c>
      <c r="BQ812" s="763">
        <v>0</v>
      </c>
      <c r="BR812" s="763">
        <v>0</v>
      </c>
      <c r="BS812" s="762">
        <v>0</v>
      </c>
      <c r="BT812" s="762">
        <v>0</v>
      </c>
      <c r="BU812" s="762">
        <v>0</v>
      </c>
      <c r="BV812" s="762">
        <v>132.95657032526384</v>
      </c>
      <c r="BW812" s="762">
        <v>132.95657032526384</v>
      </c>
      <c r="BX812" s="762">
        <v>132.95657032526384</v>
      </c>
      <c r="BY812" s="762">
        <v>53.182628130105542</v>
      </c>
      <c r="BZ812" s="762">
        <v>53.182628130105542</v>
      </c>
      <c r="CA812" s="762">
        <v>53.182628130105542</v>
      </c>
      <c r="CB812" s="762">
        <v>53.182628130105542</v>
      </c>
      <c r="CC812" s="762">
        <v>53.182628130105542</v>
      </c>
      <c r="CD812" s="762">
        <v>53.182628130105542</v>
      </c>
      <c r="CE812" s="762">
        <v>53.182628130105542</v>
      </c>
      <c r="CF812" s="762">
        <v>53.182628130105542</v>
      </c>
      <c r="CG812" s="762">
        <v>53.182628130105542</v>
      </c>
      <c r="CH812" s="762">
        <v>0</v>
      </c>
      <c r="CI812" s="762">
        <v>0</v>
      </c>
      <c r="CJ812" s="762">
        <v>0</v>
      </c>
      <c r="CK812" s="762">
        <v>0</v>
      </c>
      <c r="CL812" s="762">
        <v>0</v>
      </c>
      <c r="CM812" s="762">
        <v>0</v>
      </c>
      <c r="CN812" s="762">
        <v>0</v>
      </c>
      <c r="CO812" s="762">
        <v>0</v>
      </c>
      <c r="CP812" s="762">
        <v>0</v>
      </c>
      <c r="CQ812" s="762">
        <v>0</v>
      </c>
      <c r="CR812" s="762">
        <v>0</v>
      </c>
    </row>
    <row r="813" spans="1:96" s="53" customFormat="1">
      <c r="A813" s="721" t="s">
        <v>3</v>
      </c>
      <c r="B813" s="723">
        <v>41978</v>
      </c>
      <c r="C813" s="721">
        <v>2014</v>
      </c>
      <c r="D813" s="713" t="s">
        <v>1</v>
      </c>
      <c r="E813" s="713" t="s">
        <v>674</v>
      </c>
      <c r="F813" s="723" t="s">
        <v>123</v>
      </c>
      <c r="G813" s="713" t="s">
        <v>58</v>
      </c>
      <c r="H813" s="723" t="s">
        <v>675</v>
      </c>
      <c r="I813" s="713" t="s">
        <v>5</v>
      </c>
      <c r="J813" s="713" t="s">
        <v>376</v>
      </c>
      <c r="K813" s="766">
        <v>4</v>
      </c>
      <c r="L813" s="766" t="s">
        <v>671</v>
      </c>
      <c r="M813" s="765" t="s">
        <v>755</v>
      </c>
      <c r="N813" s="765">
        <v>12</v>
      </c>
      <c r="O813" s="765">
        <v>3</v>
      </c>
      <c r="P813" s="735">
        <v>0.36842105263157893</v>
      </c>
      <c r="Q813" s="713" t="s">
        <v>58</v>
      </c>
      <c r="R813" s="713" t="s">
        <v>58</v>
      </c>
      <c r="S813" s="713" t="s">
        <v>58</v>
      </c>
      <c r="T813" s="713" t="s">
        <v>58</v>
      </c>
      <c r="U813" s="764">
        <v>0.22800000000000001</v>
      </c>
      <c r="V813" s="764">
        <v>777.48</v>
      </c>
      <c r="W813" s="764">
        <v>0.17882279839023546</v>
      </c>
      <c r="X813" s="764">
        <v>642.33608371569005</v>
      </c>
      <c r="Y813" s="764">
        <v>4056.8594760990945</v>
      </c>
      <c r="Z813" s="764">
        <v>3829.1492253675983</v>
      </c>
      <c r="AA813" s="764">
        <v>606.28196068320312</v>
      </c>
      <c r="AB813" s="764">
        <v>0.16890590362393812</v>
      </c>
      <c r="AC813" s="714">
        <v>0.82617698682369967</v>
      </c>
      <c r="AD813" s="714">
        <v>0.7843105192554185</v>
      </c>
      <c r="AE813" s="713" t="s">
        <v>58</v>
      </c>
      <c r="AF813" s="713" t="s">
        <v>58</v>
      </c>
      <c r="AG813" s="713" t="s">
        <v>58</v>
      </c>
      <c r="AH813" s="714">
        <v>0.94387031345969796</v>
      </c>
      <c r="AI813" s="713" t="s">
        <v>58</v>
      </c>
      <c r="AJ813" s="713" t="s">
        <v>58</v>
      </c>
      <c r="AK813" s="713" t="s">
        <v>58</v>
      </c>
      <c r="AL813" s="714">
        <v>0.94454345387965444</v>
      </c>
      <c r="AM813" s="713" t="s">
        <v>58</v>
      </c>
      <c r="AN813" s="713" t="s">
        <v>58</v>
      </c>
      <c r="AO813" s="713" t="s">
        <v>58</v>
      </c>
      <c r="AP813" s="747">
        <v>73</v>
      </c>
      <c r="AQ813" s="747">
        <v>292</v>
      </c>
      <c r="AR813" s="709"/>
      <c r="AS813" s="763">
        <v>0</v>
      </c>
      <c r="AT813" s="763">
        <v>0</v>
      </c>
      <c r="AU813" s="763">
        <v>0</v>
      </c>
      <c r="AV813" s="763">
        <v>0.16890590362393812</v>
      </c>
      <c r="AW813" s="763">
        <v>0.16890590362393812</v>
      </c>
      <c r="AX813" s="763">
        <v>0.16890590362393812</v>
      </c>
      <c r="AY813" s="763">
        <v>6.2228490808819301E-2</v>
      </c>
      <c r="AZ813" s="763">
        <v>6.2228490808819301E-2</v>
      </c>
      <c r="BA813" s="763">
        <v>6.2228490808819301E-2</v>
      </c>
      <c r="BB813" s="763">
        <v>6.2228490808819301E-2</v>
      </c>
      <c r="BC813" s="763">
        <v>6.2228490808819301E-2</v>
      </c>
      <c r="BD813" s="763">
        <v>6.2228490808819301E-2</v>
      </c>
      <c r="BE813" s="763">
        <v>6.2228490808819301E-2</v>
      </c>
      <c r="BF813" s="763">
        <v>6.2228490808819301E-2</v>
      </c>
      <c r="BG813" s="763">
        <v>6.2228490808819301E-2</v>
      </c>
      <c r="BH813" s="763">
        <v>0</v>
      </c>
      <c r="BI813" s="763">
        <v>0</v>
      </c>
      <c r="BJ813" s="763">
        <v>0</v>
      </c>
      <c r="BK813" s="763">
        <v>0</v>
      </c>
      <c r="BL813" s="763">
        <v>0</v>
      </c>
      <c r="BM813" s="763">
        <v>0</v>
      </c>
      <c r="BN813" s="763">
        <v>0</v>
      </c>
      <c r="BO813" s="763">
        <v>0</v>
      </c>
      <c r="BP813" s="763">
        <v>0</v>
      </c>
      <c r="BQ813" s="763">
        <v>0</v>
      </c>
      <c r="BR813" s="763">
        <v>0</v>
      </c>
      <c r="BS813" s="762">
        <v>0</v>
      </c>
      <c r="BT813" s="762">
        <v>0</v>
      </c>
      <c r="BU813" s="762">
        <v>0</v>
      </c>
      <c r="BV813" s="762">
        <v>606.28196068320312</v>
      </c>
      <c r="BW813" s="762">
        <v>606.28196068320312</v>
      </c>
      <c r="BX813" s="762">
        <v>606.28196068320312</v>
      </c>
      <c r="BY813" s="762">
        <v>223.36703814644324</v>
      </c>
      <c r="BZ813" s="762">
        <v>223.36703814644324</v>
      </c>
      <c r="CA813" s="762">
        <v>223.36703814644324</v>
      </c>
      <c r="CB813" s="762">
        <v>223.36703814644324</v>
      </c>
      <c r="CC813" s="762">
        <v>223.36703814644324</v>
      </c>
      <c r="CD813" s="762">
        <v>223.36703814644324</v>
      </c>
      <c r="CE813" s="762">
        <v>223.36703814644324</v>
      </c>
      <c r="CF813" s="762">
        <v>223.36703814644324</v>
      </c>
      <c r="CG813" s="762">
        <v>223.36703814644324</v>
      </c>
      <c r="CH813" s="762">
        <v>0</v>
      </c>
      <c r="CI813" s="762">
        <v>0</v>
      </c>
      <c r="CJ813" s="762">
        <v>0</v>
      </c>
      <c r="CK813" s="762">
        <v>0</v>
      </c>
      <c r="CL813" s="762">
        <v>0</v>
      </c>
      <c r="CM813" s="762">
        <v>0</v>
      </c>
      <c r="CN813" s="762">
        <v>0</v>
      </c>
      <c r="CO813" s="762">
        <v>0</v>
      </c>
      <c r="CP813" s="762">
        <v>0</v>
      </c>
      <c r="CQ813" s="762">
        <v>0</v>
      </c>
      <c r="CR813" s="762">
        <v>0</v>
      </c>
    </row>
    <row r="814" spans="1:96" s="53" customFormat="1">
      <c r="A814" s="721" t="s">
        <v>3</v>
      </c>
      <c r="B814" s="723">
        <v>41978</v>
      </c>
      <c r="C814" s="721">
        <v>2014</v>
      </c>
      <c r="D814" s="713" t="s">
        <v>1</v>
      </c>
      <c r="E814" s="713" t="s">
        <v>674</v>
      </c>
      <c r="F814" s="723" t="s">
        <v>123</v>
      </c>
      <c r="G814" s="713" t="s">
        <v>58</v>
      </c>
      <c r="H814" s="723" t="s">
        <v>675</v>
      </c>
      <c r="I814" s="713" t="s">
        <v>5</v>
      </c>
      <c r="J814" s="713" t="s">
        <v>376</v>
      </c>
      <c r="K814" s="766">
        <v>4</v>
      </c>
      <c r="L814" s="766" t="s">
        <v>671</v>
      </c>
      <c r="M814" s="765" t="s">
        <v>755</v>
      </c>
      <c r="N814" s="765">
        <v>12</v>
      </c>
      <c r="O814" s="765">
        <v>3</v>
      </c>
      <c r="P814" s="735">
        <v>0.36842105263157893</v>
      </c>
      <c r="Q814" s="713" t="s">
        <v>58</v>
      </c>
      <c r="R814" s="713" t="s">
        <v>58</v>
      </c>
      <c r="S814" s="713" t="s">
        <v>58</v>
      </c>
      <c r="T814" s="713" t="s">
        <v>58</v>
      </c>
      <c r="U814" s="764">
        <v>0.22800000000000001</v>
      </c>
      <c r="V814" s="764">
        <v>777.48</v>
      </c>
      <c r="W814" s="764">
        <v>0.17882279839023546</v>
      </c>
      <c r="X814" s="764">
        <v>642.33608371569005</v>
      </c>
      <c r="Y814" s="764">
        <v>4056.8594760990945</v>
      </c>
      <c r="Z814" s="764">
        <v>3829.1492253675983</v>
      </c>
      <c r="AA814" s="764">
        <v>606.28196068320312</v>
      </c>
      <c r="AB814" s="764">
        <v>0.16890590362393812</v>
      </c>
      <c r="AC814" s="714">
        <v>0.82617698682369967</v>
      </c>
      <c r="AD814" s="714">
        <v>0.7843105192554185</v>
      </c>
      <c r="AE814" s="713" t="s">
        <v>58</v>
      </c>
      <c r="AF814" s="713" t="s">
        <v>58</v>
      </c>
      <c r="AG814" s="713" t="s">
        <v>58</v>
      </c>
      <c r="AH814" s="714">
        <v>0.94387031345969796</v>
      </c>
      <c r="AI814" s="713" t="s">
        <v>58</v>
      </c>
      <c r="AJ814" s="713" t="s">
        <v>58</v>
      </c>
      <c r="AK814" s="713" t="s">
        <v>58</v>
      </c>
      <c r="AL814" s="714">
        <v>0.94454345387965444</v>
      </c>
      <c r="AM814" s="713" t="s">
        <v>58</v>
      </c>
      <c r="AN814" s="713" t="s">
        <v>58</v>
      </c>
      <c r="AO814" s="713" t="s">
        <v>58</v>
      </c>
      <c r="AP814" s="747">
        <v>73</v>
      </c>
      <c r="AQ814" s="747">
        <v>292</v>
      </c>
      <c r="AR814" s="709"/>
      <c r="AS814" s="763">
        <v>0</v>
      </c>
      <c r="AT814" s="763">
        <v>0</v>
      </c>
      <c r="AU814" s="763">
        <v>0</v>
      </c>
      <c r="AV814" s="763">
        <v>0.16890590362393812</v>
      </c>
      <c r="AW814" s="763">
        <v>0.16890590362393812</v>
      </c>
      <c r="AX814" s="763">
        <v>0.16890590362393812</v>
      </c>
      <c r="AY814" s="763">
        <v>6.2228490808819301E-2</v>
      </c>
      <c r="AZ814" s="763">
        <v>6.2228490808819301E-2</v>
      </c>
      <c r="BA814" s="763">
        <v>6.2228490808819301E-2</v>
      </c>
      <c r="BB814" s="763">
        <v>6.2228490808819301E-2</v>
      </c>
      <c r="BC814" s="763">
        <v>6.2228490808819301E-2</v>
      </c>
      <c r="BD814" s="763">
        <v>6.2228490808819301E-2</v>
      </c>
      <c r="BE814" s="763">
        <v>6.2228490808819301E-2</v>
      </c>
      <c r="BF814" s="763">
        <v>6.2228490808819301E-2</v>
      </c>
      <c r="BG814" s="763">
        <v>6.2228490808819301E-2</v>
      </c>
      <c r="BH814" s="763">
        <v>0</v>
      </c>
      <c r="BI814" s="763">
        <v>0</v>
      </c>
      <c r="BJ814" s="763">
        <v>0</v>
      </c>
      <c r="BK814" s="763">
        <v>0</v>
      </c>
      <c r="BL814" s="763">
        <v>0</v>
      </c>
      <c r="BM814" s="763">
        <v>0</v>
      </c>
      <c r="BN814" s="763">
        <v>0</v>
      </c>
      <c r="BO814" s="763">
        <v>0</v>
      </c>
      <c r="BP814" s="763">
        <v>0</v>
      </c>
      <c r="BQ814" s="763">
        <v>0</v>
      </c>
      <c r="BR814" s="763">
        <v>0</v>
      </c>
      <c r="BS814" s="762">
        <v>0</v>
      </c>
      <c r="BT814" s="762">
        <v>0</v>
      </c>
      <c r="BU814" s="762">
        <v>0</v>
      </c>
      <c r="BV814" s="762">
        <v>606.28196068320312</v>
      </c>
      <c r="BW814" s="762">
        <v>606.28196068320312</v>
      </c>
      <c r="BX814" s="762">
        <v>606.28196068320312</v>
      </c>
      <c r="BY814" s="762">
        <v>223.36703814644324</v>
      </c>
      <c r="BZ814" s="762">
        <v>223.36703814644324</v>
      </c>
      <c r="CA814" s="762">
        <v>223.36703814644324</v>
      </c>
      <c r="CB814" s="762">
        <v>223.36703814644324</v>
      </c>
      <c r="CC814" s="762">
        <v>223.36703814644324</v>
      </c>
      <c r="CD814" s="762">
        <v>223.36703814644324</v>
      </c>
      <c r="CE814" s="762">
        <v>223.36703814644324</v>
      </c>
      <c r="CF814" s="762">
        <v>223.36703814644324</v>
      </c>
      <c r="CG814" s="762">
        <v>223.36703814644324</v>
      </c>
      <c r="CH814" s="762">
        <v>0</v>
      </c>
      <c r="CI814" s="762">
        <v>0</v>
      </c>
      <c r="CJ814" s="762">
        <v>0</v>
      </c>
      <c r="CK814" s="762">
        <v>0</v>
      </c>
      <c r="CL814" s="762">
        <v>0</v>
      </c>
      <c r="CM814" s="762">
        <v>0</v>
      </c>
      <c r="CN814" s="762">
        <v>0</v>
      </c>
      <c r="CO814" s="762">
        <v>0</v>
      </c>
      <c r="CP814" s="762">
        <v>0</v>
      </c>
      <c r="CQ814" s="762">
        <v>0</v>
      </c>
      <c r="CR814" s="762">
        <v>0</v>
      </c>
    </row>
    <row r="815" spans="1:96" s="53" customFormat="1">
      <c r="A815" s="721" t="s">
        <v>3</v>
      </c>
      <c r="B815" s="723">
        <v>41978</v>
      </c>
      <c r="C815" s="721">
        <v>2014</v>
      </c>
      <c r="D815" s="713" t="s">
        <v>1</v>
      </c>
      <c r="E815" s="713" t="s">
        <v>674</v>
      </c>
      <c r="F815" s="723" t="s">
        <v>123</v>
      </c>
      <c r="G815" s="713" t="s">
        <v>58</v>
      </c>
      <c r="H815" s="723" t="s">
        <v>675</v>
      </c>
      <c r="I815" s="713" t="s">
        <v>5</v>
      </c>
      <c r="J815" s="713" t="s">
        <v>376</v>
      </c>
      <c r="K815" s="766">
        <v>1</v>
      </c>
      <c r="L815" s="766" t="s">
        <v>671</v>
      </c>
      <c r="M815" s="765" t="s">
        <v>755</v>
      </c>
      <c r="N815" s="765">
        <v>12</v>
      </c>
      <c r="O815" s="765">
        <v>3</v>
      </c>
      <c r="P815" s="735">
        <v>0.36842105263157893</v>
      </c>
      <c r="Q815" s="713" t="s">
        <v>58</v>
      </c>
      <c r="R815" s="713" t="s">
        <v>58</v>
      </c>
      <c r="S815" s="713" t="s">
        <v>58</v>
      </c>
      <c r="T815" s="713" t="s">
        <v>58</v>
      </c>
      <c r="U815" s="764">
        <v>5.7000000000000002E-2</v>
      </c>
      <c r="V815" s="764">
        <v>194.37</v>
      </c>
      <c r="W815" s="764">
        <v>4.4705699597558865E-2</v>
      </c>
      <c r="X815" s="764">
        <v>160.58402092892251</v>
      </c>
      <c r="Y815" s="764">
        <v>1014.2148690247736</v>
      </c>
      <c r="Z815" s="764">
        <v>957.28730634189958</v>
      </c>
      <c r="AA815" s="764">
        <v>151.57049017080078</v>
      </c>
      <c r="AB815" s="764">
        <v>4.222647590598453E-2</v>
      </c>
      <c r="AC815" s="714">
        <v>0.82617698682369967</v>
      </c>
      <c r="AD815" s="714">
        <v>0.7843105192554185</v>
      </c>
      <c r="AE815" s="713" t="s">
        <v>58</v>
      </c>
      <c r="AF815" s="713" t="s">
        <v>58</v>
      </c>
      <c r="AG815" s="713" t="s">
        <v>58</v>
      </c>
      <c r="AH815" s="714">
        <v>0.94387031345969796</v>
      </c>
      <c r="AI815" s="713" t="s">
        <v>58</v>
      </c>
      <c r="AJ815" s="713" t="s">
        <v>58</v>
      </c>
      <c r="AK815" s="713" t="s">
        <v>58</v>
      </c>
      <c r="AL815" s="714">
        <v>0.94454345387965444</v>
      </c>
      <c r="AM815" s="713" t="s">
        <v>58</v>
      </c>
      <c r="AN815" s="713" t="s">
        <v>58</v>
      </c>
      <c r="AO815" s="713" t="s">
        <v>58</v>
      </c>
      <c r="AP815" s="747">
        <v>17</v>
      </c>
      <c r="AQ815" s="747">
        <v>17</v>
      </c>
      <c r="AR815" s="709"/>
      <c r="AS815" s="763">
        <v>0</v>
      </c>
      <c r="AT815" s="763">
        <v>0</v>
      </c>
      <c r="AU815" s="763">
        <v>0</v>
      </c>
      <c r="AV815" s="763">
        <v>4.222647590598453E-2</v>
      </c>
      <c r="AW815" s="763">
        <v>4.222647590598453E-2</v>
      </c>
      <c r="AX815" s="763">
        <v>4.222647590598453E-2</v>
      </c>
      <c r="AY815" s="763">
        <v>1.5557122702204825E-2</v>
      </c>
      <c r="AZ815" s="763">
        <v>1.5557122702204825E-2</v>
      </c>
      <c r="BA815" s="763">
        <v>1.5557122702204825E-2</v>
      </c>
      <c r="BB815" s="763">
        <v>1.5557122702204825E-2</v>
      </c>
      <c r="BC815" s="763">
        <v>1.5557122702204825E-2</v>
      </c>
      <c r="BD815" s="763">
        <v>1.5557122702204825E-2</v>
      </c>
      <c r="BE815" s="763">
        <v>1.5557122702204825E-2</v>
      </c>
      <c r="BF815" s="763">
        <v>1.5557122702204825E-2</v>
      </c>
      <c r="BG815" s="763">
        <v>1.5557122702204825E-2</v>
      </c>
      <c r="BH815" s="763">
        <v>0</v>
      </c>
      <c r="BI815" s="763">
        <v>0</v>
      </c>
      <c r="BJ815" s="763">
        <v>0</v>
      </c>
      <c r="BK815" s="763">
        <v>0</v>
      </c>
      <c r="BL815" s="763">
        <v>0</v>
      </c>
      <c r="BM815" s="763">
        <v>0</v>
      </c>
      <c r="BN815" s="763">
        <v>0</v>
      </c>
      <c r="BO815" s="763">
        <v>0</v>
      </c>
      <c r="BP815" s="763">
        <v>0</v>
      </c>
      <c r="BQ815" s="763">
        <v>0</v>
      </c>
      <c r="BR815" s="763">
        <v>0</v>
      </c>
      <c r="BS815" s="762">
        <v>0</v>
      </c>
      <c r="BT815" s="762">
        <v>0</v>
      </c>
      <c r="BU815" s="762">
        <v>0</v>
      </c>
      <c r="BV815" s="762">
        <v>151.57049017080078</v>
      </c>
      <c r="BW815" s="762">
        <v>151.57049017080078</v>
      </c>
      <c r="BX815" s="762">
        <v>151.57049017080078</v>
      </c>
      <c r="BY815" s="762">
        <v>55.841759536610809</v>
      </c>
      <c r="BZ815" s="762">
        <v>55.841759536610809</v>
      </c>
      <c r="CA815" s="762">
        <v>55.841759536610809</v>
      </c>
      <c r="CB815" s="762">
        <v>55.841759536610809</v>
      </c>
      <c r="CC815" s="762">
        <v>55.841759536610809</v>
      </c>
      <c r="CD815" s="762">
        <v>55.841759536610809</v>
      </c>
      <c r="CE815" s="762">
        <v>55.841759536610809</v>
      </c>
      <c r="CF815" s="762">
        <v>55.841759536610809</v>
      </c>
      <c r="CG815" s="762">
        <v>55.841759536610809</v>
      </c>
      <c r="CH815" s="762">
        <v>0</v>
      </c>
      <c r="CI815" s="762">
        <v>0</v>
      </c>
      <c r="CJ815" s="762">
        <v>0</v>
      </c>
      <c r="CK815" s="762">
        <v>0</v>
      </c>
      <c r="CL815" s="762">
        <v>0</v>
      </c>
      <c r="CM815" s="762">
        <v>0</v>
      </c>
      <c r="CN815" s="762">
        <v>0</v>
      </c>
      <c r="CO815" s="762">
        <v>0</v>
      </c>
      <c r="CP815" s="762">
        <v>0</v>
      </c>
      <c r="CQ815" s="762">
        <v>0</v>
      </c>
      <c r="CR815" s="762">
        <v>0</v>
      </c>
    </row>
    <row r="816" spans="1:96" s="53" customFormat="1">
      <c r="A816" s="721" t="s">
        <v>3</v>
      </c>
      <c r="B816" s="723">
        <v>41978</v>
      </c>
      <c r="C816" s="721">
        <v>2014</v>
      </c>
      <c r="D816" s="713" t="s">
        <v>1</v>
      </c>
      <c r="E816" s="713" t="s">
        <v>674</v>
      </c>
      <c r="F816" s="723" t="s">
        <v>123</v>
      </c>
      <c r="G816" s="713" t="s">
        <v>58</v>
      </c>
      <c r="H816" s="723" t="s">
        <v>734</v>
      </c>
      <c r="I816" s="713" t="s">
        <v>5</v>
      </c>
      <c r="J816" s="713" t="s">
        <v>376</v>
      </c>
      <c r="K816" s="766">
        <v>1</v>
      </c>
      <c r="L816" s="766" t="s">
        <v>671</v>
      </c>
      <c r="M816" s="765" t="s">
        <v>755</v>
      </c>
      <c r="N816" s="765">
        <v>0</v>
      </c>
      <c r="O816" s="765">
        <v>0</v>
      </c>
      <c r="P816" s="735">
        <v>0</v>
      </c>
      <c r="Q816" s="713" t="s">
        <v>58</v>
      </c>
      <c r="R816" s="713" t="s">
        <v>58</v>
      </c>
      <c r="S816" s="713" t="s">
        <v>58</v>
      </c>
      <c r="T816" s="713" t="s">
        <v>58</v>
      </c>
      <c r="U816" s="764">
        <v>0</v>
      </c>
      <c r="V816" s="764">
        <v>0</v>
      </c>
      <c r="W816" s="764">
        <v>0</v>
      </c>
      <c r="X816" s="764">
        <v>0</v>
      </c>
      <c r="Y816" s="764">
        <v>0</v>
      </c>
      <c r="Z816" s="764">
        <v>0</v>
      </c>
      <c r="AA816" s="764">
        <v>0</v>
      </c>
      <c r="AB816" s="764">
        <v>0</v>
      </c>
      <c r="AC816" s="714">
        <v>0.82617698682369967</v>
      </c>
      <c r="AD816" s="714">
        <v>0.7843105192554185</v>
      </c>
      <c r="AE816" s="713" t="s">
        <v>58</v>
      </c>
      <c r="AF816" s="713" t="s">
        <v>58</v>
      </c>
      <c r="AG816" s="713" t="s">
        <v>58</v>
      </c>
      <c r="AH816" s="714">
        <v>0.94387031345969796</v>
      </c>
      <c r="AI816" s="713" t="s">
        <v>58</v>
      </c>
      <c r="AJ816" s="713" t="s">
        <v>58</v>
      </c>
      <c r="AK816" s="713" t="s">
        <v>58</v>
      </c>
      <c r="AL816" s="714">
        <v>0.94454345387965444</v>
      </c>
      <c r="AM816" s="713" t="s">
        <v>58</v>
      </c>
      <c r="AN816" s="713" t="s">
        <v>58</v>
      </c>
      <c r="AO816" s="713" t="s">
        <v>58</v>
      </c>
      <c r="AP816" s="747">
        <v>150</v>
      </c>
      <c r="AQ816" s="747">
        <v>150</v>
      </c>
      <c r="AR816" s="709"/>
      <c r="AS816" s="763">
        <v>0</v>
      </c>
      <c r="AT816" s="763">
        <v>0</v>
      </c>
      <c r="AU816" s="763">
        <v>0</v>
      </c>
      <c r="AV816" s="763">
        <v>0</v>
      </c>
      <c r="AW816" s="763">
        <v>0</v>
      </c>
      <c r="AX816" s="763">
        <v>0</v>
      </c>
      <c r="AY816" s="763">
        <v>0</v>
      </c>
      <c r="AZ816" s="763">
        <v>0</v>
      </c>
      <c r="BA816" s="763">
        <v>0</v>
      </c>
      <c r="BB816" s="763">
        <v>0</v>
      </c>
      <c r="BC816" s="763">
        <v>0</v>
      </c>
      <c r="BD816" s="763">
        <v>0</v>
      </c>
      <c r="BE816" s="763">
        <v>0</v>
      </c>
      <c r="BF816" s="763">
        <v>0</v>
      </c>
      <c r="BG816" s="763">
        <v>0</v>
      </c>
      <c r="BH816" s="763">
        <v>0</v>
      </c>
      <c r="BI816" s="763">
        <v>0</v>
      </c>
      <c r="BJ816" s="763">
        <v>0</v>
      </c>
      <c r="BK816" s="763">
        <v>0</v>
      </c>
      <c r="BL816" s="763">
        <v>0</v>
      </c>
      <c r="BM816" s="763">
        <v>0</v>
      </c>
      <c r="BN816" s="763">
        <v>0</v>
      </c>
      <c r="BO816" s="763">
        <v>0</v>
      </c>
      <c r="BP816" s="763">
        <v>0</v>
      </c>
      <c r="BQ816" s="763">
        <v>0</v>
      </c>
      <c r="BR816" s="763">
        <v>0</v>
      </c>
      <c r="BS816" s="762">
        <v>0</v>
      </c>
      <c r="BT816" s="762">
        <v>0</v>
      </c>
      <c r="BU816" s="762">
        <v>0</v>
      </c>
      <c r="BV816" s="762">
        <v>0</v>
      </c>
      <c r="BW816" s="762">
        <v>0</v>
      </c>
      <c r="BX816" s="762">
        <v>0</v>
      </c>
      <c r="BY816" s="762">
        <v>0</v>
      </c>
      <c r="BZ816" s="762">
        <v>0</v>
      </c>
      <c r="CA816" s="762">
        <v>0</v>
      </c>
      <c r="CB816" s="762">
        <v>0</v>
      </c>
      <c r="CC816" s="762">
        <v>0</v>
      </c>
      <c r="CD816" s="762">
        <v>0</v>
      </c>
      <c r="CE816" s="762">
        <v>0</v>
      </c>
      <c r="CF816" s="762">
        <v>0</v>
      </c>
      <c r="CG816" s="762">
        <v>0</v>
      </c>
      <c r="CH816" s="762">
        <v>0</v>
      </c>
      <c r="CI816" s="762">
        <v>0</v>
      </c>
      <c r="CJ816" s="762">
        <v>0</v>
      </c>
      <c r="CK816" s="762">
        <v>0</v>
      </c>
      <c r="CL816" s="762">
        <v>0</v>
      </c>
      <c r="CM816" s="762">
        <v>0</v>
      </c>
      <c r="CN816" s="762">
        <v>0</v>
      </c>
      <c r="CO816" s="762">
        <v>0</v>
      </c>
      <c r="CP816" s="762">
        <v>0</v>
      </c>
      <c r="CQ816" s="762">
        <v>0</v>
      </c>
      <c r="CR816" s="762">
        <v>0</v>
      </c>
    </row>
    <row r="817" spans="1:96" s="53" customFormat="1">
      <c r="A817" s="721" t="s">
        <v>3</v>
      </c>
      <c r="B817" s="723">
        <v>41751</v>
      </c>
      <c r="C817" s="721">
        <v>2014</v>
      </c>
      <c r="D817" s="713" t="s">
        <v>1</v>
      </c>
      <c r="E817" s="713" t="s">
        <v>674</v>
      </c>
      <c r="F817" s="723" t="s">
        <v>673</v>
      </c>
      <c r="G817" s="713" t="s">
        <v>58</v>
      </c>
      <c r="H817" s="723" t="s">
        <v>754</v>
      </c>
      <c r="I817" s="713" t="s">
        <v>5</v>
      </c>
      <c r="J817" s="713" t="s">
        <v>376</v>
      </c>
      <c r="K817" s="766">
        <v>1</v>
      </c>
      <c r="L817" s="766" t="s">
        <v>671</v>
      </c>
      <c r="M817" s="765" t="s">
        <v>753</v>
      </c>
      <c r="N817" s="765">
        <v>3</v>
      </c>
      <c r="O817" s="765" t="s">
        <v>7</v>
      </c>
      <c r="P817" s="735">
        <v>1</v>
      </c>
      <c r="Q817" s="713" t="s">
        <v>58</v>
      </c>
      <c r="R817" s="713" t="s">
        <v>58</v>
      </c>
      <c r="S817" s="713" t="s">
        <v>58</v>
      </c>
      <c r="T817" s="713" t="s">
        <v>58</v>
      </c>
      <c r="U817" s="764">
        <v>5.8500000000000003E-2</v>
      </c>
      <c r="V817" s="764">
        <v>180.297</v>
      </c>
      <c r="W817" s="764">
        <v>4.5882165376441991E-2</v>
      </c>
      <c r="X817" s="764">
        <v>148.95723219335258</v>
      </c>
      <c r="Y817" s="764">
        <v>446.87169658005774</v>
      </c>
      <c r="Z817" s="764">
        <v>421.78892832728616</v>
      </c>
      <c r="AA817" s="764">
        <v>140.59630944242872</v>
      </c>
      <c r="AB817" s="764">
        <v>4.3337698956142014E-2</v>
      </c>
      <c r="AC817" s="714">
        <v>0.82617698682369967</v>
      </c>
      <c r="AD817" s="714">
        <v>0.7843105192554185</v>
      </c>
      <c r="AE817" s="713" t="s">
        <v>58</v>
      </c>
      <c r="AF817" s="713" t="s">
        <v>58</v>
      </c>
      <c r="AG817" s="713" t="s">
        <v>58</v>
      </c>
      <c r="AH817" s="714">
        <v>0.94387031345969796</v>
      </c>
      <c r="AI817" s="713" t="s">
        <v>58</v>
      </c>
      <c r="AJ817" s="713" t="s">
        <v>58</v>
      </c>
      <c r="AK817" s="713" t="s">
        <v>58</v>
      </c>
      <c r="AL817" s="714">
        <v>0.94454345387965444</v>
      </c>
      <c r="AM817" s="713" t="s">
        <v>58</v>
      </c>
      <c r="AN817" s="713" t="s">
        <v>58</v>
      </c>
      <c r="AO817" s="713" t="s">
        <v>58</v>
      </c>
      <c r="AP817" s="747">
        <v>17</v>
      </c>
      <c r="AQ817" s="747">
        <v>17</v>
      </c>
      <c r="AR817" s="709"/>
      <c r="AS817" s="763">
        <v>0</v>
      </c>
      <c r="AT817" s="763">
        <v>0</v>
      </c>
      <c r="AU817" s="763">
        <v>0</v>
      </c>
      <c r="AV817" s="763">
        <v>4.3337698956142014E-2</v>
      </c>
      <c r="AW817" s="763">
        <v>4.3337698956142014E-2</v>
      </c>
      <c r="AX817" s="763">
        <v>4.3337698956142014E-2</v>
      </c>
      <c r="AY817" s="763">
        <v>0</v>
      </c>
      <c r="AZ817" s="763">
        <v>0</v>
      </c>
      <c r="BA817" s="763">
        <v>0</v>
      </c>
      <c r="BB817" s="763">
        <v>0</v>
      </c>
      <c r="BC817" s="763">
        <v>0</v>
      </c>
      <c r="BD817" s="763">
        <v>0</v>
      </c>
      <c r="BE817" s="763">
        <v>0</v>
      </c>
      <c r="BF817" s="763">
        <v>0</v>
      </c>
      <c r="BG817" s="763">
        <v>0</v>
      </c>
      <c r="BH817" s="763">
        <v>0</v>
      </c>
      <c r="BI817" s="763">
        <v>0</v>
      </c>
      <c r="BJ817" s="763">
        <v>0</v>
      </c>
      <c r="BK817" s="763">
        <v>0</v>
      </c>
      <c r="BL817" s="763">
        <v>0</v>
      </c>
      <c r="BM817" s="763">
        <v>0</v>
      </c>
      <c r="BN817" s="763">
        <v>0</v>
      </c>
      <c r="BO817" s="763">
        <v>0</v>
      </c>
      <c r="BP817" s="763">
        <v>0</v>
      </c>
      <c r="BQ817" s="763">
        <v>0</v>
      </c>
      <c r="BR817" s="763">
        <v>0</v>
      </c>
      <c r="BS817" s="762">
        <v>0</v>
      </c>
      <c r="BT817" s="762">
        <v>0</v>
      </c>
      <c r="BU817" s="762">
        <v>0</v>
      </c>
      <c r="BV817" s="762">
        <v>140.59630944242872</v>
      </c>
      <c r="BW817" s="762">
        <v>140.59630944242872</v>
      </c>
      <c r="BX817" s="762">
        <v>140.59630944242872</v>
      </c>
      <c r="BY817" s="762">
        <v>0</v>
      </c>
      <c r="BZ817" s="762">
        <v>0</v>
      </c>
      <c r="CA817" s="762">
        <v>0</v>
      </c>
      <c r="CB817" s="762">
        <v>0</v>
      </c>
      <c r="CC817" s="762">
        <v>0</v>
      </c>
      <c r="CD817" s="762">
        <v>0</v>
      </c>
      <c r="CE817" s="762">
        <v>0</v>
      </c>
      <c r="CF817" s="762">
        <v>0</v>
      </c>
      <c r="CG817" s="762">
        <v>0</v>
      </c>
      <c r="CH817" s="762">
        <v>0</v>
      </c>
      <c r="CI817" s="762">
        <v>0</v>
      </c>
      <c r="CJ817" s="762">
        <v>0</v>
      </c>
      <c r="CK817" s="762">
        <v>0</v>
      </c>
      <c r="CL817" s="762">
        <v>0</v>
      </c>
      <c r="CM817" s="762">
        <v>0</v>
      </c>
      <c r="CN817" s="762">
        <v>0</v>
      </c>
      <c r="CO817" s="762">
        <v>0</v>
      </c>
      <c r="CP817" s="762">
        <v>0</v>
      </c>
      <c r="CQ817" s="762">
        <v>0</v>
      </c>
      <c r="CR817" s="762">
        <v>0</v>
      </c>
    </row>
    <row r="818" spans="1:96" s="53" customFormat="1">
      <c r="A818" s="721" t="s">
        <v>3</v>
      </c>
      <c r="B818" s="723">
        <v>41751</v>
      </c>
      <c r="C818" s="721">
        <v>2014</v>
      </c>
      <c r="D818" s="713" t="s">
        <v>1</v>
      </c>
      <c r="E818" s="713" t="s">
        <v>674</v>
      </c>
      <c r="F818" s="723" t="s">
        <v>673</v>
      </c>
      <c r="G818" s="713" t="s">
        <v>58</v>
      </c>
      <c r="H818" s="723" t="s">
        <v>677</v>
      </c>
      <c r="I818" s="713" t="s">
        <v>5</v>
      </c>
      <c r="J818" s="713" t="s">
        <v>376</v>
      </c>
      <c r="K818" s="766">
        <v>1</v>
      </c>
      <c r="L818" s="766" t="s">
        <v>671</v>
      </c>
      <c r="M818" s="765" t="s">
        <v>753</v>
      </c>
      <c r="N818" s="765">
        <v>0</v>
      </c>
      <c r="O818" s="765">
        <v>0</v>
      </c>
      <c r="P818" s="735">
        <v>0</v>
      </c>
      <c r="Q818" s="713" t="s">
        <v>58</v>
      </c>
      <c r="R818" s="713" t="s">
        <v>58</v>
      </c>
      <c r="S818" s="713" t="s">
        <v>58</v>
      </c>
      <c r="T818" s="713" t="s">
        <v>58</v>
      </c>
      <c r="U818" s="764">
        <v>0</v>
      </c>
      <c r="V818" s="764">
        <v>0</v>
      </c>
      <c r="W818" s="764">
        <v>0</v>
      </c>
      <c r="X818" s="764">
        <v>0</v>
      </c>
      <c r="Y818" s="764">
        <v>0</v>
      </c>
      <c r="Z818" s="764">
        <v>0</v>
      </c>
      <c r="AA818" s="764">
        <v>0</v>
      </c>
      <c r="AB818" s="764">
        <v>0</v>
      </c>
      <c r="AC818" s="714">
        <v>0.82617698682369967</v>
      </c>
      <c r="AD818" s="714">
        <v>0.7843105192554185</v>
      </c>
      <c r="AE818" s="713" t="s">
        <v>58</v>
      </c>
      <c r="AF818" s="713" t="s">
        <v>58</v>
      </c>
      <c r="AG818" s="713" t="s">
        <v>58</v>
      </c>
      <c r="AH818" s="714">
        <v>0.94387031345969796</v>
      </c>
      <c r="AI818" s="713" t="s">
        <v>58</v>
      </c>
      <c r="AJ818" s="713" t="s">
        <v>58</v>
      </c>
      <c r="AK818" s="713" t="s">
        <v>58</v>
      </c>
      <c r="AL818" s="714">
        <v>0.94454345387965444</v>
      </c>
      <c r="AM818" s="713" t="s">
        <v>58</v>
      </c>
      <c r="AN818" s="713" t="s">
        <v>58</v>
      </c>
      <c r="AO818" s="713" t="s">
        <v>58</v>
      </c>
      <c r="AP818" s="747">
        <v>51</v>
      </c>
      <c r="AQ818" s="747">
        <v>51</v>
      </c>
      <c r="AR818" s="709"/>
      <c r="AS818" s="763">
        <v>0</v>
      </c>
      <c r="AT818" s="763">
        <v>0</v>
      </c>
      <c r="AU818" s="763">
        <v>0</v>
      </c>
      <c r="AV818" s="763">
        <v>0</v>
      </c>
      <c r="AW818" s="763">
        <v>0</v>
      </c>
      <c r="AX818" s="763">
        <v>0</v>
      </c>
      <c r="AY818" s="763">
        <v>0</v>
      </c>
      <c r="AZ818" s="763">
        <v>0</v>
      </c>
      <c r="BA818" s="763">
        <v>0</v>
      </c>
      <c r="BB818" s="763">
        <v>0</v>
      </c>
      <c r="BC818" s="763">
        <v>0</v>
      </c>
      <c r="BD818" s="763">
        <v>0</v>
      </c>
      <c r="BE818" s="763">
        <v>0</v>
      </c>
      <c r="BF818" s="763">
        <v>0</v>
      </c>
      <c r="BG818" s="763">
        <v>0</v>
      </c>
      <c r="BH818" s="763">
        <v>0</v>
      </c>
      <c r="BI818" s="763">
        <v>0</v>
      </c>
      <c r="BJ818" s="763">
        <v>0</v>
      </c>
      <c r="BK818" s="763">
        <v>0</v>
      </c>
      <c r="BL818" s="763">
        <v>0</v>
      </c>
      <c r="BM818" s="763">
        <v>0</v>
      </c>
      <c r="BN818" s="763">
        <v>0</v>
      </c>
      <c r="BO818" s="763">
        <v>0</v>
      </c>
      <c r="BP818" s="763">
        <v>0</v>
      </c>
      <c r="BQ818" s="763">
        <v>0</v>
      </c>
      <c r="BR818" s="763">
        <v>0</v>
      </c>
      <c r="BS818" s="762">
        <v>0</v>
      </c>
      <c r="BT818" s="762">
        <v>0</v>
      </c>
      <c r="BU818" s="762">
        <v>0</v>
      </c>
      <c r="BV818" s="762">
        <v>0</v>
      </c>
      <c r="BW818" s="762">
        <v>0</v>
      </c>
      <c r="BX818" s="762">
        <v>0</v>
      </c>
      <c r="BY818" s="762">
        <v>0</v>
      </c>
      <c r="BZ818" s="762">
        <v>0</v>
      </c>
      <c r="CA818" s="762">
        <v>0</v>
      </c>
      <c r="CB818" s="762">
        <v>0</v>
      </c>
      <c r="CC818" s="762">
        <v>0</v>
      </c>
      <c r="CD818" s="762">
        <v>0</v>
      </c>
      <c r="CE818" s="762">
        <v>0</v>
      </c>
      <c r="CF818" s="762">
        <v>0</v>
      </c>
      <c r="CG818" s="762">
        <v>0</v>
      </c>
      <c r="CH818" s="762">
        <v>0</v>
      </c>
      <c r="CI818" s="762">
        <v>0</v>
      </c>
      <c r="CJ818" s="762">
        <v>0</v>
      </c>
      <c r="CK818" s="762">
        <v>0</v>
      </c>
      <c r="CL818" s="762">
        <v>0</v>
      </c>
      <c r="CM818" s="762">
        <v>0</v>
      </c>
      <c r="CN818" s="762">
        <v>0</v>
      </c>
      <c r="CO818" s="762">
        <v>0</v>
      </c>
      <c r="CP818" s="762">
        <v>0</v>
      </c>
      <c r="CQ818" s="762">
        <v>0</v>
      </c>
      <c r="CR818" s="762">
        <v>0</v>
      </c>
    </row>
    <row r="819" spans="1:96" s="53" customFormat="1">
      <c r="A819" s="721" t="s">
        <v>3</v>
      </c>
      <c r="B819" s="723">
        <v>41751</v>
      </c>
      <c r="C819" s="721">
        <v>2014</v>
      </c>
      <c r="D819" s="713" t="s">
        <v>1</v>
      </c>
      <c r="E819" s="713" t="s">
        <v>674</v>
      </c>
      <c r="F819" s="723" t="s">
        <v>673</v>
      </c>
      <c r="G819" s="713" t="s">
        <v>58</v>
      </c>
      <c r="H819" s="723" t="s">
        <v>712</v>
      </c>
      <c r="I819" s="713" t="s">
        <v>5</v>
      </c>
      <c r="J819" s="713" t="s">
        <v>376</v>
      </c>
      <c r="K819" s="766">
        <v>1</v>
      </c>
      <c r="L819" s="766" t="s">
        <v>671</v>
      </c>
      <c r="M819" s="765" t="s">
        <v>753</v>
      </c>
      <c r="N819" s="765">
        <v>0</v>
      </c>
      <c r="O819" s="765">
        <v>0</v>
      </c>
      <c r="P819" s="735">
        <v>0</v>
      </c>
      <c r="Q819" s="713" t="s">
        <v>58</v>
      </c>
      <c r="R819" s="713" t="s">
        <v>58</v>
      </c>
      <c r="S819" s="713" t="s">
        <v>58</v>
      </c>
      <c r="T819" s="713" t="s">
        <v>58</v>
      </c>
      <c r="U819" s="764">
        <v>0</v>
      </c>
      <c r="V819" s="764">
        <v>0</v>
      </c>
      <c r="W819" s="764">
        <v>0</v>
      </c>
      <c r="X819" s="764">
        <v>0</v>
      </c>
      <c r="Y819" s="764">
        <v>0</v>
      </c>
      <c r="Z819" s="764">
        <v>0</v>
      </c>
      <c r="AA819" s="764">
        <v>0</v>
      </c>
      <c r="AB819" s="764">
        <v>0</v>
      </c>
      <c r="AC819" s="714">
        <v>0.82617698682369967</v>
      </c>
      <c r="AD819" s="714">
        <v>0.7843105192554185</v>
      </c>
      <c r="AE819" s="713" t="s">
        <v>58</v>
      </c>
      <c r="AF819" s="713" t="s">
        <v>58</v>
      </c>
      <c r="AG819" s="713" t="s">
        <v>58</v>
      </c>
      <c r="AH819" s="714">
        <v>0.94387031345969796</v>
      </c>
      <c r="AI819" s="713" t="s">
        <v>58</v>
      </c>
      <c r="AJ819" s="713" t="s">
        <v>58</v>
      </c>
      <c r="AK819" s="713" t="s">
        <v>58</v>
      </c>
      <c r="AL819" s="714">
        <v>0.94454345387965444</v>
      </c>
      <c r="AM819" s="713" t="s">
        <v>58</v>
      </c>
      <c r="AN819" s="713" t="s">
        <v>58</v>
      </c>
      <c r="AO819" s="713" t="s">
        <v>58</v>
      </c>
      <c r="AP819" s="747">
        <v>0</v>
      </c>
      <c r="AQ819" s="747">
        <v>0</v>
      </c>
      <c r="AR819" s="709"/>
      <c r="AS819" s="763">
        <v>0</v>
      </c>
      <c r="AT819" s="763">
        <v>0</v>
      </c>
      <c r="AU819" s="763">
        <v>0</v>
      </c>
      <c r="AV819" s="763">
        <v>0</v>
      </c>
      <c r="AW819" s="763">
        <v>0</v>
      </c>
      <c r="AX819" s="763">
        <v>0</v>
      </c>
      <c r="AY819" s="763">
        <v>0</v>
      </c>
      <c r="AZ819" s="763">
        <v>0</v>
      </c>
      <c r="BA819" s="763">
        <v>0</v>
      </c>
      <c r="BB819" s="763">
        <v>0</v>
      </c>
      <c r="BC819" s="763">
        <v>0</v>
      </c>
      <c r="BD819" s="763">
        <v>0</v>
      </c>
      <c r="BE819" s="763">
        <v>0</v>
      </c>
      <c r="BF819" s="763">
        <v>0</v>
      </c>
      <c r="BG819" s="763">
        <v>0</v>
      </c>
      <c r="BH819" s="763">
        <v>0</v>
      </c>
      <c r="BI819" s="763">
        <v>0</v>
      </c>
      <c r="BJ819" s="763">
        <v>0</v>
      </c>
      <c r="BK819" s="763">
        <v>0</v>
      </c>
      <c r="BL819" s="763">
        <v>0</v>
      </c>
      <c r="BM819" s="763">
        <v>0</v>
      </c>
      <c r="BN819" s="763">
        <v>0</v>
      </c>
      <c r="BO819" s="763">
        <v>0</v>
      </c>
      <c r="BP819" s="763">
        <v>0</v>
      </c>
      <c r="BQ819" s="763">
        <v>0</v>
      </c>
      <c r="BR819" s="763">
        <v>0</v>
      </c>
      <c r="BS819" s="762">
        <v>0</v>
      </c>
      <c r="BT819" s="762">
        <v>0</v>
      </c>
      <c r="BU819" s="762">
        <v>0</v>
      </c>
      <c r="BV819" s="762">
        <v>0</v>
      </c>
      <c r="BW819" s="762">
        <v>0</v>
      </c>
      <c r="BX819" s="762">
        <v>0</v>
      </c>
      <c r="BY819" s="762">
        <v>0</v>
      </c>
      <c r="BZ819" s="762">
        <v>0</v>
      </c>
      <c r="CA819" s="762">
        <v>0</v>
      </c>
      <c r="CB819" s="762">
        <v>0</v>
      </c>
      <c r="CC819" s="762">
        <v>0</v>
      </c>
      <c r="CD819" s="762">
        <v>0</v>
      </c>
      <c r="CE819" s="762">
        <v>0</v>
      </c>
      <c r="CF819" s="762">
        <v>0</v>
      </c>
      <c r="CG819" s="762">
        <v>0</v>
      </c>
      <c r="CH819" s="762">
        <v>0</v>
      </c>
      <c r="CI819" s="762">
        <v>0</v>
      </c>
      <c r="CJ819" s="762">
        <v>0</v>
      </c>
      <c r="CK819" s="762">
        <v>0</v>
      </c>
      <c r="CL819" s="762">
        <v>0</v>
      </c>
      <c r="CM819" s="762">
        <v>0</v>
      </c>
      <c r="CN819" s="762">
        <v>0</v>
      </c>
      <c r="CO819" s="762">
        <v>0</v>
      </c>
      <c r="CP819" s="762">
        <v>0</v>
      </c>
      <c r="CQ819" s="762">
        <v>0</v>
      </c>
      <c r="CR819" s="762">
        <v>0</v>
      </c>
    </row>
    <row r="820" spans="1:96" s="53" customFormat="1">
      <c r="A820" s="721" t="s">
        <v>3</v>
      </c>
      <c r="B820" s="723">
        <v>41751</v>
      </c>
      <c r="C820" s="721">
        <v>2014</v>
      </c>
      <c r="D820" s="713" t="s">
        <v>1</v>
      </c>
      <c r="E820" s="713" t="s">
        <v>674</v>
      </c>
      <c r="F820" s="723" t="s">
        <v>673</v>
      </c>
      <c r="G820" s="713" t="s">
        <v>58</v>
      </c>
      <c r="H820" s="723" t="s">
        <v>675</v>
      </c>
      <c r="I820" s="713" t="s">
        <v>5</v>
      </c>
      <c r="J820" s="713" t="s">
        <v>376</v>
      </c>
      <c r="K820" s="766">
        <v>9</v>
      </c>
      <c r="L820" s="766" t="s">
        <v>671</v>
      </c>
      <c r="M820" s="765" t="s">
        <v>753</v>
      </c>
      <c r="N820" s="765">
        <v>12</v>
      </c>
      <c r="O820" s="765">
        <v>3</v>
      </c>
      <c r="P820" s="735">
        <v>0.36842105263157893</v>
      </c>
      <c r="Q820" s="713" t="s">
        <v>58</v>
      </c>
      <c r="R820" s="713" t="s">
        <v>58</v>
      </c>
      <c r="S820" s="713" t="s">
        <v>58</v>
      </c>
      <c r="T820" s="713" t="s">
        <v>58</v>
      </c>
      <c r="U820" s="764">
        <v>0.51300000000000001</v>
      </c>
      <c r="V820" s="764">
        <v>1330.722</v>
      </c>
      <c r="W820" s="764">
        <v>0.40235129637802974</v>
      </c>
      <c r="X820" s="764">
        <v>1099.4118922600073</v>
      </c>
      <c r="Y820" s="764">
        <v>6943.6540563789931</v>
      </c>
      <c r="Z820" s="764">
        <v>6553.9089307501436</v>
      </c>
      <c r="AA820" s="764">
        <v>1037.7022473687728</v>
      </c>
      <c r="AB820" s="764">
        <v>0.38003828315386073</v>
      </c>
      <c r="AC820" s="714">
        <v>0.82617698682369967</v>
      </c>
      <c r="AD820" s="714">
        <v>0.7843105192554185</v>
      </c>
      <c r="AE820" s="713" t="s">
        <v>58</v>
      </c>
      <c r="AF820" s="713" t="s">
        <v>58</v>
      </c>
      <c r="AG820" s="713" t="s">
        <v>58</v>
      </c>
      <c r="AH820" s="714">
        <v>0.94387031345969796</v>
      </c>
      <c r="AI820" s="713" t="s">
        <v>58</v>
      </c>
      <c r="AJ820" s="713" t="s">
        <v>58</v>
      </c>
      <c r="AK820" s="713" t="s">
        <v>58</v>
      </c>
      <c r="AL820" s="714">
        <v>0.94454345387965444</v>
      </c>
      <c r="AM820" s="713" t="s">
        <v>58</v>
      </c>
      <c r="AN820" s="713" t="s">
        <v>58</v>
      </c>
      <c r="AO820" s="713" t="s">
        <v>58</v>
      </c>
      <c r="AP820" s="747">
        <v>73</v>
      </c>
      <c r="AQ820" s="747">
        <v>657</v>
      </c>
      <c r="AR820" s="709"/>
      <c r="AS820" s="763">
        <v>0</v>
      </c>
      <c r="AT820" s="763">
        <v>0</v>
      </c>
      <c r="AU820" s="763">
        <v>0</v>
      </c>
      <c r="AV820" s="763">
        <v>0.38003828315386073</v>
      </c>
      <c r="AW820" s="763">
        <v>0.38003828315386073</v>
      </c>
      <c r="AX820" s="763">
        <v>0.38003828315386073</v>
      </c>
      <c r="AY820" s="763">
        <v>0.14001410431984343</v>
      </c>
      <c r="AZ820" s="763">
        <v>0.14001410431984343</v>
      </c>
      <c r="BA820" s="763">
        <v>0.14001410431984343</v>
      </c>
      <c r="BB820" s="763">
        <v>0.14001410431984343</v>
      </c>
      <c r="BC820" s="763">
        <v>0.14001410431984343</v>
      </c>
      <c r="BD820" s="763">
        <v>0.14001410431984343</v>
      </c>
      <c r="BE820" s="763">
        <v>0.14001410431984343</v>
      </c>
      <c r="BF820" s="763">
        <v>0.14001410431984343</v>
      </c>
      <c r="BG820" s="763">
        <v>0.14001410431984343</v>
      </c>
      <c r="BH820" s="763">
        <v>0</v>
      </c>
      <c r="BI820" s="763">
        <v>0</v>
      </c>
      <c r="BJ820" s="763">
        <v>0</v>
      </c>
      <c r="BK820" s="763">
        <v>0</v>
      </c>
      <c r="BL820" s="763">
        <v>0</v>
      </c>
      <c r="BM820" s="763">
        <v>0</v>
      </c>
      <c r="BN820" s="763">
        <v>0</v>
      </c>
      <c r="BO820" s="763">
        <v>0</v>
      </c>
      <c r="BP820" s="763">
        <v>0</v>
      </c>
      <c r="BQ820" s="763">
        <v>0</v>
      </c>
      <c r="BR820" s="763">
        <v>0</v>
      </c>
      <c r="BS820" s="762">
        <v>0</v>
      </c>
      <c r="BT820" s="762">
        <v>0</v>
      </c>
      <c r="BU820" s="762">
        <v>0</v>
      </c>
      <c r="BV820" s="762">
        <v>1037.7022473687728</v>
      </c>
      <c r="BW820" s="762">
        <v>1037.7022473687728</v>
      </c>
      <c r="BX820" s="762">
        <v>1037.7022473687728</v>
      </c>
      <c r="BY820" s="762">
        <v>382.31135429375837</v>
      </c>
      <c r="BZ820" s="762">
        <v>382.31135429375837</v>
      </c>
      <c r="CA820" s="762">
        <v>382.31135429375837</v>
      </c>
      <c r="CB820" s="762">
        <v>382.31135429375837</v>
      </c>
      <c r="CC820" s="762">
        <v>382.31135429375837</v>
      </c>
      <c r="CD820" s="762">
        <v>382.31135429375837</v>
      </c>
      <c r="CE820" s="762">
        <v>382.31135429375837</v>
      </c>
      <c r="CF820" s="762">
        <v>382.31135429375837</v>
      </c>
      <c r="CG820" s="762">
        <v>382.31135429375837</v>
      </c>
      <c r="CH820" s="762">
        <v>0</v>
      </c>
      <c r="CI820" s="762">
        <v>0</v>
      </c>
      <c r="CJ820" s="762">
        <v>0</v>
      </c>
      <c r="CK820" s="762">
        <v>0</v>
      </c>
      <c r="CL820" s="762">
        <v>0</v>
      </c>
      <c r="CM820" s="762">
        <v>0</v>
      </c>
      <c r="CN820" s="762">
        <v>0</v>
      </c>
      <c r="CO820" s="762">
        <v>0</v>
      </c>
      <c r="CP820" s="762">
        <v>0</v>
      </c>
      <c r="CQ820" s="762">
        <v>0</v>
      </c>
      <c r="CR820" s="762">
        <v>0</v>
      </c>
    </row>
    <row r="821" spans="1:96" s="53" customFormat="1">
      <c r="A821" s="721" t="s">
        <v>3</v>
      </c>
      <c r="B821" s="723">
        <v>41751</v>
      </c>
      <c r="C821" s="721">
        <v>2014</v>
      </c>
      <c r="D821" s="713" t="s">
        <v>1</v>
      </c>
      <c r="E821" s="713" t="s">
        <v>674</v>
      </c>
      <c r="F821" s="723" t="s">
        <v>673</v>
      </c>
      <c r="G821" s="713" t="s">
        <v>58</v>
      </c>
      <c r="H821" s="723" t="s">
        <v>675</v>
      </c>
      <c r="I821" s="713" t="s">
        <v>5</v>
      </c>
      <c r="J821" s="713" t="s">
        <v>376</v>
      </c>
      <c r="K821" s="766">
        <v>20</v>
      </c>
      <c r="L821" s="766" t="s">
        <v>671</v>
      </c>
      <c r="M821" s="765" t="s">
        <v>753</v>
      </c>
      <c r="N821" s="765">
        <v>12</v>
      </c>
      <c r="O821" s="765">
        <v>3</v>
      </c>
      <c r="P821" s="735">
        <v>0.36842105263157893</v>
      </c>
      <c r="Q821" s="713" t="s">
        <v>58</v>
      </c>
      <c r="R821" s="713" t="s">
        <v>58</v>
      </c>
      <c r="S821" s="713" t="s">
        <v>58</v>
      </c>
      <c r="T821" s="713" t="s">
        <v>58</v>
      </c>
      <c r="U821" s="764">
        <v>1.1399999999999999</v>
      </c>
      <c r="V821" s="764">
        <v>2957.16</v>
      </c>
      <c r="W821" s="764">
        <v>0.89411399195117713</v>
      </c>
      <c r="X821" s="764">
        <v>2443.1375383555715</v>
      </c>
      <c r="Y821" s="764">
        <v>15430.342347508871</v>
      </c>
      <c r="Z821" s="764">
        <v>14564.24206833365</v>
      </c>
      <c r="AA821" s="764">
        <v>2306.0049941528282</v>
      </c>
      <c r="AB821" s="764">
        <v>0.84452951811969035</v>
      </c>
      <c r="AC821" s="714">
        <v>0.82617698682369967</v>
      </c>
      <c r="AD821" s="714">
        <v>0.7843105192554185</v>
      </c>
      <c r="AE821" s="713" t="s">
        <v>58</v>
      </c>
      <c r="AF821" s="713" t="s">
        <v>58</v>
      </c>
      <c r="AG821" s="713" t="s">
        <v>58</v>
      </c>
      <c r="AH821" s="714">
        <v>0.94387031345969796</v>
      </c>
      <c r="AI821" s="713" t="s">
        <v>58</v>
      </c>
      <c r="AJ821" s="713" t="s">
        <v>58</v>
      </c>
      <c r="AK821" s="713" t="s">
        <v>58</v>
      </c>
      <c r="AL821" s="714">
        <v>0.94454345387965444</v>
      </c>
      <c r="AM821" s="713" t="s">
        <v>58</v>
      </c>
      <c r="AN821" s="713" t="s">
        <v>58</v>
      </c>
      <c r="AO821" s="713" t="s">
        <v>58</v>
      </c>
      <c r="AP821" s="747">
        <v>17</v>
      </c>
      <c r="AQ821" s="747">
        <v>340</v>
      </c>
      <c r="AR821" s="709"/>
      <c r="AS821" s="763">
        <v>0</v>
      </c>
      <c r="AT821" s="763">
        <v>0</v>
      </c>
      <c r="AU821" s="763">
        <v>0</v>
      </c>
      <c r="AV821" s="763">
        <v>0.84452951811969035</v>
      </c>
      <c r="AW821" s="763">
        <v>0.84452951811969035</v>
      </c>
      <c r="AX821" s="763">
        <v>0.84452951811969035</v>
      </c>
      <c r="AY821" s="763">
        <v>0.31114245404409641</v>
      </c>
      <c r="AZ821" s="763">
        <v>0.31114245404409641</v>
      </c>
      <c r="BA821" s="763">
        <v>0.31114245404409641</v>
      </c>
      <c r="BB821" s="763">
        <v>0.31114245404409641</v>
      </c>
      <c r="BC821" s="763">
        <v>0.31114245404409641</v>
      </c>
      <c r="BD821" s="763">
        <v>0.31114245404409641</v>
      </c>
      <c r="BE821" s="763">
        <v>0.31114245404409641</v>
      </c>
      <c r="BF821" s="763">
        <v>0.31114245404409641</v>
      </c>
      <c r="BG821" s="763">
        <v>0.31114245404409641</v>
      </c>
      <c r="BH821" s="763">
        <v>0</v>
      </c>
      <c r="BI821" s="763">
        <v>0</v>
      </c>
      <c r="BJ821" s="763">
        <v>0</v>
      </c>
      <c r="BK821" s="763">
        <v>0</v>
      </c>
      <c r="BL821" s="763">
        <v>0</v>
      </c>
      <c r="BM821" s="763">
        <v>0</v>
      </c>
      <c r="BN821" s="763">
        <v>0</v>
      </c>
      <c r="BO821" s="763">
        <v>0</v>
      </c>
      <c r="BP821" s="763">
        <v>0</v>
      </c>
      <c r="BQ821" s="763">
        <v>0</v>
      </c>
      <c r="BR821" s="763">
        <v>0</v>
      </c>
      <c r="BS821" s="762">
        <v>0</v>
      </c>
      <c r="BT821" s="762">
        <v>0</v>
      </c>
      <c r="BU821" s="762">
        <v>0</v>
      </c>
      <c r="BV821" s="762">
        <v>2306.0049941528282</v>
      </c>
      <c r="BW821" s="762">
        <v>2306.0049941528282</v>
      </c>
      <c r="BX821" s="762">
        <v>2306.0049941528282</v>
      </c>
      <c r="BY821" s="762">
        <v>849.58078731946296</v>
      </c>
      <c r="BZ821" s="762">
        <v>849.58078731946296</v>
      </c>
      <c r="CA821" s="762">
        <v>849.58078731946296</v>
      </c>
      <c r="CB821" s="762">
        <v>849.58078731946296</v>
      </c>
      <c r="CC821" s="762">
        <v>849.58078731946296</v>
      </c>
      <c r="CD821" s="762">
        <v>849.58078731946296</v>
      </c>
      <c r="CE821" s="762">
        <v>849.58078731946296</v>
      </c>
      <c r="CF821" s="762">
        <v>849.58078731946296</v>
      </c>
      <c r="CG821" s="762">
        <v>849.58078731946296</v>
      </c>
      <c r="CH821" s="762">
        <v>0</v>
      </c>
      <c r="CI821" s="762">
        <v>0</v>
      </c>
      <c r="CJ821" s="762">
        <v>0</v>
      </c>
      <c r="CK821" s="762">
        <v>0</v>
      </c>
      <c r="CL821" s="762">
        <v>0</v>
      </c>
      <c r="CM821" s="762">
        <v>0</v>
      </c>
      <c r="CN821" s="762">
        <v>0</v>
      </c>
      <c r="CO821" s="762">
        <v>0</v>
      </c>
      <c r="CP821" s="762">
        <v>0</v>
      </c>
      <c r="CQ821" s="762">
        <v>0</v>
      </c>
      <c r="CR821" s="762">
        <v>0</v>
      </c>
    </row>
    <row r="822" spans="1:96" s="53" customFormat="1">
      <c r="A822" s="721" t="s">
        <v>3</v>
      </c>
      <c r="B822" s="723">
        <v>41751</v>
      </c>
      <c r="C822" s="721">
        <v>2014</v>
      </c>
      <c r="D822" s="713" t="s">
        <v>1</v>
      </c>
      <c r="E822" s="713" t="s">
        <v>674</v>
      </c>
      <c r="F822" s="723" t="s">
        <v>673</v>
      </c>
      <c r="G822" s="713" t="s">
        <v>58</v>
      </c>
      <c r="H822" s="723" t="s">
        <v>675</v>
      </c>
      <c r="I822" s="713" t="s">
        <v>5</v>
      </c>
      <c r="J822" s="713" t="s">
        <v>376</v>
      </c>
      <c r="K822" s="766">
        <v>10</v>
      </c>
      <c r="L822" s="766" t="s">
        <v>671</v>
      </c>
      <c r="M822" s="765" t="s">
        <v>753</v>
      </c>
      <c r="N822" s="765">
        <v>12</v>
      </c>
      <c r="O822" s="765">
        <v>3</v>
      </c>
      <c r="P822" s="735">
        <v>0.36842105263157893</v>
      </c>
      <c r="Q822" s="713" t="s">
        <v>58</v>
      </c>
      <c r="R822" s="713" t="s">
        <v>58</v>
      </c>
      <c r="S822" s="713" t="s">
        <v>58</v>
      </c>
      <c r="T822" s="713" t="s">
        <v>58</v>
      </c>
      <c r="U822" s="764">
        <v>0.56999999999999995</v>
      </c>
      <c r="V822" s="764">
        <v>1478.58</v>
      </c>
      <c r="W822" s="764">
        <v>0.44705699597558857</v>
      </c>
      <c r="X822" s="764">
        <v>1221.5687691777857</v>
      </c>
      <c r="Y822" s="764">
        <v>7715.1711737544356</v>
      </c>
      <c r="Z822" s="764">
        <v>7282.1210341668248</v>
      </c>
      <c r="AA822" s="764">
        <v>1153.0024970764141</v>
      </c>
      <c r="AB822" s="764">
        <v>0.42226475905984517</v>
      </c>
      <c r="AC822" s="714">
        <v>0.82617698682369967</v>
      </c>
      <c r="AD822" s="714">
        <v>0.7843105192554185</v>
      </c>
      <c r="AE822" s="713" t="s">
        <v>58</v>
      </c>
      <c r="AF822" s="713" t="s">
        <v>58</v>
      </c>
      <c r="AG822" s="713" t="s">
        <v>58</v>
      </c>
      <c r="AH822" s="714">
        <v>0.94387031345969796</v>
      </c>
      <c r="AI822" s="713" t="s">
        <v>58</v>
      </c>
      <c r="AJ822" s="713" t="s">
        <v>58</v>
      </c>
      <c r="AK822" s="713" t="s">
        <v>58</v>
      </c>
      <c r="AL822" s="714">
        <v>0.94454345387965444</v>
      </c>
      <c r="AM822" s="713" t="s">
        <v>58</v>
      </c>
      <c r="AN822" s="713" t="s">
        <v>58</v>
      </c>
      <c r="AO822" s="713" t="s">
        <v>58</v>
      </c>
      <c r="AP822" s="747">
        <v>73</v>
      </c>
      <c r="AQ822" s="747">
        <v>730</v>
      </c>
      <c r="AR822" s="709"/>
      <c r="AS822" s="763">
        <v>0</v>
      </c>
      <c r="AT822" s="763">
        <v>0</v>
      </c>
      <c r="AU822" s="763">
        <v>0</v>
      </c>
      <c r="AV822" s="763">
        <v>0.42226475905984517</v>
      </c>
      <c r="AW822" s="763">
        <v>0.42226475905984517</v>
      </c>
      <c r="AX822" s="763">
        <v>0.42226475905984517</v>
      </c>
      <c r="AY822" s="763">
        <v>0.1555712270220482</v>
      </c>
      <c r="AZ822" s="763">
        <v>0.1555712270220482</v>
      </c>
      <c r="BA822" s="763">
        <v>0.1555712270220482</v>
      </c>
      <c r="BB822" s="763">
        <v>0.1555712270220482</v>
      </c>
      <c r="BC822" s="763">
        <v>0.1555712270220482</v>
      </c>
      <c r="BD822" s="763">
        <v>0.1555712270220482</v>
      </c>
      <c r="BE822" s="763">
        <v>0.1555712270220482</v>
      </c>
      <c r="BF822" s="763">
        <v>0.1555712270220482</v>
      </c>
      <c r="BG822" s="763">
        <v>0.1555712270220482</v>
      </c>
      <c r="BH822" s="763">
        <v>0</v>
      </c>
      <c r="BI822" s="763">
        <v>0</v>
      </c>
      <c r="BJ822" s="763">
        <v>0</v>
      </c>
      <c r="BK822" s="763">
        <v>0</v>
      </c>
      <c r="BL822" s="763">
        <v>0</v>
      </c>
      <c r="BM822" s="763">
        <v>0</v>
      </c>
      <c r="BN822" s="763">
        <v>0</v>
      </c>
      <c r="BO822" s="763">
        <v>0</v>
      </c>
      <c r="BP822" s="763">
        <v>0</v>
      </c>
      <c r="BQ822" s="763">
        <v>0</v>
      </c>
      <c r="BR822" s="763">
        <v>0</v>
      </c>
      <c r="BS822" s="762">
        <v>0</v>
      </c>
      <c r="BT822" s="762">
        <v>0</v>
      </c>
      <c r="BU822" s="762">
        <v>0</v>
      </c>
      <c r="BV822" s="762">
        <v>1153.0024970764141</v>
      </c>
      <c r="BW822" s="762">
        <v>1153.0024970764141</v>
      </c>
      <c r="BX822" s="762">
        <v>1153.0024970764141</v>
      </c>
      <c r="BY822" s="762">
        <v>424.79039365973148</v>
      </c>
      <c r="BZ822" s="762">
        <v>424.79039365973148</v>
      </c>
      <c r="CA822" s="762">
        <v>424.79039365973148</v>
      </c>
      <c r="CB822" s="762">
        <v>424.79039365973148</v>
      </c>
      <c r="CC822" s="762">
        <v>424.79039365973148</v>
      </c>
      <c r="CD822" s="762">
        <v>424.79039365973148</v>
      </c>
      <c r="CE822" s="762">
        <v>424.79039365973148</v>
      </c>
      <c r="CF822" s="762">
        <v>424.79039365973148</v>
      </c>
      <c r="CG822" s="762">
        <v>424.79039365973148</v>
      </c>
      <c r="CH822" s="762">
        <v>0</v>
      </c>
      <c r="CI822" s="762">
        <v>0</v>
      </c>
      <c r="CJ822" s="762">
        <v>0</v>
      </c>
      <c r="CK822" s="762">
        <v>0</v>
      </c>
      <c r="CL822" s="762">
        <v>0</v>
      </c>
      <c r="CM822" s="762">
        <v>0</v>
      </c>
      <c r="CN822" s="762">
        <v>0</v>
      </c>
      <c r="CO822" s="762">
        <v>0</v>
      </c>
      <c r="CP822" s="762">
        <v>0</v>
      </c>
      <c r="CQ822" s="762">
        <v>0</v>
      </c>
      <c r="CR822" s="762">
        <v>0</v>
      </c>
    </row>
    <row r="823" spans="1:96" s="53" customFormat="1">
      <c r="A823" s="721" t="s">
        <v>3</v>
      </c>
      <c r="B823" s="723">
        <v>41751</v>
      </c>
      <c r="C823" s="721">
        <v>2014</v>
      </c>
      <c r="D823" s="713" t="s">
        <v>1</v>
      </c>
      <c r="E823" s="713" t="s">
        <v>674</v>
      </c>
      <c r="F823" s="723" t="s">
        <v>673</v>
      </c>
      <c r="G823" s="713" t="s">
        <v>58</v>
      </c>
      <c r="H823" s="723" t="s">
        <v>675</v>
      </c>
      <c r="I823" s="713" t="s">
        <v>5</v>
      </c>
      <c r="J823" s="713" t="s">
        <v>376</v>
      </c>
      <c r="K823" s="766">
        <v>1</v>
      </c>
      <c r="L823" s="766" t="s">
        <v>671</v>
      </c>
      <c r="M823" s="765" t="s">
        <v>753</v>
      </c>
      <c r="N823" s="765">
        <v>12</v>
      </c>
      <c r="O823" s="765">
        <v>3</v>
      </c>
      <c r="P823" s="735">
        <v>0.36842105263157893</v>
      </c>
      <c r="Q823" s="713" t="s">
        <v>58</v>
      </c>
      <c r="R823" s="713" t="s">
        <v>58</v>
      </c>
      <c r="S823" s="713" t="s">
        <v>58</v>
      </c>
      <c r="T823" s="713" t="s">
        <v>58</v>
      </c>
      <c r="U823" s="764">
        <v>5.7000000000000002E-2</v>
      </c>
      <c r="V823" s="764">
        <v>147.858</v>
      </c>
      <c r="W823" s="764">
        <v>4.4705699597558865E-2</v>
      </c>
      <c r="X823" s="764">
        <v>122.15687691777859</v>
      </c>
      <c r="Y823" s="764">
        <v>771.5171173754436</v>
      </c>
      <c r="Z823" s="764">
        <v>728.21210341668257</v>
      </c>
      <c r="AA823" s="764">
        <v>115.30024970764141</v>
      </c>
      <c r="AB823" s="764">
        <v>4.222647590598453E-2</v>
      </c>
      <c r="AC823" s="714">
        <v>0.82617698682369967</v>
      </c>
      <c r="AD823" s="714">
        <v>0.7843105192554185</v>
      </c>
      <c r="AE823" s="713" t="s">
        <v>58</v>
      </c>
      <c r="AF823" s="713" t="s">
        <v>58</v>
      </c>
      <c r="AG823" s="713" t="s">
        <v>58</v>
      </c>
      <c r="AH823" s="714">
        <v>0.94387031345969796</v>
      </c>
      <c r="AI823" s="713" t="s">
        <v>58</v>
      </c>
      <c r="AJ823" s="713" t="s">
        <v>58</v>
      </c>
      <c r="AK823" s="713" t="s">
        <v>58</v>
      </c>
      <c r="AL823" s="714">
        <v>0.94454345387965444</v>
      </c>
      <c r="AM823" s="713" t="s">
        <v>58</v>
      </c>
      <c r="AN823" s="713" t="s">
        <v>58</v>
      </c>
      <c r="AO823" s="713" t="s">
        <v>58</v>
      </c>
      <c r="AP823" s="747">
        <v>17</v>
      </c>
      <c r="AQ823" s="747">
        <v>17</v>
      </c>
      <c r="AR823" s="709"/>
      <c r="AS823" s="763">
        <v>0</v>
      </c>
      <c r="AT823" s="763">
        <v>0</v>
      </c>
      <c r="AU823" s="763">
        <v>0</v>
      </c>
      <c r="AV823" s="763">
        <v>4.222647590598453E-2</v>
      </c>
      <c r="AW823" s="763">
        <v>4.222647590598453E-2</v>
      </c>
      <c r="AX823" s="763">
        <v>4.222647590598453E-2</v>
      </c>
      <c r="AY823" s="763">
        <v>1.5557122702204825E-2</v>
      </c>
      <c r="AZ823" s="763">
        <v>1.5557122702204825E-2</v>
      </c>
      <c r="BA823" s="763">
        <v>1.5557122702204825E-2</v>
      </c>
      <c r="BB823" s="763">
        <v>1.5557122702204825E-2</v>
      </c>
      <c r="BC823" s="763">
        <v>1.5557122702204825E-2</v>
      </c>
      <c r="BD823" s="763">
        <v>1.5557122702204825E-2</v>
      </c>
      <c r="BE823" s="763">
        <v>1.5557122702204825E-2</v>
      </c>
      <c r="BF823" s="763">
        <v>1.5557122702204825E-2</v>
      </c>
      <c r="BG823" s="763">
        <v>1.5557122702204825E-2</v>
      </c>
      <c r="BH823" s="763">
        <v>0</v>
      </c>
      <c r="BI823" s="763">
        <v>0</v>
      </c>
      <c r="BJ823" s="763">
        <v>0</v>
      </c>
      <c r="BK823" s="763">
        <v>0</v>
      </c>
      <c r="BL823" s="763">
        <v>0</v>
      </c>
      <c r="BM823" s="763">
        <v>0</v>
      </c>
      <c r="BN823" s="763">
        <v>0</v>
      </c>
      <c r="BO823" s="763">
        <v>0</v>
      </c>
      <c r="BP823" s="763">
        <v>0</v>
      </c>
      <c r="BQ823" s="763">
        <v>0</v>
      </c>
      <c r="BR823" s="763">
        <v>0</v>
      </c>
      <c r="BS823" s="762">
        <v>0</v>
      </c>
      <c r="BT823" s="762">
        <v>0</v>
      </c>
      <c r="BU823" s="762">
        <v>0</v>
      </c>
      <c r="BV823" s="762">
        <v>115.30024970764141</v>
      </c>
      <c r="BW823" s="762">
        <v>115.30024970764141</v>
      </c>
      <c r="BX823" s="762">
        <v>115.30024970764141</v>
      </c>
      <c r="BY823" s="762">
        <v>42.479039365973151</v>
      </c>
      <c r="BZ823" s="762">
        <v>42.479039365973151</v>
      </c>
      <c r="CA823" s="762">
        <v>42.479039365973151</v>
      </c>
      <c r="CB823" s="762">
        <v>42.479039365973151</v>
      </c>
      <c r="CC823" s="762">
        <v>42.479039365973151</v>
      </c>
      <c r="CD823" s="762">
        <v>42.479039365973151</v>
      </c>
      <c r="CE823" s="762">
        <v>42.479039365973151</v>
      </c>
      <c r="CF823" s="762">
        <v>42.479039365973151</v>
      </c>
      <c r="CG823" s="762">
        <v>42.479039365973151</v>
      </c>
      <c r="CH823" s="762">
        <v>0</v>
      </c>
      <c r="CI823" s="762">
        <v>0</v>
      </c>
      <c r="CJ823" s="762">
        <v>0</v>
      </c>
      <c r="CK823" s="762">
        <v>0</v>
      </c>
      <c r="CL823" s="762">
        <v>0</v>
      </c>
      <c r="CM823" s="762">
        <v>0</v>
      </c>
      <c r="CN823" s="762">
        <v>0</v>
      </c>
      <c r="CO823" s="762">
        <v>0</v>
      </c>
      <c r="CP823" s="762">
        <v>0</v>
      </c>
      <c r="CQ823" s="762">
        <v>0</v>
      </c>
      <c r="CR823" s="762">
        <v>0</v>
      </c>
    </row>
    <row r="824" spans="1:96" s="53" customFormat="1">
      <c r="A824" s="721" t="s">
        <v>3</v>
      </c>
      <c r="B824" s="723">
        <v>41782</v>
      </c>
      <c r="C824" s="721">
        <v>2014</v>
      </c>
      <c r="D824" s="713" t="s">
        <v>1</v>
      </c>
      <c r="E824" s="713" t="s">
        <v>674</v>
      </c>
      <c r="F824" s="723" t="s">
        <v>123</v>
      </c>
      <c r="G824" s="713" t="s">
        <v>58</v>
      </c>
      <c r="H824" s="723" t="s">
        <v>677</v>
      </c>
      <c r="I824" s="713" t="s">
        <v>5</v>
      </c>
      <c r="J824" s="713" t="s">
        <v>376</v>
      </c>
      <c r="K824" s="766">
        <v>1</v>
      </c>
      <c r="L824" s="766" t="s">
        <v>671</v>
      </c>
      <c r="M824" s="765" t="s">
        <v>752</v>
      </c>
      <c r="N824" s="765">
        <v>0</v>
      </c>
      <c r="O824" s="765">
        <v>0</v>
      </c>
      <c r="P824" s="735">
        <v>0</v>
      </c>
      <c r="Q824" s="713" t="s">
        <v>58</v>
      </c>
      <c r="R824" s="713" t="s">
        <v>58</v>
      </c>
      <c r="S824" s="713" t="s">
        <v>58</v>
      </c>
      <c r="T824" s="713" t="s">
        <v>58</v>
      </c>
      <c r="U824" s="764">
        <v>0</v>
      </c>
      <c r="V824" s="764">
        <v>0</v>
      </c>
      <c r="W824" s="764">
        <v>0</v>
      </c>
      <c r="X824" s="764">
        <v>0</v>
      </c>
      <c r="Y824" s="764">
        <v>0</v>
      </c>
      <c r="Z824" s="764">
        <v>0</v>
      </c>
      <c r="AA824" s="764">
        <v>0</v>
      </c>
      <c r="AB824" s="764">
        <v>0</v>
      </c>
      <c r="AC824" s="714">
        <v>0.82617698682369967</v>
      </c>
      <c r="AD824" s="714">
        <v>0.7843105192554185</v>
      </c>
      <c r="AE824" s="713" t="s">
        <v>58</v>
      </c>
      <c r="AF824" s="713" t="s">
        <v>58</v>
      </c>
      <c r="AG824" s="713" t="s">
        <v>58</v>
      </c>
      <c r="AH824" s="714">
        <v>0.94387031345969796</v>
      </c>
      <c r="AI824" s="713" t="s">
        <v>58</v>
      </c>
      <c r="AJ824" s="713" t="s">
        <v>58</v>
      </c>
      <c r="AK824" s="713" t="s">
        <v>58</v>
      </c>
      <c r="AL824" s="714">
        <v>0.94454345387965444</v>
      </c>
      <c r="AM824" s="713" t="s">
        <v>58</v>
      </c>
      <c r="AN824" s="713" t="s">
        <v>58</v>
      </c>
      <c r="AO824" s="713" t="s">
        <v>58</v>
      </c>
      <c r="AP824" s="747">
        <v>51</v>
      </c>
      <c r="AQ824" s="747">
        <v>51</v>
      </c>
      <c r="AR824" s="709"/>
      <c r="AS824" s="763">
        <v>0</v>
      </c>
      <c r="AT824" s="763">
        <v>0</v>
      </c>
      <c r="AU824" s="763">
        <v>0</v>
      </c>
      <c r="AV824" s="763">
        <v>0</v>
      </c>
      <c r="AW824" s="763">
        <v>0</v>
      </c>
      <c r="AX824" s="763">
        <v>0</v>
      </c>
      <c r="AY824" s="763">
        <v>0</v>
      </c>
      <c r="AZ824" s="763">
        <v>0</v>
      </c>
      <c r="BA824" s="763">
        <v>0</v>
      </c>
      <c r="BB824" s="763">
        <v>0</v>
      </c>
      <c r="BC824" s="763">
        <v>0</v>
      </c>
      <c r="BD824" s="763">
        <v>0</v>
      </c>
      <c r="BE824" s="763">
        <v>0</v>
      </c>
      <c r="BF824" s="763">
        <v>0</v>
      </c>
      <c r="BG824" s="763">
        <v>0</v>
      </c>
      <c r="BH824" s="763">
        <v>0</v>
      </c>
      <c r="BI824" s="763">
        <v>0</v>
      </c>
      <c r="BJ824" s="763">
        <v>0</v>
      </c>
      <c r="BK824" s="763">
        <v>0</v>
      </c>
      <c r="BL824" s="763">
        <v>0</v>
      </c>
      <c r="BM824" s="763">
        <v>0</v>
      </c>
      <c r="BN824" s="763">
        <v>0</v>
      </c>
      <c r="BO824" s="763">
        <v>0</v>
      </c>
      <c r="BP824" s="763">
        <v>0</v>
      </c>
      <c r="BQ824" s="763">
        <v>0</v>
      </c>
      <c r="BR824" s="763">
        <v>0</v>
      </c>
      <c r="BS824" s="762">
        <v>0</v>
      </c>
      <c r="BT824" s="762">
        <v>0</v>
      </c>
      <c r="BU824" s="762">
        <v>0</v>
      </c>
      <c r="BV824" s="762">
        <v>0</v>
      </c>
      <c r="BW824" s="762">
        <v>0</v>
      </c>
      <c r="BX824" s="762">
        <v>0</v>
      </c>
      <c r="BY824" s="762">
        <v>0</v>
      </c>
      <c r="BZ824" s="762">
        <v>0</v>
      </c>
      <c r="CA824" s="762">
        <v>0</v>
      </c>
      <c r="CB824" s="762">
        <v>0</v>
      </c>
      <c r="CC824" s="762">
        <v>0</v>
      </c>
      <c r="CD824" s="762">
        <v>0</v>
      </c>
      <c r="CE824" s="762">
        <v>0</v>
      </c>
      <c r="CF824" s="762">
        <v>0</v>
      </c>
      <c r="CG824" s="762">
        <v>0</v>
      </c>
      <c r="CH824" s="762">
        <v>0</v>
      </c>
      <c r="CI824" s="762">
        <v>0</v>
      </c>
      <c r="CJ824" s="762">
        <v>0</v>
      </c>
      <c r="CK824" s="762">
        <v>0</v>
      </c>
      <c r="CL824" s="762">
        <v>0</v>
      </c>
      <c r="CM824" s="762">
        <v>0</v>
      </c>
      <c r="CN824" s="762">
        <v>0</v>
      </c>
      <c r="CO824" s="762">
        <v>0</v>
      </c>
      <c r="CP824" s="762">
        <v>0</v>
      </c>
      <c r="CQ824" s="762">
        <v>0</v>
      </c>
      <c r="CR824" s="762">
        <v>0</v>
      </c>
    </row>
    <row r="825" spans="1:96" s="53" customFormat="1">
      <c r="A825" s="721" t="s">
        <v>3</v>
      </c>
      <c r="B825" s="723">
        <v>41782</v>
      </c>
      <c r="C825" s="721">
        <v>2014</v>
      </c>
      <c r="D825" s="713" t="s">
        <v>1</v>
      </c>
      <c r="E825" s="713" t="s">
        <v>674</v>
      </c>
      <c r="F825" s="723" t="s">
        <v>123</v>
      </c>
      <c r="G825" s="713" t="s">
        <v>58</v>
      </c>
      <c r="H825" s="723" t="s">
        <v>684</v>
      </c>
      <c r="I825" s="713" t="s">
        <v>5</v>
      </c>
      <c r="J825" s="713" t="s">
        <v>376</v>
      </c>
      <c r="K825" s="766">
        <v>30</v>
      </c>
      <c r="L825" s="766" t="s">
        <v>671</v>
      </c>
      <c r="M825" s="765" t="s">
        <v>752</v>
      </c>
      <c r="N825" s="765">
        <v>11</v>
      </c>
      <c r="O825" s="765">
        <v>2</v>
      </c>
      <c r="P825" s="735">
        <v>0.43976996379393668</v>
      </c>
      <c r="Q825" s="713" t="s">
        <v>58</v>
      </c>
      <c r="R825" s="713" t="s">
        <v>58</v>
      </c>
      <c r="S825" s="713" t="s">
        <v>58</v>
      </c>
      <c r="T825" s="713" t="s">
        <v>58</v>
      </c>
      <c r="U825" s="764">
        <v>2.04</v>
      </c>
      <c r="V825" s="764">
        <v>6474.96</v>
      </c>
      <c r="W825" s="764">
        <v>1.5999934592810539</v>
      </c>
      <c r="X825" s="764">
        <v>5349.4629426039828</v>
      </c>
      <c r="Y825" s="764">
        <v>31871.7240064816</v>
      </c>
      <c r="Z825" s="764">
        <v>30082.774128498768</v>
      </c>
      <c r="AA825" s="764">
        <v>5049.1992644766597</v>
      </c>
      <c r="AB825" s="764">
        <v>1.5112633482141828</v>
      </c>
      <c r="AC825" s="714">
        <v>0.82617698682369967</v>
      </c>
      <c r="AD825" s="714">
        <v>0.7843105192554185</v>
      </c>
      <c r="AE825" s="713" t="s">
        <v>58</v>
      </c>
      <c r="AF825" s="713" t="s">
        <v>58</v>
      </c>
      <c r="AG825" s="713" t="s">
        <v>58</v>
      </c>
      <c r="AH825" s="714">
        <v>0.94387031345969796</v>
      </c>
      <c r="AI825" s="713" t="s">
        <v>58</v>
      </c>
      <c r="AJ825" s="713" t="s">
        <v>58</v>
      </c>
      <c r="AK825" s="713" t="s">
        <v>58</v>
      </c>
      <c r="AL825" s="714">
        <v>0.94454345387965444</v>
      </c>
      <c r="AM825" s="713" t="s">
        <v>58</v>
      </c>
      <c r="AN825" s="713" t="s">
        <v>58</v>
      </c>
      <c r="AO825" s="713" t="s">
        <v>58</v>
      </c>
      <c r="AP825" s="747">
        <v>48</v>
      </c>
      <c r="AQ825" s="747">
        <v>1440</v>
      </c>
      <c r="AR825" s="709"/>
      <c r="AS825" s="763">
        <v>0</v>
      </c>
      <c r="AT825" s="763">
        <v>0</v>
      </c>
      <c r="AU825" s="763">
        <v>0</v>
      </c>
      <c r="AV825" s="763">
        <v>1.5112633482141828</v>
      </c>
      <c r="AW825" s="763">
        <v>1.5112633482141828</v>
      </c>
      <c r="AX825" s="763">
        <v>0.66460822792725471</v>
      </c>
      <c r="AY825" s="763">
        <v>0.66460822792725471</v>
      </c>
      <c r="AZ825" s="763">
        <v>0.66460822792725471</v>
      </c>
      <c r="BA825" s="763">
        <v>0.66460822792725471</v>
      </c>
      <c r="BB825" s="763">
        <v>0.66460822792725471</v>
      </c>
      <c r="BC825" s="763">
        <v>0.66460822792725471</v>
      </c>
      <c r="BD825" s="763">
        <v>0.66460822792725471</v>
      </c>
      <c r="BE825" s="763">
        <v>0.66460822792725471</v>
      </c>
      <c r="BF825" s="763">
        <v>0.66460822792725471</v>
      </c>
      <c r="BG825" s="763">
        <v>0</v>
      </c>
      <c r="BH825" s="763">
        <v>0</v>
      </c>
      <c r="BI825" s="763">
        <v>0</v>
      </c>
      <c r="BJ825" s="763">
        <v>0</v>
      </c>
      <c r="BK825" s="763">
        <v>0</v>
      </c>
      <c r="BL825" s="763">
        <v>0</v>
      </c>
      <c r="BM825" s="763">
        <v>0</v>
      </c>
      <c r="BN825" s="763">
        <v>0</v>
      </c>
      <c r="BO825" s="763">
        <v>0</v>
      </c>
      <c r="BP825" s="763">
        <v>0</v>
      </c>
      <c r="BQ825" s="763">
        <v>0</v>
      </c>
      <c r="BR825" s="763">
        <v>0</v>
      </c>
      <c r="BS825" s="762">
        <v>0</v>
      </c>
      <c r="BT825" s="762">
        <v>0</v>
      </c>
      <c r="BU825" s="762">
        <v>0</v>
      </c>
      <c r="BV825" s="762">
        <v>5049.1992644766597</v>
      </c>
      <c r="BW825" s="762">
        <v>5049.1992644766597</v>
      </c>
      <c r="BX825" s="762">
        <v>2220.4861777272722</v>
      </c>
      <c r="BY825" s="762">
        <v>2220.4861777272722</v>
      </c>
      <c r="BZ825" s="762">
        <v>2220.4861777272722</v>
      </c>
      <c r="CA825" s="762">
        <v>2220.4861777272722</v>
      </c>
      <c r="CB825" s="762">
        <v>2220.4861777272722</v>
      </c>
      <c r="CC825" s="762">
        <v>2220.4861777272722</v>
      </c>
      <c r="CD825" s="762">
        <v>2220.4861777272722</v>
      </c>
      <c r="CE825" s="762">
        <v>2220.4861777272722</v>
      </c>
      <c r="CF825" s="762">
        <v>2220.4861777272722</v>
      </c>
      <c r="CG825" s="762">
        <v>0</v>
      </c>
      <c r="CH825" s="762">
        <v>0</v>
      </c>
      <c r="CI825" s="762">
        <v>0</v>
      </c>
      <c r="CJ825" s="762">
        <v>0</v>
      </c>
      <c r="CK825" s="762">
        <v>0</v>
      </c>
      <c r="CL825" s="762">
        <v>0</v>
      </c>
      <c r="CM825" s="762">
        <v>0</v>
      </c>
      <c r="CN825" s="762">
        <v>0</v>
      </c>
      <c r="CO825" s="762">
        <v>0</v>
      </c>
      <c r="CP825" s="762">
        <v>0</v>
      </c>
      <c r="CQ825" s="762">
        <v>0</v>
      </c>
      <c r="CR825" s="762">
        <v>0</v>
      </c>
    </row>
    <row r="826" spans="1:96" s="53" customFormat="1">
      <c r="A826" s="721" t="s">
        <v>3</v>
      </c>
      <c r="B826" s="723">
        <v>41782</v>
      </c>
      <c r="C826" s="721">
        <v>2014</v>
      </c>
      <c r="D826" s="713" t="s">
        <v>1</v>
      </c>
      <c r="E826" s="713" t="s">
        <v>674</v>
      </c>
      <c r="F826" s="723" t="s">
        <v>681</v>
      </c>
      <c r="G826" s="713" t="s">
        <v>58</v>
      </c>
      <c r="H826" s="723" t="s">
        <v>750</v>
      </c>
      <c r="I826" s="713" t="s">
        <v>5</v>
      </c>
      <c r="J826" s="713" t="s">
        <v>376</v>
      </c>
      <c r="K826" s="766">
        <v>9</v>
      </c>
      <c r="L826" s="766" t="s">
        <v>671</v>
      </c>
      <c r="M826" s="765" t="s">
        <v>751</v>
      </c>
      <c r="N826" s="765">
        <v>12</v>
      </c>
      <c r="O826" s="765" t="s">
        <v>7</v>
      </c>
      <c r="P826" s="735">
        <v>1</v>
      </c>
      <c r="Q826" s="713" t="s">
        <v>58</v>
      </c>
      <c r="R826" s="713" t="s">
        <v>58</v>
      </c>
      <c r="S826" s="713" t="s">
        <v>58</v>
      </c>
      <c r="T826" s="713" t="s">
        <v>58</v>
      </c>
      <c r="U826" s="764">
        <v>0.29699999999999999</v>
      </c>
      <c r="V826" s="764">
        <v>966.14099999999996</v>
      </c>
      <c r="W826" s="764">
        <v>0.23294022421885929</v>
      </c>
      <c r="X826" s="764">
        <v>798.203460226836</v>
      </c>
      <c r="Y826" s="764">
        <v>9578.4415227220325</v>
      </c>
      <c r="Z826" s="764">
        <v>9040.8066025070311</v>
      </c>
      <c r="AA826" s="764">
        <v>753.4005502089193</v>
      </c>
      <c r="AB826" s="764">
        <v>0.22002216393118249</v>
      </c>
      <c r="AC826" s="714">
        <v>0.82617698682369967</v>
      </c>
      <c r="AD826" s="714">
        <v>0.7843105192554185</v>
      </c>
      <c r="AE826" s="713" t="s">
        <v>58</v>
      </c>
      <c r="AF826" s="713" t="s">
        <v>58</v>
      </c>
      <c r="AG826" s="713" t="s">
        <v>58</v>
      </c>
      <c r="AH826" s="714">
        <v>0.94387031345969796</v>
      </c>
      <c r="AI826" s="713" t="s">
        <v>58</v>
      </c>
      <c r="AJ826" s="713" t="s">
        <v>58</v>
      </c>
      <c r="AK826" s="713" t="s">
        <v>58</v>
      </c>
      <c r="AL826" s="714">
        <v>0.94454345387965444</v>
      </c>
      <c r="AM826" s="713" t="s">
        <v>58</v>
      </c>
      <c r="AN826" s="713" t="s">
        <v>58</v>
      </c>
      <c r="AO826" s="713" t="s">
        <v>58</v>
      </c>
      <c r="AP826" s="747">
        <v>156</v>
      </c>
      <c r="AQ826" s="747">
        <v>1404</v>
      </c>
      <c r="AR826" s="709"/>
      <c r="AS826" s="763">
        <v>0</v>
      </c>
      <c r="AT826" s="763">
        <v>0</v>
      </c>
      <c r="AU826" s="763">
        <v>0</v>
      </c>
      <c r="AV826" s="763">
        <v>0.22002216393118249</v>
      </c>
      <c r="AW826" s="763">
        <v>0.22002216393118249</v>
      </c>
      <c r="AX826" s="763">
        <v>0.22002216393118249</v>
      </c>
      <c r="AY826" s="763">
        <v>0.22002216393118249</v>
      </c>
      <c r="AZ826" s="763">
        <v>0.22002216393118249</v>
      </c>
      <c r="BA826" s="763">
        <v>0.22002216393118249</v>
      </c>
      <c r="BB826" s="763">
        <v>0.22002216393118249</v>
      </c>
      <c r="BC826" s="763">
        <v>0.22002216393118249</v>
      </c>
      <c r="BD826" s="763">
        <v>0.22002216393118249</v>
      </c>
      <c r="BE826" s="763">
        <v>0.22002216393118249</v>
      </c>
      <c r="BF826" s="763">
        <v>0.22002216393118249</v>
      </c>
      <c r="BG826" s="763">
        <v>0.22002216393118249</v>
      </c>
      <c r="BH826" s="763">
        <v>0</v>
      </c>
      <c r="BI826" s="763">
        <v>0</v>
      </c>
      <c r="BJ826" s="763">
        <v>0</v>
      </c>
      <c r="BK826" s="763">
        <v>0</v>
      </c>
      <c r="BL826" s="763">
        <v>0</v>
      </c>
      <c r="BM826" s="763">
        <v>0</v>
      </c>
      <c r="BN826" s="763">
        <v>0</v>
      </c>
      <c r="BO826" s="763">
        <v>0</v>
      </c>
      <c r="BP826" s="763">
        <v>0</v>
      </c>
      <c r="BQ826" s="763">
        <v>0</v>
      </c>
      <c r="BR826" s="763">
        <v>0</v>
      </c>
      <c r="BS826" s="762">
        <v>0</v>
      </c>
      <c r="BT826" s="762">
        <v>0</v>
      </c>
      <c r="BU826" s="762">
        <v>0</v>
      </c>
      <c r="BV826" s="762">
        <v>753.4005502089193</v>
      </c>
      <c r="BW826" s="762">
        <v>753.4005502089193</v>
      </c>
      <c r="BX826" s="762">
        <v>753.4005502089193</v>
      </c>
      <c r="BY826" s="762">
        <v>753.4005502089193</v>
      </c>
      <c r="BZ826" s="762">
        <v>753.4005502089193</v>
      </c>
      <c r="CA826" s="762">
        <v>753.4005502089193</v>
      </c>
      <c r="CB826" s="762">
        <v>753.4005502089193</v>
      </c>
      <c r="CC826" s="762">
        <v>753.4005502089193</v>
      </c>
      <c r="CD826" s="762">
        <v>753.4005502089193</v>
      </c>
      <c r="CE826" s="762">
        <v>753.4005502089193</v>
      </c>
      <c r="CF826" s="762">
        <v>753.4005502089193</v>
      </c>
      <c r="CG826" s="762">
        <v>753.4005502089193</v>
      </c>
      <c r="CH826" s="762">
        <v>0</v>
      </c>
      <c r="CI826" s="762">
        <v>0</v>
      </c>
      <c r="CJ826" s="762">
        <v>0</v>
      </c>
      <c r="CK826" s="762">
        <v>0</v>
      </c>
      <c r="CL826" s="762">
        <v>0</v>
      </c>
      <c r="CM826" s="762">
        <v>0</v>
      </c>
      <c r="CN826" s="762">
        <v>0</v>
      </c>
      <c r="CO826" s="762">
        <v>0</v>
      </c>
      <c r="CP826" s="762">
        <v>0</v>
      </c>
      <c r="CQ826" s="762">
        <v>0</v>
      </c>
      <c r="CR826" s="762">
        <v>0</v>
      </c>
    </row>
    <row r="827" spans="1:96" s="53" customFormat="1">
      <c r="A827" s="721" t="s">
        <v>3</v>
      </c>
      <c r="B827" s="723">
        <v>41782</v>
      </c>
      <c r="C827" s="721">
        <v>2014</v>
      </c>
      <c r="D827" s="713" t="s">
        <v>1</v>
      </c>
      <c r="E827" s="713" t="s">
        <v>674</v>
      </c>
      <c r="F827" s="723" t="s">
        <v>681</v>
      </c>
      <c r="G827" s="713" t="s">
        <v>58</v>
      </c>
      <c r="H827" s="723" t="s">
        <v>677</v>
      </c>
      <c r="I827" s="713" t="s">
        <v>5</v>
      </c>
      <c r="J827" s="713" t="s">
        <v>376</v>
      </c>
      <c r="K827" s="766">
        <v>1</v>
      </c>
      <c r="L827" s="766" t="s">
        <v>671</v>
      </c>
      <c r="M827" s="765" t="s">
        <v>751</v>
      </c>
      <c r="N827" s="765">
        <v>0</v>
      </c>
      <c r="O827" s="765">
        <v>0</v>
      </c>
      <c r="P827" s="735">
        <v>0</v>
      </c>
      <c r="Q827" s="713" t="s">
        <v>58</v>
      </c>
      <c r="R827" s="713" t="s">
        <v>58</v>
      </c>
      <c r="S827" s="713" t="s">
        <v>58</v>
      </c>
      <c r="T827" s="713" t="s">
        <v>58</v>
      </c>
      <c r="U827" s="764">
        <v>0</v>
      </c>
      <c r="V827" s="764">
        <v>0</v>
      </c>
      <c r="W827" s="764">
        <v>0</v>
      </c>
      <c r="X827" s="764">
        <v>0</v>
      </c>
      <c r="Y827" s="764">
        <v>0</v>
      </c>
      <c r="Z827" s="764">
        <v>0</v>
      </c>
      <c r="AA827" s="764">
        <v>0</v>
      </c>
      <c r="AB827" s="764">
        <v>0</v>
      </c>
      <c r="AC827" s="714">
        <v>0.82617698682369967</v>
      </c>
      <c r="AD827" s="714">
        <v>0.7843105192554185</v>
      </c>
      <c r="AE827" s="713" t="s">
        <v>58</v>
      </c>
      <c r="AF827" s="713" t="s">
        <v>58</v>
      </c>
      <c r="AG827" s="713" t="s">
        <v>58</v>
      </c>
      <c r="AH827" s="714">
        <v>0.94387031345969796</v>
      </c>
      <c r="AI827" s="713" t="s">
        <v>58</v>
      </c>
      <c r="AJ827" s="713" t="s">
        <v>58</v>
      </c>
      <c r="AK827" s="713" t="s">
        <v>58</v>
      </c>
      <c r="AL827" s="714">
        <v>0.94454345387965444</v>
      </c>
      <c r="AM827" s="713" t="s">
        <v>58</v>
      </c>
      <c r="AN827" s="713" t="s">
        <v>58</v>
      </c>
      <c r="AO827" s="713" t="s">
        <v>58</v>
      </c>
      <c r="AP827" s="747">
        <v>51</v>
      </c>
      <c r="AQ827" s="747">
        <v>51</v>
      </c>
      <c r="AR827" s="709"/>
      <c r="AS827" s="763">
        <v>0</v>
      </c>
      <c r="AT827" s="763">
        <v>0</v>
      </c>
      <c r="AU827" s="763">
        <v>0</v>
      </c>
      <c r="AV827" s="763">
        <v>0</v>
      </c>
      <c r="AW827" s="763">
        <v>0</v>
      </c>
      <c r="AX827" s="763">
        <v>0</v>
      </c>
      <c r="AY827" s="763">
        <v>0</v>
      </c>
      <c r="AZ827" s="763">
        <v>0</v>
      </c>
      <c r="BA827" s="763">
        <v>0</v>
      </c>
      <c r="BB827" s="763">
        <v>0</v>
      </c>
      <c r="BC827" s="763">
        <v>0</v>
      </c>
      <c r="BD827" s="763">
        <v>0</v>
      </c>
      <c r="BE827" s="763">
        <v>0</v>
      </c>
      <c r="BF827" s="763">
        <v>0</v>
      </c>
      <c r="BG827" s="763">
        <v>0</v>
      </c>
      <c r="BH827" s="763">
        <v>0</v>
      </c>
      <c r="BI827" s="763">
        <v>0</v>
      </c>
      <c r="BJ827" s="763">
        <v>0</v>
      </c>
      <c r="BK827" s="763">
        <v>0</v>
      </c>
      <c r="BL827" s="763">
        <v>0</v>
      </c>
      <c r="BM827" s="763">
        <v>0</v>
      </c>
      <c r="BN827" s="763">
        <v>0</v>
      </c>
      <c r="BO827" s="763">
        <v>0</v>
      </c>
      <c r="BP827" s="763">
        <v>0</v>
      </c>
      <c r="BQ827" s="763">
        <v>0</v>
      </c>
      <c r="BR827" s="763">
        <v>0</v>
      </c>
      <c r="BS827" s="762">
        <v>0</v>
      </c>
      <c r="BT827" s="762">
        <v>0</v>
      </c>
      <c r="BU827" s="762">
        <v>0</v>
      </c>
      <c r="BV827" s="762">
        <v>0</v>
      </c>
      <c r="BW827" s="762">
        <v>0</v>
      </c>
      <c r="BX827" s="762">
        <v>0</v>
      </c>
      <c r="BY827" s="762">
        <v>0</v>
      </c>
      <c r="BZ827" s="762">
        <v>0</v>
      </c>
      <c r="CA827" s="762">
        <v>0</v>
      </c>
      <c r="CB827" s="762">
        <v>0</v>
      </c>
      <c r="CC827" s="762">
        <v>0</v>
      </c>
      <c r="CD827" s="762">
        <v>0</v>
      </c>
      <c r="CE827" s="762">
        <v>0</v>
      </c>
      <c r="CF827" s="762">
        <v>0</v>
      </c>
      <c r="CG827" s="762">
        <v>0</v>
      </c>
      <c r="CH827" s="762">
        <v>0</v>
      </c>
      <c r="CI827" s="762">
        <v>0</v>
      </c>
      <c r="CJ827" s="762">
        <v>0</v>
      </c>
      <c r="CK827" s="762">
        <v>0</v>
      </c>
      <c r="CL827" s="762">
        <v>0</v>
      </c>
      <c r="CM827" s="762">
        <v>0</v>
      </c>
      <c r="CN827" s="762">
        <v>0</v>
      </c>
      <c r="CO827" s="762">
        <v>0</v>
      </c>
      <c r="CP827" s="762">
        <v>0</v>
      </c>
      <c r="CQ827" s="762">
        <v>0</v>
      </c>
      <c r="CR827" s="762">
        <v>0</v>
      </c>
    </row>
    <row r="828" spans="1:96" s="53" customFormat="1">
      <c r="A828" s="721" t="s">
        <v>3</v>
      </c>
      <c r="B828" s="723">
        <v>41785</v>
      </c>
      <c r="C828" s="721">
        <v>2014</v>
      </c>
      <c r="D828" s="713" t="s">
        <v>1</v>
      </c>
      <c r="E828" s="713" t="s">
        <v>674</v>
      </c>
      <c r="F828" s="723" t="s">
        <v>681</v>
      </c>
      <c r="G828" s="713" t="s">
        <v>58</v>
      </c>
      <c r="H828" s="723" t="s">
        <v>750</v>
      </c>
      <c r="I828" s="713" t="s">
        <v>5</v>
      </c>
      <c r="J828" s="713" t="s">
        <v>376</v>
      </c>
      <c r="K828" s="766">
        <v>9</v>
      </c>
      <c r="L828" s="766" t="s">
        <v>671</v>
      </c>
      <c r="M828" s="765" t="s">
        <v>749</v>
      </c>
      <c r="N828" s="765">
        <v>12</v>
      </c>
      <c r="O828" s="765" t="s">
        <v>7</v>
      </c>
      <c r="P828" s="735">
        <v>1</v>
      </c>
      <c r="Q828" s="713" t="s">
        <v>58</v>
      </c>
      <c r="R828" s="713" t="s">
        <v>58</v>
      </c>
      <c r="S828" s="713" t="s">
        <v>58</v>
      </c>
      <c r="T828" s="713" t="s">
        <v>58</v>
      </c>
      <c r="U828" s="764">
        <v>0.29699999999999999</v>
      </c>
      <c r="V828" s="764">
        <v>966.14099999999996</v>
      </c>
      <c r="W828" s="764">
        <v>0.23294022421885929</v>
      </c>
      <c r="X828" s="764">
        <v>798.203460226836</v>
      </c>
      <c r="Y828" s="764">
        <v>9578.4415227220325</v>
      </c>
      <c r="Z828" s="764">
        <v>9040.8066025070311</v>
      </c>
      <c r="AA828" s="764">
        <v>753.4005502089193</v>
      </c>
      <c r="AB828" s="764">
        <v>0.22002216393118249</v>
      </c>
      <c r="AC828" s="714">
        <v>0.82617698682369967</v>
      </c>
      <c r="AD828" s="714">
        <v>0.7843105192554185</v>
      </c>
      <c r="AE828" s="713" t="s">
        <v>58</v>
      </c>
      <c r="AF828" s="713" t="s">
        <v>58</v>
      </c>
      <c r="AG828" s="713" t="s">
        <v>58</v>
      </c>
      <c r="AH828" s="714">
        <v>0.94387031345969796</v>
      </c>
      <c r="AI828" s="713" t="s">
        <v>58</v>
      </c>
      <c r="AJ828" s="713" t="s">
        <v>58</v>
      </c>
      <c r="AK828" s="713" t="s">
        <v>58</v>
      </c>
      <c r="AL828" s="714">
        <v>0.94454345387965444</v>
      </c>
      <c r="AM828" s="713" t="s">
        <v>58</v>
      </c>
      <c r="AN828" s="713" t="s">
        <v>58</v>
      </c>
      <c r="AO828" s="713" t="s">
        <v>58</v>
      </c>
      <c r="AP828" s="747">
        <v>156</v>
      </c>
      <c r="AQ828" s="747">
        <v>1404</v>
      </c>
      <c r="AR828" s="709"/>
      <c r="AS828" s="763">
        <v>0</v>
      </c>
      <c r="AT828" s="763">
        <v>0</v>
      </c>
      <c r="AU828" s="763">
        <v>0</v>
      </c>
      <c r="AV828" s="763">
        <v>0.22002216393118249</v>
      </c>
      <c r="AW828" s="763">
        <v>0.22002216393118249</v>
      </c>
      <c r="AX828" s="763">
        <v>0.22002216393118249</v>
      </c>
      <c r="AY828" s="763">
        <v>0.22002216393118249</v>
      </c>
      <c r="AZ828" s="763">
        <v>0.22002216393118249</v>
      </c>
      <c r="BA828" s="763">
        <v>0.22002216393118249</v>
      </c>
      <c r="BB828" s="763">
        <v>0.22002216393118249</v>
      </c>
      <c r="BC828" s="763">
        <v>0.22002216393118249</v>
      </c>
      <c r="BD828" s="763">
        <v>0.22002216393118249</v>
      </c>
      <c r="BE828" s="763">
        <v>0.22002216393118249</v>
      </c>
      <c r="BF828" s="763">
        <v>0.22002216393118249</v>
      </c>
      <c r="BG828" s="763">
        <v>0.22002216393118249</v>
      </c>
      <c r="BH828" s="763">
        <v>0</v>
      </c>
      <c r="BI828" s="763">
        <v>0</v>
      </c>
      <c r="BJ828" s="763">
        <v>0</v>
      </c>
      <c r="BK828" s="763">
        <v>0</v>
      </c>
      <c r="BL828" s="763">
        <v>0</v>
      </c>
      <c r="BM828" s="763">
        <v>0</v>
      </c>
      <c r="BN828" s="763">
        <v>0</v>
      </c>
      <c r="BO828" s="763">
        <v>0</v>
      </c>
      <c r="BP828" s="763">
        <v>0</v>
      </c>
      <c r="BQ828" s="763">
        <v>0</v>
      </c>
      <c r="BR828" s="763">
        <v>0</v>
      </c>
      <c r="BS828" s="762">
        <v>0</v>
      </c>
      <c r="BT828" s="762">
        <v>0</v>
      </c>
      <c r="BU828" s="762">
        <v>0</v>
      </c>
      <c r="BV828" s="762">
        <v>753.4005502089193</v>
      </c>
      <c r="BW828" s="762">
        <v>753.4005502089193</v>
      </c>
      <c r="BX828" s="762">
        <v>753.4005502089193</v>
      </c>
      <c r="BY828" s="762">
        <v>753.4005502089193</v>
      </c>
      <c r="BZ828" s="762">
        <v>753.4005502089193</v>
      </c>
      <c r="CA828" s="762">
        <v>753.4005502089193</v>
      </c>
      <c r="CB828" s="762">
        <v>753.4005502089193</v>
      </c>
      <c r="CC828" s="762">
        <v>753.4005502089193</v>
      </c>
      <c r="CD828" s="762">
        <v>753.4005502089193</v>
      </c>
      <c r="CE828" s="762">
        <v>753.4005502089193</v>
      </c>
      <c r="CF828" s="762">
        <v>753.4005502089193</v>
      </c>
      <c r="CG828" s="762">
        <v>753.4005502089193</v>
      </c>
      <c r="CH828" s="762">
        <v>0</v>
      </c>
      <c r="CI828" s="762">
        <v>0</v>
      </c>
      <c r="CJ828" s="762">
        <v>0</v>
      </c>
      <c r="CK828" s="762">
        <v>0</v>
      </c>
      <c r="CL828" s="762">
        <v>0</v>
      </c>
      <c r="CM828" s="762">
        <v>0</v>
      </c>
      <c r="CN828" s="762">
        <v>0</v>
      </c>
      <c r="CO828" s="762">
        <v>0</v>
      </c>
      <c r="CP828" s="762">
        <v>0</v>
      </c>
      <c r="CQ828" s="762">
        <v>0</v>
      </c>
      <c r="CR828" s="762">
        <v>0</v>
      </c>
    </row>
    <row r="829" spans="1:96" s="53" customFormat="1">
      <c r="A829" s="721" t="s">
        <v>3</v>
      </c>
      <c r="B829" s="723">
        <v>41785</v>
      </c>
      <c r="C829" s="721">
        <v>2014</v>
      </c>
      <c r="D829" s="713" t="s">
        <v>1</v>
      </c>
      <c r="E829" s="713" t="s">
        <v>674</v>
      </c>
      <c r="F829" s="723" t="s">
        <v>681</v>
      </c>
      <c r="G829" s="713" t="s">
        <v>58</v>
      </c>
      <c r="H829" s="723" t="s">
        <v>677</v>
      </c>
      <c r="I829" s="713" t="s">
        <v>5</v>
      </c>
      <c r="J829" s="713" t="s">
        <v>376</v>
      </c>
      <c r="K829" s="766">
        <v>1</v>
      </c>
      <c r="L829" s="766" t="s">
        <v>671</v>
      </c>
      <c r="M829" s="765" t="s">
        <v>749</v>
      </c>
      <c r="N829" s="765">
        <v>0</v>
      </c>
      <c r="O829" s="765">
        <v>0</v>
      </c>
      <c r="P829" s="735">
        <v>0</v>
      </c>
      <c r="Q829" s="713" t="s">
        <v>58</v>
      </c>
      <c r="R829" s="713" t="s">
        <v>58</v>
      </c>
      <c r="S829" s="713" t="s">
        <v>58</v>
      </c>
      <c r="T829" s="713" t="s">
        <v>58</v>
      </c>
      <c r="U829" s="764">
        <v>0</v>
      </c>
      <c r="V829" s="764">
        <v>0</v>
      </c>
      <c r="W829" s="764">
        <v>0</v>
      </c>
      <c r="X829" s="764">
        <v>0</v>
      </c>
      <c r="Y829" s="764">
        <v>0</v>
      </c>
      <c r="Z829" s="764">
        <v>0</v>
      </c>
      <c r="AA829" s="764">
        <v>0</v>
      </c>
      <c r="AB829" s="764">
        <v>0</v>
      </c>
      <c r="AC829" s="714">
        <v>0.82617698682369967</v>
      </c>
      <c r="AD829" s="714">
        <v>0.7843105192554185</v>
      </c>
      <c r="AE829" s="713" t="s">
        <v>58</v>
      </c>
      <c r="AF829" s="713" t="s">
        <v>58</v>
      </c>
      <c r="AG829" s="713" t="s">
        <v>58</v>
      </c>
      <c r="AH829" s="714">
        <v>0.94387031345969796</v>
      </c>
      <c r="AI829" s="713" t="s">
        <v>58</v>
      </c>
      <c r="AJ829" s="713" t="s">
        <v>58</v>
      </c>
      <c r="AK829" s="713" t="s">
        <v>58</v>
      </c>
      <c r="AL829" s="714">
        <v>0.94454345387965444</v>
      </c>
      <c r="AM829" s="713" t="s">
        <v>58</v>
      </c>
      <c r="AN829" s="713" t="s">
        <v>58</v>
      </c>
      <c r="AO829" s="713" t="s">
        <v>58</v>
      </c>
      <c r="AP829" s="747">
        <v>51</v>
      </c>
      <c r="AQ829" s="747">
        <v>51</v>
      </c>
      <c r="AR829" s="709"/>
      <c r="AS829" s="763">
        <v>0</v>
      </c>
      <c r="AT829" s="763">
        <v>0</v>
      </c>
      <c r="AU829" s="763">
        <v>0</v>
      </c>
      <c r="AV829" s="763">
        <v>0</v>
      </c>
      <c r="AW829" s="763">
        <v>0</v>
      </c>
      <c r="AX829" s="763">
        <v>0</v>
      </c>
      <c r="AY829" s="763">
        <v>0</v>
      </c>
      <c r="AZ829" s="763">
        <v>0</v>
      </c>
      <c r="BA829" s="763">
        <v>0</v>
      </c>
      <c r="BB829" s="763">
        <v>0</v>
      </c>
      <c r="BC829" s="763">
        <v>0</v>
      </c>
      <c r="BD829" s="763">
        <v>0</v>
      </c>
      <c r="BE829" s="763">
        <v>0</v>
      </c>
      <c r="BF829" s="763">
        <v>0</v>
      </c>
      <c r="BG829" s="763">
        <v>0</v>
      </c>
      <c r="BH829" s="763">
        <v>0</v>
      </c>
      <c r="BI829" s="763">
        <v>0</v>
      </c>
      <c r="BJ829" s="763">
        <v>0</v>
      </c>
      <c r="BK829" s="763">
        <v>0</v>
      </c>
      <c r="BL829" s="763">
        <v>0</v>
      </c>
      <c r="BM829" s="763">
        <v>0</v>
      </c>
      <c r="BN829" s="763">
        <v>0</v>
      </c>
      <c r="BO829" s="763">
        <v>0</v>
      </c>
      <c r="BP829" s="763">
        <v>0</v>
      </c>
      <c r="BQ829" s="763">
        <v>0</v>
      </c>
      <c r="BR829" s="763">
        <v>0</v>
      </c>
      <c r="BS829" s="762">
        <v>0</v>
      </c>
      <c r="BT829" s="762">
        <v>0</v>
      </c>
      <c r="BU829" s="762">
        <v>0</v>
      </c>
      <c r="BV829" s="762">
        <v>0</v>
      </c>
      <c r="BW829" s="762">
        <v>0</v>
      </c>
      <c r="BX829" s="762">
        <v>0</v>
      </c>
      <c r="BY829" s="762">
        <v>0</v>
      </c>
      <c r="BZ829" s="762">
        <v>0</v>
      </c>
      <c r="CA829" s="762">
        <v>0</v>
      </c>
      <c r="CB829" s="762">
        <v>0</v>
      </c>
      <c r="CC829" s="762">
        <v>0</v>
      </c>
      <c r="CD829" s="762">
        <v>0</v>
      </c>
      <c r="CE829" s="762">
        <v>0</v>
      </c>
      <c r="CF829" s="762">
        <v>0</v>
      </c>
      <c r="CG829" s="762">
        <v>0</v>
      </c>
      <c r="CH829" s="762">
        <v>0</v>
      </c>
      <c r="CI829" s="762">
        <v>0</v>
      </c>
      <c r="CJ829" s="762">
        <v>0</v>
      </c>
      <c r="CK829" s="762">
        <v>0</v>
      </c>
      <c r="CL829" s="762">
        <v>0</v>
      </c>
      <c r="CM829" s="762">
        <v>0</v>
      </c>
      <c r="CN829" s="762">
        <v>0</v>
      </c>
      <c r="CO829" s="762">
        <v>0</v>
      </c>
      <c r="CP829" s="762">
        <v>0</v>
      </c>
      <c r="CQ829" s="762">
        <v>0</v>
      </c>
      <c r="CR829" s="762">
        <v>0</v>
      </c>
    </row>
    <row r="830" spans="1:96" s="53" customFormat="1">
      <c r="A830" s="721" t="s">
        <v>3</v>
      </c>
      <c r="B830" s="723">
        <v>41979</v>
      </c>
      <c r="C830" s="721">
        <v>2014</v>
      </c>
      <c r="D830" s="713" t="s">
        <v>1</v>
      </c>
      <c r="E830" s="713" t="s">
        <v>674</v>
      </c>
      <c r="F830" s="723" t="s">
        <v>681</v>
      </c>
      <c r="G830" s="713" t="s">
        <v>58</v>
      </c>
      <c r="H830" s="723" t="s">
        <v>677</v>
      </c>
      <c r="I830" s="713" t="s">
        <v>5</v>
      </c>
      <c r="J830" s="713" t="s">
        <v>376</v>
      </c>
      <c r="K830" s="766">
        <v>1</v>
      </c>
      <c r="L830" s="766" t="s">
        <v>671</v>
      </c>
      <c r="M830" s="765" t="s">
        <v>748</v>
      </c>
      <c r="N830" s="765">
        <v>0</v>
      </c>
      <c r="O830" s="765">
        <v>0</v>
      </c>
      <c r="P830" s="735">
        <v>0</v>
      </c>
      <c r="Q830" s="713" t="s">
        <v>58</v>
      </c>
      <c r="R830" s="713" t="s">
        <v>58</v>
      </c>
      <c r="S830" s="713" t="s">
        <v>58</v>
      </c>
      <c r="T830" s="713" t="s">
        <v>58</v>
      </c>
      <c r="U830" s="764">
        <v>0</v>
      </c>
      <c r="V830" s="764">
        <v>0</v>
      </c>
      <c r="W830" s="764">
        <v>0</v>
      </c>
      <c r="X830" s="764">
        <v>0</v>
      </c>
      <c r="Y830" s="764">
        <v>0</v>
      </c>
      <c r="Z830" s="764">
        <v>0</v>
      </c>
      <c r="AA830" s="764">
        <v>0</v>
      </c>
      <c r="AB830" s="764">
        <v>0</v>
      </c>
      <c r="AC830" s="714">
        <v>0.82617698682369967</v>
      </c>
      <c r="AD830" s="714">
        <v>0.7843105192554185</v>
      </c>
      <c r="AE830" s="713" t="s">
        <v>58</v>
      </c>
      <c r="AF830" s="713" t="s">
        <v>58</v>
      </c>
      <c r="AG830" s="713" t="s">
        <v>58</v>
      </c>
      <c r="AH830" s="714">
        <v>0.94387031345969796</v>
      </c>
      <c r="AI830" s="713" t="s">
        <v>58</v>
      </c>
      <c r="AJ830" s="713" t="s">
        <v>58</v>
      </c>
      <c r="AK830" s="713" t="s">
        <v>58</v>
      </c>
      <c r="AL830" s="714">
        <v>0.94454345387965444</v>
      </c>
      <c r="AM830" s="713" t="s">
        <v>58</v>
      </c>
      <c r="AN830" s="713" t="s">
        <v>58</v>
      </c>
      <c r="AO830" s="713" t="s">
        <v>58</v>
      </c>
      <c r="AP830" s="747">
        <v>51</v>
      </c>
      <c r="AQ830" s="747">
        <v>51</v>
      </c>
      <c r="AR830" s="709"/>
      <c r="AS830" s="763">
        <v>0</v>
      </c>
      <c r="AT830" s="763">
        <v>0</v>
      </c>
      <c r="AU830" s="763">
        <v>0</v>
      </c>
      <c r="AV830" s="763">
        <v>0</v>
      </c>
      <c r="AW830" s="763">
        <v>0</v>
      </c>
      <c r="AX830" s="763">
        <v>0</v>
      </c>
      <c r="AY830" s="763">
        <v>0</v>
      </c>
      <c r="AZ830" s="763">
        <v>0</v>
      </c>
      <c r="BA830" s="763">
        <v>0</v>
      </c>
      <c r="BB830" s="763">
        <v>0</v>
      </c>
      <c r="BC830" s="763">
        <v>0</v>
      </c>
      <c r="BD830" s="763">
        <v>0</v>
      </c>
      <c r="BE830" s="763">
        <v>0</v>
      </c>
      <c r="BF830" s="763">
        <v>0</v>
      </c>
      <c r="BG830" s="763">
        <v>0</v>
      </c>
      <c r="BH830" s="763">
        <v>0</v>
      </c>
      <c r="BI830" s="763">
        <v>0</v>
      </c>
      <c r="BJ830" s="763">
        <v>0</v>
      </c>
      <c r="BK830" s="763">
        <v>0</v>
      </c>
      <c r="BL830" s="763">
        <v>0</v>
      </c>
      <c r="BM830" s="763">
        <v>0</v>
      </c>
      <c r="BN830" s="763">
        <v>0</v>
      </c>
      <c r="BO830" s="763">
        <v>0</v>
      </c>
      <c r="BP830" s="763">
        <v>0</v>
      </c>
      <c r="BQ830" s="763">
        <v>0</v>
      </c>
      <c r="BR830" s="763">
        <v>0</v>
      </c>
      <c r="BS830" s="762">
        <v>0</v>
      </c>
      <c r="BT830" s="762">
        <v>0</v>
      </c>
      <c r="BU830" s="762">
        <v>0</v>
      </c>
      <c r="BV830" s="762">
        <v>0</v>
      </c>
      <c r="BW830" s="762">
        <v>0</v>
      </c>
      <c r="BX830" s="762">
        <v>0</v>
      </c>
      <c r="BY830" s="762">
        <v>0</v>
      </c>
      <c r="BZ830" s="762">
        <v>0</v>
      </c>
      <c r="CA830" s="762">
        <v>0</v>
      </c>
      <c r="CB830" s="762">
        <v>0</v>
      </c>
      <c r="CC830" s="762">
        <v>0</v>
      </c>
      <c r="CD830" s="762">
        <v>0</v>
      </c>
      <c r="CE830" s="762">
        <v>0</v>
      </c>
      <c r="CF830" s="762">
        <v>0</v>
      </c>
      <c r="CG830" s="762">
        <v>0</v>
      </c>
      <c r="CH830" s="762">
        <v>0</v>
      </c>
      <c r="CI830" s="762">
        <v>0</v>
      </c>
      <c r="CJ830" s="762">
        <v>0</v>
      </c>
      <c r="CK830" s="762">
        <v>0</v>
      </c>
      <c r="CL830" s="762">
        <v>0</v>
      </c>
      <c r="CM830" s="762">
        <v>0</v>
      </c>
      <c r="CN830" s="762">
        <v>0</v>
      </c>
      <c r="CO830" s="762">
        <v>0</v>
      </c>
      <c r="CP830" s="762">
        <v>0</v>
      </c>
      <c r="CQ830" s="762">
        <v>0</v>
      </c>
      <c r="CR830" s="762">
        <v>0</v>
      </c>
    </row>
    <row r="831" spans="1:96" s="53" customFormat="1">
      <c r="A831" s="721" t="s">
        <v>3</v>
      </c>
      <c r="B831" s="723">
        <v>41979</v>
      </c>
      <c r="C831" s="721">
        <v>2014</v>
      </c>
      <c r="D831" s="713" t="s">
        <v>1</v>
      </c>
      <c r="E831" s="713" t="s">
        <v>674</v>
      </c>
      <c r="F831" s="723" t="s">
        <v>681</v>
      </c>
      <c r="G831" s="713" t="s">
        <v>58</v>
      </c>
      <c r="H831" s="723" t="s">
        <v>676</v>
      </c>
      <c r="I831" s="713" t="s">
        <v>5</v>
      </c>
      <c r="J831" s="713" t="s">
        <v>376</v>
      </c>
      <c r="K831" s="766">
        <v>2</v>
      </c>
      <c r="L831" s="766" t="s">
        <v>671</v>
      </c>
      <c r="M831" s="765" t="s">
        <v>748</v>
      </c>
      <c r="N831" s="765">
        <v>12</v>
      </c>
      <c r="O831" s="765">
        <v>3</v>
      </c>
      <c r="P831" s="735">
        <v>0.31578947368421051</v>
      </c>
      <c r="Q831" s="713" t="s">
        <v>58</v>
      </c>
      <c r="R831" s="713" t="s">
        <v>58</v>
      </c>
      <c r="S831" s="713" t="s">
        <v>58</v>
      </c>
      <c r="T831" s="713" t="s">
        <v>58</v>
      </c>
      <c r="U831" s="764">
        <v>7.5999999999999998E-2</v>
      </c>
      <c r="V831" s="764">
        <v>247.22800000000001</v>
      </c>
      <c r="W831" s="764">
        <v>5.9607599463411813E-2</v>
      </c>
      <c r="X831" s="764">
        <v>204.25408409844962</v>
      </c>
      <c r="Y831" s="764">
        <v>1193.2738597330476</v>
      </c>
      <c r="Z831" s="764">
        <v>1126.2957720294953</v>
      </c>
      <c r="AA831" s="764">
        <v>192.78936638342716</v>
      </c>
      <c r="AB831" s="764">
        <v>5.6301967874646031E-2</v>
      </c>
      <c r="AC831" s="714">
        <v>0.82617698682369967</v>
      </c>
      <c r="AD831" s="714">
        <v>0.7843105192554185</v>
      </c>
      <c r="AE831" s="713" t="s">
        <v>58</v>
      </c>
      <c r="AF831" s="713" t="s">
        <v>58</v>
      </c>
      <c r="AG831" s="713" t="s">
        <v>58</v>
      </c>
      <c r="AH831" s="714">
        <v>0.94387031345969796</v>
      </c>
      <c r="AI831" s="713" t="s">
        <v>58</v>
      </c>
      <c r="AJ831" s="713" t="s">
        <v>58</v>
      </c>
      <c r="AK831" s="713" t="s">
        <v>58</v>
      </c>
      <c r="AL831" s="714">
        <v>0.94454345387965444</v>
      </c>
      <c r="AM831" s="713" t="s">
        <v>58</v>
      </c>
      <c r="AN831" s="713" t="s">
        <v>58</v>
      </c>
      <c r="AO831" s="713" t="s">
        <v>58</v>
      </c>
      <c r="AP831" s="747">
        <v>57</v>
      </c>
      <c r="AQ831" s="747">
        <v>114</v>
      </c>
      <c r="AR831" s="709"/>
      <c r="AS831" s="763">
        <v>0</v>
      </c>
      <c r="AT831" s="763">
        <v>0</v>
      </c>
      <c r="AU831" s="763">
        <v>0</v>
      </c>
      <c r="AV831" s="763">
        <v>5.6301967874646031E-2</v>
      </c>
      <c r="AW831" s="763">
        <v>5.6301967874646031E-2</v>
      </c>
      <c r="AX831" s="763">
        <v>5.6301967874646031E-2</v>
      </c>
      <c r="AY831" s="763">
        <v>1.77795688025198E-2</v>
      </c>
      <c r="AZ831" s="763">
        <v>1.77795688025198E-2</v>
      </c>
      <c r="BA831" s="763">
        <v>1.77795688025198E-2</v>
      </c>
      <c r="BB831" s="763">
        <v>1.77795688025198E-2</v>
      </c>
      <c r="BC831" s="763">
        <v>1.77795688025198E-2</v>
      </c>
      <c r="BD831" s="763">
        <v>1.77795688025198E-2</v>
      </c>
      <c r="BE831" s="763">
        <v>1.77795688025198E-2</v>
      </c>
      <c r="BF831" s="763">
        <v>1.77795688025198E-2</v>
      </c>
      <c r="BG831" s="763">
        <v>1.77795688025198E-2</v>
      </c>
      <c r="BH831" s="763">
        <v>0</v>
      </c>
      <c r="BI831" s="763">
        <v>0</v>
      </c>
      <c r="BJ831" s="763">
        <v>0</v>
      </c>
      <c r="BK831" s="763">
        <v>0</v>
      </c>
      <c r="BL831" s="763">
        <v>0</v>
      </c>
      <c r="BM831" s="763">
        <v>0</v>
      </c>
      <c r="BN831" s="763">
        <v>0</v>
      </c>
      <c r="BO831" s="763">
        <v>0</v>
      </c>
      <c r="BP831" s="763">
        <v>0</v>
      </c>
      <c r="BQ831" s="763">
        <v>0</v>
      </c>
      <c r="BR831" s="763">
        <v>0</v>
      </c>
      <c r="BS831" s="762">
        <v>0</v>
      </c>
      <c r="BT831" s="762">
        <v>0</v>
      </c>
      <c r="BU831" s="762">
        <v>0</v>
      </c>
      <c r="BV831" s="762">
        <v>192.78936638342716</v>
      </c>
      <c r="BW831" s="762">
        <v>192.78936638342716</v>
      </c>
      <c r="BX831" s="762">
        <v>192.78936638342716</v>
      </c>
      <c r="BY831" s="762">
        <v>60.880852542134889</v>
      </c>
      <c r="BZ831" s="762">
        <v>60.880852542134889</v>
      </c>
      <c r="CA831" s="762">
        <v>60.880852542134889</v>
      </c>
      <c r="CB831" s="762">
        <v>60.880852542134889</v>
      </c>
      <c r="CC831" s="762">
        <v>60.880852542134889</v>
      </c>
      <c r="CD831" s="762">
        <v>60.880852542134889</v>
      </c>
      <c r="CE831" s="762">
        <v>60.880852542134889</v>
      </c>
      <c r="CF831" s="762">
        <v>60.880852542134889</v>
      </c>
      <c r="CG831" s="762">
        <v>60.880852542134889</v>
      </c>
      <c r="CH831" s="762">
        <v>0</v>
      </c>
      <c r="CI831" s="762">
        <v>0</v>
      </c>
      <c r="CJ831" s="762">
        <v>0</v>
      </c>
      <c r="CK831" s="762">
        <v>0</v>
      </c>
      <c r="CL831" s="762">
        <v>0</v>
      </c>
      <c r="CM831" s="762">
        <v>0</v>
      </c>
      <c r="CN831" s="762">
        <v>0</v>
      </c>
      <c r="CO831" s="762">
        <v>0</v>
      </c>
      <c r="CP831" s="762">
        <v>0</v>
      </c>
      <c r="CQ831" s="762">
        <v>0</v>
      </c>
      <c r="CR831" s="762">
        <v>0</v>
      </c>
    </row>
    <row r="832" spans="1:96" s="53" customFormat="1">
      <c r="A832" s="721" t="s">
        <v>3</v>
      </c>
      <c r="B832" s="723">
        <v>41979</v>
      </c>
      <c r="C832" s="721">
        <v>2014</v>
      </c>
      <c r="D832" s="713" t="s">
        <v>1</v>
      </c>
      <c r="E832" s="713" t="s">
        <v>674</v>
      </c>
      <c r="F832" s="723" t="s">
        <v>681</v>
      </c>
      <c r="G832" s="713" t="s">
        <v>58</v>
      </c>
      <c r="H832" s="723" t="s">
        <v>675</v>
      </c>
      <c r="I832" s="713" t="s">
        <v>5</v>
      </c>
      <c r="J832" s="713" t="s">
        <v>376</v>
      </c>
      <c r="K832" s="766">
        <v>14</v>
      </c>
      <c r="L832" s="766" t="s">
        <v>671</v>
      </c>
      <c r="M832" s="765" t="s">
        <v>748</v>
      </c>
      <c r="N832" s="765">
        <v>12</v>
      </c>
      <c r="O832" s="765">
        <v>3</v>
      </c>
      <c r="P832" s="735">
        <v>0.36842105263157893</v>
      </c>
      <c r="Q832" s="713" t="s">
        <v>58</v>
      </c>
      <c r="R832" s="713" t="s">
        <v>58</v>
      </c>
      <c r="S832" s="713" t="s">
        <v>58</v>
      </c>
      <c r="T832" s="713" t="s">
        <v>58</v>
      </c>
      <c r="U832" s="764">
        <v>0.79800000000000004</v>
      </c>
      <c r="V832" s="764">
        <v>2595.8939999999998</v>
      </c>
      <c r="W832" s="764">
        <v>0.62587979436582408</v>
      </c>
      <c r="X832" s="764">
        <v>2144.6678830337205</v>
      </c>
      <c r="Y832" s="764">
        <v>13545.270840212972</v>
      </c>
      <c r="Z832" s="764">
        <v>12784.979033848324</v>
      </c>
      <c r="AA832" s="764">
        <v>2024.2883470259846</v>
      </c>
      <c r="AB832" s="764">
        <v>0.59117066268378338</v>
      </c>
      <c r="AC832" s="714">
        <v>0.82617698682369967</v>
      </c>
      <c r="AD832" s="714">
        <v>0.7843105192554185</v>
      </c>
      <c r="AE832" s="713" t="s">
        <v>58</v>
      </c>
      <c r="AF832" s="713" t="s">
        <v>58</v>
      </c>
      <c r="AG832" s="713" t="s">
        <v>58</v>
      </c>
      <c r="AH832" s="714">
        <v>0.94387031345969796</v>
      </c>
      <c r="AI832" s="713" t="s">
        <v>58</v>
      </c>
      <c r="AJ832" s="713" t="s">
        <v>58</v>
      </c>
      <c r="AK832" s="713" t="s">
        <v>58</v>
      </c>
      <c r="AL832" s="714">
        <v>0.94454345387965444</v>
      </c>
      <c r="AM832" s="713" t="s">
        <v>58</v>
      </c>
      <c r="AN832" s="713" t="s">
        <v>58</v>
      </c>
      <c r="AO832" s="713" t="s">
        <v>58</v>
      </c>
      <c r="AP832" s="747">
        <v>73</v>
      </c>
      <c r="AQ832" s="747">
        <v>1022</v>
      </c>
      <c r="AR832" s="709"/>
      <c r="AS832" s="763">
        <v>0</v>
      </c>
      <c r="AT832" s="763">
        <v>0</v>
      </c>
      <c r="AU832" s="763">
        <v>0</v>
      </c>
      <c r="AV832" s="763">
        <v>0.59117066268378338</v>
      </c>
      <c r="AW832" s="763">
        <v>0.59117066268378338</v>
      </c>
      <c r="AX832" s="763">
        <v>0.59117066268378338</v>
      </c>
      <c r="AY832" s="763">
        <v>0.21779971783086755</v>
      </c>
      <c r="AZ832" s="763">
        <v>0.21779971783086755</v>
      </c>
      <c r="BA832" s="763">
        <v>0.21779971783086755</v>
      </c>
      <c r="BB832" s="763">
        <v>0.21779971783086755</v>
      </c>
      <c r="BC832" s="763">
        <v>0.21779971783086755</v>
      </c>
      <c r="BD832" s="763">
        <v>0.21779971783086755</v>
      </c>
      <c r="BE832" s="763">
        <v>0.21779971783086755</v>
      </c>
      <c r="BF832" s="763">
        <v>0.21779971783086755</v>
      </c>
      <c r="BG832" s="763">
        <v>0.21779971783086755</v>
      </c>
      <c r="BH832" s="763">
        <v>0</v>
      </c>
      <c r="BI832" s="763">
        <v>0</v>
      </c>
      <c r="BJ832" s="763">
        <v>0</v>
      </c>
      <c r="BK832" s="763">
        <v>0</v>
      </c>
      <c r="BL832" s="763">
        <v>0</v>
      </c>
      <c r="BM832" s="763">
        <v>0</v>
      </c>
      <c r="BN832" s="763">
        <v>0</v>
      </c>
      <c r="BO832" s="763">
        <v>0</v>
      </c>
      <c r="BP832" s="763">
        <v>0</v>
      </c>
      <c r="BQ832" s="763">
        <v>0</v>
      </c>
      <c r="BR832" s="763">
        <v>0</v>
      </c>
      <c r="BS832" s="762">
        <v>0</v>
      </c>
      <c r="BT832" s="762">
        <v>0</v>
      </c>
      <c r="BU832" s="762">
        <v>0</v>
      </c>
      <c r="BV832" s="762">
        <v>2024.2883470259846</v>
      </c>
      <c r="BW832" s="762">
        <v>2024.2883470259846</v>
      </c>
      <c r="BX832" s="762">
        <v>2024.2883470259846</v>
      </c>
      <c r="BY832" s="762">
        <v>745.79044364115225</v>
      </c>
      <c r="BZ832" s="762">
        <v>745.79044364115225</v>
      </c>
      <c r="CA832" s="762">
        <v>745.79044364115225</v>
      </c>
      <c r="CB832" s="762">
        <v>745.79044364115225</v>
      </c>
      <c r="CC832" s="762">
        <v>745.79044364115225</v>
      </c>
      <c r="CD832" s="762">
        <v>745.79044364115225</v>
      </c>
      <c r="CE832" s="762">
        <v>745.79044364115225</v>
      </c>
      <c r="CF832" s="762">
        <v>745.79044364115225</v>
      </c>
      <c r="CG832" s="762">
        <v>745.79044364115225</v>
      </c>
      <c r="CH832" s="762">
        <v>0</v>
      </c>
      <c r="CI832" s="762">
        <v>0</v>
      </c>
      <c r="CJ832" s="762">
        <v>0</v>
      </c>
      <c r="CK832" s="762">
        <v>0</v>
      </c>
      <c r="CL832" s="762">
        <v>0</v>
      </c>
      <c r="CM832" s="762">
        <v>0</v>
      </c>
      <c r="CN832" s="762">
        <v>0</v>
      </c>
      <c r="CO832" s="762">
        <v>0</v>
      </c>
      <c r="CP832" s="762">
        <v>0</v>
      </c>
      <c r="CQ832" s="762">
        <v>0</v>
      </c>
      <c r="CR832" s="762">
        <v>0</v>
      </c>
    </row>
    <row r="833" spans="1:96" s="53" customFormat="1">
      <c r="A833" s="721" t="s">
        <v>3</v>
      </c>
      <c r="B833" s="723">
        <v>41979</v>
      </c>
      <c r="C833" s="721">
        <v>2014</v>
      </c>
      <c r="D833" s="713" t="s">
        <v>1</v>
      </c>
      <c r="E833" s="713" t="s">
        <v>674</v>
      </c>
      <c r="F833" s="723" t="s">
        <v>681</v>
      </c>
      <c r="G833" s="713" t="s">
        <v>58</v>
      </c>
      <c r="H833" s="723" t="s">
        <v>675</v>
      </c>
      <c r="I833" s="713" t="s">
        <v>5</v>
      </c>
      <c r="J833" s="713" t="s">
        <v>376</v>
      </c>
      <c r="K833" s="766">
        <v>4</v>
      </c>
      <c r="L833" s="766" t="s">
        <v>671</v>
      </c>
      <c r="M833" s="765" t="s">
        <v>748</v>
      </c>
      <c r="N833" s="765">
        <v>12</v>
      </c>
      <c r="O833" s="765">
        <v>3</v>
      </c>
      <c r="P833" s="735">
        <v>0.36842105263157893</v>
      </c>
      <c r="Q833" s="713" t="s">
        <v>58</v>
      </c>
      <c r="R833" s="713" t="s">
        <v>58</v>
      </c>
      <c r="S833" s="713" t="s">
        <v>58</v>
      </c>
      <c r="T833" s="713" t="s">
        <v>58</v>
      </c>
      <c r="U833" s="764">
        <v>0.22800000000000001</v>
      </c>
      <c r="V833" s="764">
        <v>741.68399999999997</v>
      </c>
      <c r="W833" s="764">
        <v>0.17882279839023546</v>
      </c>
      <c r="X833" s="764">
        <v>612.76225229534884</v>
      </c>
      <c r="Y833" s="764">
        <v>3870.0773829179925</v>
      </c>
      <c r="Z833" s="764">
        <v>3652.8511525280933</v>
      </c>
      <c r="AA833" s="764">
        <v>578.36809915028141</v>
      </c>
      <c r="AB833" s="764">
        <v>0.16890590362393812</v>
      </c>
      <c r="AC833" s="714">
        <v>0.82617698682369967</v>
      </c>
      <c r="AD833" s="714">
        <v>0.7843105192554185</v>
      </c>
      <c r="AE833" s="713" t="s">
        <v>58</v>
      </c>
      <c r="AF833" s="713" t="s">
        <v>58</v>
      </c>
      <c r="AG833" s="713" t="s">
        <v>58</v>
      </c>
      <c r="AH833" s="714">
        <v>0.94387031345969796</v>
      </c>
      <c r="AI833" s="713" t="s">
        <v>58</v>
      </c>
      <c r="AJ833" s="713" t="s">
        <v>58</v>
      </c>
      <c r="AK833" s="713" t="s">
        <v>58</v>
      </c>
      <c r="AL833" s="714">
        <v>0.94454345387965444</v>
      </c>
      <c r="AM833" s="713" t="s">
        <v>58</v>
      </c>
      <c r="AN833" s="713" t="s">
        <v>58</v>
      </c>
      <c r="AO833" s="713" t="s">
        <v>58</v>
      </c>
      <c r="AP833" s="747">
        <v>73</v>
      </c>
      <c r="AQ833" s="747">
        <v>292</v>
      </c>
      <c r="AR833" s="709"/>
      <c r="AS833" s="763">
        <v>0</v>
      </c>
      <c r="AT833" s="763">
        <v>0</v>
      </c>
      <c r="AU833" s="763">
        <v>0</v>
      </c>
      <c r="AV833" s="763">
        <v>0.16890590362393812</v>
      </c>
      <c r="AW833" s="763">
        <v>0.16890590362393812</v>
      </c>
      <c r="AX833" s="763">
        <v>0.16890590362393812</v>
      </c>
      <c r="AY833" s="763">
        <v>6.2228490808819301E-2</v>
      </c>
      <c r="AZ833" s="763">
        <v>6.2228490808819301E-2</v>
      </c>
      <c r="BA833" s="763">
        <v>6.2228490808819301E-2</v>
      </c>
      <c r="BB833" s="763">
        <v>6.2228490808819301E-2</v>
      </c>
      <c r="BC833" s="763">
        <v>6.2228490808819301E-2</v>
      </c>
      <c r="BD833" s="763">
        <v>6.2228490808819301E-2</v>
      </c>
      <c r="BE833" s="763">
        <v>6.2228490808819301E-2</v>
      </c>
      <c r="BF833" s="763">
        <v>6.2228490808819301E-2</v>
      </c>
      <c r="BG833" s="763">
        <v>6.2228490808819301E-2</v>
      </c>
      <c r="BH833" s="763">
        <v>0</v>
      </c>
      <c r="BI833" s="763">
        <v>0</v>
      </c>
      <c r="BJ833" s="763">
        <v>0</v>
      </c>
      <c r="BK833" s="763">
        <v>0</v>
      </c>
      <c r="BL833" s="763">
        <v>0</v>
      </c>
      <c r="BM833" s="763">
        <v>0</v>
      </c>
      <c r="BN833" s="763">
        <v>0</v>
      </c>
      <c r="BO833" s="763">
        <v>0</v>
      </c>
      <c r="BP833" s="763">
        <v>0</v>
      </c>
      <c r="BQ833" s="763">
        <v>0</v>
      </c>
      <c r="BR833" s="763">
        <v>0</v>
      </c>
      <c r="BS833" s="762">
        <v>0</v>
      </c>
      <c r="BT833" s="762">
        <v>0</v>
      </c>
      <c r="BU833" s="762">
        <v>0</v>
      </c>
      <c r="BV833" s="762">
        <v>578.36809915028141</v>
      </c>
      <c r="BW833" s="762">
        <v>578.36809915028141</v>
      </c>
      <c r="BX833" s="762">
        <v>578.36809915028141</v>
      </c>
      <c r="BY833" s="762">
        <v>213.08298389747208</v>
      </c>
      <c r="BZ833" s="762">
        <v>213.08298389747208</v>
      </c>
      <c r="CA833" s="762">
        <v>213.08298389747208</v>
      </c>
      <c r="CB833" s="762">
        <v>213.08298389747208</v>
      </c>
      <c r="CC833" s="762">
        <v>213.08298389747208</v>
      </c>
      <c r="CD833" s="762">
        <v>213.08298389747208</v>
      </c>
      <c r="CE833" s="762">
        <v>213.08298389747208</v>
      </c>
      <c r="CF833" s="762">
        <v>213.08298389747208</v>
      </c>
      <c r="CG833" s="762">
        <v>213.08298389747208</v>
      </c>
      <c r="CH833" s="762">
        <v>0</v>
      </c>
      <c r="CI833" s="762">
        <v>0</v>
      </c>
      <c r="CJ833" s="762">
        <v>0</v>
      </c>
      <c r="CK833" s="762">
        <v>0</v>
      </c>
      <c r="CL833" s="762">
        <v>0</v>
      </c>
      <c r="CM833" s="762">
        <v>0</v>
      </c>
      <c r="CN833" s="762">
        <v>0</v>
      </c>
      <c r="CO833" s="762">
        <v>0</v>
      </c>
      <c r="CP833" s="762">
        <v>0</v>
      </c>
      <c r="CQ833" s="762">
        <v>0</v>
      </c>
      <c r="CR833" s="762">
        <v>0</v>
      </c>
    </row>
    <row r="834" spans="1:96" s="53" customFormat="1">
      <c r="A834" s="721" t="s">
        <v>3</v>
      </c>
      <c r="B834" s="723">
        <v>41979</v>
      </c>
      <c r="C834" s="721">
        <v>2014</v>
      </c>
      <c r="D834" s="713" t="s">
        <v>1</v>
      </c>
      <c r="E834" s="713" t="s">
        <v>674</v>
      </c>
      <c r="F834" s="723" t="s">
        <v>681</v>
      </c>
      <c r="G834" s="713" t="s">
        <v>58</v>
      </c>
      <c r="H834" s="723" t="s">
        <v>678</v>
      </c>
      <c r="I834" s="713" t="s">
        <v>5</v>
      </c>
      <c r="J834" s="713" t="s">
        <v>376</v>
      </c>
      <c r="K834" s="766">
        <v>3</v>
      </c>
      <c r="L834" s="766" t="s">
        <v>671</v>
      </c>
      <c r="M834" s="765" t="s">
        <v>748</v>
      </c>
      <c r="N834" s="765">
        <v>3</v>
      </c>
      <c r="O834" s="765">
        <v>2</v>
      </c>
      <c r="P834" s="735">
        <v>0.6149863305954828</v>
      </c>
      <c r="Q834" s="713" t="s">
        <v>58</v>
      </c>
      <c r="R834" s="713" t="s">
        <v>58</v>
      </c>
      <c r="S834" s="713" t="s">
        <v>58</v>
      </c>
      <c r="T834" s="713" t="s">
        <v>58</v>
      </c>
      <c r="U834" s="764">
        <v>0.14099999999999999</v>
      </c>
      <c r="V834" s="764">
        <v>524.66099999999994</v>
      </c>
      <c r="W834" s="764">
        <v>0.110587783215014</v>
      </c>
      <c r="X834" s="764">
        <v>433.46284408390898</v>
      </c>
      <c r="Y834" s="764">
        <v>1133.4994121004629</v>
      </c>
      <c r="Z834" s="764">
        <v>1069.8764454056472</v>
      </c>
      <c r="AA834" s="764">
        <v>409.13271051861136</v>
      </c>
      <c r="AB834" s="764">
        <v>0.1044549667148038</v>
      </c>
      <c r="AC834" s="714">
        <v>0.82617698682369967</v>
      </c>
      <c r="AD834" s="714">
        <v>0.7843105192554185</v>
      </c>
      <c r="AE834" s="713" t="s">
        <v>58</v>
      </c>
      <c r="AF834" s="713" t="s">
        <v>58</v>
      </c>
      <c r="AG834" s="713" t="s">
        <v>58</v>
      </c>
      <c r="AH834" s="714">
        <v>0.94387031345969796</v>
      </c>
      <c r="AI834" s="713" t="s">
        <v>58</v>
      </c>
      <c r="AJ834" s="713" t="s">
        <v>58</v>
      </c>
      <c r="AK834" s="713" t="s">
        <v>58</v>
      </c>
      <c r="AL834" s="714">
        <v>0.94454345387965444</v>
      </c>
      <c r="AM834" s="713" t="s">
        <v>58</v>
      </c>
      <c r="AN834" s="713" t="s">
        <v>58</v>
      </c>
      <c r="AO834" s="713" t="s">
        <v>58</v>
      </c>
      <c r="AP834" s="747">
        <v>8</v>
      </c>
      <c r="AQ834" s="747">
        <v>24</v>
      </c>
      <c r="AR834" s="709"/>
      <c r="AS834" s="763">
        <v>0</v>
      </c>
      <c r="AT834" s="763">
        <v>0</v>
      </c>
      <c r="AU834" s="763">
        <v>0</v>
      </c>
      <c r="AV834" s="763">
        <v>0.1044549667148038</v>
      </c>
      <c r="AW834" s="763">
        <v>0.1044549667148038</v>
      </c>
      <c r="AX834" s="763">
        <v>6.4238376692410476E-2</v>
      </c>
      <c r="AY834" s="763">
        <v>0</v>
      </c>
      <c r="AZ834" s="763">
        <v>0</v>
      </c>
      <c r="BA834" s="763">
        <v>0</v>
      </c>
      <c r="BB834" s="763">
        <v>0</v>
      </c>
      <c r="BC834" s="763">
        <v>0</v>
      </c>
      <c r="BD834" s="763">
        <v>0</v>
      </c>
      <c r="BE834" s="763">
        <v>0</v>
      </c>
      <c r="BF834" s="763">
        <v>0</v>
      </c>
      <c r="BG834" s="763">
        <v>0</v>
      </c>
      <c r="BH834" s="763">
        <v>0</v>
      </c>
      <c r="BI834" s="763">
        <v>0</v>
      </c>
      <c r="BJ834" s="763">
        <v>0</v>
      </c>
      <c r="BK834" s="763">
        <v>0</v>
      </c>
      <c r="BL834" s="763">
        <v>0</v>
      </c>
      <c r="BM834" s="763">
        <v>0</v>
      </c>
      <c r="BN834" s="763">
        <v>0</v>
      </c>
      <c r="BO834" s="763">
        <v>0</v>
      </c>
      <c r="BP834" s="763">
        <v>0</v>
      </c>
      <c r="BQ834" s="763">
        <v>0</v>
      </c>
      <c r="BR834" s="763">
        <v>0</v>
      </c>
      <c r="BS834" s="762">
        <v>0</v>
      </c>
      <c r="BT834" s="762">
        <v>0</v>
      </c>
      <c r="BU834" s="762">
        <v>0</v>
      </c>
      <c r="BV834" s="762">
        <v>409.13271051861136</v>
      </c>
      <c r="BW834" s="762">
        <v>409.13271051861136</v>
      </c>
      <c r="BX834" s="762">
        <v>251.61102436842469</v>
      </c>
      <c r="BY834" s="762">
        <v>0</v>
      </c>
      <c r="BZ834" s="762">
        <v>0</v>
      </c>
      <c r="CA834" s="762">
        <v>0</v>
      </c>
      <c r="CB834" s="762">
        <v>0</v>
      </c>
      <c r="CC834" s="762">
        <v>0</v>
      </c>
      <c r="CD834" s="762">
        <v>0</v>
      </c>
      <c r="CE834" s="762">
        <v>0</v>
      </c>
      <c r="CF834" s="762">
        <v>0</v>
      </c>
      <c r="CG834" s="762">
        <v>0</v>
      </c>
      <c r="CH834" s="762">
        <v>0</v>
      </c>
      <c r="CI834" s="762">
        <v>0</v>
      </c>
      <c r="CJ834" s="762">
        <v>0</v>
      </c>
      <c r="CK834" s="762">
        <v>0</v>
      </c>
      <c r="CL834" s="762">
        <v>0</v>
      </c>
      <c r="CM834" s="762">
        <v>0</v>
      </c>
      <c r="CN834" s="762">
        <v>0</v>
      </c>
      <c r="CO834" s="762">
        <v>0</v>
      </c>
      <c r="CP834" s="762">
        <v>0</v>
      </c>
      <c r="CQ834" s="762">
        <v>0</v>
      </c>
      <c r="CR834" s="762">
        <v>0</v>
      </c>
    </row>
    <row r="835" spans="1:96" s="53" customFormat="1">
      <c r="A835" s="721" t="s">
        <v>3</v>
      </c>
      <c r="B835" s="723">
        <v>41979</v>
      </c>
      <c r="C835" s="721">
        <v>2014</v>
      </c>
      <c r="D835" s="713" t="s">
        <v>1</v>
      </c>
      <c r="E835" s="713" t="s">
        <v>674</v>
      </c>
      <c r="F835" s="723" t="s">
        <v>681</v>
      </c>
      <c r="G835" s="713" t="s">
        <v>58</v>
      </c>
      <c r="H835" s="723" t="s">
        <v>677</v>
      </c>
      <c r="I835" s="713" t="s">
        <v>5</v>
      </c>
      <c r="J835" s="713" t="s">
        <v>376</v>
      </c>
      <c r="K835" s="766">
        <v>1</v>
      </c>
      <c r="L835" s="766" t="s">
        <v>671</v>
      </c>
      <c r="M835" s="765" t="s">
        <v>748</v>
      </c>
      <c r="N835" s="765">
        <v>0</v>
      </c>
      <c r="O835" s="765">
        <v>0</v>
      </c>
      <c r="P835" s="735">
        <v>0</v>
      </c>
      <c r="Q835" s="713" t="s">
        <v>58</v>
      </c>
      <c r="R835" s="713" t="s">
        <v>58</v>
      </c>
      <c r="S835" s="713" t="s">
        <v>58</v>
      </c>
      <c r="T835" s="713" t="s">
        <v>58</v>
      </c>
      <c r="U835" s="764">
        <v>0</v>
      </c>
      <c r="V835" s="764">
        <v>0</v>
      </c>
      <c r="W835" s="764">
        <v>0</v>
      </c>
      <c r="X835" s="764">
        <v>0</v>
      </c>
      <c r="Y835" s="764">
        <v>0</v>
      </c>
      <c r="Z835" s="764">
        <v>0</v>
      </c>
      <c r="AA835" s="764">
        <v>0</v>
      </c>
      <c r="AB835" s="764">
        <v>0</v>
      </c>
      <c r="AC835" s="714">
        <v>0.82617698682369967</v>
      </c>
      <c r="AD835" s="714">
        <v>0.7843105192554185</v>
      </c>
      <c r="AE835" s="713" t="s">
        <v>58</v>
      </c>
      <c r="AF835" s="713" t="s">
        <v>58</v>
      </c>
      <c r="AG835" s="713" t="s">
        <v>58</v>
      </c>
      <c r="AH835" s="714">
        <v>0.94387031345969796</v>
      </c>
      <c r="AI835" s="713" t="s">
        <v>58</v>
      </c>
      <c r="AJ835" s="713" t="s">
        <v>58</v>
      </c>
      <c r="AK835" s="713" t="s">
        <v>58</v>
      </c>
      <c r="AL835" s="714">
        <v>0.94454345387965444</v>
      </c>
      <c r="AM835" s="713" t="s">
        <v>58</v>
      </c>
      <c r="AN835" s="713" t="s">
        <v>58</v>
      </c>
      <c r="AO835" s="713" t="s">
        <v>58</v>
      </c>
      <c r="AP835" s="747">
        <v>51</v>
      </c>
      <c r="AQ835" s="747">
        <v>51</v>
      </c>
      <c r="AR835" s="709"/>
      <c r="AS835" s="763">
        <v>0</v>
      </c>
      <c r="AT835" s="763">
        <v>0</v>
      </c>
      <c r="AU835" s="763">
        <v>0</v>
      </c>
      <c r="AV835" s="763">
        <v>0</v>
      </c>
      <c r="AW835" s="763">
        <v>0</v>
      </c>
      <c r="AX835" s="763">
        <v>0</v>
      </c>
      <c r="AY835" s="763">
        <v>0</v>
      </c>
      <c r="AZ835" s="763">
        <v>0</v>
      </c>
      <c r="BA835" s="763">
        <v>0</v>
      </c>
      <c r="BB835" s="763">
        <v>0</v>
      </c>
      <c r="BC835" s="763">
        <v>0</v>
      </c>
      <c r="BD835" s="763">
        <v>0</v>
      </c>
      <c r="BE835" s="763">
        <v>0</v>
      </c>
      <c r="BF835" s="763">
        <v>0</v>
      </c>
      <c r="BG835" s="763">
        <v>0</v>
      </c>
      <c r="BH835" s="763">
        <v>0</v>
      </c>
      <c r="BI835" s="763">
        <v>0</v>
      </c>
      <c r="BJ835" s="763">
        <v>0</v>
      </c>
      <c r="BK835" s="763">
        <v>0</v>
      </c>
      <c r="BL835" s="763">
        <v>0</v>
      </c>
      <c r="BM835" s="763">
        <v>0</v>
      </c>
      <c r="BN835" s="763">
        <v>0</v>
      </c>
      <c r="BO835" s="763">
        <v>0</v>
      </c>
      <c r="BP835" s="763">
        <v>0</v>
      </c>
      <c r="BQ835" s="763">
        <v>0</v>
      </c>
      <c r="BR835" s="763">
        <v>0</v>
      </c>
      <c r="BS835" s="762">
        <v>0</v>
      </c>
      <c r="BT835" s="762">
        <v>0</v>
      </c>
      <c r="BU835" s="762">
        <v>0</v>
      </c>
      <c r="BV835" s="762">
        <v>0</v>
      </c>
      <c r="BW835" s="762">
        <v>0</v>
      </c>
      <c r="BX835" s="762">
        <v>0</v>
      </c>
      <c r="BY835" s="762">
        <v>0</v>
      </c>
      <c r="BZ835" s="762">
        <v>0</v>
      </c>
      <c r="CA835" s="762">
        <v>0</v>
      </c>
      <c r="CB835" s="762">
        <v>0</v>
      </c>
      <c r="CC835" s="762">
        <v>0</v>
      </c>
      <c r="CD835" s="762">
        <v>0</v>
      </c>
      <c r="CE835" s="762">
        <v>0</v>
      </c>
      <c r="CF835" s="762">
        <v>0</v>
      </c>
      <c r="CG835" s="762">
        <v>0</v>
      </c>
      <c r="CH835" s="762">
        <v>0</v>
      </c>
      <c r="CI835" s="762">
        <v>0</v>
      </c>
      <c r="CJ835" s="762">
        <v>0</v>
      </c>
      <c r="CK835" s="762">
        <v>0</v>
      </c>
      <c r="CL835" s="762">
        <v>0</v>
      </c>
      <c r="CM835" s="762">
        <v>0</v>
      </c>
      <c r="CN835" s="762">
        <v>0</v>
      </c>
      <c r="CO835" s="762">
        <v>0</v>
      </c>
      <c r="CP835" s="762">
        <v>0</v>
      </c>
      <c r="CQ835" s="762">
        <v>0</v>
      </c>
      <c r="CR835" s="762">
        <v>0</v>
      </c>
    </row>
    <row r="836" spans="1:96" s="53" customFormat="1">
      <c r="A836" s="721" t="s">
        <v>3</v>
      </c>
      <c r="B836" s="723">
        <v>41979</v>
      </c>
      <c r="C836" s="721">
        <v>2014</v>
      </c>
      <c r="D836" s="713" t="s">
        <v>1</v>
      </c>
      <c r="E836" s="713" t="s">
        <v>674</v>
      </c>
      <c r="F836" s="723" t="s">
        <v>681</v>
      </c>
      <c r="G836" s="713" t="s">
        <v>58</v>
      </c>
      <c r="H836" s="723" t="s">
        <v>676</v>
      </c>
      <c r="I836" s="713" t="s">
        <v>5</v>
      </c>
      <c r="J836" s="713" t="s">
        <v>376</v>
      </c>
      <c r="K836" s="766">
        <v>3</v>
      </c>
      <c r="L836" s="766" t="s">
        <v>671</v>
      </c>
      <c r="M836" s="765" t="s">
        <v>748</v>
      </c>
      <c r="N836" s="765">
        <v>12</v>
      </c>
      <c r="O836" s="765">
        <v>3</v>
      </c>
      <c r="P836" s="735">
        <v>0.31578947368421051</v>
      </c>
      <c r="Q836" s="713" t="s">
        <v>58</v>
      </c>
      <c r="R836" s="713" t="s">
        <v>58</v>
      </c>
      <c r="S836" s="713" t="s">
        <v>58</v>
      </c>
      <c r="T836" s="713" t="s">
        <v>58</v>
      </c>
      <c r="U836" s="764">
        <v>0.114</v>
      </c>
      <c r="V836" s="764">
        <v>370.84199999999998</v>
      </c>
      <c r="W836" s="764">
        <v>8.941139919511773E-2</v>
      </c>
      <c r="X836" s="764">
        <v>306.38112614767442</v>
      </c>
      <c r="Y836" s="764">
        <v>1789.9107895995717</v>
      </c>
      <c r="Z836" s="764">
        <v>1689.4436580442432</v>
      </c>
      <c r="AA836" s="764">
        <v>289.1840495751407</v>
      </c>
      <c r="AB836" s="764">
        <v>8.445295181196906E-2</v>
      </c>
      <c r="AC836" s="714">
        <v>0.82617698682369967</v>
      </c>
      <c r="AD836" s="714">
        <v>0.7843105192554185</v>
      </c>
      <c r="AE836" s="713" t="s">
        <v>58</v>
      </c>
      <c r="AF836" s="713" t="s">
        <v>58</v>
      </c>
      <c r="AG836" s="713" t="s">
        <v>58</v>
      </c>
      <c r="AH836" s="714">
        <v>0.94387031345969796</v>
      </c>
      <c r="AI836" s="713" t="s">
        <v>58</v>
      </c>
      <c r="AJ836" s="713" t="s">
        <v>58</v>
      </c>
      <c r="AK836" s="713" t="s">
        <v>58</v>
      </c>
      <c r="AL836" s="714">
        <v>0.94454345387965444</v>
      </c>
      <c r="AM836" s="713" t="s">
        <v>58</v>
      </c>
      <c r="AN836" s="713" t="s">
        <v>58</v>
      </c>
      <c r="AO836" s="713" t="s">
        <v>58</v>
      </c>
      <c r="AP836" s="747">
        <v>57</v>
      </c>
      <c r="AQ836" s="747">
        <v>171</v>
      </c>
      <c r="AR836" s="709"/>
      <c r="AS836" s="763">
        <v>0</v>
      </c>
      <c r="AT836" s="763">
        <v>0</v>
      </c>
      <c r="AU836" s="763">
        <v>0</v>
      </c>
      <c r="AV836" s="763">
        <v>8.445295181196906E-2</v>
      </c>
      <c r="AW836" s="763">
        <v>8.445295181196906E-2</v>
      </c>
      <c r="AX836" s="763">
        <v>8.445295181196906E-2</v>
      </c>
      <c r="AY836" s="763">
        <v>2.6669353203779701E-2</v>
      </c>
      <c r="AZ836" s="763">
        <v>2.6669353203779701E-2</v>
      </c>
      <c r="BA836" s="763">
        <v>2.6669353203779701E-2</v>
      </c>
      <c r="BB836" s="763">
        <v>2.6669353203779701E-2</v>
      </c>
      <c r="BC836" s="763">
        <v>2.6669353203779701E-2</v>
      </c>
      <c r="BD836" s="763">
        <v>2.6669353203779701E-2</v>
      </c>
      <c r="BE836" s="763">
        <v>2.6669353203779701E-2</v>
      </c>
      <c r="BF836" s="763">
        <v>2.6669353203779701E-2</v>
      </c>
      <c r="BG836" s="763">
        <v>2.6669353203779701E-2</v>
      </c>
      <c r="BH836" s="763">
        <v>0</v>
      </c>
      <c r="BI836" s="763">
        <v>0</v>
      </c>
      <c r="BJ836" s="763">
        <v>0</v>
      </c>
      <c r="BK836" s="763">
        <v>0</v>
      </c>
      <c r="BL836" s="763">
        <v>0</v>
      </c>
      <c r="BM836" s="763">
        <v>0</v>
      </c>
      <c r="BN836" s="763">
        <v>0</v>
      </c>
      <c r="BO836" s="763">
        <v>0</v>
      </c>
      <c r="BP836" s="763">
        <v>0</v>
      </c>
      <c r="BQ836" s="763">
        <v>0</v>
      </c>
      <c r="BR836" s="763">
        <v>0</v>
      </c>
      <c r="BS836" s="762">
        <v>0</v>
      </c>
      <c r="BT836" s="762">
        <v>0</v>
      </c>
      <c r="BU836" s="762">
        <v>0</v>
      </c>
      <c r="BV836" s="762">
        <v>289.1840495751407</v>
      </c>
      <c r="BW836" s="762">
        <v>289.1840495751407</v>
      </c>
      <c r="BX836" s="762">
        <v>289.1840495751407</v>
      </c>
      <c r="BY836" s="762">
        <v>91.321278813202326</v>
      </c>
      <c r="BZ836" s="762">
        <v>91.321278813202326</v>
      </c>
      <c r="CA836" s="762">
        <v>91.321278813202326</v>
      </c>
      <c r="CB836" s="762">
        <v>91.321278813202326</v>
      </c>
      <c r="CC836" s="762">
        <v>91.321278813202326</v>
      </c>
      <c r="CD836" s="762">
        <v>91.321278813202326</v>
      </c>
      <c r="CE836" s="762">
        <v>91.321278813202326</v>
      </c>
      <c r="CF836" s="762">
        <v>91.321278813202326</v>
      </c>
      <c r="CG836" s="762">
        <v>91.321278813202326</v>
      </c>
      <c r="CH836" s="762">
        <v>0</v>
      </c>
      <c r="CI836" s="762">
        <v>0</v>
      </c>
      <c r="CJ836" s="762">
        <v>0</v>
      </c>
      <c r="CK836" s="762">
        <v>0</v>
      </c>
      <c r="CL836" s="762">
        <v>0</v>
      </c>
      <c r="CM836" s="762">
        <v>0</v>
      </c>
      <c r="CN836" s="762">
        <v>0</v>
      </c>
      <c r="CO836" s="762">
        <v>0</v>
      </c>
      <c r="CP836" s="762">
        <v>0</v>
      </c>
      <c r="CQ836" s="762">
        <v>0</v>
      </c>
      <c r="CR836" s="762">
        <v>0</v>
      </c>
    </row>
    <row r="837" spans="1:96" s="53" customFormat="1">
      <c r="A837" s="721" t="s">
        <v>3</v>
      </c>
      <c r="B837" s="723">
        <v>41979</v>
      </c>
      <c r="C837" s="721">
        <v>2014</v>
      </c>
      <c r="D837" s="713" t="s">
        <v>1</v>
      </c>
      <c r="E837" s="713" t="s">
        <v>674</v>
      </c>
      <c r="F837" s="723" t="s">
        <v>681</v>
      </c>
      <c r="G837" s="713" t="s">
        <v>58</v>
      </c>
      <c r="H837" s="723" t="s">
        <v>675</v>
      </c>
      <c r="I837" s="713" t="s">
        <v>5</v>
      </c>
      <c r="J837" s="713" t="s">
        <v>376</v>
      </c>
      <c r="K837" s="766">
        <v>12</v>
      </c>
      <c r="L837" s="766" t="s">
        <v>671</v>
      </c>
      <c r="M837" s="765" t="s">
        <v>748</v>
      </c>
      <c r="N837" s="765">
        <v>12</v>
      </c>
      <c r="O837" s="765">
        <v>3</v>
      </c>
      <c r="P837" s="735">
        <v>0.36842105263157893</v>
      </c>
      <c r="Q837" s="713" t="s">
        <v>58</v>
      </c>
      <c r="R837" s="713" t="s">
        <v>58</v>
      </c>
      <c r="S837" s="713" t="s">
        <v>58</v>
      </c>
      <c r="T837" s="713" t="s">
        <v>58</v>
      </c>
      <c r="U837" s="764">
        <v>0.68400000000000005</v>
      </c>
      <c r="V837" s="764">
        <v>2225.0520000000001</v>
      </c>
      <c r="W837" s="764">
        <v>0.53646839517070632</v>
      </c>
      <c r="X837" s="764">
        <v>1838.2867568860468</v>
      </c>
      <c r="Y837" s="764">
        <v>11610.232148753979</v>
      </c>
      <c r="Z837" s="764">
        <v>10958.553457584281</v>
      </c>
      <c r="AA837" s="764">
        <v>1735.1042974508446</v>
      </c>
      <c r="AB837" s="764">
        <v>0.50671771087181428</v>
      </c>
      <c r="AC837" s="714">
        <v>0.82617698682369967</v>
      </c>
      <c r="AD837" s="714">
        <v>0.7843105192554185</v>
      </c>
      <c r="AE837" s="713" t="s">
        <v>58</v>
      </c>
      <c r="AF837" s="713" t="s">
        <v>58</v>
      </c>
      <c r="AG837" s="713" t="s">
        <v>58</v>
      </c>
      <c r="AH837" s="714">
        <v>0.94387031345969796</v>
      </c>
      <c r="AI837" s="713" t="s">
        <v>58</v>
      </c>
      <c r="AJ837" s="713" t="s">
        <v>58</v>
      </c>
      <c r="AK837" s="713" t="s">
        <v>58</v>
      </c>
      <c r="AL837" s="714">
        <v>0.94454345387965444</v>
      </c>
      <c r="AM837" s="713" t="s">
        <v>58</v>
      </c>
      <c r="AN837" s="713" t="s">
        <v>58</v>
      </c>
      <c r="AO837" s="713" t="s">
        <v>58</v>
      </c>
      <c r="AP837" s="747">
        <v>73</v>
      </c>
      <c r="AQ837" s="747">
        <v>876</v>
      </c>
      <c r="AR837" s="709"/>
      <c r="AS837" s="763">
        <v>0</v>
      </c>
      <c r="AT837" s="763">
        <v>0</v>
      </c>
      <c r="AU837" s="763">
        <v>0</v>
      </c>
      <c r="AV837" s="763">
        <v>0.50671771087181428</v>
      </c>
      <c r="AW837" s="763">
        <v>0.50671771087181428</v>
      </c>
      <c r="AX837" s="763">
        <v>0.50671771087181428</v>
      </c>
      <c r="AY837" s="763">
        <v>0.18668547242645789</v>
      </c>
      <c r="AZ837" s="763">
        <v>0.18668547242645789</v>
      </c>
      <c r="BA837" s="763">
        <v>0.18668547242645789</v>
      </c>
      <c r="BB837" s="763">
        <v>0.18668547242645789</v>
      </c>
      <c r="BC837" s="763">
        <v>0.18668547242645789</v>
      </c>
      <c r="BD837" s="763">
        <v>0.18668547242645789</v>
      </c>
      <c r="BE837" s="763">
        <v>0.18668547242645789</v>
      </c>
      <c r="BF837" s="763">
        <v>0.18668547242645789</v>
      </c>
      <c r="BG837" s="763">
        <v>0.18668547242645789</v>
      </c>
      <c r="BH837" s="763">
        <v>0</v>
      </c>
      <c r="BI837" s="763">
        <v>0</v>
      </c>
      <c r="BJ837" s="763">
        <v>0</v>
      </c>
      <c r="BK837" s="763">
        <v>0</v>
      </c>
      <c r="BL837" s="763">
        <v>0</v>
      </c>
      <c r="BM837" s="763">
        <v>0</v>
      </c>
      <c r="BN837" s="763">
        <v>0</v>
      </c>
      <c r="BO837" s="763">
        <v>0</v>
      </c>
      <c r="BP837" s="763">
        <v>0</v>
      </c>
      <c r="BQ837" s="763">
        <v>0</v>
      </c>
      <c r="BR837" s="763">
        <v>0</v>
      </c>
      <c r="BS837" s="762">
        <v>0</v>
      </c>
      <c r="BT837" s="762">
        <v>0</v>
      </c>
      <c r="BU837" s="762">
        <v>0</v>
      </c>
      <c r="BV837" s="762">
        <v>1735.1042974508446</v>
      </c>
      <c r="BW837" s="762">
        <v>1735.1042974508446</v>
      </c>
      <c r="BX837" s="762">
        <v>1735.1042974508446</v>
      </c>
      <c r="BY837" s="762">
        <v>639.24895169241643</v>
      </c>
      <c r="BZ837" s="762">
        <v>639.24895169241643</v>
      </c>
      <c r="CA837" s="762">
        <v>639.24895169241643</v>
      </c>
      <c r="CB837" s="762">
        <v>639.24895169241643</v>
      </c>
      <c r="CC837" s="762">
        <v>639.24895169241643</v>
      </c>
      <c r="CD837" s="762">
        <v>639.24895169241643</v>
      </c>
      <c r="CE837" s="762">
        <v>639.24895169241643</v>
      </c>
      <c r="CF837" s="762">
        <v>639.24895169241643</v>
      </c>
      <c r="CG837" s="762">
        <v>639.24895169241643</v>
      </c>
      <c r="CH837" s="762">
        <v>0</v>
      </c>
      <c r="CI837" s="762">
        <v>0</v>
      </c>
      <c r="CJ837" s="762">
        <v>0</v>
      </c>
      <c r="CK837" s="762">
        <v>0</v>
      </c>
      <c r="CL837" s="762">
        <v>0</v>
      </c>
      <c r="CM837" s="762">
        <v>0</v>
      </c>
      <c r="CN837" s="762">
        <v>0</v>
      </c>
      <c r="CO837" s="762">
        <v>0</v>
      </c>
      <c r="CP837" s="762">
        <v>0</v>
      </c>
      <c r="CQ837" s="762">
        <v>0</v>
      </c>
      <c r="CR837" s="762">
        <v>0</v>
      </c>
    </row>
    <row r="838" spans="1:96" s="53" customFormat="1">
      <c r="A838" s="721" t="s">
        <v>3</v>
      </c>
      <c r="B838" s="723">
        <v>41781</v>
      </c>
      <c r="C838" s="721">
        <v>2014</v>
      </c>
      <c r="D838" s="713" t="s">
        <v>1</v>
      </c>
      <c r="E838" s="713" t="s">
        <v>674</v>
      </c>
      <c r="F838" s="723" t="s">
        <v>681</v>
      </c>
      <c r="G838" s="713" t="s">
        <v>58</v>
      </c>
      <c r="H838" s="723" t="s">
        <v>677</v>
      </c>
      <c r="I838" s="713" t="s">
        <v>5</v>
      </c>
      <c r="J838" s="713" t="s">
        <v>376</v>
      </c>
      <c r="K838" s="766">
        <v>1</v>
      </c>
      <c r="L838" s="766" t="s">
        <v>671</v>
      </c>
      <c r="M838" s="765" t="s">
        <v>747</v>
      </c>
      <c r="N838" s="765">
        <v>0</v>
      </c>
      <c r="O838" s="765">
        <v>0</v>
      </c>
      <c r="P838" s="735">
        <v>0</v>
      </c>
      <c r="Q838" s="713" t="s">
        <v>58</v>
      </c>
      <c r="R838" s="713" t="s">
        <v>58</v>
      </c>
      <c r="S838" s="713" t="s">
        <v>58</v>
      </c>
      <c r="T838" s="713" t="s">
        <v>58</v>
      </c>
      <c r="U838" s="764">
        <v>0</v>
      </c>
      <c r="V838" s="764">
        <v>0</v>
      </c>
      <c r="W838" s="764">
        <v>0</v>
      </c>
      <c r="X838" s="764">
        <v>0</v>
      </c>
      <c r="Y838" s="764">
        <v>0</v>
      </c>
      <c r="Z838" s="764">
        <v>0</v>
      </c>
      <c r="AA838" s="764">
        <v>0</v>
      </c>
      <c r="AB838" s="764">
        <v>0</v>
      </c>
      <c r="AC838" s="714">
        <v>0.82617698682369967</v>
      </c>
      <c r="AD838" s="714">
        <v>0.7843105192554185</v>
      </c>
      <c r="AE838" s="713" t="s">
        <v>58</v>
      </c>
      <c r="AF838" s="713" t="s">
        <v>58</v>
      </c>
      <c r="AG838" s="713" t="s">
        <v>58</v>
      </c>
      <c r="AH838" s="714">
        <v>0.94387031345969796</v>
      </c>
      <c r="AI838" s="713" t="s">
        <v>58</v>
      </c>
      <c r="AJ838" s="713" t="s">
        <v>58</v>
      </c>
      <c r="AK838" s="713" t="s">
        <v>58</v>
      </c>
      <c r="AL838" s="714">
        <v>0.94454345387965444</v>
      </c>
      <c r="AM838" s="713" t="s">
        <v>58</v>
      </c>
      <c r="AN838" s="713" t="s">
        <v>58</v>
      </c>
      <c r="AO838" s="713" t="s">
        <v>58</v>
      </c>
      <c r="AP838" s="747">
        <v>51</v>
      </c>
      <c r="AQ838" s="747">
        <v>51</v>
      </c>
      <c r="AR838" s="709"/>
      <c r="AS838" s="763">
        <v>0</v>
      </c>
      <c r="AT838" s="763">
        <v>0</v>
      </c>
      <c r="AU838" s="763">
        <v>0</v>
      </c>
      <c r="AV838" s="763">
        <v>0</v>
      </c>
      <c r="AW838" s="763">
        <v>0</v>
      </c>
      <c r="AX838" s="763">
        <v>0</v>
      </c>
      <c r="AY838" s="763">
        <v>0</v>
      </c>
      <c r="AZ838" s="763">
        <v>0</v>
      </c>
      <c r="BA838" s="763">
        <v>0</v>
      </c>
      <c r="BB838" s="763">
        <v>0</v>
      </c>
      <c r="BC838" s="763">
        <v>0</v>
      </c>
      <c r="BD838" s="763">
        <v>0</v>
      </c>
      <c r="BE838" s="763">
        <v>0</v>
      </c>
      <c r="BF838" s="763">
        <v>0</v>
      </c>
      <c r="BG838" s="763">
        <v>0</v>
      </c>
      <c r="BH838" s="763">
        <v>0</v>
      </c>
      <c r="BI838" s="763">
        <v>0</v>
      </c>
      <c r="BJ838" s="763">
        <v>0</v>
      </c>
      <c r="BK838" s="763">
        <v>0</v>
      </c>
      <c r="BL838" s="763">
        <v>0</v>
      </c>
      <c r="BM838" s="763">
        <v>0</v>
      </c>
      <c r="BN838" s="763">
        <v>0</v>
      </c>
      <c r="BO838" s="763">
        <v>0</v>
      </c>
      <c r="BP838" s="763">
        <v>0</v>
      </c>
      <c r="BQ838" s="763">
        <v>0</v>
      </c>
      <c r="BR838" s="763">
        <v>0</v>
      </c>
      <c r="BS838" s="762">
        <v>0</v>
      </c>
      <c r="BT838" s="762">
        <v>0</v>
      </c>
      <c r="BU838" s="762">
        <v>0</v>
      </c>
      <c r="BV838" s="762">
        <v>0</v>
      </c>
      <c r="BW838" s="762">
        <v>0</v>
      </c>
      <c r="BX838" s="762">
        <v>0</v>
      </c>
      <c r="BY838" s="762">
        <v>0</v>
      </c>
      <c r="BZ838" s="762">
        <v>0</v>
      </c>
      <c r="CA838" s="762">
        <v>0</v>
      </c>
      <c r="CB838" s="762">
        <v>0</v>
      </c>
      <c r="CC838" s="762">
        <v>0</v>
      </c>
      <c r="CD838" s="762">
        <v>0</v>
      </c>
      <c r="CE838" s="762">
        <v>0</v>
      </c>
      <c r="CF838" s="762">
        <v>0</v>
      </c>
      <c r="CG838" s="762">
        <v>0</v>
      </c>
      <c r="CH838" s="762">
        <v>0</v>
      </c>
      <c r="CI838" s="762">
        <v>0</v>
      </c>
      <c r="CJ838" s="762">
        <v>0</v>
      </c>
      <c r="CK838" s="762">
        <v>0</v>
      </c>
      <c r="CL838" s="762">
        <v>0</v>
      </c>
      <c r="CM838" s="762">
        <v>0</v>
      </c>
      <c r="CN838" s="762">
        <v>0</v>
      </c>
      <c r="CO838" s="762">
        <v>0</v>
      </c>
      <c r="CP838" s="762">
        <v>0</v>
      </c>
      <c r="CQ838" s="762">
        <v>0</v>
      </c>
      <c r="CR838" s="762">
        <v>0</v>
      </c>
    </row>
    <row r="839" spans="1:96" s="53" customFormat="1">
      <c r="A839" s="721" t="s">
        <v>3</v>
      </c>
      <c r="B839" s="723">
        <v>41781</v>
      </c>
      <c r="C839" s="721">
        <v>2014</v>
      </c>
      <c r="D839" s="713" t="s">
        <v>1</v>
      </c>
      <c r="E839" s="713" t="s">
        <v>674</v>
      </c>
      <c r="F839" s="723" t="s">
        <v>681</v>
      </c>
      <c r="G839" s="713" t="s">
        <v>58</v>
      </c>
      <c r="H839" s="723" t="s">
        <v>676</v>
      </c>
      <c r="I839" s="713" t="s">
        <v>5</v>
      </c>
      <c r="J839" s="713" t="s">
        <v>376</v>
      </c>
      <c r="K839" s="766">
        <v>2</v>
      </c>
      <c r="L839" s="766" t="s">
        <v>671</v>
      </c>
      <c r="M839" s="765" t="s">
        <v>747</v>
      </c>
      <c r="N839" s="765">
        <v>12</v>
      </c>
      <c r="O839" s="765">
        <v>3</v>
      </c>
      <c r="P839" s="735">
        <v>0.31578947368421051</v>
      </c>
      <c r="Q839" s="713" t="s">
        <v>58</v>
      </c>
      <c r="R839" s="713" t="s">
        <v>58</v>
      </c>
      <c r="S839" s="713" t="s">
        <v>58</v>
      </c>
      <c r="T839" s="713" t="s">
        <v>58</v>
      </c>
      <c r="U839" s="764">
        <v>7.5999999999999998E-2</v>
      </c>
      <c r="V839" s="764">
        <v>247.22800000000001</v>
      </c>
      <c r="W839" s="764">
        <v>5.9607599463411813E-2</v>
      </c>
      <c r="X839" s="764">
        <v>204.25408409844962</v>
      </c>
      <c r="Y839" s="764">
        <v>1193.2738597330476</v>
      </c>
      <c r="Z839" s="764">
        <v>1126.2957720294953</v>
      </c>
      <c r="AA839" s="764">
        <v>192.78936638342716</v>
      </c>
      <c r="AB839" s="764">
        <v>5.6301967874646031E-2</v>
      </c>
      <c r="AC839" s="714">
        <v>0.82617698682369967</v>
      </c>
      <c r="AD839" s="714">
        <v>0.7843105192554185</v>
      </c>
      <c r="AE839" s="713" t="s">
        <v>58</v>
      </c>
      <c r="AF839" s="713" t="s">
        <v>58</v>
      </c>
      <c r="AG839" s="713" t="s">
        <v>58</v>
      </c>
      <c r="AH839" s="714">
        <v>0.94387031345969796</v>
      </c>
      <c r="AI839" s="713" t="s">
        <v>58</v>
      </c>
      <c r="AJ839" s="713" t="s">
        <v>58</v>
      </c>
      <c r="AK839" s="713" t="s">
        <v>58</v>
      </c>
      <c r="AL839" s="714">
        <v>0.94454345387965444</v>
      </c>
      <c r="AM839" s="713" t="s">
        <v>58</v>
      </c>
      <c r="AN839" s="713" t="s">
        <v>58</v>
      </c>
      <c r="AO839" s="713" t="s">
        <v>58</v>
      </c>
      <c r="AP839" s="747">
        <v>57</v>
      </c>
      <c r="AQ839" s="747">
        <v>114</v>
      </c>
      <c r="AR839" s="709"/>
      <c r="AS839" s="763">
        <v>0</v>
      </c>
      <c r="AT839" s="763">
        <v>0</v>
      </c>
      <c r="AU839" s="763">
        <v>0</v>
      </c>
      <c r="AV839" s="763">
        <v>5.6301967874646031E-2</v>
      </c>
      <c r="AW839" s="763">
        <v>5.6301967874646031E-2</v>
      </c>
      <c r="AX839" s="763">
        <v>5.6301967874646031E-2</v>
      </c>
      <c r="AY839" s="763">
        <v>1.77795688025198E-2</v>
      </c>
      <c r="AZ839" s="763">
        <v>1.77795688025198E-2</v>
      </c>
      <c r="BA839" s="763">
        <v>1.77795688025198E-2</v>
      </c>
      <c r="BB839" s="763">
        <v>1.77795688025198E-2</v>
      </c>
      <c r="BC839" s="763">
        <v>1.77795688025198E-2</v>
      </c>
      <c r="BD839" s="763">
        <v>1.77795688025198E-2</v>
      </c>
      <c r="BE839" s="763">
        <v>1.77795688025198E-2</v>
      </c>
      <c r="BF839" s="763">
        <v>1.77795688025198E-2</v>
      </c>
      <c r="BG839" s="763">
        <v>1.77795688025198E-2</v>
      </c>
      <c r="BH839" s="763">
        <v>0</v>
      </c>
      <c r="BI839" s="763">
        <v>0</v>
      </c>
      <c r="BJ839" s="763">
        <v>0</v>
      </c>
      <c r="BK839" s="763">
        <v>0</v>
      </c>
      <c r="BL839" s="763">
        <v>0</v>
      </c>
      <c r="BM839" s="763">
        <v>0</v>
      </c>
      <c r="BN839" s="763">
        <v>0</v>
      </c>
      <c r="BO839" s="763">
        <v>0</v>
      </c>
      <c r="BP839" s="763">
        <v>0</v>
      </c>
      <c r="BQ839" s="763">
        <v>0</v>
      </c>
      <c r="BR839" s="763">
        <v>0</v>
      </c>
      <c r="BS839" s="762">
        <v>0</v>
      </c>
      <c r="BT839" s="762">
        <v>0</v>
      </c>
      <c r="BU839" s="762">
        <v>0</v>
      </c>
      <c r="BV839" s="762">
        <v>192.78936638342716</v>
      </c>
      <c r="BW839" s="762">
        <v>192.78936638342716</v>
      </c>
      <c r="BX839" s="762">
        <v>192.78936638342716</v>
      </c>
      <c r="BY839" s="762">
        <v>60.880852542134889</v>
      </c>
      <c r="BZ839" s="762">
        <v>60.880852542134889</v>
      </c>
      <c r="CA839" s="762">
        <v>60.880852542134889</v>
      </c>
      <c r="CB839" s="762">
        <v>60.880852542134889</v>
      </c>
      <c r="CC839" s="762">
        <v>60.880852542134889</v>
      </c>
      <c r="CD839" s="762">
        <v>60.880852542134889</v>
      </c>
      <c r="CE839" s="762">
        <v>60.880852542134889</v>
      </c>
      <c r="CF839" s="762">
        <v>60.880852542134889</v>
      </c>
      <c r="CG839" s="762">
        <v>60.880852542134889</v>
      </c>
      <c r="CH839" s="762">
        <v>0</v>
      </c>
      <c r="CI839" s="762">
        <v>0</v>
      </c>
      <c r="CJ839" s="762">
        <v>0</v>
      </c>
      <c r="CK839" s="762">
        <v>0</v>
      </c>
      <c r="CL839" s="762">
        <v>0</v>
      </c>
      <c r="CM839" s="762">
        <v>0</v>
      </c>
      <c r="CN839" s="762">
        <v>0</v>
      </c>
      <c r="CO839" s="762">
        <v>0</v>
      </c>
      <c r="CP839" s="762">
        <v>0</v>
      </c>
      <c r="CQ839" s="762">
        <v>0</v>
      </c>
      <c r="CR839" s="762">
        <v>0</v>
      </c>
    </row>
    <row r="840" spans="1:96" s="53" customFormat="1">
      <c r="A840" s="721" t="s">
        <v>3</v>
      </c>
      <c r="B840" s="723">
        <v>41781</v>
      </c>
      <c r="C840" s="721">
        <v>2014</v>
      </c>
      <c r="D840" s="713" t="s">
        <v>1</v>
      </c>
      <c r="E840" s="713" t="s">
        <v>674</v>
      </c>
      <c r="F840" s="723" t="s">
        <v>681</v>
      </c>
      <c r="G840" s="713" t="s">
        <v>58</v>
      </c>
      <c r="H840" s="723" t="s">
        <v>675</v>
      </c>
      <c r="I840" s="713" t="s">
        <v>5</v>
      </c>
      <c r="J840" s="713" t="s">
        <v>376</v>
      </c>
      <c r="K840" s="766">
        <v>14</v>
      </c>
      <c r="L840" s="766" t="s">
        <v>671</v>
      </c>
      <c r="M840" s="765" t="s">
        <v>747</v>
      </c>
      <c r="N840" s="765">
        <v>12</v>
      </c>
      <c r="O840" s="765">
        <v>3</v>
      </c>
      <c r="P840" s="735">
        <v>0.36842105263157893</v>
      </c>
      <c r="Q840" s="713" t="s">
        <v>58</v>
      </c>
      <c r="R840" s="713" t="s">
        <v>58</v>
      </c>
      <c r="S840" s="713" t="s">
        <v>58</v>
      </c>
      <c r="T840" s="713" t="s">
        <v>58</v>
      </c>
      <c r="U840" s="764">
        <v>0.79800000000000004</v>
      </c>
      <c r="V840" s="764">
        <v>2595.8939999999998</v>
      </c>
      <c r="W840" s="764">
        <v>0.62587979436582408</v>
      </c>
      <c r="X840" s="764">
        <v>2144.6678830337205</v>
      </c>
      <c r="Y840" s="764">
        <v>13545.270840212972</v>
      </c>
      <c r="Z840" s="764">
        <v>12784.979033848324</v>
      </c>
      <c r="AA840" s="764">
        <v>2024.2883470259846</v>
      </c>
      <c r="AB840" s="764">
        <v>0.59117066268378338</v>
      </c>
      <c r="AC840" s="714">
        <v>0.82617698682369967</v>
      </c>
      <c r="AD840" s="714">
        <v>0.7843105192554185</v>
      </c>
      <c r="AE840" s="713" t="s">
        <v>58</v>
      </c>
      <c r="AF840" s="713" t="s">
        <v>58</v>
      </c>
      <c r="AG840" s="713" t="s">
        <v>58</v>
      </c>
      <c r="AH840" s="714">
        <v>0.94387031345969796</v>
      </c>
      <c r="AI840" s="713" t="s">
        <v>58</v>
      </c>
      <c r="AJ840" s="713" t="s">
        <v>58</v>
      </c>
      <c r="AK840" s="713" t="s">
        <v>58</v>
      </c>
      <c r="AL840" s="714">
        <v>0.94454345387965444</v>
      </c>
      <c r="AM840" s="713" t="s">
        <v>58</v>
      </c>
      <c r="AN840" s="713" t="s">
        <v>58</v>
      </c>
      <c r="AO840" s="713" t="s">
        <v>58</v>
      </c>
      <c r="AP840" s="747">
        <v>73</v>
      </c>
      <c r="AQ840" s="747">
        <v>1022</v>
      </c>
      <c r="AR840" s="709"/>
      <c r="AS840" s="763">
        <v>0</v>
      </c>
      <c r="AT840" s="763">
        <v>0</v>
      </c>
      <c r="AU840" s="763">
        <v>0</v>
      </c>
      <c r="AV840" s="763">
        <v>0.59117066268378338</v>
      </c>
      <c r="AW840" s="763">
        <v>0.59117066268378338</v>
      </c>
      <c r="AX840" s="763">
        <v>0.59117066268378338</v>
      </c>
      <c r="AY840" s="763">
        <v>0.21779971783086755</v>
      </c>
      <c r="AZ840" s="763">
        <v>0.21779971783086755</v>
      </c>
      <c r="BA840" s="763">
        <v>0.21779971783086755</v>
      </c>
      <c r="BB840" s="763">
        <v>0.21779971783086755</v>
      </c>
      <c r="BC840" s="763">
        <v>0.21779971783086755</v>
      </c>
      <c r="BD840" s="763">
        <v>0.21779971783086755</v>
      </c>
      <c r="BE840" s="763">
        <v>0.21779971783086755</v>
      </c>
      <c r="BF840" s="763">
        <v>0.21779971783086755</v>
      </c>
      <c r="BG840" s="763">
        <v>0.21779971783086755</v>
      </c>
      <c r="BH840" s="763">
        <v>0</v>
      </c>
      <c r="BI840" s="763">
        <v>0</v>
      </c>
      <c r="BJ840" s="763">
        <v>0</v>
      </c>
      <c r="BK840" s="763">
        <v>0</v>
      </c>
      <c r="BL840" s="763">
        <v>0</v>
      </c>
      <c r="BM840" s="763">
        <v>0</v>
      </c>
      <c r="BN840" s="763">
        <v>0</v>
      </c>
      <c r="BO840" s="763">
        <v>0</v>
      </c>
      <c r="BP840" s="763">
        <v>0</v>
      </c>
      <c r="BQ840" s="763">
        <v>0</v>
      </c>
      <c r="BR840" s="763">
        <v>0</v>
      </c>
      <c r="BS840" s="762">
        <v>0</v>
      </c>
      <c r="BT840" s="762">
        <v>0</v>
      </c>
      <c r="BU840" s="762">
        <v>0</v>
      </c>
      <c r="BV840" s="762">
        <v>2024.2883470259846</v>
      </c>
      <c r="BW840" s="762">
        <v>2024.2883470259846</v>
      </c>
      <c r="BX840" s="762">
        <v>2024.2883470259846</v>
      </c>
      <c r="BY840" s="762">
        <v>745.79044364115225</v>
      </c>
      <c r="BZ840" s="762">
        <v>745.79044364115225</v>
      </c>
      <c r="CA840" s="762">
        <v>745.79044364115225</v>
      </c>
      <c r="CB840" s="762">
        <v>745.79044364115225</v>
      </c>
      <c r="CC840" s="762">
        <v>745.79044364115225</v>
      </c>
      <c r="CD840" s="762">
        <v>745.79044364115225</v>
      </c>
      <c r="CE840" s="762">
        <v>745.79044364115225</v>
      </c>
      <c r="CF840" s="762">
        <v>745.79044364115225</v>
      </c>
      <c r="CG840" s="762">
        <v>745.79044364115225</v>
      </c>
      <c r="CH840" s="762">
        <v>0</v>
      </c>
      <c r="CI840" s="762">
        <v>0</v>
      </c>
      <c r="CJ840" s="762">
        <v>0</v>
      </c>
      <c r="CK840" s="762">
        <v>0</v>
      </c>
      <c r="CL840" s="762">
        <v>0</v>
      </c>
      <c r="CM840" s="762">
        <v>0</v>
      </c>
      <c r="CN840" s="762">
        <v>0</v>
      </c>
      <c r="CO840" s="762">
        <v>0</v>
      </c>
      <c r="CP840" s="762">
        <v>0</v>
      </c>
      <c r="CQ840" s="762">
        <v>0</v>
      </c>
      <c r="CR840" s="762">
        <v>0</v>
      </c>
    </row>
    <row r="841" spans="1:96" s="53" customFormat="1">
      <c r="A841" s="721" t="s">
        <v>3</v>
      </c>
      <c r="B841" s="723">
        <v>41889</v>
      </c>
      <c r="C841" s="721">
        <v>2014</v>
      </c>
      <c r="D841" s="713" t="s">
        <v>1</v>
      </c>
      <c r="E841" s="713" t="s">
        <v>674</v>
      </c>
      <c r="F841" s="723" t="s">
        <v>123</v>
      </c>
      <c r="G841" s="713" t="s">
        <v>58</v>
      </c>
      <c r="H841" s="723" t="s">
        <v>710</v>
      </c>
      <c r="I841" s="713" t="s">
        <v>5</v>
      </c>
      <c r="J841" s="713" t="s">
        <v>376</v>
      </c>
      <c r="K841" s="766">
        <v>2</v>
      </c>
      <c r="L841" s="766" t="s">
        <v>671</v>
      </c>
      <c r="M841" s="765" t="s">
        <v>737</v>
      </c>
      <c r="N841" s="765">
        <v>10</v>
      </c>
      <c r="O841" s="765" t="s">
        <v>7</v>
      </c>
      <c r="P841" s="735">
        <v>1</v>
      </c>
      <c r="Q841" s="713" t="s">
        <v>58</v>
      </c>
      <c r="R841" s="713" t="s">
        <v>58</v>
      </c>
      <c r="S841" s="713" t="s">
        <v>58</v>
      </c>
      <c r="T841" s="713" t="s">
        <v>58</v>
      </c>
      <c r="U841" s="764">
        <v>5.3999999999999999E-2</v>
      </c>
      <c r="V841" s="764">
        <v>473.04</v>
      </c>
      <c r="W841" s="764">
        <v>4.2352768039792606E-2</v>
      </c>
      <c r="X841" s="764">
        <v>390.81476184708288</v>
      </c>
      <c r="Y841" s="764">
        <v>3908.147618470829</v>
      </c>
      <c r="Z841" s="764">
        <v>3688.7845176928336</v>
      </c>
      <c r="AA841" s="764">
        <v>368.87845176928334</v>
      </c>
      <c r="AB841" s="764">
        <v>4.0004029805669548E-2</v>
      </c>
      <c r="AC841" s="714">
        <v>0.82617698682369967</v>
      </c>
      <c r="AD841" s="714">
        <v>0.7843105192554185</v>
      </c>
      <c r="AE841" s="713" t="s">
        <v>58</v>
      </c>
      <c r="AF841" s="713" t="s">
        <v>58</v>
      </c>
      <c r="AG841" s="713" t="s">
        <v>58</v>
      </c>
      <c r="AH841" s="714">
        <v>0.94387031345969796</v>
      </c>
      <c r="AI841" s="713" t="s">
        <v>58</v>
      </c>
      <c r="AJ841" s="713" t="s">
        <v>58</v>
      </c>
      <c r="AK841" s="713" t="s">
        <v>58</v>
      </c>
      <c r="AL841" s="714">
        <v>0.94454345387965444</v>
      </c>
      <c r="AM841" s="713" t="s">
        <v>58</v>
      </c>
      <c r="AN841" s="713" t="s">
        <v>58</v>
      </c>
      <c r="AO841" s="713" t="s">
        <v>58</v>
      </c>
      <c r="AP841" s="747">
        <v>29</v>
      </c>
      <c r="AQ841" s="747">
        <v>58</v>
      </c>
      <c r="AR841" s="709"/>
      <c r="AS841" s="763">
        <v>0</v>
      </c>
      <c r="AT841" s="763">
        <v>0</v>
      </c>
      <c r="AU841" s="763">
        <v>0</v>
      </c>
      <c r="AV841" s="763">
        <v>4.0004029805669548E-2</v>
      </c>
      <c r="AW841" s="763">
        <v>4.0004029805669548E-2</v>
      </c>
      <c r="AX841" s="763">
        <v>4.0004029805669548E-2</v>
      </c>
      <c r="AY841" s="763">
        <v>4.0004029805669548E-2</v>
      </c>
      <c r="AZ841" s="763">
        <v>4.0004029805669548E-2</v>
      </c>
      <c r="BA841" s="763">
        <v>4.0004029805669548E-2</v>
      </c>
      <c r="BB841" s="763">
        <v>4.0004029805669548E-2</v>
      </c>
      <c r="BC841" s="763">
        <v>4.0004029805669548E-2</v>
      </c>
      <c r="BD841" s="763">
        <v>4.0004029805669548E-2</v>
      </c>
      <c r="BE841" s="763">
        <v>4.0004029805669548E-2</v>
      </c>
      <c r="BF841" s="763">
        <v>0</v>
      </c>
      <c r="BG841" s="763">
        <v>0</v>
      </c>
      <c r="BH841" s="763">
        <v>0</v>
      </c>
      <c r="BI841" s="763">
        <v>0</v>
      </c>
      <c r="BJ841" s="763">
        <v>0</v>
      </c>
      <c r="BK841" s="763">
        <v>0</v>
      </c>
      <c r="BL841" s="763">
        <v>0</v>
      </c>
      <c r="BM841" s="763">
        <v>0</v>
      </c>
      <c r="BN841" s="763">
        <v>0</v>
      </c>
      <c r="BO841" s="763">
        <v>0</v>
      </c>
      <c r="BP841" s="763">
        <v>0</v>
      </c>
      <c r="BQ841" s="763">
        <v>0</v>
      </c>
      <c r="BR841" s="763">
        <v>0</v>
      </c>
      <c r="BS841" s="762">
        <v>0</v>
      </c>
      <c r="BT841" s="762">
        <v>0</v>
      </c>
      <c r="BU841" s="762">
        <v>0</v>
      </c>
      <c r="BV841" s="762">
        <v>368.87845176928334</v>
      </c>
      <c r="BW841" s="762">
        <v>368.87845176928334</v>
      </c>
      <c r="BX841" s="762">
        <v>368.87845176928334</v>
      </c>
      <c r="BY841" s="762">
        <v>368.87845176928334</v>
      </c>
      <c r="BZ841" s="762">
        <v>368.87845176928334</v>
      </c>
      <c r="CA841" s="762">
        <v>368.87845176928334</v>
      </c>
      <c r="CB841" s="762">
        <v>368.87845176928334</v>
      </c>
      <c r="CC841" s="762">
        <v>368.87845176928334</v>
      </c>
      <c r="CD841" s="762">
        <v>368.87845176928334</v>
      </c>
      <c r="CE841" s="762">
        <v>368.87845176928334</v>
      </c>
      <c r="CF841" s="762">
        <v>0</v>
      </c>
      <c r="CG841" s="762">
        <v>0</v>
      </c>
      <c r="CH841" s="762">
        <v>0</v>
      </c>
      <c r="CI841" s="762">
        <v>0</v>
      </c>
      <c r="CJ841" s="762">
        <v>0</v>
      </c>
      <c r="CK841" s="762">
        <v>0</v>
      </c>
      <c r="CL841" s="762">
        <v>0</v>
      </c>
      <c r="CM841" s="762">
        <v>0</v>
      </c>
      <c r="CN841" s="762">
        <v>0</v>
      </c>
      <c r="CO841" s="762">
        <v>0</v>
      </c>
      <c r="CP841" s="762">
        <v>0</v>
      </c>
      <c r="CQ841" s="762">
        <v>0</v>
      </c>
      <c r="CR841" s="762">
        <v>0</v>
      </c>
    </row>
    <row r="842" spans="1:96" s="53" customFormat="1">
      <c r="A842" s="721" t="s">
        <v>3</v>
      </c>
      <c r="B842" s="723">
        <v>41889</v>
      </c>
      <c r="C842" s="721">
        <v>2014</v>
      </c>
      <c r="D842" s="713" t="s">
        <v>1</v>
      </c>
      <c r="E842" s="713" t="s">
        <v>674</v>
      </c>
      <c r="F842" s="723" t="s">
        <v>123</v>
      </c>
      <c r="G842" s="713" t="s">
        <v>58</v>
      </c>
      <c r="H842" s="723" t="s">
        <v>700</v>
      </c>
      <c r="I842" s="713" t="s">
        <v>5</v>
      </c>
      <c r="J842" s="713" t="s">
        <v>376</v>
      </c>
      <c r="K842" s="766">
        <v>4</v>
      </c>
      <c r="L842" s="766" t="s">
        <v>671</v>
      </c>
      <c r="M842" s="765" t="s">
        <v>737</v>
      </c>
      <c r="N842" s="765">
        <v>10</v>
      </c>
      <c r="O842" s="765" t="s">
        <v>7</v>
      </c>
      <c r="P842" s="735">
        <v>1</v>
      </c>
      <c r="Q842" s="713" t="s">
        <v>58</v>
      </c>
      <c r="R842" s="713" t="s">
        <v>58</v>
      </c>
      <c r="S842" s="713" t="s">
        <v>58</v>
      </c>
      <c r="T842" s="713" t="s">
        <v>58</v>
      </c>
      <c r="U842" s="764">
        <v>0.108</v>
      </c>
      <c r="V842" s="764">
        <v>946.08</v>
      </c>
      <c r="W842" s="764">
        <v>8.4705536079585211E-2</v>
      </c>
      <c r="X842" s="764">
        <v>781.62952369416575</v>
      </c>
      <c r="Y842" s="764">
        <v>7816.295236941658</v>
      </c>
      <c r="Z842" s="764">
        <v>7377.5690353856671</v>
      </c>
      <c r="AA842" s="764">
        <v>737.75690353856669</v>
      </c>
      <c r="AB842" s="764">
        <v>8.0008059611339097E-2</v>
      </c>
      <c r="AC842" s="714">
        <v>0.82617698682369967</v>
      </c>
      <c r="AD842" s="714">
        <v>0.7843105192554185</v>
      </c>
      <c r="AE842" s="713" t="s">
        <v>58</v>
      </c>
      <c r="AF842" s="713" t="s">
        <v>58</v>
      </c>
      <c r="AG842" s="713" t="s">
        <v>58</v>
      </c>
      <c r="AH842" s="714">
        <v>0.94387031345969796</v>
      </c>
      <c r="AI842" s="713" t="s">
        <v>58</v>
      </c>
      <c r="AJ842" s="713" t="s">
        <v>58</v>
      </c>
      <c r="AK842" s="713" t="s">
        <v>58</v>
      </c>
      <c r="AL842" s="714">
        <v>0.94454345387965444</v>
      </c>
      <c r="AM842" s="713" t="s">
        <v>58</v>
      </c>
      <c r="AN842" s="713" t="s">
        <v>58</v>
      </c>
      <c r="AO842" s="713" t="s">
        <v>58</v>
      </c>
      <c r="AP842" s="747">
        <v>69</v>
      </c>
      <c r="AQ842" s="747">
        <v>276</v>
      </c>
      <c r="AR842" s="709"/>
      <c r="AS842" s="763">
        <v>0</v>
      </c>
      <c r="AT842" s="763">
        <v>0</v>
      </c>
      <c r="AU842" s="763">
        <v>0</v>
      </c>
      <c r="AV842" s="763">
        <v>8.0008059611339097E-2</v>
      </c>
      <c r="AW842" s="763">
        <v>8.0008059611339097E-2</v>
      </c>
      <c r="AX842" s="763">
        <v>8.0008059611339097E-2</v>
      </c>
      <c r="AY842" s="763">
        <v>8.0008059611339097E-2</v>
      </c>
      <c r="AZ842" s="763">
        <v>8.0008059611339097E-2</v>
      </c>
      <c r="BA842" s="763">
        <v>8.0008059611339097E-2</v>
      </c>
      <c r="BB842" s="763">
        <v>8.0008059611339097E-2</v>
      </c>
      <c r="BC842" s="763">
        <v>8.0008059611339097E-2</v>
      </c>
      <c r="BD842" s="763">
        <v>8.0008059611339097E-2</v>
      </c>
      <c r="BE842" s="763">
        <v>8.0008059611339097E-2</v>
      </c>
      <c r="BF842" s="763">
        <v>0</v>
      </c>
      <c r="BG842" s="763">
        <v>0</v>
      </c>
      <c r="BH842" s="763">
        <v>0</v>
      </c>
      <c r="BI842" s="763">
        <v>0</v>
      </c>
      <c r="BJ842" s="763">
        <v>0</v>
      </c>
      <c r="BK842" s="763">
        <v>0</v>
      </c>
      <c r="BL842" s="763">
        <v>0</v>
      </c>
      <c r="BM842" s="763">
        <v>0</v>
      </c>
      <c r="BN842" s="763">
        <v>0</v>
      </c>
      <c r="BO842" s="763">
        <v>0</v>
      </c>
      <c r="BP842" s="763">
        <v>0</v>
      </c>
      <c r="BQ842" s="763">
        <v>0</v>
      </c>
      <c r="BR842" s="763">
        <v>0</v>
      </c>
      <c r="BS842" s="762">
        <v>0</v>
      </c>
      <c r="BT842" s="762">
        <v>0</v>
      </c>
      <c r="BU842" s="762">
        <v>0</v>
      </c>
      <c r="BV842" s="762">
        <v>737.75690353856669</v>
      </c>
      <c r="BW842" s="762">
        <v>737.75690353856669</v>
      </c>
      <c r="BX842" s="762">
        <v>737.75690353856669</v>
      </c>
      <c r="BY842" s="762">
        <v>737.75690353856669</v>
      </c>
      <c r="BZ842" s="762">
        <v>737.75690353856669</v>
      </c>
      <c r="CA842" s="762">
        <v>737.75690353856669</v>
      </c>
      <c r="CB842" s="762">
        <v>737.75690353856669</v>
      </c>
      <c r="CC842" s="762">
        <v>737.75690353856669</v>
      </c>
      <c r="CD842" s="762">
        <v>737.75690353856669</v>
      </c>
      <c r="CE842" s="762">
        <v>737.75690353856669</v>
      </c>
      <c r="CF842" s="762">
        <v>0</v>
      </c>
      <c r="CG842" s="762">
        <v>0</v>
      </c>
      <c r="CH842" s="762">
        <v>0</v>
      </c>
      <c r="CI842" s="762">
        <v>0</v>
      </c>
      <c r="CJ842" s="762">
        <v>0</v>
      </c>
      <c r="CK842" s="762">
        <v>0</v>
      </c>
      <c r="CL842" s="762">
        <v>0</v>
      </c>
      <c r="CM842" s="762">
        <v>0</v>
      </c>
      <c r="CN842" s="762">
        <v>0</v>
      </c>
      <c r="CO842" s="762">
        <v>0</v>
      </c>
      <c r="CP842" s="762">
        <v>0</v>
      </c>
      <c r="CQ842" s="762">
        <v>0</v>
      </c>
      <c r="CR842" s="762">
        <v>0</v>
      </c>
    </row>
    <row r="843" spans="1:96" s="53" customFormat="1">
      <c r="A843" s="721" t="s">
        <v>3</v>
      </c>
      <c r="B843" s="723">
        <v>41889</v>
      </c>
      <c r="C843" s="721">
        <v>2014</v>
      </c>
      <c r="D843" s="713" t="s">
        <v>1</v>
      </c>
      <c r="E843" s="713" t="s">
        <v>674</v>
      </c>
      <c r="F843" s="723" t="s">
        <v>123</v>
      </c>
      <c r="G843" s="713" t="s">
        <v>58</v>
      </c>
      <c r="H843" s="723" t="s">
        <v>677</v>
      </c>
      <c r="I843" s="713" t="s">
        <v>5</v>
      </c>
      <c r="J843" s="713" t="s">
        <v>376</v>
      </c>
      <c r="K843" s="766">
        <v>1</v>
      </c>
      <c r="L843" s="766" t="s">
        <v>671</v>
      </c>
      <c r="M843" s="765" t="s">
        <v>737</v>
      </c>
      <c r="N843" s="765">
        <v>0</v>
      </c>
      <c r="O843" s="765">
        <v>0</v>
      </c>
      <c r="P843" s="735">
        <v>0</v>
      </c>
      <c r="Q843" s="713" t="s">
        <v>58</v>
      </c>
      <c r="R843" s="713" t="s">
        <v>58</v>
      </c>
      <c r="S843" s="713" t="s">
        <v>58</v>
      </c>
      <c r="T843" s="713" t="s">
        <v>58</v>
      </c>
      <c r="U843" s="764">
        <v>0</v>
      </c>
      <c r="V843" s="764">
        <v>0</v>
      </c>
      <c r="W843" s="764">
        <v>0</v>
      </c>
      <c r="X843" s="764">
        <v>0</v>
      </c>
      <c r="Y843" s="764">
        <v>0</v>
      </c>
      <c r="Z843" s="764">
        <v>0</v>
      </c>
      <c r="AA843" s="764">
        <v>0</v>
      </c>
      <c r="AB843" s="764">
        <v>0</v>
      </c>
      <c r="AC843" s="714">
        <v>0.82617698682369967</v>
      </c>
      <c r="AD843" s="714">
        <v>0.7843105192554185</v>
      </c>
      <c r="AE843" s="713" t="s">
        <v>58</v>
      </c>
      <c r="AF843" s="713" t="s">
        <v>58</v>
      </c>
      <c r="AG843" s="713" t="s">
        <v>58</v>
      </c>
      <c r="AH843" s="714">
        <v>0.94387031345969796</v>
      </c>
      <c r="AI843" s="713" t="s">
        <v>58</v>
      </c>
      <c r="AJ843" s="713" t="s">
        <v>58</v>
      </c>
      <c r="AK843" s="713" t="s">
        <v>58</v>
      </c>
      <c r="AL843" s="714">
        <v>0.94454345387965444</v>
      </c>
      <c r="AM843" s="713" t="s">
        <v>58</v>
      </c>
      <c r="AN843" s="713" t="s">
        <v>58</v>
      </c>
      <c r="AO843" s="713" t="s">
        <v>58</v>
      </c>
      <c r="AP843" s="747">
        <v>51</v>
      </c>
      <c r="AQ843" s="747">
        <v>51</v>
      </c>
      <c r="AR843" s="709"/>
      <c r="AS843" s="763">
        <v>0</v>
      </c>
      <c r="AT843" s="763">
        <v>0</v>
      </c>
      <c r="AU843" s="763">
        <v>0</v>
      </c>
      <c r="AV843" s="763">
        <v>0</v>
      </c>
      <c r="AW843" s="763">
        <v>0</v>
      </c>
      <c r="AX843" s="763">
        <v>0</v>
      </c>
      <c r="AY843" s="763">
        <v>0</v>
      </c>
      <c r="AZ843" s="763">
        <v>0</v>
      </c>
      <c r="BA843" s="763">
        <v>0</v>
      </c>
      <c r="BB843" s="763">
        <v>0</v>
      </c>
      <c r="BC843" s="763">
        <v>0</v>
      </c>
      <c r="BD843" s="763">
        <v>0</v>
      </c>
      <c r="BE843" s="763">
        <v>0</v>
      </c>
      <c r="BF843" s="763">
        <v>0</v>
      </c>
      <c r="BG843" s="763">
        <v>0</v>
      </c>
      <c r="BH843" s="763">
        <v>0</v>
      </c>
      <c r="BI843" s="763">
        <v>0</v>
      </c>
      <c r="BJ843" s="763">
        <v>0</v>
      </c>
      <c r="BK843" s="763">
        <v>0</v>
      </c>
      <c r="BL843" s="763">
        <v>0</v>
      </c>
      <c r="BM843" s="763">
        <v>0</v>
      </c>
      <c r="BN843" s="763">
        <v>0</v>
      </c>
      <c r="BO843" s="763">
        <v>0</v>
      </c>
      <c r="BP843" s="763">
        <v>0</v>
      </c>
      <c r="BQ843" s="763">
        <v>0</v>
      </c>
      <c r="BR843" s="763">
        <v>0</v>
      </c>
      <c r="BS843" s="762">
        <v>0</v>
      </c>
      <c r="BT843" s="762">
        <v>0</v>
      </c>
      <c r="BU843" s="762">
        <v>0</v>
      </c>
      <c r="BV843" s="762">
        <v>0</v>
      </c>
      <c r="BW843" s="762">
        <v>0</v>
      </c>
      <c r="BX843" s="762">
        <v>0</v>
      </c>
      <c r="BY843" s="762">
        <v>0</v>
      </c>
      <c r="BZ843" s="762">
        <v>0</v>
      </c>
      <c r="CA843" s="762">
        <v>0</v>
      </c>
      <c r="CB843" s="762">
        <v>0</v>
      </c>
      <c r="CC843" s="762">
        <v>0</v>
      </c>
      <c r="CD843" s="762">
        <v>0</v>
      </c>
      <c r="CE843" s="762">
        <v>0</v>
      </c>
      <c r="CF843" s="762">
        <v>0</v>
      </c>
      <c r="CG843" s="762">
        <v>0</v>
      </c>
      <c r="CH843" s="762">
        <v>0</v>
      </c>
      <c r="CI843" s="762">
        <v>0</v>
      </c>
      <c r="CJ843" s="762">
        <v>0</v>
      </c>
      <c r="CK843" s="762">
        <v>0</v>
      </c>
      <c r="CL843" s="762">
        <v>0</v>
      </c>
      <c r="CM843" s="762">
        <v>0</v>
      </c>
      <c r="CN843" s="762">
        <v>0</v>
      </c>
      <c r="CO843" s="762">
        <v>0</v>
      </c>
      <c r="CP843" s="762">
        <v>0</v>
      </c>
      <c r="CQ843" s="762">
        <v>0</v>
      </c>
      <c r="CR843" s="762">
        <v>0</v>
      </c>
    </row>
    <row r="844" spans="1:96" s="53" customFormat="1">
      <c r="A844" s="721" t="s">
        <v>3</v>
      </c>
      <c r="B844" s="723">
        <v>41889</v>
      </c>
      <c r="C844" s="721">
        <v>2014</v>
      </c>
      <c r="D844" s="713" t="s">
        <v>1</v>
      </c>
      <c r="E844" s="713" t="s">
        <v>674</v>
      </c>
      <c r="F844" s="723" t="s">
        <v>123</v>
      </c>
      <c r="G844" s="713" t="s">
        <v>58</v>
      </c>
      <c r="H844" s="723" t="s">
        <v>682</v>
      </c>
      <c r="I844" s="713" t="s">
        <v>5</v>
      </c>
      <c r="J844" s="713" t="s">
        <v>376</v>
      </c>
      <c r="K844" s="766">
        <v>11</v>
      </c>
      <c r="L844" s="766" t="s">
        <v>671</v>
      </c>
      <c r="M844" s="765" t="s">
        <v>737</v>
      </c>
      <c r="N844" s="765">
        <v>12</v>
      </c>
      <c r="O844" s="765">
        <v>3</v>
      </c>
      <c r="P844" s="735">
        <v>0.4</v>
      </c>
      <c r="Q844" s="713" t="s">
        <v>58</v>
      </c>
      <c r="R844" s="713" t="s">
        <v>58</v>
      </c>
      <c r="S844" s="713" t="s">
        <v>58</v>
      </c>
      <c r="T844" s="713" t="s">
        <v>58</v>
      </c>
      <c r="U844" s="764">
        <v>0.26400000000000001</v>
      </c>
      <c r="V844" s="764">
        <v>900.24</v>
      </c>
      <c r="W844" s="764">
        <v>0.20705797708343052</v>
      </c>
      <c r="X844" s="764">
        <v>743.75757061816739</v>
      </c>
      <c r="Y844" s="764">
        <v>4908.7999660799051</v>
      </c>
      <c r="Z844" s="764">
        <v>4633.2705626947945</v>
      </c>
      <c r="AA844" s="764">
        <v>702.01069131739314</v>
      </c>
      <c r="AB844" s="764">
        <v>0.19557525682771779</v>
      </c>
      <c r="AC844" s="714">
        <v>0.82617698682369967</v>
      </c>
      <c r="AD844" s="714">
        <v>0.7843105192554185</v>
      </c>
      <c r="AE844" s="713" t="s">
        <v>58</v>
      </c>
      <c r="AF844" s="713" t="s">
        <v>58</v>
      </c>
      <c r="AG844" s="713" t="s">
        <v>58</v>
      </c>
      <c r="AH844" s="714">
        <v>0.94387031345969796</v>
      </c>
      <c r="AI844" s="713" t="s">
        <v>58</v>
      </c>
      <c r="AJ844" s="713" t="s">
        <v>58</v>
      </c>
      <c r="AK844" s="713" t="s">
        <v>58</v>
      </c>
      <c r="AL844" s="714">
        <v>0.94454345387965444</v>
      </c>
      <c r="AM844" s="713" t="s">
        <v>58</v>
      </c>
      <c r="AN844" s="713" t="s">
        <v>58</v>
      </c>
      <c r="AO844" s="713" t="s">
        <v>58</v>
      </c>
      <c r="AP844" s="747">
        <v>47</v>
      </c>
      <c r="AQ844" s="747">
        <v>517</v>
      </c>
      <c r="AR844" s="709"/>
      <c r="AS844" s="763">
        <v>0</v>
      </c>
      <c r="AT844" s="763">
        <v>0</v>
      </c>
      <c r="AU844" s="763">
        <v>0</v>
      </c>
      <c r="AV844" s="763">
        <v>0.19557525682771779</v>
      </c>
      <c r="AW844" s="763">
        <v>0.19557525682771779</v>
      </c>
      <c r="AX844" s="763">
        <v>0.19557525682771779</v>
      </c>
      <c r="AY844" s="763">
        <v>7.8230102731087117E-2</v>
      </c>
      <c r="AZ844" s="763">
        <v>7.8230102731087117E-2</v>
      </c>
      <c r="BA844" s="763">
        <v>7.8230102731087117E-2</v>
      </c>
      <c r="BB844" s="763">
        <v>7.8230102731087117E-2</v>
      </c>
      <c r="BC844" s="763">
        <v>7.8230102731087117E-2</v>
      </c>
      <c r="BD844" s="763">
        <v>7.8230102731087117E-2</v>
      </c>
      <c r="BE844" s="763">
        <v>7.8230102731087117E-2</v>
      </c>
      <c r="BF844" s="763">
        <v>7.8230102731087117E-2</v>
      </c>
      <c r="BG844" s="763">
        <v>7.8230102731087117E-2</v>
      </c>
      <c r="BH844" s="763">
        <v>0</v>
      </c>
      <c r="BI844" s="763">
        <v>0</v>
      </c>
      <c r="BJ844" s="763">
        <v>0</v>
      </c>
      <c r="BK844" s="763">
        <v>0</v>
      </c>
      <c r="BL844" s="763">
        <v>0</v>
      </c>
      <c r="BM844" s="763">
        <v>0</v>
      </c>
      <c r="BN844" s="763">
        <v>0</v>
      </c>
      <c r="BO844" s="763">
        <v>0</v>
      </c>
      <c r="BP844" s="763">
        <v>0</v>
      </c>
      <c r="BQ844" s="763">
        <v>0</v>
      </c>
      <c r="BR844" s="763">
        <v>0</v>
      </c>
      <c r="BS844" s="762">
        <v>0</v>
      </c>
      <c r="BT844" s="762">
        <v>0</v>
      </c>
      <c r="BU844" s="762">
        <v>0</v>
      </c>
      <c r="BV844" s="762">
        <v>702.01069131739314</v>
      </c>
      <c r="BW844" s="762">
        <v>702.01069131739314</v>
      </c>
      <c r="BX844" s="762">
        <v>702.01069131739314</v>
      </c>
      <c r="BY844" s="762">
        <v>280.80427652695727</v>
      </c>
      <c r="BZ844" s="762">
        <v>280.80427652695727</v>
      </c>
      <c r="CA844" s="762">
        <v>280.80427652695727</v>
      </c>
      <c r="CB844" s="762">
        <v>280.80427652695727</v>
      </c>
      <c r="CC844" s="762">
        <v>280.80427652695727</v>
      </c>
      <c r="CD844" s="762">
        <v>280.80427652695727</v>
      </c>
      <c r="CE844" s="762">
        <v>280.80427652695727</v>
      </c>
      <c r="CF844" s="762">
        <v>280.80427652695727</v>
      </c>
      <c r="CG844" s="762">
        <v>280.80427652695727</v>
      </c>
      <c r="CH844" s="762">
        <v>0</v>
      </c>
      <c r="CI844" s="762">
        <v>0</v>
      </c>
      <c r="CJ844" s="762">
        <v>0</v>
      </c>
      <c r="CK844" s="762">
        <v>0</v>
      </c>
      <c r="CL844" s="762">
        <v>0</v>
      </c>
      <c r="CM844" s="762">
        <v>0</v>
      </c>
      <c r="CN844" s="762">
        <v>0</v>
      </c>
      <c r="CO844" s="762">
        <v>0</v>
      </c>
      <c r="CP844" s="762">
        <v>0</v>
      </c>
      <c r="CQ844" s="762">
        <v>0</v>
      </c>
      <c r="CR844" s="762">
        <v>0</v>
      </c>
    </row>
    <row r="845" spans="1:96" s="53" customFormat="1">
      <c r="A845" s="721" t="s">
        <v>3</v>
      </c>
      <c r="B845" s="723">
        <v>41889</v>
      </c>
      <c r="C845" s="721">
        <v>2014</v>
      </c>
      <c r="D845" s="713" t="s">
        <v>1</v>
      </c>
      <c r="E845" s="713" t="s">
        <v>674</v>
      </c>
      <c r="F845" s="723" t="s">
        <v>123</v>
      </c>
      <c r="G845" s="713" t="s">
        <v>58</v>
      </c>
      <c r="H845" s="723" t="s">
        <v>746</v>
      </c>
      <c r="I845" s="713" t="s">
        <v>5</v>
      </c>
      <c r="J845" s="713" t="s">
        <v>376</v>
      </c>
      <c r="K845" s="766">
        <v>8</v>
      </c>
      <c r="L845" s="766" t="s">
        <v>671</v>
      </c>
      <c r="M845" s="765" t="s">
        <v>745</v>
      </c>
      <c r="N845" s="765">
        <v>0</v>
      </c>
      <c r="O845" s="765">
        <v>0</v>
      </c>
      <c r="P845" s="735">
        <v>0</v>
      </c>
      <c r="Q845" s="713" t="s">
        <v>58</v>
      </c>
      <c r="R845" s="713" t="s">
        <v>58</v>
      </c>
      <c r="S845" s="713" t="s">
        <v>58</v>
      </c>
      <c r="T845" s="713" t="s">
        <v>58</v>
      </c>
      <c r="U845" s="764">
        <v>0</v>
      </c>
      <c r="V845" s="764">
        <v>0</v>
      </c>
      <c r="W845" s="764">
        <v>0</v>
      </c>
      <c r="X845" s="764">
        <v>0</v>
      </c>
      <c r="Y845" s="764">
        <v>0</v>
      </c>
      <c r="Z845" s="764">
        <v>0</v>
      </c>
      <c r="AA845" s="764">
        <v>0</v>
      </c>
      <c r="AB845" s="764">
        <v>0</v>
      </c>
      <c r="AC845" s="714">
        <v>0.82617698682369967</v>
      </c>
      <c r="AD845" s="714">
        <v>0.7843105192554185</v>
      </c>
      <c r="AE845" s="713" t="s">
        <v>58</v>
      </c>
      <c r="AF845" s="713" t="s">
        <v>58</v>
      </c>
      <c r="AG845" s="713" t="s">
        <v>58</v>
      </c>
      <c r="AH845" s="714">
        <v>0.94387031345969796</v>
      </c>
      <c r="AI845" s="713" t="s">
        <v>58</v>
      </c>
      <c r="AJ845" s="713" t="s">
        <v>58</v>
      </c>
      <c r="AK845" s="713" t="s">
        <v>58</v>
      </c>
      <c r="AL845" s="714">
        <v>0.94454345387965444</v>
      </c>
      <c r="AM845" s="713" t="s">
        <v>58</v>
      </c>
      <c r="AN845" s="713" t="s">
        <v>58</v>
      </c>
      <c r="AO845" s="713" t="s">
        <v>58</v>
      </c>
      <c r="AP845" s="747">
        <v>4</v>
      </c>
      <c r="AQ845" s="747">
        <v>32</v>
      </c>
      <c r="AR845" s="709"/>
      <c r="AS845" s="763">
        <v>0</v>
      </c>
      <c r="AT845" s="763">
        <v>0</v>
      </c>
      <c r="AU845" s="763">
        <v>0</v>
      </c>
      <c r="AV845" s="763">
        <v>0</v>
      </c>
      <c r="AW845" s="763">
        <v>0</v>
      </c>
      <c r="AX845" s="763">
        <v>0</v>
      </c>
      <c r="AY845" s="763">
        <v>0</v>
      </c>
      <c r="AZ845" s="763">
        <v>0</v>
      </c>
      <c r="BA845" s="763">
        <v>0</v>
      </c>
      <c r="BB845" s="763">
        <v>0</v>
      </c>
      <c r="BC845" s="763">
        <v>0</v>
      </c>
      <c r="BD845" s="763">
        <v>0</v>
      </c>
      <c r="BE845" s="763">
        <v>0</v>
      </c>
      <c r="BF845" s="763">
        <v>0</v>
      </c>
      <c r="BG845" s="763">
        <v>0</v>
      </c>
      <c r="BH845" s="763">
        <v>0</v>
      </c>
      <c r="BI845" s="763">
        <v>0</v>
      </c>
      <c r="BJ845" s="763">
        <v>0</v>
      </c>
      <c r="BK845" s="763">
        <v>0</v>
      </c>
      <c r="BL845" s="763">
        <v>0</v>
      </c>
      <c r="BM845" s="763">
        <v>0</v>
      </c>
      <c r="BN845" s="763">
        <v>0</v>
      </c>
      <c r="BO845" s="763">
        <v>0</v>
      </c>
      <c r="BP845" s="763">
        <v>0</v>
      </c>
      <c r="BQ845" s="763">
        <v>0</v>
      </c>
      <c r="BR845" s="763">
        <v>0</v>
      </c>
      <c r="BS845" s="762">
        <v>0</v>
      </c>
      <c r="BT845" s="762">
        <v>0</v>
      </c>
      <c r="BU845" s="762">
        <v>0</v>
      </c>
      <c r="BV845" s="762">
        <v>0</v>
      </c>
      <c r="BW845" s="762">
        <v>0</v>
      </c>
      <c r="BX845" s="762">
        <v>0</v>
      </c>
      <c r="BY845" s="762">
        <v>0</v>
      </c>
      <c r="BZ845" s="762">
        <v>0</v>
      </c>
      <c r="CA845" s="762">
        <v>0</v>
      </c>
      <c r="CB845" s="762">
        <v>0</v>
      </c>
      <c r="CC845" s="762">
        <v>0</v>
      </c>
      <c r="CD845" s="762">
        <v>0</v>
      </c>
      <c r="CE845" s="762">
        <v>0</v>
      </c>
      <c r="CF845" s="762">
        <v>0</v>
      </c>
      <c r="CG845" s="762">
        <v>0</v>
      </c>
      <c r="CH845" s="762">
        <v>0</v>
      </c>
      <c r="CI845" s="762">
        <v>0</v>
      </c>
      <c r="CJ845" s="762">
        <v>0</v>
      </c>
      <c r="CK845" s="762">
        <v>0</v>
      </c>
      <c r="CL845" s="762">
        <v>0</v>
      </c>
      <c r="CM845" s="762">
        <v>0</v>
      </c>
      <c r="CN845" s="762">
        <v>0</v>
      </c>
      <c r="CO845" s="762">
        <v>0</v>
      </c>
      <c r="CP845" s="762">
        <v>0</v>
      </c>
      <c r="CQ845" s="762">
        <v>0</v>
      </c>
      <c r="CR845" s="762">
        <v>0</v>
      </c>
    </row>
    <row r="846" spans="1:96" s="53" customFormat="1">
      <c r="A846" s="721" t="s">
        <v>3</v>
      </c>
      <c r="B846" s="723">
        <v>41889</v>
      </c>
      <c r="C846" s="721">
        <v>2014</v>
      </c>
      <c r="D846" s="713" t="s">
        <v>1</v>
      </c>
      <c r="E846" s="713" t="s">
        <v>674</v>
      </c>
      <c r="F846" s="723" t="s">
        <v>123</v>
      </c>
      <c r="G846" s="713" t="s">
        <v>58</v>
      </c>
      <c r="H846" s="723" t="s">
        <v>697</v>
      </c>
      <c r="I846" s="713" t="s">
        <v>5</v>
      </c>
      <c r="J846" s="713" t="s">
        <v>376</v>
      </c>
      <c r="K846" s="766">
        <v>1</v>
      </c>
      <c r="L846" s="766" t="s">
        <v>671</v>
      </c>
      <c r="M846" s="765" t="s">
        <v>745</v>
      </c>
      <c r="N846" s="765">
        <v>0</v>
      </c>
      <c r="O846" s="765">
        <v>0</v>
      </c>
      <c r="P846" s="735">
        <v>0</v>
      </c>
      <c r="Q846" s="713" t="s">
        <v>58</v>
      </c>
      <c r="R846" s="713" t="s">
        <v>58</v>
      </c>
      <c r="S846" s="713" t="s">
        <v>58</v>
      </c>
      <c r="T846" s="713" t="s">
        <v>58</v>
      </c>
      <c r="U846" s="764">
        <v>0</v>
      </c>
      <c r="V846" s="764">
        <v>0</v>
      </c>
      <c r="W846" s="764">
        <v>0</v>
      </c>
      <c r="X846" s="764">
        <v>0</v>
      </c>
      <c r="Y846" s="764">
        <v>0</v>
      </c>
      <c r="Z846" s="764">
        <v>0</v>
      </c>
      <c r="AA846" s="764">
        <v>0</v>
      </c>
      <c r="AB846" s="764">
        <v>0</v>
      </c>
      <c r="AC846" s="714">
        <v>0.82617698682369967</v>
      </c>
      <c r="AD846" s="714">
        <v>0.7843105192554185</v>
      </c>
      <c r="AE846" s="713" t="s">
        <v>58</v>
      </c>
      <c r="AF846" s="713" t="s">
        <v>58</v>
      </c>
      <c r="AG846" s="713" t="s">
        <v>58</v>
      </c>
      <c r="AH846" s="714">
        <v>0.94387031345969796</v>
      </c>
      <c r="AI846" s="713" t="s">
        <v>58</v>
      </c>
      <c r="AJ846" s="713" t="s">
        <v>58</v>
      </c>
      <c r="AK846" s="713" t="s">
        <v>58</v>
      </c>
      <c r="AL846" s="714">
        <v>0.94454345387965444</v>
      </c>
      <c r="AM846" s="713" t="s">
        <v>58</v>
      </c>
      <c r="AN846" s="713" t="s">
        <v>58</v>
      </c>
      <c r="AO846" s="713" t="s">
        <v>58</v>
      </c>
      <c r="AP846" s="747">
        <v>26</v>
      </c>
      <c r="AQ846" s="747">
        <v>26</v>
      </c>
      <c r="AR846" s="709"/>
      <c r="AS846" s="763">
        <v>0</v>
      </c>
      <c r="AT846" s="763">
        <v>0</v>
      </c>
      <c r="AU846" s="763">
        <v>0</v>
      </c>
      <c r="AV846" s="763">
        <v>0</v>
      </c>
      <c r="AW846" s="763">
        <v>0</v>
      </c>
      <c r="AX846" s="763">
        <v>0</v>
      </c>
      <c r="AY846" s="763">
        <v>0</v>
      </c>
      <c r="AZ846" s="763">
        <v>0</v>
      </c>
      <c r="BA846" s="763">
        <v>0</v>
      </c>
      <c r="BB846" s="763">
        <v>0</v>
      </c>
      <c r="BC846" s="763">
        <v>0</v>
      </c>
      <c r="BD846" s="763">
        <v>0</v>
      </c>
      <c r="BE846" s="763">
        <v>0</v>
      </c>
      <c r="BF846" s="763">
        <v>0</v>
      </c>
      <c r="BG846" s="763">
        <v>0</v>
      </c>
      <c r="BH846" s="763">
        <v>0</v>
      </c>
      <c r="BI846" s="763">
        <v>0</v>
      </c>
      <c r="BJ846" s="763">
        <v>0</v>
      </c>
      <c r="BK846" s="763">
        <v>0</v>
      </c>
      <c r="BL846" s="763">
        <v>0</v>
      </c>
      <c r="BM846" s="763">
        <v>0</v>
      </c>
      <c r="BN846" s="763">
        <v>0</v>
      </c>
      <c r="BO846" s="763">
        <v>0</v>
      </c>
      <c r="BP846" s="763">
        <v>0</v>
      </c>
      <c r="BQ846" s="763">
        <v>0</v>
      </c>
      <c r="BR846" s="763">
        <v>0</v>
      </c>
      <c r="BS846" s="762">
        <v>0</v>
      </c>
      <c r="BT846" s="762">
        <v>0</v>
      </c>
      <c r="BU846" s="762">
        <v>0</v>
      </c>
      <c r="BV846" s="762">
        <v>0</v>
      </c>
      <c r="BW846" s="762">
        <v>0</v>
      </c>
      <c r="BX846" s="762">
        <v>0</v>
      </c>
      <c r="BY846" s="762">
        <v>0</v>
      </c>
      <c r="BZ846" s="762">
        <v>0</v>
      </c>
      <c r="CA846" s="762">
        <v>0</v>
      </c>
      <c r="CB846" s="762">
        <v>0</v>
      </c>
      <c r="CC846" s="762">
        <v>0</v>
      </c>
      <c r="CD846" s="762">
        <v>0</v>
      </c>
      <c r="CE846" s="762">
        <v>0</v>
      </c>
      <c r="CF846" s="762">
        <v>0</v>
      </c>
      <c r="CG846" s="762">
        <v>0</v>
      </c>
      <c r="CH846" s="762">
        <v>0</v>
      </c>
      <c r="CI846" s="762">
        <v>0</v>
      </c>
      <c r="CJ846" s="762">
        <v>0</v>
      </c>
      <c r="CK846" s="762">
        <v>0</v>
      </c>
      <c r="CL846" s="762">
        <v>0</v>
      </c>
      <c r="CM846" s="762">
        <v>0</v>
      </c>
      <c r="CN846" s="762">
        <v>0</v>
      </c>
      <c r="CO846" s="762">
        <v>0</v>
      </c>
      <c r="CP846" s="762">
        <v>0</v>
      </c>
      <c r="CQ846" s="762">
        <v>0</v>
      </c>
      <c r="CR846" s="762">
        <v>0</v>
      </c>
    </row>
    <row r="847" spans="1:96" s="53" customFormat="1">
      <c r="A847" s="721" t="s">
        <v>3</v>
      </c>
      <c r="B847" s="723">
        <v>41889</v>
      </c>
      <c r="C847" s="721">
        <v>2014</v>
      </c>
      <c r="D847" s="713" t="s">
        <v>1</v>
      </c>
      <c r="E847" s="713" t="s">
        <v>674</v>
      </c>
      <c r="F847" s="723" t="s">
        <v>123</v>
      </c>
      <c r="G847" s="713" t="s">
        <v>58</v>
      </c>
      <c r="H847" s="723" t="s">
        <v>682</v>
      </c>
      <c r="I847" s="713" t="s">
        <v>5</v>
      </c>
      <c r="J847" s="713" t="s">
        <v>376</v>
      </c>
      <c r="K847" s="766">
        <v>8</v>
      </c>
      <c r="L847" s="766" t="s">
        <v>671</v>
      </c>
      <c r="M847" s="765" t="s">
        <v>745</v>
      </c>
      <c r="N847" s="765">
        <v>12</v>
      </c>
      <c r="O847" s="765">
        <v>3</v>
      </c>
      <c r="P847" s="735">
        <v>0.4</v>
      </c>
      <c r="Q847" s="713" t="s">
        <v>58</v>
      </c>
      <c r="R847" s="713" t="s">
        <v>58</v>
      </c>
      <c r="S847" s="713" t="s">
        <v>58</v>
      </c>
      <c r="T847" s="713" t="s">
        <v>58</v>
      </c>
      <c r="U847" s="764">
        <v>0.192</v>
      </c>
      <c r="V847" s="764">
        <v>654.72</v>
      </c>
      <c r="W847" s="764">
        <v>0.15058761969704038</v>
      </c>
      <c r="X847" s="764">
        <v>540.9145968132126</v>
      </c>
      <c r="Y847" s="764">
        <v>3570.0363389672034</v>
      </c>
      <c r="Z847" s="764">
        <v>3369.651318323487</v>
      </c>
      <c r="AA847" s="764">
        <v>510.55323004901311</v>
      </c>
      <c r="AB847" s="764">
        <v>0.1422365504201584</v>
      </c>
      <c r="AC847" s="714">
        <v>0.82617698682369967</v>
      </c>
      <c r="AD847" s="714">
        <v>0.7843105192554185</v>
      </c>
      <c r="AE847" s="713" t="s">
        <v>58</v>
      </c>
      <c r="AF847" s="713" t="s">
        <v>58</v>
      </c>
      <c r="AG847" s="713" t="s">
        <v>58</v>
      </c>
      <c r="AH847" s="714">
        <v>0.94387031345969796</v>
      </c>
      <c r="AI847" s="713" t="s">
        <v>58</v>
      </c>
      <c r="AJ847" s="713" t="s">
        <v>58</v>
      </c>
      <c r="AK847" s="713" t="s">
        <v>58</v>
      </c>
      <c r="AL847" s="714">
        <v>0.94454345387965444</v>
      </c>
      <c r="AM847" s="713" t="s">
        <v>58</v>
      </c>
      <c r="AN847" s="713" t="s">
        <v>58</v>
      </c>
      <c r="AO847" s="713" t="s">
        <v>58</v>
      </c>
      <c r="AP847" s="747">
        <v>47</v>
      </c>
      <c r="AQ847" s="747">
        <v>376</v>
      </c>
      <c r="AR847" s="709"/>
      <c r="AS847" s="763">
        <v>0</v>
      </c>
      <c r="AT847" s="763">
        <v>0</v>
      </c>
      <c r="AU847" s="763">
        <v>0</v>
      </c>
      <c r="AV847" s="763">
        <v>0.1422365504201584</v>
      </c>
      <c r="AW847" s="763">
        <v>0.1422365504201584</v>
      </c>
      <c r="AX847" s="763">
        <v>0.1422365504201584</v>
      </c>
      <c r="AY847" s="763">
        <v>5.6894620168063362E-2</v>
      </c>
      <c r="AZ847" s="763">
        <v>5.6894620168063362E-2</v>
      </c>
      <c r="BA847" s="763">
        <v>5.6894620168063362E-2</v>
      </c>
      <c r="BB847" s="763">
        <v>5.6894620168063362E-2</v>
      </c>
      <c r="BC847" s="763">
        <v>5.6894620168063362E-2</v>
      </c>
      <c r="BD847" s="763">
        <v>5.6894620168063362E-2</v>
      </c>
      <c r="BE847" s="763">
        <v>5.6894620168063362E-2</v>
      </c>
      <c r="BF847" s="763">
        <v>5.6894620168063362E-2</v>
      </c>
      <c r="BG847" s="763">
        <v>5.6894620168063362E-2</v>
      </c>
      <c r="BH847" s="763">
        <v>0</v>
      </c>
      <c r="BI847" s="763">
        <v>0</v>
      </c>
      <c r="BJ847" s="763">
        <v>0</v>
      </c>
      <c r="BK847" s="763">
        <v>0</v>
      </c>
      <c r="BL847" s="763">
        <v>0</v>
      </c>
      <c r="BM847" s="763">
        <v>0</v>
      </c>
      <c r="BN847" s="763">
        <v>0</v>
      </c>
      <c r="BO847" s="763">
        <v>0</v>
      </c>
      <c r="BP847" s="763">
        <v>0</v>
      </c>
      <c r="BQ847" s="763">
        <v>0</v>
      </c>
      <c r="BR847" s="763">
        <v>0</v>
      </c>
      <c r="BS847" s="762">
        <v>0</v>
      </c>
      <c r="BT847" s="762">
        <v>0</v>
      </c>
      <c r="BU847" s="762">
        <v>0</v>
      </c>
      <c r="BV847" s="762">
        <v>510.55323004901311</v>
      </c>
      <c r="BW847" s="762">
        <v>510.55323004901311</v>
      </c>
      <c r="BX847" s="762">
        <v>510.55323004901311</v>
      </c>
      <c r="BY847" s="762">
        <v>204.22129201960524</v>
      </c>
      <c r="BZ847" s="762">
        <v>204.22129201960524</v>
      </c>
      <c r="CA847" s="762">
        <v>204.22129201960524</v>
      </c>
      <c r="CB847" s="762">
        <v>204.22129201960524</v>
      </c>
      <c r="CC847" s="762">
        <v>204.22129201960524</v>
      </c>
      <c r="CD847" s="762">
        <v>204.22129201960524</v>
      </c>
      <c r="CE847" s="762">
        <v>204.22129201960524</v>
      </c>
      <c r="CF847" s="762">
        <v>204.22129201960524</v>
      </c>
      <c r="CG847" s="762">
        <v>204.22129201960524</v>
      </c>
      <c r="CH847" s="762">
        <v>0</v>
      </c>
      <c r="CI847" s="762">
        <v>0</v>
      </c>
      <c r="CJ847" s="762">
        <v>0</v>
      </c>
      <c r="CK847" s="762">
        <v>0</v>
      </c>
      <c r="CL847" s="762">
        <v>0</v>
      </c>
      <c r="CM847" s="762">
        <v>0</v>
      </c>
      <c r="CN847" s="762">
        <v>0</v>
      </c>
      <c r="CO847" s="762">
        <v>0</v>
      </c>
      <c r="CP847" s="762">
        <v>0</v>
      </c>
      <c r="CQ847" s="762">
        <v>0</v>
      </c>
      <c r="CR847" s="762">
        <v>0</v>
      </c>
    </row>
    <row r="848" spans="1:96" s="53" customFormat="1">
      <c r="A848" s="721" t="s">
        <v>3</v>
      </c>
      <c r="B848" s="723">
        <v>41889</v>
      </c>
      <c r="C848" s="721">
        <v>2014</v>
      </c>
      <c r="D848" s="713" t="s">
        <v>1</v>
      </c>
      <c r="E848" s="713" t="s">
        <v>674</v>
      </c>
      <c r="F848" s="723" t="s">
        <v>681</v>
      </c>
      <c r="G848" s="713" t="s">
        <v>58</v>
      </c>
      <c r="H848" s="723" t="s">
        <v>697</v>
      </c>
      <c r="I848" s="713" t="s">
        <v>5</v>
      </c>
      <c r="J848" s="713" t="s">
        <v>376</v>
      </c>
      <c r="K848" s="766">
        <v>1</v>
      </c>
      <c r="L848" s="766" t="s">
        <v>671</v>
      </c>
      <c r="M848" s="765" t="s">
        <v>744</v>
      </c>
      <c r="N848" s="765">
        <v>0</v>
      </c>
      <c r="O848" s="765">
        <v>0</v>
      </c>
      <c r="P848" s="735">
        <v>0</v>
      </c>
      <c r="Q848" s="713" t="s">
        <v>58</v>
      </c>
      <c r="R848" s="713" t="s">
        <v>58</v>
      </c>
      <c r="S848" s="713" t="s">
        <v>58</v>
      </c>
      <c r="T848" s="713" t="s">
        <v>58</v>
      </c>
      <c r="U848" s="764">
        <v>0</v>
      </c>
      <c r="V848" s="764">
        <v>0</v>
      </c>
      <c r="W848" s="764">
        <v>0</v>
      </c>
      <c r="X848" s="764">
        <v>0</v>
      </c>
      <c r="Y848" s="764">
        <v>0</v>
      </c>
      <c r="Z848" s="764">
        <v>0</v>
      </c>
      <c r="AA848" s="764">
        <v>0</v>
      </c>
      <c r="AB848" s="764">
        <v>0</v>
      </c>
      <c r="AC848" s="714">
        <v>0.82617698682369967</v>
      </c>
      <c r="AD848" s="714">
        <v>0.7843105192554185</v>
      </c>
      <c r="AE848" s="713" t="s">
        <v>58</v>
      </c>
      <c r="AF848" s="713" t="s">
        <v>58</v>
      </c>
      <c r="AG848" s="713" t="s">
        <v>58</v>
      </c>
      <c r="AH848" s="714">
        <v>0.94387031345969796</v>
      </c>
      <c r="AI848" s="713" t="s">
        <v>58</v>
      </c>
      <c r="AJ848" s="713" t="s">
        <v>58</v>
      </c>
      <c r="AK848" s="713" t="s">
        <v>58</v>
      </c>
      <c r="AL848" s="714">
        <v>0.94454345387965444</v>
      </c>
      <c r="AM848" s="713" t="s">
        <v>58</v>
      </c>
      <c r="AN848" s="713" t="s">
        <v>58</v>
      </c>
      <c r="AO848" s="713" t="s">
        <v>58</v>
      </c>
      <c r="AP848" s="747">
        <v>26</v>
      </c>
      <c r="AQ848" s="747">
        <v>26</v>
      </c>
      <c r="AR848" s="709"/>
      <c r="AS848" s="763">
        <v>0</v>
      </c>
      <c r="AT848" s="763">
        <v>0</v>
      </c>
      <c r="AU848" s="763">
        <v>0</v>
      </c>
      <c r="AV848" s="763">
        <v>0</v>
      </c>
      <c r="AW848" s="763">
        <v>0</v>
      </c>
      <c r="AX848" s="763">
        <v>0</v>
      </c>
      <c r="AY848" s="763">
        <v>0</v>
      </c>
      <c r="AZ848" s="763">
        <v>0</v>
      </c>
      <c r="BA848" s="763">
        <v>0</v>
      </c>
      <c r="BB848" s="763">
        <v>0</v>
      </c>
      <c r="BC848" s="763">
        <v>0</v>
      </c>
      <c r="BD848" s="763">
        <v>0</v>
      </c>
      <c r="BE848" s="763">
        <v>0</v>
      </c>
      <c r="BF848" s="763">
        <v>0</v>
      </c>
      <c r="BG848" s="763">
        <v>0</v>
      </c>
      <c r="BH848" s="763">
        <v>0</v>
      </c>
      <c r="BI848" s="763">
        <v>0</v>
      </c>
      <c r="BJ848" s="763">
        <v>0</v>
      </c>
      <c r="BK848" s="763">
        <v>0</v>
      </c>
      <c r="BL848" s="763">
        <v>0</v>
      </c>
      <c r="BM848" s="763">
        <v>0</v>
      </c>
      <c r="BN848" s="763">
        <v>0</v>
      </c>
      <c r="BO848" s="763">
        <v>0</v>
      </c>
      <c r="BP848" s="763">
        <v>0</v>
      </c>
      <c r="BQ848" s="763">
        <v>0</v>
      </c>
      <c r="BR848" s="763">
        <v>0</v>
      </c>
      <c r="BS848" s="762">
        <v>0</v>
      </c>
      <c r="BT848" s="762">
        <v>0</v>
      </c>
      <c r="BU848" s="762">
        <v>0</v>
      </c>
      <c r="BV848" s="762">
        <v>0</v>
      </c>
      <c r="BW848" s="762">
        <v>0</v>
      </c>
      <c r="BX848" s="762">
        <v>0</v>
      </c>
      <c r="BY848" s="762">
        <v>0</v>
      </c>
      <c r="BZ848" s="762">
        <v>0</v>
      </c>
      <c r="CA848" s="762">
        <v>0</v>
      </c>
      <c r="CB848" s="762">
        <v>0</v>
      </c>
      <c r="CC848" s="762">
        <v>0</v>
      </c>
      <c r="CD848" s="762">
        <v>0</v>
      </c>
      <c r="CE848" s="762">
        <v>0</v>
      </c>
      <c r="CF848" s="762">
        <v>0</v>
      </c>
      <c r="CG848" s="762">
        <v>0</v>
      </c>
      <c r="CH848" s="762">
        <v>0</v>
      </c>
      <c r="CI848" s="762">
        <v>0</v>
      </c>
      <c r="CJ848" s="762">
        <v>0</v>
      </c>
      <c r="CK848" s="762">
        <v>0</v>
      </c>
      <c r="CL848" s="762">
        <v>0</v>
      </c>
      <c r="CM848" s="762">
        <v>0</v>
      </c>
      <c r="CN848" s="762">
        <v>0</v>
      </c>
      <c r="CO848" s="762">
        <v>0</v>
      </c>
      <c r="CP848" s="762">
        <v>0</v>
      </c>
      <c r="CQ848" s="762">
        <v>0</v>
      </c>
      <c r="CR848" s="762">
        <v>0</v>
      </c>
    </row>
    <row r="849" spans="1:96" s="53" customFormat="1">
      <c r="A849" s="721" t="s">
        <v>3</v>
      </c>
      <c r="B849" s="723">
        <v>41889</v>
      </c>
      <c r="C849" s="721">
        <v>2014</v>
      </c>
      <c r="D849" s="713" t="s">
        <v>1</v>
      </c>
      <c r="E849" s="713" t="s">
        <v>674</v>
      </c>
      <c r="F849" s="723" t="s">
        <v>681</v>
      </c>
      <c r="G849" s="713" t="s">
        <v>58</v>
      </c>
      <c r="H849" s="723" t="s">
        <v>735</v>
      </c>
      <c r="I849" s="713" t="s">
        <v>5</v>
      </c>
      <c r="J849" s="713" t="s">
        <v>376</v>
      </c>
      <c r="K849" s="766">
        <v>1</v>
      </c>
      <c r="L849" s="766" t="s">
        <v>671</v>
      </c>
      <c r="M849" s="765" t="s">
        <v>744</v>
      </c>
      <c r="N849" s="765">
        <v>12</v>
      </c>
      <c r="O849" s="765">
        <v>3</v>
      </c>
      <c r="P849" s="735">
        <v>0.6097560975609756</v>
      </c>
      <c r="Q849" s="713" t="s">
        <v>58</v>
      </c>
      <c r="R849" s="713" t="s">
        <v>58</v>
      </c>
      <c r="S849" s="713" t="s">
        <v>58</v>
      </c>
      <c r="T849" s="713" t="s">
        <v>58</v>
      </c>
      <c r="U849" s="764">
        <v>4.1000000000000002E-2</v>
      </c>
      <c r="V849" s="764">
        <v>133.37299999999999</v>
      </c>
      <c r="W849" s="764">
        <v>3.2156731289472169E-2</v>
      </c>
      <c r="X849" s="764">
        <v>110.18970326363728</v>
      </c>
      <c r="Y849" s="764">
        <v>935.26870087184818</v>
      </c>
      <c r="Z849" s="764">
        <v>882.77236186095581</v>
      </c>
      <c r="AA849" s="764">
        <v>104.00478975948043</v>
      </c>
      <c r="AB849" s="764">
        <v>3.0373430037637997E-2</v>
      </c>
      <c r="AC849" s="714">
        <v>0.82617698682369967</v>
      </c>
      <c r="AD849" s="714">
        <v>0.7843105192554185</v>
      </c>
      <c r="AE849" s="713" t="s">
        <v>58</v>
      </c>
      <c r="AF849" s="713" t="s">
        <v>58</v>
      </c>
      <c r="AG849" s="713" t="s">
        <v>58</v>
      </c>
      <c r="AH849" s="714">
        <v>0.94387031345969796</v>
      </c>
      <c r="AI849" s="713" t="s">
        <v>58</v>
      </c>
      <c r="AJ849" s="713" t="s">
        <v>58</v>
      </c>
      <c r="AK849" s="713" t="s">
        <v>58</v>
      </c>
      <c r="AL849" s="714">
        <v>0.94454345387965444</v>
      </c>
      <c r="AM849" s="713" t="s">
        <v>58</v>
      </c>
      <c r="AN849" s="713" t="s">
        <v>58</v>
      </c>
      <c r="AO849" s="713" t="s">
        <v>58</v>
      </c>
      <c r="AP849" s="747">
        <v>119</v>
      </c>
      <c r="AQ849" s="747">
        <v>119</v>
      </c>
      <c r="AR849" s="709"/>
      <c r="AS849" s="763">
        <v>0</v>
      </c>
      <c r="AT849" s="763">
        <v>0</v>
      </c>
      <c r="AU849" s="763">
        <v>0</v>
      </c>
      <c r="AV849" s="763">
        <v>3.0373430037637997E-2</v>
      </c>
      <c r="AW849" s="763">
        <v>3.0373430037637997E-2</v>
      </c>
      <c r="AX849" s="763">
        <v>3.0373430037637997E-2</v>
      </c>
      <c r="AY849" s="763">
        <v>1.852038416929146E-2</v>
      </c>
      <c r="AZ849" s="763">
        <v>1.852038416929146E-2</v>
      </c>
      <c r="BA849" s="763">
        <v>1.852038416929146E-2</v>
      </c>
      <c r="BB849" s="763">
        <v>1.852038416929146E-2</v>
      </c>
      <c r="BC849" s="763">
        <v>1.852038416929146E-2</v>
      </c>
      <c r="BD849" s="763">
        <v>1.852038416929146E-2</v>
      </c>
      <c r="BE849" s="763">
        <v>1.852038416929146E-2</v>
      </c>
      <c r="BF849" s="763">
        <v>1.852038416929146E-2</v>
      </c>
      <c r="BG849" s="763">
        <v>1.852038416929146E-2</v>
      </c>
      <c r="BH849" s="763">
        <v>0</v>
      </c>
      <c r="BI849" s="763">
        <v>0</v>
      </c>
      <c r="BJ849" s="763">
        <v>0</v>
      </c>
      <c r="BK849" s="763">
        <v>0</v>
      </c>
      <c r="BL849" s="763">
        <v>0</v>
      </c>
      <c r="BM849" s="763">
        <v>0</v>
      </c>
      <c r="BN849" s="763">
        <v>0</v>
      </c>
      <c r="BO849" s="763">
        <v>0</v>
      </c>
      <c r="BP849" s="763">
        <v>0</v>
      </c>
      <c r="BQ849" s="763">
        <v>0</v>
      </c>
      <c r="BR849" s="763">
        <v>0</v>
      </c>
      <c r="BS849" s="762">
        <v>0</v>
      </c>
      <c r="BT849" s="762">
        <v>0</v>
      </c>
      <c r="BU849" s="762">
        <v>0</v>
      </c>
      <c r="BV849" s="762">
        <v>104.00478975948043</v>
      </c>
      <c r="BW849" s="762">
        <v>104.00478975948043</v>
      </c>
      <c r="BX849" s="762">
        <v>104.00478975948043</v>
      </c>
      <c r="BY849" s="762">
        <v>63.417554731390503</v>
      </c>
      <c r="BZ849" s="762">
        <v>63.417554731390503</v>
      </c>
      <c r="CA849" s="762">
        <v>63.417554731390503</v>
      </c>
      <c r="CB849" s="762">
        <v>63.417554731390503</v>
      </c>
      <c r="CC849" s="762">
        <v>63.417554731390503</v>
      </c>
      <c r="CD849" s="762">
        <v>63.417554731390503</v>
      </c>
      <c r="CE849" s="762">
        <v>63.417554731390503</v>
      </c>
      <c r="CF849" s="762">
        <v>63.417554731390503</v>
      </c>
      <c r="CG849" s="762">
        <v>63.417554731390503</v>
      </c>
      <c r="CH849" s="762">
        <v>0</v>
      </c>
      <c r="CI849" s="762">
        <v>0</v>
      </c>
      <c r="CJ849" s="762">
        <v>0</v>
      </c>
      <c r="CK849" s="762">
        <v>0</v>
      </c>
      <c r="CL849" s="762">
        <v>0</v>
      </c>
      <c r="CM849" s="762">
        <v>0</v>
      </c>
      <c r="CN849" s="762">
        <v>0</v>
      </c>
      <c r="CO849" s="762">
        <v>0</v>
      </c>
      <c r="CP849" s="762">
        <v>0</v>
      </c>
      <c r="CQ849" s="762">
        <v>0</v>
      </c>
      <c r="CR849" s="762">
        <v>0</v>
      </c>
    </row>
    <row r="850" spans="1:96" s="53" customFormat="1">
      <c r="A850" s="721" t="s">
        <v>3</v>
      </c>
      <c r="B850" s="723">
        <v>41889</v>
      </c>
      <c r="C850" s="721">
        <v>2014</v>
      </c>
      <c r="D850" s="713" t="s">
        <v>1</v>
      </c>
      <c r="E850" s="713" t="s">
        <v>674</v>
      </c>
      <c r="F850" s="723" t="s">
        <v>681</v>
      </c>
      <c r="G850" s="713" t="s">
        <v>58</v>
      </c>
      <c r="H850" s="723" t="s">
        <v>735</v>
      </c>
      <c r="I850" s="713" t="s">
        <v>5</v>
      </c>
      <c r="J850" s="713" t="s">
        <v>376</v>
      </c>
      <c r="K850" s="766">
        <v>1</v>
      </c>
      <c r="L850" s="766" t="s">
        <v>671</v>
      </c>
      <c r="M850" s="765" t="s">
        <v>744</v>
      </c>
      <c r="N850" s="765">
        <v>12</v>
      </c>
      <c r="O850" s="765">
        <v>3</v>
      </c>
      <c r="P850" s="735">
        <v>0.6097560975609756</v>
      </c>
      <c r="Q850" s="713" t="s">
        <v>58</v>
      </c>
      <c r="R850" s="713" t="s">
        <v>58</v>
      </c>
      <c r="S850" s="713" t="s">
        <v>58</v>
      </c>
      <c r="T850" s="713" t="s">
        <v>58</v>
      </c>
      <c r="U850" s="764">
        <v>4.1000000000000002E-2</v>
      </c>
      <c r="V850" s="764">
        <v>133.37299999999999</v>
      </c>
      <c r="W850" s="764">
        <v>3.2156731289472169E-2</v>
      </c>
      <c r="X850" s="764">
        <v>110.18970326363728</v>
      </c>
      <c r="Y850" s="764">
        <v>935.26870087184818</v>
      </c>
      <c r="Z850" s="764">
        <v>882.77236186095581</v>
      </c>
      <c r="AA850" s="764">
        <v>104.00478975948043</v>
      </c>
      <c r="AB850" s="764">
        <v>3.0373430037637997E-2</v>
      </c>
      <c r="AC850" s="714">
        <v>0.82617698682369967</v>
      </c>
      <c r="AD850" s="714">
        <v>0.7843105192554185</v>
      </c>
      <c r="AE850" s="713" t="s">
        <v>58</v>
      </c>
      <c r="AF850" s="713" t="s">
        <v>58</v>
      </c>
      <c r="AG850" s="713" t="s">
        <v>58</v>
      </c>
      <c r="AH850" s="714">
        <v>0.94387031345969796</v>
      </c>
      <c r="AI850" s="713" t="s">
        <v>58</v>
      </c>
      <c r="AJ850" s="713" t="s">
        <v>58</v>
      </c>
      <c r="AK850" s="713" t="s">
        <v>58</v>
      </c>
      <c r="AL850" s="714">
        <v>0.94454345387965444</v>
      </c>
      <c r="AM850" s="713" t="s">
        <v>58</v>
      </c>
      <c r="AN850" s="713" t="s">
        <v>58</v>
      </c>
      <c r="AO850" s="713" t="s">
        <v>58</v>
      </c>
      <c r="AP850" s="747">
        <v>119</v>
      </c>
      <c r="AQ850" s="747">
        <v>119</v>
      </c>
      <c r="AR850" s="709"/>
      <c r="AS850" s="763">
        <v>0</v>
      </c>
      <c r="AT850" s="763">
        <v>0</v>
      </c>
      <c r="AU850" s="763">
        <v>0</v>
      </c>
      <c r="AV850" s="763">
        <v>3.0373430037637997E-2</v>
      </c>
      <c r="AW850" s="763">
        <v>3.0373430037637997E-2</v>
      </c>
      <c r="AX850" s="763">
        <v>3.0373430037637997E-2</v>
      </c>
      <c r="AY850" s="763">
        <v>1.852038416929146E-2</v>
      </c>
      <c r="AZ850" s="763">
        <v>1.852038416929146E-2</v>
      </c>
      <c r="BA850" s="763">
        <v>1.852038416929146E-2</v>
      </c>
      <c r="BB850" s="763">
        <v>1.852038416929146E-2</v>
      </c>
      <c r="BC850" s="763">
        <v>1.852038416929146E-2</v>
      </c>
      <c r="BD850" s="763">
        <v>1.852038416929146E-2</v>
      </c>
      <c r="BE850" s="763">
        <v>1.852038416929146E-2</v>
      </c>
      <c r="BF850" s="763">
        <v>1.852038416929146E-2</v>
      </c>
      <c r="BG850" s="763">
        <v>1.852038416929146E-2</v>
      </c>
      <c r="BH850" s="763">
        <v>0</v>
      </c>
      <c r="BI850" s="763">
        <v>0</v>
      </c>
      <c r="BJ850" s="763">
        <v>0</v>
      </c>
      <c r="BK850" s="763">
        <v>0</v>
      </c>
      <c r="BL850" s="763">
        <v>0</v>
      </c>
      <c r="BM850" s="763">
        <v>0</v>
      </c>
      <c r="BN850" s="763">
        <v>0</v>
      </c>
      <c r="BO850" s="763">
        <v>0</v>
      </c>
      <c r="BP850" s="763">
        <v>0</v>
      </c>
      <c r="BQ850" s="763">
        <v>0</v>
      </c>
      <c r="BR850" s="763">
        <v>0</v>
      </c>
      <c r="BS850" s="762">
        <v>0</v>
      </c>
      <c r="BT850" s="762">
        <v>0</v>
      </c>
      <c r="BU850" s="762">
        <v>0</v>
      </c>
      <c r="BV850" s="762">
        <v>104.00478975948043</v>
      </c>
      <c r="BW850" s="762">
        <v>104.00478975948043</v>
      </c>
      <c r="BX850" s="762">
        <v>104.00478975948043</v>
      </c>
      <c r="BY850" s="762">
        <v>63.417554731390503</v>
      </c>
      <c r="BZ850" s="762">
        <v>63.417554731390503</v>
      </c>
      <c r="CA850" s="762">
        <v>63.417554731390503</v>
      </c>
      <c r="CB850" s="762">
        <v>63.417554731390503</v>
      </c>
      <c r="CC850" s="762">
        <v>63.417554731390503</v>
      </c>
      <c r="CD850" s="762">
        <v>63.417554731390503</v>
      </c>
      <c r="CE850" s="762">
        <v>63.417554731390503</v>
      </c>
      <c r="CF850" s="762">
        <v>63.417554731390503</v>
      </c>
      <c r="CG850" s="762">
        <v>63.417554731390503</v>
      </c>
      <c r="CH850" s="762">
        <v>0</v>
      </c>
      <c r="CI850" s="762">
        <v>0</v>
      </c>
      <c r="CJ850" s="762">
        <v>0</v>
      </c>
      <c r="CK850" s="762">
        <v>0</v>
      </c>
      <c r="CL850" s="762">
        <v>0</v>
      </c>
      <c r="CM850" s="762">
        <v>0</v>
      </c>
      <c r="CN850" s="762">
        <v>0</v>
      </c>
      <c r="CO850" s="762">
        <v>0</v>
      </c>
      <c r="CP850" s="762">
        <v>0</v>
      </c>
      <c r="CQ850" s="762">
        <v>0</v>
      </c>
      <c r="CR850" s="762">
        <v>0</v>
      </c>
    </row>
    <row r="851" spans="1:96" s="53" customFormat="1">
      <c r="A851" s="721" t="s">
        <v>3</v>
      </c>
      <c r="B851" s="723">
        <v>41889</v>
      </c>
      <c r="C851" s="721">
        <v>2014</v>
      </c>
      <c r="D851" s="713" t="s">
        <v>1</v>
      </c>
      <c r="E851" s="713" t="s">
        <v>674</v>
      </c>
      <c r="F851" s="723" t="s">
        <v>681</v>
      </c>
      <c r="G851" s="713" t="s">
        <v>58</v>
      </c>
      <c r="H851" s="723" t="s">
        <v>676</v>
      </c>
      <c r="I851" s="713" t="s">
        <v>5</v>
      </c>
      <c r="J851" s="713" t="s">
        <v>376</v>
      </c>
      <c r="K851" s="766">
        <v>1</v>
      </c>
      <c r="L851" s="766" t="s">
        <v>671</v>
      </c>
      <c r="M851" s="765" t="s">
        <v>744</v>
      </c>
      <c r="N851" s="765">
        <v>12</v>
      </c>
      <c r="O851" s="765">
        <v>3</v>
      </c>
      <c r="P851" s="735">
        <v>0.31578947368421051</v>
      </c>
      <c r="Q851" s="713" t="s">
        <v>58</v>
      </c>
      <c r="R851" s="713" t="s">
        <v>58</v>
      </c>
      <c r="S851" s="713" t="s">
        <v>58</v>
      </c>
      <c r="T851" s="713" t="s">
        <v>58</v>
      </c>
      <c r="U851" s="764">
        <v>3.7999999999999999E-2</v>
      </c>
      <c r="V851" s="764">
        <v>123.614</v>
      </c>
      <c r="W851" s="764">
        <v>2.9803799731705907E-2</v>
      </c>
      <c r="X851" s="764">
        <v>102.12704204922481</v>
      </c>
      <c r="Y851" s="764">
        <v>596.63692986652381</v>
      </c>
      <c r="Z851" s="764">
        <v>563.14788601474766</v>
      </c>
      <c r="AA851" s="764">
        <v>96.394683191713582</v>
      </c>
      <c r="AB851" s="764">
        <v>2.8150983937323015E-2</v>
      </c>
      <c r="AC851" s="714">
        <v>0.82617698682369967</v>
      </c>
      <c r="AD851" s="714">
        <v>0.7843105192554185</v>
      </c>
      <c r="AE851" s="713" t="s">
        <v>58</v>
      </c>
      <c r="AF851" s="713" t="s">
        <v>58</v>
      </c>
      <c r="AG851" s="713" t="s">
        <v>58</v>
      </c>
      <c r="AH851" s="714">
        <v>0.94387031345969796</v>
      </c>
      <c r="AI851" s="713" t="s">
        <v>58</v>
      </c>
      <c r="AJ851" s="713" t="s">
        <v>58</v>
      </c>
      <c r="AK851" s="713" t="s">
        <v>58</v>
      </c>
      <c r="AL851" s="714">
        <v>0.94454345387965444</v>
      </c>
      <c r="AM851" s="713" t="s">
        <v>58</v>
      </c>
      <c r="AN851" s="713" t="s">
        <v>58</v>
      </c>
      <c r="AO851" s="713" t="s">
        <v>58</v>
      </c>
      <c r="AP851" s="747">
        <v>57</v>
      </c>
      <c r="AQ851" s="747">
        <v>57</v>
      </c>
      <c r="AR851" s="709"/>
      <c r="AS851" s="763">
        <v>0</v>
      </c>
      <c r="AT851" s="763">
        <v>0</v>
      </c>
      <c r="AU851" s="763">
        <v>0</v>
      </c>
      <c r="AV851" s="763">
        <v>2.8150983937323015E-2</v>
      </c>
      <c r="AW851" s="763">
        <v>2.8150983937323015E-2</v>
      </c>
      <c r="AX851" s="763">
        <v>2.8150983937323015E-2</v>
      </c>
      <c r="AY851" s="763">
        <v>8.8897844012598998E-3</v>
      </c>
      <c r="AZ851" s="763">
        <v>8.8897844012598998E-3</v>
      </c>
      <c r="BA851" s="763">
        <v>8.8897844012598998E-3</v>
      </c>
      <c r="BB851" s="763">
        <v>8.8897844012598998E-3</v>
      </c>
      <c r="BC851" s="763">
        <v>8.8897844012598998E-3</v>
      </c>
      <c r="BD851" s="763">
        <v>8.8897844012598998E-3</v>
      </c>
      <c r="BE851" s="763">
        <v>8.8897844012598998E-3</v>
      </c>
      <c r="BF851" s="763">
        <v>8.8897844012598998E-3</v>
      </c>
      <c r="BG851" s="763">
        <v>8.8897844012598998E-3</v>
      </c>
      <c r="BH851" s="763">
        <v>0</v>
      </c>
      <c r="BI851" s="763">
        <v>0</v>
      </c>
      <c r="BJ851" s="763">
        <v>0</v>
      </c>
      <c r="BK851" s="763">
        <v>0</v>
      </c>
      <c r="BL851" s="763">
        <v>0</v>
      </c>
      <c r="BM851" s="763">
        <v>0</v>
      </c>
      <c r="BN851" s="763">
        <v>0</v>
      </c>
      <c r="BO851" s="763">
        <v>0</v>
      </c>
      <c r="BP851" s="763">
        <v>0</v>
      </c>
      <c r="BQ851" s="763">
        <v>0</v>
      </c>
      <c r="BR851" s="763">
        <v>0</v>
      </c>
      <c r="BS851" s="762">
        <v>0</v>
      </c>
      <c r="BT851" s="762">
        <v>0</v>
      </c>
      <c r="BU851" s="762">
        <v>0</v>
      </c>
      <c r="BV851" s="762">
        <v>96.394683191713582</v>
      </c>
      <c r="BW851" s="762">
        <v>96.394683191713582</v>
      </c>
      <c r="BX851" s="762">
        <v>96.394683191713582</v>
      </c>
      <c r="BY851" s="762">
        <v>30.440426271067444</v>
      </c>
      <c r="BZ851" s="762">
        <v>30.440426271067444</v>
      </c>
      <c r="CA851" s="762">
        <v>30.440426271067444</v>
      </c>
      <c r="CB851" s="762">
        <v>30.440426271067444</v>
      </c>
      <c r="CC851" s="762">
        <v>30.440426271067444</v>
      </c>
      <c r="CD851" s="762">
        <v>30.440426271067444</v>
      </c>
      <c r="CE851" s="762">
        <v>30.440426271067444</v>
      </c>
      <c r="CF851" s="762">
        <v>30.440426271067444</v>
      </c>
      <c r="CG851" s="762">
        <v>30.440426271067444</v>
      </c>
      <c r="CH851" s="762">
        <v>0</v>
      </c>
      <c r="CI851" s="762">
        <v>0</v>
      </c>
      <c r="CJ851" s="762">
        <v>0</v>
      </c>
      <c r="CK851" s="762">
        <v>0</v>
      </c>
      <c r="CL851" s="762">
        <v>0</v>
      </c>
      <c r="CM851" s="762">
        <v>0</v>
      </c>
      <c r="CN851" s="762">
        <v>0</v>
      </c>
      <c r="CO851" s="762">
        <v>0</v>
      </c>
      <c r="CP851" s="762">
        <v>0</v>
      </c>
      <c r="CQ851" s="762">
        <v>0</v>
      </c>
      <c r="CR851" s="762">
        <v>0</v>
      </c>
    </row>
    <row r="852" spans="1:96" s="53" customFormat="1">
      <c r="A852" s="721" t="s">
        <v>3</v>
      </c>
      <c r="B852" s="723">
        <v>41816</v>
      </c>
      <c r="C852" s="721">
        <v>2014</v>
      </c>
      <c r="D852" s="713" t="s">
        <v>1</v>
      </c>
      <c r="E852" s="713" t="s">
        <v>674</v>
      </c>
      <c r="F852" s="723" t="s">
        <v>689</v>
      </c>
      <c r="G852" s="713" t="s">
        <v>58</v>
      </c>
      <c r="H852" s="723" t="s">
        <v>677</v>
      </c>
      <c r="I852" s="713" t="s">
        <v>5</v>
      </c>
      <c r="J852" s="713" t="s">
        <v>376</v>
      </c>
      <c r="K852" s="766">
        <v>1</v>
      </c>
      <c r="L852" s="766" t="s">
        <v>671</v>
      </c>
      <c r="M852" s="765" t="s">
        <v>743</v>
      </c>
      <c r="N852" s="765">
        <v>0</v>
      </c>
      <c r="O852" s="765">
        <v>0</v>
      </c>
      <c r="P852" s="735">
        <v>0</v>
      </c>
      <c r="Q852" s="713" t="s">
        <v>58</v>
      </c>
      <c r="R852" s="713" t="s">
        <v>58</v>
      </c>
      <c r="S852" s="713" t="s">
        <v>58</v>
      </c>
      <c r="T852" s="713" t="s">
        <v>58</v>
      </c>
      <c r="U852" s="764">
        <v>0</v>
      </c>
      <c r="V852" s="764">
        <v>0</v>
      </c>
      <c r="W852" s="764">
        <v>0</v>
      </c>
      <c r="X852" s="764">
        <v>0</v>
      </c>
      <c r="Y852" s="764">
        <v>0</v>
      </c>
      <c r="Z852" s="764">
        <v>0</v>
      </c>
      <c r="AA852" s="764">
        <v>0</v>
      </c>
      <c r="AB852" s="764">
        <v>0</v>
      </c>
      <c r="AC852" s="714">
        <v>0.82617698682369967</v>
      </c>
      <c r="AD852" s="714">
        <v>0.7843105192554185</v>
      </c>
      <c r="AE852" s="713" t="s">
        <v>58</v>
      </c>
      <c r="AF852" s="713" t="s">
        <v>58</v>
      </c>
      <c r="AG852" s="713" t="s">
        <v>58</v>
      </c>
      <c r="AH852" s="714">
        <v>0.94387031345969796</v>
      </c>
      <c r="AI852" s="713" t="s">
        <v>58</v>
      </c>
      <c r="AJ852" s="713" t="s">
        <v>58</v>
      </c>
      <c r="AK852" s="713" t="s">
        <v>58</v>
      </c>
      <c r="AL852" s="714">
        <v>0.94454345387965444</v>
      </c>
      <c r="AM852" s="713" t="s">
        <v>58</v>
      </c>
      <c r="AN852" s="713" t="s">
        <v>58</v>
      </c>
      <c r="AO852" s="713" t="s">
        <v>58</v>
      </c>
      <c r="AP852" s="747">
        <v>51</v>
      </c>
      <c r="AQ852" s="747">
        <v>51</v>
      </c>
      <c r="AR852" s="709"/>
      <c r="AS852" s="763">
        <v>0</v>
      </c>
      <c r="AT852" s="763">
        <v>0</v>
      </c>
      <c r="AU852" s="763">
        <v>0</v>
      </c>
      <c r="AV852" s="763">
        <v>0</v>
      </c>
      <c r="AW852" s="763">
        <v>0</v>
      </c>
      <c r="AX852" s="763">
        <v>0</v>
      </c>
      <c r="AY852" s="763">
        <v>0</v>
      </c>
      <c r="AZ852" s="763">
        <v>0</v>
      </c>
      <c r="BA852" s="763">
        <v>0</v>
      </c>
      <c r="BB852" s="763">
        <v>0</v>
      </c>
      <c r="BC852" s="763">
        <v>0</v>
      </c>
      <c r="BD852" s="763">
        <v>0</v>
      </c>
      <c r="BE852" s="763">
        <v>0</v>
      </c>
      <c r="BF852" s="763">
        <v>0</v>
      </c>
      <c r="BG852" s="763">
        <v>0</v>
      </c>
      <c r="BH852" s="763">
        <v>0</v>
      </c>
      <c r="BI852" s="763">
        <v>0</v>
      </c>
      <c r="BJ852" s="763">
        <v>0</v>
      </c>
      <c r="BK852" s="763">
        <v>0</v>
      </c>
      <c r="BL852" s="763">
        <v>0</v>
      </c>
      <c r="BM852" s="763">
        <v>0</v>
      </c>
      <c r="BN852" s="763">
        <v>0</v>
      </c>
      <c r="BO852" s="763">
        <v>0</v>
      </c>
      <c r="BP852" s="763">
        <v>0</v>
      </c>
      <c r="BQ852" s="763">
        <v>0</v>
      </c>
      <c r="BR852" s="763">
        <v>0</v>
      </c>
      <c r="BS852" s="762">
        <v>0</v>
      </c>
      <c r="BT852" s="762">
        <v>0</v>
      </c>
      <c r="BU852" s="762">
        <v>0</v>
      </c>
      <c r="BV852" s="762">
        <v>0</v>
      </c>
      <c r="BW852" s="762">
        <v>0</v>
      </c>
      <c r="BX852" s="762">
        <v>0</v>
      </c>
      <c r="BY852" s="762">
        <v>0</v>
      </c>
      <c r="BZ852" s="762">
        <v>0</v>
      </c>
      <c r="CA852" s="762">
        <v>0</v>
      </c>
      <c r="CB852" s="762">
        <v>0</v>
      </c>
      <c r="CC852" s="762">
        <v>0</v>
      </c>
      <c r="CD852" s="762">
        <v>0</v>
      </c>
      <c r="CE852" s="762">
        <v>0</v>
      </c>
      <c r="CF852" s="762">
        <v>0</v>
      </c>
      <c r="CG852" s="762">
        <v>0</v>
      </c>
      <c r="CH852" s="762">
        <v>0</v>
      </c>
      <c r="CI852" s="762">
        <v>0</v>
      </c>
      <c r="CJ852" s="762">
        <v>0</v>
      </c>
      <c r="CK852" s="762">
        <v>0</v>
      </c>
      <c r="CL852" s="762">
        <v>0</v>
      </c>
      <c r="CM852" s="762">
        <v>0</v>
      </c>
      <c r="CN852" s="762">
        <v>0</v>
      </c>
      <c r="CO852" s="762">
        <v>0</v>
      </c>
      <c r="CP852" s="762">
        <v>0</v>
      </c>
      <c r="CQ852" s="762">
        <v>0</v>
      </c>
      <c r="CR852" s="762">
        <v>0</v>
      </c>
    </row>
    <row r="853" spans="1:96" s="53" customFormat="1">
      <c r="A853" s="721" t="s">
        <v>3</v>
      </c>
      <c r="B853" s="723">
        <v>41816</v>
      </c>
      <c r="C853" s="721">
        <v>2014</v>
      </c>
      <c r="D853" s="713" t="s">
        <v>1</v>
      </c>
      <c r="E853" s="713" t="s">
        <v>674</v>
      </c>
      <c r="F853" s="723" t="s">
        <v>689</v>
      </c>
      <c r="G853" s="713" t="s">
        <v>58</v>
      </c>
      <c r="H853" s="723" t="s">
        <v>695</v>
      </c>
      <c r="I853" s="713" t="s">
        <v>5</v>
      </c>
      <c r="J853" s="713" t="s">
        <v>376</v>
      </c>
      <c r="K853" s="766">
        <v>2</v>
      </c>
      <c r="L853" s="766" t="s">
        <v>671</v>
      </c>
      <c r="M853" s="765" t="s">
        <v>743</v>
      </c>
      <c r="N853" s="765">
        <v>11</v>
      </c>
      <c r="O853" s="765" t="s">
        <v>7</v>
      </c>
      <c r="P853" s="735">
        <v>1</v>
      </c>
      <c r="Q853" s="713" t="s">
        <v>58</v>
      </c>
      <c r="R853" s="713" t="s">
        <v>58</v>
      </c>
      <c r="S853" s="713" t="s">
        <v>58</v>
      </c>
      <c r="T853" s="713" t="s">
        <v>58</v>
      </c>
      <c r="U853" s="764">
        <v>0.105</v>
      </c>
      <c r="V853" s="764">
        <v>390.70499999999998</v>
      </c>
      <c r="W853" s="764">
        <v>8.2352604521818959E-2</v>
      </c>
      <c r="X853" s="764">
        <v>322.79147963695357</v>
      </c>
      <c r="Y853" s="764">
        <v>3550.7062760064891</v>
      </c>
      <c r="Z853" s="764">
        <v>3351.4062457375617</v>
      </c>
      <c r="AA853" s="764">
        <v>304.67329506705107</v>
      </c>
      <c r="AB853" s="764">
        <v>7.7785613511024129E-2</v>
      </c>
      <c r="AC853" s="714">
        <v>0.82617698682369967</v>
      </c>
      <c r="AD853" s="714">
        <v>0.7843105192554185</v>
      </c>
      <c r="AE853" s="713" t="s">
        <v>58</v>
      </c>
      <c r="AF853" s="713" t="s">
        <v>58</v>
      </c>
      <c r="AG853" s="713" t="s">
        <v>58</v>
      </c>
      <c r="AH853" s="714">
        <v>0.94387031345969796</v>
      </c>
      <c r="AI853" s="713" t="s">
        <v>58</v>
      </c>
      <c r="AJ853" s="713" t="s">
        <v>58</v>
      </c>
      <c r="AK853" s="713" t="s">
        <v>58</v>
      </c>
      <c r="AL853" s="714">
        <v>0.94454345387965444</v>
      </c>
      <c r="AM853" s="713" t="s">
        <v>58</v>
      </c>
      <c r="AN853" s="713" t="s">
        <v>58</v>
      </c>
      <c r="AO853" s="713" t="s">
        <v>58</v>
      </c>
      <c r="AP853" s="747">
        <v>47</v>
      </c>
      <c r="AQ853" s="747">
        <v>94</v>
      </c>
      <c r="AR853" s="709"/>
      <c r="AS853" s="763">
        <v>0</v>
      </c>
      <c r="AT853" s="763">
        <v>0</v>
      </c>
      <c r="AU853" s="763">
        <v>0</v>
      </c>
      <c r="AV853" s="763">
        <v>7.7785613511024129E-2</v>
      </c>
      <c r="AW853" s="763">
        <v>7.7785613511024129E-2</v>
      </c>
      <c r="AX853" s="763">
        <v>7.7785613511024129E-2</v>
      </c>
      <c r="AY853" s="763">
        <v>7.7785613511024129E-2</v>
      </c>
      <c r="AZ853" s="763">
        <v>7.7785613511024129E-2</v>
      </c>
      <c r="BA853" s="763">
        <v>7.7785613511024129E-2</v>
      </c>
      <c r="BB853" s="763">
        <v>7.7785613511024129E-2</v>
      </c>
      <c r="BC853" s="763">
        <v>7.7785613511024129E-2</v>
      </c>
      <c r="BD853" s="763">
        <v>7.7785613511024129E-2</v>
      </c>
      <c r="BE853" s="763">
        <v>7.7785613511024129E-2</v>
      </c>
      <c r="BF853" s="763">
        <v>7.7785613511024129E-2</v>
      </c>
      <c r="BG853" s="763">
        <v>0</v>
      </c>
      <c r="BH853" s="763">
        <v>0</v>
      </c>
      <c r="BI853" s="763">
        <v>0</v>
      </c>
      <c r="BJ853" s="763">
        <v>0</v>
      </c>
      <c r="BK853" s="763">
        <v>0</v>
      </c>
      <c r="BL853" s="763">
        <v>0</v>
      </c>
      <c r="BM853" s="763">
        <v>0</v>
      </c>
      <c r="BN853" s="763">
        <v>0</v>
      </c>
      <c r="BO853" s="763">
        <v>0</v>
      </c>
      <c r="BP853" s="763">
        <v>0</v>
      </c>
      <c r="BQ853" s="763">
        <v>0</v>
      </c>
      <c r="BR853" s="763">
        <v>0</v>
      </c>
      <c r="BS853" s="762">
        <v>0</v>
      </c>
      <c r="BT853" s="762">
        <v>0</v>
      </c>
      <c r="BU853" s="762">
        <v>0</v>
      </c>
      <c r="BV853" s="762">
        <v>304.67329506705107</v>
      </c>
      <c r="BW853" s="762">
        <v>304.67329506705107</v>
      </c>
      <c r="BX853" s="762">
        <v>304.67329506705107</v>
      </c>
      <c r="BY853" s="762">
        <v>304.67329506705107</v>
      </c>
      <c r="BZ853" s="762">
        <v>304.67329506705107</v>
      </c>
      <c r="CA853" s="762">
        <v>304.67329506705107</v>
      </c>
      <c r="CB853" s="762">
        <v>304.67329506705107</v>
      </c>
      <c r="CC853" s="762">
        <v>304.67329506705107</v>
      </c>
      <c r="CD853" s="762">
        <v>304.67329506705107</v>
      </c>
      <c r="CE853" s="762">
        <v>304.67329506705107</v>
      </c>
      <c r="CF853" s="762">
        <v>304.67329506705107</v>
      </c>
      <c r="CG853" s="762">
        <v>0</v>
      </c>
      <c r="CH853" s="762">
        <v>0</v>
      </c>
      <c r="CI853" s="762">
        <v>0</v>
      </c>
      <c r="CJ853" s="762">
        <v>0</v>
      </c>
      <c r="CK853" s="762">
        <v>0</v>
      </c>
      <c r="CL853" s="762">
        <v>0</v>
      </c>
      <c r="CM853" s="762">
        <v>0</v>
      </c>
      <c r="CN853" s="762">
        <v>0</v>
      </c>
      <c r="CO853" s="762">
        <v>0</v>
      </c>
      <c r="CP853" s="762">
        <v>0</v>
      </c>
      <c r="CQ853" s="762">
        <v>0</v>
      </c>
      <c r="CR853" s="762">
        <v>0</v>
      </c>
    </row>
    <row r="854" spans="1:96" s="53" customFormat="1">
      <c r="A854" s="721" t="s">
        <v>3</v>
      </c>
      <c r="B854" s="723">
        <v>41816</v>
      </c>
      <c r="C854" s="721">
        <v>2014</v>
      </c>
      <c r="D854" s="713" t="s">
        <v>1</v>
      </c>
      <c r="E854" s="713" t="s">
        <v>674</v>
      </c>
      <c r="F854" s="723" t="s">
        <v>689</v>
      </c>
      <c r="G854" s="713" t="s">
        <v>58</v>
      </c>
      <c r="H854" s="723" t="s">
        <v>693</v>
      </c>
      <c r="I854" s="713" t="s">
        <v>5</v>
      </c>
      <c r="J854" s="713" t="s">
        <v>376</v>
      </c>
      <c r="K854" s="766">
        <v>10</v>
      </c>
      <c r="L854" s="766" t="s">
        <v>671</v>
      </c>
      <c r="M854" s="765" t="s">
        <v>743</v>
      </c>
      <c r="N854" s="765">
        <v>11</v>
      </c>
      <c r="O854" s="765" t="s">
        <v>7</v>
      </c>
      <c r="P854" s="735">
        <v>1</v>
      </c>
      <c r="Q854" s="713" t="s">
        <v>58</v>
      </c>
      <c r="R854" s="713" t="s">
        <v>58</v>
      </c>
      <c r="S854" s="713" t="s">
        <v>58</v>
      </c>
      <c r="T854" s="713" t="s">
        <v>58</v>
      </c>
      <c r="U854" s="764">
        <v>0.71499999999999997</v>
      </c>
      <c r="V854" s="764">
        <v>2660.5149999999999</v>
      </c>
      <c r="W854" s="764">
        <v>0.56078202126762422</v>
      </c>
      <c r="X854" s="764">
        <v>2198.056266099255</v>
      </c>
      <c r="Y854" s="764">
        <v>24178.618927091804</v>
      </c>
      <c r="Z854" s="764">
        <v>22821.480625736727</v>
      </c>
      <c r="AA854" s="764">
        <v>2074.6800568851572</v>
      </c>
      <c r="AB854" s="764">
        <v>0.52968298724173557</v>
      </c>
      <c r="AC854" s="714">
        <v>0.82617698682369967</v>
      </c>
      <c r="AD854" s="714">
        <v>0.7843105192554185</v>
      </c>
      <c r="AE854" s="713" t="s">
        <v>58</v>
      </c>
      <c r="AF854" s="713" t="s">
        <v>58</v>
      </c>
      <c r="AG854" s="713" t="s">
        <v>58</v>
      </c>
      <c r="AH854" s="714">
        <v>0.94387031345969796</v>
      </c>
      <c r="AI854" s="713" t="s">
        <v>58</v>
      </c>
      <c r="AJ854" s="713" t="s">
        <v>58</v>
      </c>
      <c r="AK854" s="713" t="s">
        <v>58</v>
      </c>
      <c r="AL854" s="714">
        <v>0.94454345387965444</v>
      </c>
      <c r="AM854" s="713" t="s">
        <v>58</v>
      </c>
      <c r="AN854" s="713" t="s">
        <v>58</v>
      </c>
      <c r="AO854" s="713" t="s">
        <v>58</v>
      </c>
      <c r="AP854" s="747">
        <v>52</v>
      </c>
      <c r="AQ854" s="747">
        <v>520</v>
      </c>
      <c r="AR854" s="709"/>
      <c r="AS854" s="763">
        <v>0</v>
      </c>
      <c r="AT854" s="763">
        <v>0</v>
      </c>
      <c r="AU854" s="763">
        <v>0</v>
      </c>
      <c r="AV854" s="763">
        <v>0.52968298724173557</v>
      </c>
      <c r="AW854" s="763">
        <v>0.52968298724173557</v>
      </c>
      <c r="AX854" s="763">
        <v>0.52968298724173557</v>
      </c>
      <c r="AY854" s="763">
        <v>0.52968298724173557</v>
      </c>
      <c r="AZ854" s="763">
        <v>0.52968298724173557</v>
      </c>
      <c r="BA854" s="763">
        <v>0.52968298724173557</v>
      </c>
      <c r="BB854" s="763">
        <v>0.52968298724173557</v>
      </c>
      <c r="BC854" s="763">
        <v>0.52968298724173557</v>
      </c>
      <c r="BD854" s="763">
        <v>0.52968298724173557</v>
      </c>
      <c r="BE854" s="763">
        <v>0.52968298724173557</v>
      </c>
      <c r="BF854" s="763">
        <v>0.52968298724173557</v>
      </c>
      <c r="BG854" s="763">
        <v>0</v>
      </c>
      <c r="BH854" s="763">
        <v>0</v>
      </c>
      <c r="BI854" s="763">
        <v>0</v>
      </c>
      <c r="BJ854" s="763">
        <v>0</v>
      </c>
      <c r="BK854" s="763">
        <v>0</v>
      </c>
      <c r="BL854" s="763">
        <v>0</v>
      </c>
      <c r="BM854" s="763">
        <v>0</v>
      </c>
      <c r="BN854" s="763">
        <v>0</v>
      </c>
      <c r="BO854" s="763">
        <v>0</v>
      </c>
      <c r="BP854" s="763">
        <v>0</v>
      </c>
      <c r="BQ854" s="763">
        <v>0</v>
      </c>
      <c r="BR854" s="763">
        <v>0</v>
      </c>
      <c r="BS854" s="762">
        <v>0</v>
      </c>
      <c r="BT854" s="762">
        <v>0</v>
      </c>
      <c r="BU854" s="762">
        <v>0</v>
      </c>
      <c r="BV854" s="762">
        <v>2074.6800568851572</v>
      </c>
      <c r="BW854" s="762">
        <v>2074.6800568851572</v>
      </c>
      <c r="BX854" s="762">
        <v>2074.6800568851572</v>
      </c>
      <c r="BY854" s="762">
        <v>2074.6800568851572</v>
      </c>
      <c r="BZ854" s="762">
        <v>2074.6800568851572</v>
      </c>
      <c r="CA854" s="762">
        <v>2074.6800568851572</v>
      </c>
      <c r="CB854" s="762">
        <v>2074.6800568851572</v>
      </c>
      <c r="CC854" s="762">
        <v>2074.6800568851572</v>
      </c>
      <c r="CD854" s="762">
        <v>2074.6800568851572</v>
      </c>
      <c r="CE854" s="762">
        <v>2074.6800568851572</v>
      </c>
      <c r="CF854" s="762">
        <v>2074.6800568851572</v>
      </c>
      <c r="CG854" s="762">
        <v>0</v>
      </c>
      <c r="CH854" s="762">
        <v>0</v>
      </c>
      <c r="CI854" s="762">
        <v>0</v>
      </c>
      <c r="CJ854" s="762">
        <v>0</v>
      </c>
      <c r="CK854" s="762">
        <v>0</v>
      </c>
      <c r="CL854" s="762">
        <v>0</v>
      </c>
      <c r="CM854" s="762">
        <v>0</v>
      </c>
      <c r="CN854" s="762">
        <v>0</v>
      </c>
      <c r="CO854" s="762">
        <v>0</v>
      </c>
      <c r="CP854" s="762">
        <v>0</v>
      </c>
      <c r="CQ854" s="762">
        <v>0</v>
      </c>
      <c r="CR854" s="762">
        <v>0</v>
      </c>
    </row>
    <row r="855" spans="1:96" s="53" customFormat="1">
      <c r="A855" s="721" t="s">
        <v>3</v>
      </c>
      <c r="B855" s="723">
        <v>41815</v>
      </c>
      <c r="C855" s="721">
        <v>2014</v>
      </c>
      <c r="D855" s="713" t="s">
        <v>1</v>
      </c>
      <c r="E855" s="713" t="s">
        <v>674</v>
      </c>
      <c r="F855" s="723" t="s">
        <v>681</v>
      </c>
      <c r="G855" s="713" t="s">
        <v>58</v>
      </c>
      <c r="H855" s="723" t="s">
        <v>742</v>
      </c>
      <c r="I855" s="713" t="s">
        <v>5</v>
      </c>
      <c r="J855" s="713" t="s">
        <v>376</v>
      </c>
      <c r="K855" s="766">
        <v>12</v>
      </c>
      <c r="L855" s="766" t="s">
        <v>671</v>
      </c>
      <c r="M855" s="765" t="s">
        <v>741</v>
      </c>
      <c r="N855" s="765">
        <v>12</v>
      </c>
      <c r="O855" s="765">
        <v>3</v>
      </c>
      <c r="P855" s="735">
        <v>0</v>
      </c>
      <c r="Q855" s="713" t="s">
        <v>58</v>
      </c>
      <c r="R855" s="713" t="s">
        <v>58</v>
      </c>
      <c r="S855" s="713" t="s">
        <v>58</v>
      </c>
      <c r="T855" s="713" t="s">
        <v>58</v>
      </c>
      <c r="U855" s="764">
        <v>0.72</v>
      </c>
      <c r="V855" s="764">
        <v>2342.16</v>
      </c>
      <c r="W855" s="764">
        <v>0.56470357386390135</v>
      </c>
      <c r="X855" s="764">
        <v>1935.0386914589963</v>
      </c>
      <c r="Y855" s="764">
        <v>5805.1160743769888</v>
      </c>
      <c r="Z855" s="764">
        <v>5479.2767287921397</v>
      </c>
      <c r="AA855" s="764">
        <v>1826.4255762640466</v>
      </c>
      <c r="AB855" s="764">
        <v>0.53338706407559389</v>
      </c>
      <c r="AC855" s="714">
        <v>0.82617698682369967</v>
      </c>
      <c r="AD855" s="714">
        <v>0.7843105192554185</v>
      </c>
      <c r="AE855" s="713" t="s">
        <v>58</v>
      </c>
      <c r="AF855" s="713" t="s">
        <v>58</v>
      </c>
      <c r="AG855" s="713" t="s">
        <v>58</v>
      </c>
      <c r="AH855" s="714">
        <v>0.94387031345969796</v>
      </c>
      <c r="AI855" s="713" t="s">
        <v>58</v>
      </c>
      <c r="AJ855" s="713" t="s">
        <v>58</v>
      </c>
      <c r="AK855" s="713" t="s">
        <v>58</v>
      </c>
      <c r="AL855" s="714">
        <v>0.94454345387965444</v>
      </c>
      <c r="AM855" s="713" t="s">
        <v>58</v>
      </c>
      <c r="AN855" s="713" t="s">
        <v>58</v>
      </c>
      <c r="AO855" s="713" t="s">
        <v>58</v>
      </c>
      <c r="AP855" s="747">
        <v>93.5</v>
      </c>
      <c r="AQ855" s="747">
        <v>1122</v>
      </c>
      <c r="AR855" s="709"/>
      <c r="AS855" s="763">
        <v>0</v>
      </c>
      <c r="AT855" s="763">
        <v>0</v>
      </c>
      <c r="AU855" s="763">
        <v>0</v>
      </c>
      <c r="AV855" s="763">
        <v>0.53338706407559389</v>
      </c>
      <c r="AW855" s="763">
        <v>0.53338706407559389</v>
      </c>
      <c r="AX855" s="763">
        <v>0.53338706407559389</v>
      </c>
      <c r="AY855" s="763">
        <v>0</v>
      </c>
      <c r="AZ855" s="763">
        <v>0</v>
      </c>
      <c r="BA855" s="763">
        <v>0</v>
      </c>
      <c r="BB855" s="763">
        <v>0</v>
      </c>
      <c r="BC855" s="763">
        <v>0</v>
      </c>
      <c r="BD855" s="763">
        <v>0</v>
      </c>
      <c r="BE855" s="763">
        <v>0</v>
      </c>
      <c r="BF855" s="763">
        <v>0</v>
      </c>
      <c r="BG855" s="763">
        <v>0</v>
      </c>
      <c r="BH855" s="763">
        <v>0</v>
      </c>
      <c r="BI855" s="763">
        <v>0</v>
      </c>
      <c r="BJ855" s="763">
        <v>0</v>
      </c>
      <c r="BK855" s="763">
        <v>0</v>
      </c>
      <c r="BL855" s="763">
        <v>0</v>
      </c>
      <c r="BM855" s="763">
        <v>0</v>
      </c>
      <c r="BN855" s="763">
        <v>0</v>
      </c>
      <c r="BO855" s="763">
        <v>0</v>
      </c>
      <c r="BP855" s="763">
        <v>0</v>
      </c>
      <c r="BQ855" s="763">
        <v>0</v>
      </c>
      <c r="BR855" s="763">
        <v>0</v>
      </c>
      <c r="BS855" s="762">
        <v>0</v>
      </c>
      <c r="BT855" s="762">
        <v>0</v>
      </c>
      <c r="BU855" s="762">
        <v>0</v>
      </c>
      <c r="BV855" s="762">
        <v>1826.4255762640466</v>
      </c>
      <c r="BW855" s="762">
        <v>1826.4255762640466</v>
      </c>
      <c r="BX855" s="762">
        <v>1826.4255762640466</v>
      </c>
      <c r="BY855" s="762">
        <v>0</v>
      </c>
      <c r="BZ855" s="762">
        <v>0</v>
      </c>
      <c r="CA855" s="762">
        <v>0</v>
      </c>
      <c r="CB855" s="762">
        <v>0</v>
      </c>
      <c r="CC855" s="762">
        <v>0</v>
      </c>
      <c r="CD855" s="762">
        <v>0</v>
      </c>
      <c r="CE855" s="762">
        <v>0</v>
      </c>
      <c r="CF855" s="762">
        <v>0</v>
      </c>
      <c r="CG855" s="762">
        <v>0</v>
      </c>
      <c r="CH855" s="762">
        <v>0</v>
      </c>
      <c r="CI855" s="762">
        <v>0</v>
      </c>
      <c r="CJ855" s="762">
        <v>0</v>
      </c>
      <c r="CK855" s="762">
        <v>0</v>
      </c>
      <c r="CL855" s="762">
        <v>0</v>
      </c>
      <c r="CM855" s="762">
        <v>0</v>
      </c>
      <c r="CN855" s="762">
        <v>0</v>
      </c>
      <c r="CO855" s="762">
        <v>0</v>
      </c>
      <c r="CP855" s="762">
        <v>0</v>
      </c>
      <c r="CQ855" s="762">
        <v>0</v>
      </c>
      <c r="CR855" s="762">
        <v>0</v>
      </c>
    </row>
    <row r="856" spans="1:96" s="53" customFormat="1">
      <c r="A856" s="721" t="s">
        <v>3</v>
      </c>
      <c r="B856" s="723">
        <v>41815</v>
      </c>
      <c r="C856" s="721">
        <v>2014</v>
      </c>
      <c r="D856" s="713" t="s">
        <v>1</v>
      </c>
      <c r="E856" s="713" t="s">
        <v>674</v>
      </c>
      <c r="F856" s="723" t="s">
        <v>681</v>
      </c>
      <c r="G856" s="713" t="s">
        <v>58</v>
      </c>
      <c r="H856" s="723" t="s">
        <v>742</v>
      </c>
      <c r="I856" s="713" t="s">
        <v>5</v>
      </c>
      <c r="J856" s="713" t="s">
        <v>376</v>
      </c>
      <c r="K856" s="766">
        <v>3</v>
      </c>
      <c r="L856" s="766" t="s">
        <v>671</v>
      </c>
      <c r="M856" s="765" t="s">
        <v>741</v>
      </c>
      <c r="N856" s="765">
        <v>12</v>
      </c>
      <c r="O856" s="765">
        <v>3</v>
      </c>
      <c r="P856" s="735">
        <v>0</v>
      </c>
      <c r="Q856" s="713" t="s">
        <v>58</v>
      </c>
      <c r="R856" s="713" t="s">
        <v>58</v>
      </c>
      <c r="S856" s="713" t="s">
        <v>58</v>
      </c>
      <c r="T856" s="713" t="s">
        <v>58</v>
      </c>
      <c r="U856" s="764">
        <v>0.18</v>
      </c>
      <c r="V856" s="764">
        <v>585.54</v>
      </c>
      <c r="W856" s="764">
        <v>0.14117589346597534</v>
      </c>
      <c r="X856" s="764">
        <v>483.75967286474906</v>
      </c>
      <c r="Y856" s="764">
        <v>1451.2790185942472</v>
      </c>
      <c r="Z856" s="764">
        <v>1369.8191821980349</v>
      </c>
      <c r="AA856" s="764">
        <v>456.60639406601166</v>
      </c>
      <c r="AB856" s="764">
        <v>0.13334676601889847</v>
      </c>
      <c r="AC856" s="714">
        <v>0.82617698682369967</v>
      </c>
      <c r="AD856" s="714">
        <v>0.7843105192554185</v>
      </c>
      <c r="AE856" s="713" t="s">
        <v>58</v>
      </c>
      <c r="AF856" s="713" t="s">
        <v>58</v>
      </c>
      <c r="AG856" s="713" t="s">
        <v>58</v>
      </c>
      <c r="AH856" s="714">
        <v>0.94387031345969796</v>
      </c>
      <c r="AI856" s="713" t="s">
        <v>58</v>
      </c>
      <c r="AJ856" s="713" t="s">
        <v>58</v>
      </c>
      <c r="AK856" s="713" t="s">
        <v>58</v>
      </c>
      <c r="AL856" s="714">
        <v>0.94454345387965444</v>
      </c>
      <c r="AM856" s="713" t="s">
        <v>58</v>
      </c>
      <c r="AN856" s="713" t="s">
        <v>58</v>
      </c>
      <c r="AO856" s="713" t="s">
        <v>58</v>
      </c>
      <c r="AP856" s="747">
        <v>93.5</v>
      </c>
      <c r="AQ856" s="747">
        <v>280.5</v>
      </c>
      <c r="AR856" s="709"/>
      <c r="AS856" s="763">
        <v>0</v>
      </c>
      <c r="AT856" s="763">
        <v>0</v>
      </c>
      <c r="AU856" s="763">
        <v>0</v>
      </c>
      <c r="AV856" s="763">
        <v>0.13334676601889847</v>
      </c>
      <c r="AW856" s="763">
        <v>0.13334676601889847</v>
      </c>
      <c r="AX856" s="763">
        <v>0.13334676601889847</v>
      </c>
      <c r="AY856" s="763">
        <v>0</v>
      </c>
      <c r="AZ856" s="763">
        <v>0</v>
      </c>
      <c r="BA856" s="763">
        <v>0</v>
      </c>
      <c r="BB856" s="763">
        <v>0</v>
      </c>
      <c r="BC856" s="763">
        <v>0</v>
      </c>
      <c r="BD856" s="763">
        <v>0</v>
      </c>
      <c r="BE856" s="763">
        <v>0</v>
      </c>
      <c r="BF856" s="763">
        <v>0</v>
      </c>
      <c r="BG856" s="763">
        <v>0</v>
      </c>
      <c r="BH856" s="763">
        <v>0</v>
      </c>
      <c r="BI856" s="763">
        <v>0</v>
      </c>
      <c r="BJ856" s="763">
        <v>0</v>
      </c>
      <c r="BK856" s="763">
        <v>0</v>
      </c>
      <c r="BL856" s="763">
        <v>0</v>
      </c>
      <c r="BM856" s="763">
        <v>0</v>
      </c>
      <c r="BN856" s="763">
        <v>0</v>
      </c>
      <c r="BO856" s="763">
        <v>0</v>
      </c>
      <c r="BP856" s="763">
        <v>0</v>
      </c>
      <c r="BQ856" s="763">
        <v>0</v>
      </c>
      <c r="BR856" s="763">
        <v>0</v>
      </c>
      <c r="BS856" s="762">
        <v>0</v>
      </c>
      <c r="BT856" s="762">
        <v>0</v>
      </c>
      <c r="BU856" s="762">
        <v>0</v>
      </c>
      <c r="BV856" s="762">
        <v>456.60639406601166</v>
      </c>
      <c r="BW856" s="762">
        <v>456.60639406601166</v>
      </c>
      <c r="BX856" s="762">
        <v>456.60639406601166</v>
      </c>
      <c r="BY856" s="762">
        <v>0</v>
      </c>
      <c r="BZ856" s="762">
        <v>0</v>
      </c>
      <c r="CA856" s="762">
        <v>0</v>
      </c>
      <c r="CB856" s="762">
        <v>0</v>
      </c>
      <c r="CC856" s="762">
        <v>0</v>
      </c>
      <c r="CD856" s="762">
        <v>0</v>
      </c>
      <c r="CE856" s="762">
        <v>0</v>
      </c>
      <c r="CF856" s="762">
        <v>0</v>
      </c>
      <c r="CG856" s="762">
        <v>0</v>
      </c>
      <c r="CH856" s="762">
        <v>0</v>
      </c>
      <c r="CI856" s="762">
        <v>0</v>
      </c>
      <c r="CJ856" s="762">
        <v>0</v>
      </c>
      <c r="CK856" s="762">
        <v>0</v>
      </c>
      <c r="CL856" s="762">
        <v>0</v>
      </c>
      <c r="CM856" s="762">
        <v>0</v>
      </c>
      <c r="CN856" s="762">
        <v>0</v>
      </c>
      <c r="CO856" s="762">
        <v>0</v>
      </c>
      <c r="CP856" s="762">
        <v>0</v>
      </c>
      <c r="CQ856" s="762">
        <v>0</v>
      </c>
      <c r="CR856" s="762">
        <v>0</v>
      </c>
    </row>
    <row r="857" spans="1:96" s="53" customFormat="1">
      <c r="A857" s="721" t="s">
        <v>3</v>
      </c>
      <c r="B857" s="723">
        <v>41815</v>
      </c>
      <c r="C857" s="721">
        <v>2014</v>
      </c>
      <c r="D857" s="713" t="s">
        <v>1</v>
      </c>
      <c r="E857" s="713" t="s">
        <v>674</v>
      </c>
      <c r="F857" s="723" t="s">
        <v>681</v>
      </c>
      <c r="G857" s="713" t="s">
        <v>58</v>
      </c>
      <c r="H857" s="723" t="s">
        <v>678</v>
      </c>
      <c r="I857" s="713" t="s">
        <v>5</v>
      </c>
      <c r="J857" s="713" t="s">
        <v>376</v>
      </c>
      <c r="K857" s="766">
        <v>1</v>
      </c>
      <c r="L857" s="766" t="s">
        <v>671</v>
      </c>
      <c r="M857" s="765" t="s">
        <v>741</v>
      </c>
      <c r="N857" s="765">
        <v>3</v>
      </c>
      <c r="O857" s="765">
        <v>2</v>
      </c>
      <c r="P857" s="735">
        <v>0.6149863305954828</v>
      </c>
      <c r="Q857" s="713" t="s">
        <v>58</v>
      </c>
      <c r="R857" s="713" t="s">
        <v>58</v>
      </c>
      <c r="S857" s="713" t="s">
        <v>58</v>
      </c>
      <c r="T857" s="713" t="s">
        <v>58</v>
      </c>
      <c r="U857" s="764">
        <v>4.7E-2</v>
      </c>
      <c r="V857" s="764">
        <v>174.887</v>
      </c>
      <c r="W857" s="764">
        <v>3.6862594405004674E-2</v>
      </c>
      <c r="X857" s="764">
        <v>144.48761469463636</v>
      </c>
      <c r="Y857" s="764">
        <v>377.83313736682112</v>
      </c>
      <c r="Z857" s="764">
        <v>356.62548180188259</v>
      </c>
      <c r="AA857" s="764">
        <v>136.37757017287049</v>
      </c>
      <c r="AB857" s="764">
        <v>3.4818322238267939E-2</v>
      </c>
      <c r="AC857" s="714">
        <v>0.82617698682369967</v>
      </c>
      <c r="AD857" s="714">
        <v>0.7843105192554185</v>
      </c>
      <c r="AE857" s="713" t="s">
        <v>58</v>
      </c>
      <c r="AF857" s="713" t="s">
        <v>58</v>
      </c>
      <c r="AG857" s="713" t="s">
        <v>58</v>
      </c>
      <c r="AH857" s="714">
        <v>0.94387031345969796</v>
      </c>
      <c r="AI857" s="713" t="s">
        <v>58</v>
      </c>
      <c r="AJ857" s="713" t="s">
        <v>58</v>
      </c>
      <c r="AK857" s="713" t="s">
        <v>58</v>
      </c>
      <c r="AL857" s="714">
        <v>0.94454345387965444</v>
      </c>
      <c r="AM857" s="713" t="s">
        <v>58</v>
      </c>
      <c r="AN857" s="713" t="s">
        <v>58</v>
      </c>
      <c r="AO857" s="713" t="s">
        <v>58</v>
      </c>
      <c r="AP857" s="747">
        <v>8</v>
      </c>
      <c r="AQ857" s="747">
        <v>8</v>
      </c>
      <c r="AR857" s="709"/>
      <c r="AS857" s="763">
        <v>0</v>
      </c>
      <c r="AT857" s="763">
        <v>0</v>
      </c>
      <c r="AU857" s="763">
        <v>0</v>
      </c>
      <c r="AV857" s="763">
        <v>3.4818322238267939E-2</v>
      </c>
      <c r="AW857" s="763">
        <v>3.4818322238267939E-2</v>
      </c>
      <c r="AX857" s="763">
        <v>2.1412792230803498E-2</v>
      </c>
      <c r="AY857" s="763">
        <v>0</v>
      </c>
      <c r="AZ857" s="763">
        <v>0</v>
      </c>
      <c r="BA857" s="763">
        <v>0</v>
      </c>
      <c r="BB857" s="763">
        <v>0</v>
      </c>
      <c r="BC857" s="763">
        <v>0</v>
      </c>
      <c r="BD857" s="763">
        <v>0</v>
      </c>
      <c r="BE857" s="763">
        <v>0</v>
      </c>
      <c r="BF857" s="763">
        <v>0</v>
      </c>
      <c r="BG857" s="763">
        <v>0</v>
      </c>
      <c r="BH857" s="763">
        <v>0</v>
      </c>
      <c r="BI857" s="763">
        <v>0</v>
      </c>
      <c r="BJ857" s="763">
        <v>0</v>
      </c>
      <c r="BK857" s="763">
        <v>0</v>
      </c>
      <c r="BL857" s="763">
        <v>0</v>
      </c>
      <c r="BM857" s="763">
        <v>0</v>
      </c>
      <c r="BN857" s="763">
        <v>0</v>
      </c>
      <c r="BO857" s="763">
        <v>0</v>
      </c>
      <c r="BP857" s="763">
        <v>0</v>
      </c>
      <c r="BQ857" s="763">
        <v>0</v>
      </c>
      <c r="BR857" s="763">
        <v>0</v>
      </c>
      <c r="BS857" s="762">
        <v>0</v>
      </c>
      <c r="BT857" s="762">
        <v>0</v>
      </c>
      <c r="BU857" s="762">
        <v>0</v>
      </c>
      <c r="BV857" s="762">
        <v>136.37757017287049</v>
      </c>
      <c r="BW857" s="762">
        <v>136.37757017287049</v>
      </c>
      <c r="BX857" s="762">
        <v>83.870341456141588</v>
      </c>
      <c r="BY857" s="762">
        <v>0</v>
      </c>
      <c r="BZ857" s="762">
        <v>0</v>
      </c>
      <c r="CA857" s="762">
        <v>0</v>
      </c>
      <c r="CB857" s="762">
        <v>0</v>
      </c>
      <c r="CC857" s="762">
        <v>0</v>
      </c>
      <c r="CD857" s="762">
        <v>0</v>
      </c>
      <c r="CE857" s="762">
        <v>0</v>
      </c>
      <c r="CF857" s="762">
        <v>0</v>
      </c>
      <c r="CG857" s="762">
        <v>0</v>
      </c>
      <c r="CH857" s="762">
        <v>0</v>
      </c>
      <c r="CI857" s="762">
        <v>0</v>
      </c>
      <c r="CJ857" s="762">
        <v>0</v>
      </c>
      <c r="CK857" s="762">
        <v>0</v>
      </c>
      <c r="CL857" s="762">
        <v>0</v>
      </c>
      <c r="CM857" s="762">
        <v>0</v>
      </c>
      <c r="CN857" s="762">
        <v>0</v>
      </c>
      <c r="CO857" s="762">
        <v>0</v>
      </c>
      <c r="CP857" s="762">
        <v>0</v>
      </c>
      <c r="CQ857" s="762">
        <v>0</v>
      </c>
      <c r="CR857" s="762">
        <v>0</v>
      </c>
    </row>
    <row r="858" spans="1:96" s="53" customFormat="1">
      <c r="A858" s="721" t="s">
        <v>3</v>
      </c>
      <c r="B858" s="723">
        <v>41815</v>
      </c>
      <c r="C858" s="721">
        <v>2014</v>
      </c>
      <c r="D858" s="713" t="s">
        <v>1</v>
      </c>
      <c r="E858" s="713" t="s">
        <v>674</v>
      </c>
      <c r="F858" s="723" t="s">
        <v>681</v>
      </c>
      <c r="G858" s="713" t="s">
        <v>58</v>
      </c>
      <c r="H858" s="723" t="s">
        <v>677</v>
      </c>
      <c r="I858" s="713" t="s">
        <v>5</v>
      </c>
      <c r="J858" s="713" t="s">
        <v>376</v>
      </c>
      <c r="K858" s="766">
        <v>1</v>
      </c>
      <c r="L858" s="766" t="s">
        <v>671</v>
      </c>
      <c r="M858" s="765" t="s">
        <v>741</v>
      </c>
      <c r="N858" s="765">
        <v>0</v>
      </c>
      <c r="O858" s="765">
        <v>0</v>
      </c>
      <c r="P858" s="735">
        <v>0</v>
      </c>
      <c r="Q858" s="713" t="s">
        <v>58</v>
      </c>
      <c r="R858" s="713" t="s">
        <v>58</v>
      </c>
      <c r="S858" s="713" t="s">
        <v>58</v>
      </c>
      <c r="T858" s="713" t="s">
        <v>58</v>
      </c>
      <c r="U858" s="764">
        <v>0</v>
      </c>
      <c r="V858" s="764">
        <v>0</v>
      </c>
      <c r="W858" s="764">
        <v>0</v>
      </c>
      <c r="X858" s="764">
        <v>0</v>
      </c>
      <c r="Y858" s="764">
        <v>0</v>
      </c>
      <c r="Z858" s="764">
        <v>0</v>
      </c>
      <c r="AA858" s="764">
        <v>0</v>
      </c>
      <c r="AB858" s="764">
        <v>0</v>
      </c>
      <c r="AC858" s="714">
        <v>0.82617698682369967</v>
      </c>
      <c r="AD858" s="714">
        <v>0.7843105192554185</v>
      </c>
      <c r="AE858" s="713" t="s">
        <v>58</v>
      </c>
      <c r="AF858" s="713" t="s">
        <v>58</v>
      </c>
      <c r="AG858" s="713" t="s">
        <v>58</v>
      </c>
      <c r="AH858" s="714">
        <v>0.94387031345969796</v>
      </c>
      <c r="AI858" s="713" t="s">
        <v>58</v>
      </c>
      <c r="AJ858" s="713" t="s">
        <v>58</v>
      </c>
      <c r="AK858" s="713" t="s">
        <v>58</v>
      </c>
      <c r="AL858" s="714">
        <v>0.94454345387965444</v>
      </c>
      <c r="AM858" s="713" t="s">
        <v>58</v>
      </c>
      <c r="AN858" s="713" t="s">
        <v>58</v>
      </c>
      <c r="AO858" s="713" t="s">
        <v>58</v>
      </c>
      <c r="AP858" s="747">
        <v>51</v>
      </c>
      <c r="AQ858" s="747">
        <v>51</v>
      </c>
      <c r="AR858" s="709"/>
      <c r="AS858" s="763">
        <v>0</v>
      </c>
      <c r="AT858" s="763">
        <v>0</v>
      </c>
      <c r="AU858" s="763">
        <v>0</v>
      </c>
      <c r="AV858" s="763">
        <v>0</v>
      </c>
      <c r="AW858" s="763">
        <v>0</v>
      </c>
      <c r="AX858" s="763">
        <v>0</v>
      </c>
      <c r="AY858" s="763">
        <v>0</v>
      </c>
      <c r="AZ858" s="763">
        <v>0</v>
      </c>
      <c r="BA858" s="763">
        <v>0</v>
      </c>
      <c r="BB858" s="763">
        <v>0</v>
      </c>
      <c r="BC858" s="763">
        <v>0</v>
      </c>
      <c r="BD858" s="763">
        <v>0</v>
      </c>
      <c r="BE858" s="763">
        <v>0</v>
      </c>
      <c r="BF858" s="763">
        <v>0</v>
      </c>
      <c r="BG858" s="763">
        <v>0</v>
      </c>
      <c r="BH858" s="763">
        <v>0</v>
      </c>
      <c r="BI858" s="763">
        <v>0</v>
      </c>
      <c r="BJ858" s="763">
        <v>0</v>
      </c>
      <c r="BK858" s="763">
        <v>0</v>
      </c>
      <c r="BL858" s="763">
        <v>0</v>
      </c>
      <c r="BM858" s="763">
        <v>0</v>
      </c>
      <c r="BN858" s="763">
        <v>0</v>
      </c>
      <c r="BO858" s="763">
        <v>0</v>
      </c>
      <c r="BP858" s="763">
        <v>0</v>
      </c>
      <c r="BQ858" s="763">
        <v>0</v>
      </c>
      <c r="BR858" s="763">
        <v>0</v>
      </c>
      <c r="BS858" s="762">
        <v>0</v>
      </c>
      <c r="BT858" s="762">
        <v>0</v>
      </c>
      <c r="BU858" s="762">
        <v>0</v>
      </c>
      <c r="BV858" s="762">
        <v>0</v>
      </c>
      <c r="BW858" s="762">
        <v>0</v>
      </c>
      <c r="BX858" s="762">
        <v>0</v>
      </c>
      <c r="BY858" s="762">
        <v>0</v>
      </c>
      <c r="BZ858" s="762">
        <v>0</v>
      </c>
      <c r="CA858" s="762">
        <v>0</v>
      </c>
      <c r="CB858" s="762">
        <v>0</v>
      </c>
      <c r="CC858" s="762">
        <v>0</v>
      </c>
      <c r="CD858" s="762">
        <v>0</v>
      </c>
      <c r="CE858" s="762">
        <v>0</v>
      </c>
      <c r="CF858" s="762">
        <v>0</v>
      </c>
      <c r="CG858" s="762">
        <v>0</v>
      </c>
      <c r="CH858" s="762">
        <v>0</v>
      </c>
      <c r="CI858" s="762">
        <v>0</v>
      </c>
      <c r="CJ858" s="762">
        <v>0</v>
      </c>
      <c r="CK858" s="762">
        <v>0</v>
      </c>
      <c r="CL858" s="762">
        <v>0</v>
      </c>
      <c r="CM858" s="762">
        <v>0</v>
      </c>
      <c r="CN858" s="762">
        <v>0</v>
      </c>
      <c r="CO858" s="762">
        <v>0</v>
      </c>
      <c r="CP858" s="762">
        <v>0</v>
      </c>
      <c r="CQ858" s="762">
        <v>0</v>
      </c>
      <c r="CR858" s="762">
        <v>0</v>
      </c>
    </row>
    <row r="859" spans="1:96" s="53" customFormat="1">
      <c r="A859" s="721" t="s">
        <v>3</v>
      </c>
      <c r="B859" s="723">
        <v>41803</v>
      </c>
      <c r="C859" s="721">
        <v>2014</v>
      </c>
      <c r="D859" s="713" t="s">
        <v>1</v>
      </c>
      <c r="E859" s="713" t="s">
        <v>674</v>
      </c>
      <c r="F859" s="723" t="s">
        <v>689</v>
      </c>
      <c r="G859" s="713" t="s">
        <v>58</v>
      </c>
      <c r="H859" s="723" t="s">
        <v>677</v>
      </c>
      <c r="I859" s="713" t="s">
        <v>5</v>
      </c>
      <c r="J859" s="713" t="s">
        <v>376</v>
      </c>
      <c r="K859" s="766">
        <v>1</v>
      </c>
      <c r="L859" s="766" t="s">
        <v>671</v>
      </c>
      <c r="M859" s="765" t="s">
        <v>740</v>
      </c>
      <c r="N859" s="765">
        <v>0</v>
      </c>
      <c r="O859" s="765">
        <v>0</v>
      </c>
      <c r="P859" s="735">
        <v>0</v>
      </c>
      <c r="Q859" s="713" t="s">
        <v>58</v>
      </c>
      <c r="R859" s="713" t="s">
        <v>58</v>
      </c>
      <c r="S859" s="713" t="s">
        <v>58</v>
      </c>
      <c r="T859" s="713" t="s">
        <v>58</v>
      </c>
      <c r="U859" s="764">
        <v>0</v>
      </c>
      <c r="V859" s="764">
        <v>0</v>
      </c>
      <c r="W859" s="764">
        <v>0</v>
      </c>
      <c r="X859" s="764">
        <v>0</v>
      </c>
      <c r="Y859" s="764">
        <v>0</v>
      </c>
      <c r="Z859" s="764">
        <v>0</v>
      </c>
      <c r="AA859" s="764">
        <v>0</v>
      </c>
      <c r="AB859" s="764">
        <v>0</v>
      </c>
      <c r="AC859" s="714">
        <v>0.82617698682369967</v>
      </c>
      <c r="AD859" s="714">
        <v>0.7843105192554185</v>
      </c>
      <c r="AE859" s="713" t="s">
        <v>58</v>
      </c>
      <c r="AF859" s="713" t="s">
        <v>58</v>
      </c>
      <c r="AG859" s="713" t="s">
        <v>58</v>
      </c>
      <c r="AH859" s="714">
        <v>0.94387031345969796</v>
      </c>
      <c r="AI859" s="713" t="s">
        <v>58</v>
      </c>
      <c r="AJ859" s="713" t="s">
        <v>58</v>
      </c>
      <c r="AK859" s="713" t="s">
        <v>58</v>
      </c>
      <c r="AL859" s="714">
        <v>0.94454345387965444</v>
      </c>
      <c r="AM859" s="713" t="s">
        <v>58</v>
      </c>
      <c r="AN859" s="713" t="s">
        <v>58</v>
      </c>
      <c r="AO859" s="713" t="s">
        <v>58</v>
      </c>
      <c r="AP859" s="747">
        <v>51</v>
      </c>
      <c r="AQ859" s="747">
        <v>51</v>
      </c>
      <c r="AR859" s="709"/>
      <c r="AS859" s="763">
        <v>0</v>
      </c>
      <c r="AT859" s="763">
        <v>0</v>
      </c>
      <c r="AU859" s="763">
        <v>0</v>
      </c>
      <c r="AV859" s="763">
        <v>0</v>
      </c>
      <c r="AW859" s="763">
        <v>0</v>
      </c>
      <c r="AX859" s="763">
        <v>0</v>
      </c>
      <c r="AY859" s="763">
        <v>0</v>
      </c>
      <c r="AZ859" s="763">
        <v>0</v>
      </c>
      <c r="BA859" s="763">
        <v>0</v>
      </c>
      <c r="BB859" s="763">
        <v>0</v>
      </c>
      <c r="BC859" s="763">
        <v>0</v>
      </c>
      <c r="BD859" s="763">
        <v>0</v>
      </c>
      <c r="BE859" s="763">
        <v>0</v>
      </c>
      <c r="BF859" s="763">
        <v>0</v>
      </c>
      <c r="BG859" s="763">
        <v>0</v>
      </c>
      <c r="BH859" s="763">
        <v>0</v>
      </c>
      <c r="BI859" s="763">
        <v>0</v>
      </c>
      <c r="BJ859" s="763">
        <v>0</v>
      </c>
      <c r="BK859" s="763">
        <v>0</v>
      </c>
      <c r="BL859" s="763">
        <v>0</v>
      </c>
      <c r="BM859" s="763">
        <v>0</v>
      </c>
      <c r="BN859" s="763">
        <v>0</v>
      </c>
      <c r="BO859" s="763">
        <v>0</v>
      </c>
      <c r="BP859" s="763">
        <v>0</v>
      </c>
      <c r="BQ859" s="763">
        <v>0</v>
      </c>
      <c r="BR859" s="763">
        <v>0</v>
      </c>
      <c r="BS859" s="762">
        <v>0</v>
      </c>
      <c r="BT859" s="762">
        <v>0</v>
      </c>
      <c r="BU859" s="762">
        <v>0</v>
      </c>
      <c r="BV859" s="762">
        <v>0</v>
      </c>
      <c r="BW859" s="762">
        <v>0</v>
      </c>
      <c r="BX859" s="762">
        <v>0</v>
      </c>
      <c r="BY859" s="762">
        <v>0</v>
      </c>
      <c r="BZ859" s="762">
        <v>0</v>
      </c>
      <c r="CA859" s="762">
        <v>0</v>
      </c>
      <c r="CB859" s="762">
        <v>0</v>
      </c>
      <c r="CC859" s="762">
        <v>0</v>
      </c>
      <c r="CD859" s="762">
        <v>0</v>
      </c>
      <c r="CE859" s="762">
        <v>0</v>
      </c>
      <c r="CF859" s="762">
        <v>0</v>
      </c>
      <c r="CG859" s="762">
        <v>0</v>
      </c>
      <c r="CH859" s="762">
        <v>0</v>
      </c>
      <c r="CI859" s="762">
        <v>0</v>
      </c>
      <c r="CJ859" s="762">
        <v>0</v>
      </c>
      <c r="CK859" s="762">
        <v>0</v>
      </c>
      <c r="CL859" s="762">
        <v>0</v>
      </c>
      <c r="CM859" s="762">
        <v>0</v>
      </c>
      <c r="CN859" s="762">
        <v>0</v>
      </c>
      <c r="CO859" s="762">
        <v>0</v>
      </c>
      <c r="CP859" s="762">
        <v>0</v>
      </c>
      <c r="CQ859" s="762">
        <v>0</v>
      </c>
      <c r="CR859" s="762">
        <v>0</v>
      </c>
    </row>
    <row r="860" spans="1:96" s="53" customFormat="1">
      <c r="A860" s="721" t="s">
        <v>3</v>
      </c>
      <c r="B860" s="723">
        <v>41803</v>
      </c>
      <c r="C860" s="721">
        <v>2014</v>
      </c>
      <c r="D860" s="713" t="s">
        <v>1</v>
      </c>
      <c r="E860" s="713" t="s">
        <v>674</v>
      </c>
      <c r="F860" s="723" t="s">
        <v>689</v>
      </c>
      <c r="G860" s="713" t="s">
        <v>58</v>
      </c>
      <c r="H860" s="723" t="s">
        <v>675</v>
      </c>
      <c r="I860" s="713" t="s">
        <v>5</v>
      </c>
      <c r="J860" s="713" t="s">
        <v>376</v>
      </c>
      <c r="K860" s="766">
        <v>2</v>
      </c>
      <c r="L860" s="766" t="s">
        <v>671</v>
      </c>
      <c r="M860" s="765" t="s">
        <v>740</v>
      </c>
      <c r="N860" s="765">
        <v>12</v>
      </c>
      <c r="O860" s="765">
        <v>3</v>
      </c>
      <c r="P860" s="735">
        <v>0.36842105263157893</v>
      </c>
      <c r="Q860" s="713" t="s">
        <v>58</v>
      </c>
      <c r="R860" s="713" t="s">
        <v>58</v>
      </c>
      <c r="S860" s="713" t="s">
        <v>58</v>
      </c>
      <c r="T860" s="713" t="s">
        <v>58</v>
      </c>
      <c r="U860" s="764">
        <v>0.114</v>
      </c>
      <c r="V860" s="764">
        <v>370.84199999999998</v>
      </c>
      <c r="W860" s="764">
        <v>8.941139919511773E-2</v>
      </c>
      <c r="X860" s="764">
        <v>306.38112614767442</v>
      </c>
      <c r="Y860" s="764">
        <v>1935.0386914589963</v>
      </c>
      <c r="Z860" s="764">
        <v>1826.4255762640466</v>
      </c>
      <c r="AA860" s="764">
        <v>289.1840495751407</v>
      </c>
      <c r="AB860" s="764">
        <v>8.445295181196906E-2</v>
      </c>
      <c r="AC860" s="714">
        <v>0.82617698682369967</v>
      </c>
      <c r="AD860" s="714">
        <v>0.7843105192554185</v>
      </c>
      <c r="AE860" s="713" t="s">
        <v>58</v>
      </c>
      <c r="AF860" s="713" t="s">
        <v>58</v>
      </c>
      <c r="AG860" s="713" t="s">
        <v>58</v>
      </c>
      <c r="AH860" s="714">
        <v>0.94387031345969796</v>
      </c>
      <c r="AI860" s="713" t="s">
        <v>58</v>
      </c>
      <c r="AJ860" s="713" t="s">
        <v>58</v>
      </c>
      <c r="AK860" s="713" t="s">
        <v>58</v>
      </c>
      <c r="AL860" s="714">
        <v>0.94454345387965444</v>
      </c>
      <c r="AM860" s="713" t="s">
        <v>58</v>
      </c>
      <c r="AN860" s="713" t="s">
        <v>58</v>
      </c>
      <c r="AO860" s="713" t="s">
        <v>58</v>
      </c>
      <c r="AP860" s="747">
        <v>73</v>
      </c>
      <c r="AQ860" s="747">
        <v>146</v>
      </c>
      <c r="AR860" s="709"/>
      <c r="AS860" s="763">
        <v>0</v>
      </c>
      <c r="AT860" s="763">
        <v>0</v>
      </c>
      <c r="AU860" s="763">
        <v>0</v>
      </c>
      <c r="AV860" s="763">
        <v>8.445295181196906E-2</v>
      </c>
      <c r="AW860" s="763">
        <v>8.445295181196906E-2</v>
      </c>
      <c r="AX860" s="763">
        <v>8.445295181196906E-2</v>
      </c>
      <c r="AY860" s="763">
        <v>3.111424540440965E-2</v>
      </c>
      <c r="AZ860" s="763">
        <v>3.111424540440965E-2</v>
      </c>
      <c r="BA860" s="763">
        <v>3.111424540440965E-2</v>
      </c>
      <c r="BB860" s="763">
        <v>3.111424540440965E-2</v>
      </c>
      <c r="BC860" s="763">
        <v>3.111424540440965E-2</v>
      </c>
      <c r="BD860" s="763">
        <v>3.111424540440965E-2</v>
      </c>
      <c r="BE860" s="763">
        <v>3.111424540440965E-2</v>
      </c>
      <c r="BF860" s="763">
        <v>3.111424540440965E-2</v>
      </c>
      <c r="BG860" s="763">
        <v>3.111424540440965E-2</v>
      </c>
      <c r="BH860" s="763">
        <v>0</v>
      </c>
      <c r="BI860" s="763">
        <v>0</v>
      </c>
      <c r="BJ860" s="763">
        <v>0</v>
      </c>
      <c r="BK860" s="763">
        <v>0</v>
      </c>
      <c r="BL860" s="763">
        <v>0</v>
      </c>
      <c r="BM860" s="763">
        <v>0</v>
      </c>
      <c r="BN860" s="763">
        <v>0</v>
      </c>
      <c r="BO860" s="763">
        <v>0</v>
      </c>
      <c r="BP860" s="763">
        <v>0</v>
      </c>
      <c r="BQ860" s="763">
        <v>0</v>
      </c>
      <c r="BR860" s="763">
        <v>0</v>
      </c>
      <c r="BS860" s="762">
        <v>0</v>
      </c>
      <c r="BT860" s="762">
        <v>0</v>
      </c>
      <c r="BU860" s="762">
        <v>0</v>
      </c>
      <c r="BV860" s="762">
        <v>289.1840495751407</v>
      </c>
      <c r="BW860" s="762">
        <v>289.1840495751407</v>
      </c>
      <c r="BX860" s="762">
        <v>289.1840495751407</v>
      </c>
      <c r="BY860" s="762">
        <v>106.54149194873604</v>
      </c>
      <c r="BZ860" s="762">
        <v>106.54149194873604</v>
      </c>
      <c r="CA860" s="762">
        <v>106.54149194873604</v>
      </c>
      <c r="CB860" s="762">
        <v>106.54149194873604</v>
      </c>
      <c r="CC860" s="762">
        <v>106.54149194873604</v>
      </c>
      <c r="CD860" s="762">
        <v>106.54149194873604</v>
      </c>
      <c r="CE860" s="762">
        <v>106.54149194873604</v>
      </c>
      <c r="CF860" s="762">
        <v>106.54149194873604</v>
      </c>
      <c r="CG860" s="762">
        <v>106.54149194873604</v>
      </c>
      <c r="CH860" s="762">
        <v>0</v>
      </c>
      <c r="CI860" s="762">
        <v>0</v>
      </c>
      <c r="CJ860" s="762">
        <v>0</v>
      </c>
      <c r="CK860" s="762">
        <v>0</v>
      </c>
      <c r="CL860" s="762">
        <v>0</v>
      </c>
      <c r="CM860" s="762">
        <v>0</v>
      </c>
      <c r="CN860" s="762">
        <v>0</v>
      </c>
      <c r="CO860" s="762">
        <v>0</v>
      </c>
      <c r="CP860" s="762">
        <v>0</v>
      </c>
      <c r="CQ860" s="762">
        <v>0</v>
      </c>
      <c r="CR860" s="762">
        <v>0</v>
      </c>
    </row>
    <row r="861" spans="1:96" s="53" customFormat="1">
      <c r="A861" s="721" t="s">
        <v>3</v>
      </c>
      <c r="B861" s="723">
        <v>41803</v>
      </c>
      <c r="C861" s="721">
        <v>2014</v>
      </c>
      <c r="D861" s="713" t="s">
        <v>1</v>
      </c>
      <c r="E861" s="713" t="s">
        <v>674</v>
      </c>
      <c r="F861" s="723" t="s">
        <v>689</v>
      </c>
      <c r="G861" s="713" t="s">
        <v>58</v>
      </c>
      <c r="H861" s="723" t="s">
        <v>684</v>
      </c>
      <c r="I861" s="713" t="s">
        <v>5</v>
      </c>
      <c r="J861" s="713" t="s">
        <v>376</v>
      </c>
      <c r="K861" s="766">
        <v>11</v>
      </c>
      <c r="L861" s="766" t="s">
        <v>671</v>
      </c>
      <c r="M861" s="765" t="s">
        <v>740</v>
      </c>
      <c r="N861" s="765">
        <v>11</v>
      </c>
      <c r="O861" s="765">
        <v>2</v>
      </c>
      <c r="P861" s="735">
        <v>0.43976996379393668</v>
      </c>
      <c r="Q861" s="713" t="s">
        <v>58</v>
      </c>
      <c r="R861" s="713" t="s">
        <v>58</v>
      </c>
      <c r="S861" s="713" t="s">
        <v>58</v>
      </c>
      <c r="T861" s="713" t="s">
        <v>58</v>
      </c>
      <c r="U861" s="764">
        <v>0.748</v>
      </c>
      <c r="V861" s="764">
        <v>2783.308</v>
      </c>
      <c r="W861" s="764">
        <v>0.58666426840305319</v>
      </c>
      <c r="X861" s="764">
        <v>2299.5050168422977</v>
      </c>
      <c r="Y861" s="764">
        <v>13700.289175691012</v>
      </c>
      <c r="Z861" s="764">
        <v>12931.296238747982</v>
      </c>
      <c r="AA861" s="764">
        <v>2170.4345210490874</v>
      </c>
      <c r="AB861" s="764">
        <v>0.55412989434520044</v>
      </c>
      <c r="AC861" s="714">
        <v>0.82617698682369967</v>
      </c>
      <c r="AD861" s="714">
        <v>0.7843105192554185</v>
      </c>
      <c r="AE861" s="713" t="s">
        <v>58</v>
      </c>
      <c r="AF861" s="713" t="s">
        <v>58</v>
      </c>
      <c r="AG861" s="713" t="s">
        <v>58</v>
      </c>
      <c r="AH861" s="714">
        <v>0.94387031345969796</v>
      </c>
      <c r="AI861" s="713" t="s">
        <v>58</v>
      </c>
      <c r="AJ861" s="713" t="s">
        <v>58</v>
      </c>
      <c r="AK861" s="713" t="s">
        <v>58</v>
      </c>
      <c r="AL861" s="714">
        <v>0.94454345387965444</v>
      </c>
      <c r="AM861" s="713" t="s">
        <v>58</v>
      </c>
      <c r="AN861" s="713" t="s">
        <v>58</v>
      </c>
      <c r="AO861" s="713" t="s">
        <v>58</v>
      </c>
      <c r="AP861" s="747">
        <v>48</v>
      </c>
      <c r="AQ861" s="747">
        <v>528</v>
      </c>
      <c r="AR861" s="709"/>
      <c r="AS861" s="763">
        <v>0</v>
      </c>
      <c r="AT861" s="763">
        <v>0</v>
      </c>
      <c r="AU861" s="763">
        <v>0</v>
      </c>
      <c r="AV861" s="763">
        <v>0.55412989434520044</v>
      </c>
      <c r="AW861" s="763">
        <v>0.55412989434520044</v>
      </c>
      <c r="AX861" s="763">
        <v>0.24368968357332677</v>
      </c>
      <c r="AY861" s="763">
        <v>0.24368968357332677</v>
      </c>
      <c r="AZ861" s="763">
        <v>0.24368968357332677</v>
      </c>
      <c r="BA861" s="763">
        <v>0.24368968357332677</v>
      </c>
      <c r="BB861" s="763">
        <v>0.24368968357332677</v>
      </c>
      <c r="BC861" s="763">
        <v>0.24368968357332677</v>
      </c>
      <c r="BD861" s="763">
        <v>0.24368968357332677</v>
      </c>
      <c r="BE861" s="763">
        <v>0.24368968357332677</v>
      </c>
      <c r="BF861" s="763">
        <v>0.24368968357332677</v>
      </c>
      <c r="BG861" s="763">
        <v>0</v>
      </c>
      <c r="BH861" s="763">
        <v>0</v>
      </c>
      <c r="BI861" s="763">
        <v>0</v>
      </c>
      <c r="BJ861" s="763">
        <v>0</v>
      </c>
      <c r="BK861" s="763">
        <v>0</v>
      </c>
      <c r="BL861" s="763">
        <v>0</v>
      </c>
      <c r="BM861" s="763">
        <v>0</v>
      </c>
      <c r="BN861" s="763">
        <v>0</v>
      </c>
      <c r="BO861" s="763">
        <v>0</v>
      </c>
      <c r="BP861" s="763">
        <v>0</v>
      </c>
      <c r="BQ861" s="763">
        <v>0</v>
      </c>
      <c r="BR861" s="763">
        <v>0</v>
      </c>
      <c r="BS861" s="762">
        <v>0</v>
      </c>
      <c r="BT861" s="762">
        <v>0</v>
      </c>
      <c r="BU861" s="762">
        <v>0</v>
      </c>
      <c r="BV861" s="762">
        <v>2170.4345210490874</v>
      </c>
      <c r="BW861" s="762">
        <v>2170.4345210490874</v>
      </c>
      <c r="BX861" s="762">
        <v>954.49191073886743</v>
      </c>
      <c r="BY861" s="762">
        <v>954.49191073886743</v>
      </c>
      <c r="BZ861" s="762">
        <v>954.49191073886743</v>
      </c>
      <c r="CA861" s="762">
        <v>954.49191073886743</v>
      </c>
      <c r="CB861" s="762">
        <v>954.49191073886743</v>
      </c>
      <c r="CC861" s="762">
        <v>954.49191073886743</v>
      </c>
      <c r="CD861" s="762">
        <v>954.49191073886743</v>
      </c>
      <c r="CE861" s="762">
        <v>954.49191073886743</v>
      </c>
      <c r="CF861" s="762">
        <v>954.49191073886743</v>
      </c>
      <c r="CG861" s="762">
        <v>0</v>
      </c>
      <c r="CH861" s="762">
        <v>0</v>
      </c>
      <c r="CI861" s="762">
        <v>0</v>
      </c>
      <c r="CJ861" s="762">
        <v>0</v>
      </c>
      <c r="CK861" s="762">
        <v>0</v>
      </c>
      <c r="CL861" s="762">
        <v>0</v>
      </c>
      <c r="CM861" s="762">
        <v>0</v>
      </c>
      <c r="CN861" s="762">
        <v>0</v>
      </c>
      <c r="CO861" s="762">
        <v>0</v>
      </c>
      <c r="CP861" s="762">
        <v>0</v>
      </c>
      <c r="CQ861" s="762">
        <v>0</v>
      </c>
      <c r="CR861" s="762">
        <v>0</v>
      </c>
    </row>
    <row r="862" spans="1:96" s="53" customFormat="1">
      <c r="A862" s="721" t="s">
        <v>3</v>
      </c>
      <c r="B862" s="723">
        <v>41779</v>
      </c>
      <c r="C862" s="721">
        <v>2014</v>
      </c>
      <c r="D862" s="713" t="s">
        <v>1</v>
      </c>
      <c r="E862" s="713" t="s">
        <v>674</v>
      </c>
      <c r="F862" s="723" t="s">
        <v>685</v>
      </c>
      <c r="G862" s="713" t="s">
        <v>58</v>
      </c>
      <c r="H862" s="723" t="s">
        <v>704</v>
      </c>
      <c r="I862" s="713" t="s">
        <v>5</v>
      </c>
      <c r="J862" s="713" t="s">
        <v>376</v>
      </c>
      <c r="K862" s="766">
        <v>2</v>
      </c>
      <c r="L862" s="766" t="s">
        <v>671</v>
      </c>
      <c r="M862" s="765" t="s">
        <v>717</v>
      </c>
      <c r="N862" s="765">
        <v>12</v>
      </c>
      <c r="O862" s="765">
        <v>3</v>
      </c>
      <c r="P862" s="735">
        <v>4.5454545454545456E-2</v>
      </c>
      <c r="Q862" s="713" t="s">
        <v>58</v>
      </c>
      <c r="R862" s="713" t="s">
        <v>58</v>
      </c>
      <c r="S862" s="713" t="s">
        <v>58</v>
      </c>
      <c r="T862" s="713" t="s">
        <v>58</v>
      </c>
      <c r="U862" s="764">
        <v>4.3999999999999997E-2</v>
      </c>
      <c r="V862" s="764">
        <v>212.3</v>
      </c>
      <c r="W862" s="764">
        <v>3.4509662847238415E-2</v>
      </c>
      <c r="X862" s="764">
        <v>175.39737430267144</v>
      </c>
      <c r="Y862" s="764">
        <v>597.94559421365261</v>
      </c>
      <c r="Z862" s="764">
        <v>564.38309544228571</v>
      </c>
      <c r="AA862" s="764">
        <v>165.55237466307045</v>
      </c>
      <c r="AB862" s="764">
        <v>3.2595876137952964E-2</v>
      </c>
      <c r="AC862" s="714">
        <v>0.82617698682369967</v>
      </c>
      <c r="AD862" s="714">
        <v>0.7843105192554185</v>
      </c>
      <c r="AE862" s="713" t="s">
        <v>58</v>
      </c>
      <c r="AF862" s="713" t="s">
        <v>58</v>
      </c>
      <c r="AG862" s="713" t="s">
        <v>58</v>
      </c>
      <c r="AH862" s="714">
        <v>0.94387031345969796</v>
      </c>
      <c r="AI862" s="713" t="s">
        <v>58</v>
      </c>
      <c r="AJ862" s="713" t="s">
        <v>58</v>
      </c>
      <c r="AK862" s="713" t="s">
        <v>58</v>
      </c>
      <c r="AL862" s="714">
        <v>0.94454345387965444</v>
      </c>
      <c r="AM862" s="713" t="s">
        <v>58</v>
      </c>
      <c r="AN862" s="713" t="s">
        <v>58</v>
      </c>
      <c r="AO862" s="713" t="s">
        <v>58</v>
      </c>
      <c r="AP862" s="747">
        <v>75</v>
      </c>
      <c r="AQ862" s="747">
        <v>150</v>
      </c>
      <c r="AR862" s="709"/>
      <c r="AS862" s="763">
        <v>0</v>
      </c>
      <c r="AT862" s="763">
        <v>0</v>
      </c>
      <c r="AU862" s="763">
        <v>0</v>
      </c>
      <c r="AV862" s="763">
        <v>3.2595876137952964E-2</v>
      </c>
      <c r="AW862" s="763">
        <v>3.2595876137952964E-2</v>
      </c>
      <c r="AX862" s="763">
        <v>3.2595876137952964E-2</v>
      </c>
      <c r="AY862" s="763">
        <v>1.4816307335433166E-3</v>
      </c>
      <c r="AZ862" s="763">
        <v>1.4816307335433166E-3</v>
      </c>
      <c r="BA862" s="763">
        <v>1.4816307335433166E-3</v>
      </c>
      <c r="BB862" s="763">
        <v>1.4816307335433166E-3</v>
      </c>
      <c r="BC862" s="763">
        <v>1.4816307335433166E-3</v>
      </c>
      <c r="BD862" s="763">
        <v>1.4816307335433166E-3</v>
      </c>
      <c r="BE862" s="763">
        <v>1.4816307335433166E-3</v>
      </c>
      <c r="BF862" s="763">
        <v>1.4816307335433166E-3</v>
      </c>
      <c r="BG862" s="763">
        <v>1.4816307335433166E-3</v>
      </c>
      <c r="BH862" s="763">
        <v>0</v>
      </c>
      <c r="BI862" s="763">
        <v>0</v>
      </c>
      <c r="BJ862" s="763">
        <v>0</v>
      </c>
      <c r="BK862" s="763">
        <v>0</v>
      </c>
      <c r="BL862" s="763">
        <v>0</v>
      </c>
      <c r="BM862" s="763">
        <v>0</v>
      </c>
      <c r="BN862" s="763">
        <v>0</v>
      </c>
      <c r="BO862" s="763">
        <v>0</v>
      </c>
      <c r="BP862" s="763">
        <v>0</v>
      </c>
      <c r="BQ862" s="763">
        <v>0</v>
      </c>
      <c r="BR862" s="763">
        <v>0</v>
      </c>
      <c r="BS862" s="762">
        <v>0</v>
      </c>
      <c r="BT862" s="762">
        <v>0</v>
      </c>
      <c r="BU862" s="762">
        <v>0</v>
      </c>
      <c r="BV862" s="762">
        <v>165.55237466307045</v>
      </c>
      <c r="BW862" s="762">
        <v>165.55237466307045</v>
      </c>
      <c r="BX862" s="762">
        <v>165.55237466307045</v>
      </c>
      <c r="BY862" s="762">
        <v>7.5251079392304749</v>
      </c>
      <c r="BZ862" s="762">
        <v>7.5251079392304749</v>
      </c>
      <c r="CA862" s="762">
        <v>7.5251079392304749</v>
      </c>
      <c r="CB862" s="762">
        <v>7.5251079392304749</v>
      </c>
      <c r="CC862" s="762">
        <v>7.5251079392304749</v>
      </c>
      <c r="CD862" s="762">
        <v>7.5251079392304749</v>
      </c>
      <c r="CE862" s="762">
        <v>7.5251079392304749</v>
      </c>
      <c r="CF862" s="762">
        <v>7.5251079392304749</v>
      </c>
      <c r="CG862" s="762">
        <v>7.5251079392304749</v>
      </c>
      <c r="CH862" s="762">
        <v>0</v>
      </c>
      <c r="CI862" s="762">
        <v>0</v>
      </c>
      <c r="CJ862" s="762">
        <v>0</v>
      </c>
      <c r="CK862" s="762">
        <v>0</v>
      </c>
      <c r="CL862" s="762">
        <v>0</v>
      </c>
      <c r="CM862" s="762">
        <v>0</v>
      </c>
      <c r="CN862" s="762">
        <v>0</v>
      </c>
      <c r="CO862" s="762">
        <v>0</v>
      </c>
      <c r="CP862" s="762">
        <v>0</v>
      </c>
      <c r="CQ862" s="762">
        <v>0</v>
      </c>
      <c r="CR862" s="762">
        <v>0</v>
      </c>
    </row>
    <row r="863" spans="1:96" s="53" customFormat="1">
      <c r="A863" s="721" t="s">
        <v>3</v>
      </c>
      <c r="B863" s="723">
        <v>41779</v>
      </c>
      <c r="C863" s="721">
        <v>2014</v>
      </c>
      <c r="D863" s="713" t="s">
        <v>1</v>
      </c>
      <c r="E863" s="713" t="s">
        <v>674</v>
      </c>
      <c r="F863" s="723" t="s">
        <v>685</v>
      </c>
      <c r="G863" s="713" t="s">
        <v>58</v>
      </c>
      <c r="H863" s="723" t="s">
        <v>739</v>
      </c>
      <c r="I863" s="713" t="s">
        <v>5</v>
      </c>
      <c r="J863" s="713" t="s">
        <v>376</v>
      </c>
      <c r="K863" s="766">
        <v>10</v>
      </c>
      <c r="L863" s="766" t="s">
        <v>671</v>
      </c>
      <c r="M863" s="765" t="s">
        <v>717</v>
      </c>
      <c r="N863" s="765">
        <v>3</v>
      </c>
      <c r="O863" s="765">
        <v>2</v>
      </c>
      <c r="P863" s="735">
        <v>0.81435080064364196</v>
      </c>
      <c r="Q863" s="713" t="s">
        <v>58</v>
      </c>
      <c r="R863" s="713" t="s">
        <v>58</v>
      </c>
      <c r="S863" s="713" t="s">
        <v>58</v>
      </c>
      <c r="T863" s="713" t="s">
        <v>58</v>
      </c>
      <c r="U863" s="764">
        <v>0.28999999999999998</v>
      </c>
      <c r="V863" s="764">
        <v>1399.25</v>
      </c>
      <c r="W863" s="764">
        <v>0.22745005058407139</v>
      </c>
      <c r="X863" s="764">
        <v>1156.0281488130618</v>
      </c>
      <c r="Y863" s="764">
        <v>3253.4687461786275</v>
      </c>
      <c r="Z863" s="764">
        <v>3070.8525652869516</v>
      </c>
      <c r="AA863" s="764">
        <v>1091.140651188419</v>
      </c>
      <c r="AB863" s="764">
        <v>0.2148364563637809</v>
      </c>
      <c r="AC863" s="714">
        <v>0.82617698682369967</v>
      </c>
      <c r="AD863" s="714">
        <v>0.7843105192554185</v>
      </c>
      <c r="AE863" s="713" t="s">
        <v>58</v>
      </c>
      <c r="AF863" s="713" t="s">
        <v>58</v>
      </c>
      <c r="AG863" s="713" t="s">
        <v>58</v>
      </c>
      <c r="AH863" s="714">
        <v>0.94387031345969796</v>
      </c>
      <c r="AI863" s="713" t="s">
        <v>58</v>
      </c>
      <c r="AJ863" s="713" t="s">
        <v>58</v>
      </c>
      <c r="AK863" s="713" t="s">
        <v>58</v>
      </c>
      <c r="AL863" s="714">
        <v>0.94454345387965444</v>
      </c>
      <c r="AM863" s="713" t="s">
        <v>58</v>
      </c>
      <c r="AN863" s="713" t="s">
        <v>58</v>
      </c>
      <c r="AO863" s="713" t="s">
        <v>58</v>
      </c>
      <c r="AP863" s="747">
        <v>13</v>
      </c>
      <c r="AQ863" s="747">
        <v>130</v>
      </c>
      <c r="AR863" s="709"/>
      <c r="AS863" s="763">
        <v>0</v>
      </c>
      <c r="AT863" s="763">
        <v>0</v>
      </c>
      <c r="AU863" s="763">
        <v>0</v>
      </c>
      <c r="AV863" s="763">
        <v>0.2148364563637809</v>
      </c>
      <c r="AW863" s="763">
        <v>0.2148364563637809</v>
      </c>
      <c r="AX863" s="763">
        <v>0.17495224024728784</v>
      </c>
      <c r="AY863" s="763">
        <v>0</v>
      </c>
      <c r="AZ863" s="763">
        <v>0</v>
      </c>
      <c r="BA863" s="763">
        <v>0</v>
      </c>
      <c r="BB863" s="763">
        <v>0</v>
      </c>
      <c r="BC863" s="763">
        <v>0</v>
      </c>
      <c r="BD863" s="763">
        <v>0</v>
      </c>
      <c r="BE863" s="763">
        <v>0</v>
      </c>
      <c r="BF863" s="763">
        <v>0</v>
      </c>
      <c r="BG863" s="763">
        <v>0</v>
      </c>
      <c r="BH863" s="763">
        <v>0</v>
      </c>
      <c r="BI863" s="763">
        <v>0</v>
      </c>
      <c r="BJ863" s="763">
        <v>0</v>
      </c>
      <c r="BK863" s="763">
        <v>0</v>
      </c>
      <c r="BL863" s="763">
        <v>0</v>
      </c>
      <c r="BM863" s="763">
        <v>0</v>
      </c>
      <c r="BN863" s="763">
        <v>0</v>
      </c>
      <c r="BO863" s="763">
        <v>0</v>
      </c>
      <c r="BP863" s="763">
        <v>0</v>
      </c>
      <c r="BQ863" s="763">
        <v>0</v>
      </c>
      <c r="BR863" s="763">
        <v>0</v>
      </c>
      <c r="BS863" s="762">
        <v>0</v>
      </c>
      <c r="BT863" s="762">
        <v>0</v>
      </c>
      <c r="BU863" s="762">
        <v>0</v>
      </c>
      <c r="BV863" s="762">
        <v>1091.140651188419</v>
      </c>
      <c r="BW863" s="762">
        <v>1091.140651188419</v>
      </c>
      <c r="BX863" s="762">
        <v>888.57126291011389</v>
      </c>
      <c r="BY863" s="762">
        <v>0</v>
      </c>
      <c r="BZ863" s="762">
        <v>0</v>
      </c>
      <c r="CA863" s="762">
        <v>0</v>
      </c>
      <c r="CB863" s="762">
        <v>0</v>
      </c>
      <c r="CC863" s="762">
        <v>0</v>
      </c>
      <c r="CD863" s="762">
        <v>0</v>
      </c>
      <c r="CE863" s="762">
        <v>0</v>
      </c>
      <c r="CF863" s="762">
        <v>0</v>
      </c>
      <c r="CG863" s="762">
        <v>0</v>
      </c>
      <c r="CH863" s="762">
        <v>0</v>
      </c>
      <c r="CI863" s="762">
        <v>0</v>
      </c>
      <c r="CJ863" s="762">
        <v>0</v>
      </c>
      <c r="CK863" s="762">
        <v>0</v>
      </c>
      <c r="CL863" s="762">
        <v>0</v>
      </c>
      <c r="CM863" s="762">
        <v>0</v>
      </c>
      <c r="CN863" s="762">
        <v>0</v>
      </c>
      <c r="CO863" s="762">
        <v>0</v>
      </c>
      <c r="CP863" s="762">
        <v>0</v>
      </c>
      <c r="CQ863" s="762">
        <v>0</v>
      </c>
      <c r="CR863" s="762">
        <v>0</v>
      </c>
    </row>
    <row r="864" spans="1:96" s="53" customFormat="1">
      <c r="A864" s="721" t="s">
        <v>3</v>
      </c>
      <c r="B864" s="723">
        <v>41779</v>
      </c>
      <c r="C864" s="721">
        <v>2014</v>
      </c>
      <c r="D864" s="713" t="s">
        <v>1</v>
      </c>
      <c r="E864" s="713" t="s">
        <v>674</v>
      </c>
      <c r="F864" s="723" t="s">
        <v>685</v>
      </c>
      <c r="G864" s="713" t="s">
        <v>58</v>
      </c>
      <c r="H864" s="723" t="s">
        <v>678</v>
      </c>
      <c r="I864" s="713" t="s">
        <v>5</v>
      </c>
      <c r="J864" s="713" t="s">
        <v>376</v>
      </c>
      <c r="K864" s="766">
        <v>2</v>
      </c>
      <c r="L864" s="766" t="s">
        <v>671</v>
      </c>
      <c r="M864" s="765" t="s">
        <v>717</v>
      </c>
      <c r="N864" s="765">
        <v>3</v>
      </c>
      <c r="O864" s="765">
        <v>2</v>
      </c>
      <c r="P864" s="735">
        <v>0.6149863305954828</v>
      </c>
      <c r="Q864" s="713" t="s">
        <v>58</v>
      </c>
      <c r="R864" s="713" t="s">
        <v>58</v>
      </c>
      <c r="S864" s="713" t="s">
        <v>58</v>
      </c>
      <c r="T864" s="713" t="s">
        <v>58</v>
      </c>
      <c r="U864" s="764">
        <v>9.4E-2</v>
      </c>
      <c r="V864" s="764">
        <v>453.55</v>
      </c>
      <c r="W864" s="764">
        <v>7.3725188810009348E-2</v>
      </c>
      <c r="X864" s="764">
        <v>374.71257237388897</v>
      </c>
      <c r="Y864" s="764">
        <v>979.86825465999027</v>
      </c>
      <c r="Z864" s="764">
        <v>924.86855667513214</v>
      </c>
      <c r="AA864" s="764">
        <v>353.68007314383237</v>
      </c>
      <c r="AB864" s="764">
        <v>6.9636644476535878E-2</v>
      </c>
      <c r="AC864" s="714">
        <v>0.82617698682369967</v>
      </c>
      <c r="AD864" s="714">
        <v>0.7843105192554185</v>
      </c>
      <c r="AE864" s="713" t="s">
        <v>58</v>
      </c>
      <c r="AF864" s="713" t="s">
        <v>58</v>
      </c>
      <c r="AG864" s="713" t="s">
        <v>58</v>
      </c>
      <c r="AH864" s="714">
        <v>0.94387031345969796</v>
      </c>
      <c r="AI864" s="713" t="s">
        <v>58</v>
      </c>
      <c r="AJ864" s="713" t="s">
        <v>58</v>
      </c>
      <c r="AK864" s="713" t="s">
        <v>58</v>
      </c>
      <c r="AL864" s="714">
        <v>0.94454345387965444</v>
      </c>
      <c r="AM864" s="713" t="s">
        <v>58</v>
      </c>
      <c r="AN864" s="713" t="s">
        <v>58</v>
      </c>
      <c r="AO864" s="713" t="s">
        <v>58</v>
      </c>
      <c r="AP864" s="747">
        <v>8</v>
      </c>
      <c r="AQ864" s="747">
        <v>16</v>
      </c>
      <c r="AR864" s="709"/>
      <c r="AS864" s="763">
        <v>0</v>
      </c>
      <c r="AT864" s="763">
        <v>0</v>
      </c>
      <c r="AU864" s="763">
        <v>0</v>
      </c>
      <c r="AV864" s="763">
        <v>6.9636644476535878E-2</v>
      </c>
      <c r="AW864" s="763">
        <v>6.9636644476535878E-2</v>
      </c>
      <c r="AX864" s="763">
        <v>4.2825584461606996E-2</v>
      </c>
      <c r="AY864" s="763">
        <v>0</v>
      </c>
      <c r="AZ864" s="763">
        <v>0</v>
      </c>
      <c r="BA864" s="763">
        <v>0</v>
      </c>
      <c r="BB864" s="763">
        <v>0</v>
      </c>
      <c r="BC864" s="763">
        <v>0</v>
      </c>
      <c r="BD864" s="763">
        <v>0</v>
      </c>
      <c r="BE864" s="763">
        <v>0</v>
      </c>
      <c r="BF864" s="763">
        <v>0</v>
      </c>
      <c r="BG864" s="763">
        <v>0</v>
      </c>
      <c r="BH864" s="763">
        <v>0</v>
      </c>
      <c r="BI864" s="763">
        <v>0</v>
      </c>
      <c r="BJ864" s="763">
        <v>0</v>
      </c>
      <c r="BK864" s="763">
        <v>0</v>
      </c>
      <c r="BL864" s="763">
        <v>0</v>
      </c>
      <c r="BM864" s="763">
        <v>0</v>
      </c>
      <c r="BN864" s="763">
        <v>0</v>
      </c>
      <c r="BO864" s="763">
        <v>0</v>
      </c>
      <c r="BP864" s="763">
        <v>0</v>
      </c>
      <c r="BQ864" s="763">
        <v>0</v>
      </c>
      <c r="BR864" s="763">
        <v>0</v>
      </c>
      <c r="BS864" s="762">
        <v>0</v>
      </c>
      <c r="BT864" s="762">
        <v>0</v>
      </c>
      <c r="BU864" s="762">
        <v>0</v>
      </c>
      <c r="BV864" s="762">
        <v>353.68007314383237</v>
      </c>
      <c r="BW864" s="762">
        <v>353.68007314383237</v>
      </c>
      <c r="BX864" s="762">
        <v>217.50841038746742</v>
      </c>
      <c r="BY864" s="762">
        <v>0</v>
      </c>
      <c r="BZ864" s="762">
        <v>0</v>
      </c>
      <c r="CA864" s="762">
        <v>0</v>
      </c>
      <c r="CB864" s="762">
        <v>0</v>
      </c>
      <c r="CC864" s="762">
        <v>0</v>
      </c>
      <c r="CD864" s="762">
        <v>0</v>
      </c>
      <c r="CE864" s="762">
        <v>0</v>
      </c>
      <c r="CF864" s="762">
        <v>0</v>
      </c>
      <c r="CG864" s="762">
        <v>0</v>
      </c>
      <c r="CH864" s="762">
        <v>0</v>
      </c>
      <c r="CI864" s="762">
        <v>0</v>
      </c>
      <c r="CJ864" s="762">
        <v>0</v>
      </c>
      <c r="CK864" s="762">
        <v>0</v>
      </c>
      <c r="CL864" s="762">
        <v>0</v>
      </c>
      <c r="CM864" s="762">
        <v>0</v>
      </c>
      <c r="CN864" s="762">
        <v>0</v>
      </c>
      <c r="CO864" s="762">
        <v>0</v>
      </c>
      <c r="CP864" s="762">
        <v>0</v>
      </c>
      <c r="CQ864" s="762">
        <v>0</v>
      </c>
      <c r="CR864" s="762">
        <v>0</v>
      </c>
    </row>
    <row r="865" spans="1:96" s="53" customFormat="1">
      <c r="A865" s="721" t="s">
        <v>3</v>
      </c>
      <c r="B865" s="723">
        <v>41779</v>
      </c>
      <c r="C865" s="721">
        <v>2014</v>
      </c>
      <c r="D865" s="713" t="s">
        <v>1</v>
      </c>
      <c r="E865" s="713" t="s">
        <v>674</v>
      </c>
      <c r="F865" s="723" t="s">
        <v>685</v>
      </c>
      <c r="G865" s="713" t="s">
        <v>58</v>
      </c>
      <c r="H865" s="723" t="s">
        <v>678</v>
      </c>
      <c r="I865" s="713" t="s">
        <v>5</v>
      </c>
      <c r="J865" s="713" t="s">
        <v>376</v>
      </c>
      <c r="K865" s="766">
        <v>2</v>
      </c>
      <c r="L865" s="766" t="s">
        <v>671</v>
      </c>
      <c r="M865" s="765" t="s">
        <v>717</v>
      </c>
      <c r="N865" s="765">
        <v>3</v>
      </c>
      <c r="O865" s="765">
        <v>2</v>
      </c>
      <c r="P865" s="735">
        <v>0.6149863305954828</v>
      </c>
      <c r="Q865" s="713" t="s">
        <v>58</v>
      </c>
      <c r="R865" s="713" t="s">
        <v>58</v>
      </c>
      <c r="S865" s="713" t="s">
        <v>58</v>
      </c>
      <c r="T865" s="713" t="s">
        <v>58</v>
      </c>
      <c r="U865" s="764">
        <v>9.4E-2</v>
      </c>
      <c r="V865" s="764">
        <v>453.55</v>
      </c>
      <c r="W865" s="764">
        <v>7.3725188810009348E-2</v>
      </c>
      <c r="X865" s="764">
        <v>374.71257237388897</v>
      </c>
      <c r="Y865" s="764">
        <v>979.86825465999027</v>
      </c>
      <c r="Z865" s="764">
        <v>924.86855667513214</v>
      </c>
      <c r="AA865" s="764">
        <v>353.68007314383237</v>
      </c>
      <c r="AB865" s="764">
        <v>6.9636644476535878E-2</v>
      </c>
      <c r="AC865" s="714">
        <v>0.82617698682369967</v>
      </c>
      <c r="AD865" s="714">
        <v>0.7843105192554185</v>
      </c>
      <c r="AE865" s="713" t="s">
        <v>58</v>
      </c>
      <c r="AF865" s="713" t="s">
        <v>58</v>
      </c>
      <c r="AG865" s="713" t="s">
        <v>58</v>
      </c>
      <c r="AH865" s="714">
        <v>0.94387031345969796</v>
      </c>
      <c r="AI865" s="713" t="s">
        <v>58</v>
      </c>
      <c r="AJ865" s="713" t="s">
        <v>58</v>
      </c>
      <c r="AK865" s="713" t="s">
        <v>58</v>
      </c>
      <c r="AL865" s="714">
        <v>0.94454345387965444</v>
      </c>
      <c r="AM865" s="713" t="s">
        <v>58</v>
      </c>
      <c r="AN865" s="713" t="s">
        <v>58</v>
      </c>
      <c r="AO865" s="713" t="s">
        <v>58</v>
      </c>
      <c r="AP865" s="747">
        <v>8</v>
      </c>
      <c r="AQ865" s="747">
        <v>16</v>
      </c>
      <c r="AR865" s="709"/>
      <c r="AS865" s="763">
        <v>0</v>
      </c>
      <c r="AT865" s="763">
        <v>0</v>
      </c>
      <c r="AU865" s="763">
        <v>0</v>
      </c>
      <c r="AV865" s="763">
        <v>6.9636644476535878E-2</v>
      </c>
      <c r="AW865" s="763">
        <v>6.9636644476535878E-2</v>
      </c>
      <c r="AX865" s="763">
        <v>4.2825584461606996E-2</v>
      </c>
      <c r="AY865" s="763">
        <v>0</v>
      </c>
      <c r="AZ865" s="763">
        <v>0</v>
      </c>
      <c r="BA865" s="763">
        <v>0</v>
      </c>
      <c r="BB865" s="763">
        <v>0</v>
      </c>
      <c r="BC865" s="763">
        <v>0</v>
      </c>
      <c r="BD865" s="763">
        <v>0</v>
      </c>
      <c r="BE865" s="763">
        <v>0</v>
      </c>
      <c r="BF865" s="763">
        <v>0</v>
      </c>
      <c r="BG865" s="763">
        <v>0</v>
      </c>
      <c r="BH865" s="763">
        <v>0</v>
      </c>
      <c r="BI865" s="763">
        <v>0</v>
      </c>
      <c r="BJ865" s="763">
        <v>0</v>
      </c>
      <c r="BK865" s="763">
        <v>0</v>
      </c>
      <c r="BL865" s="763">
        <v>0</v>
      </c>
      <c r="BM865" s="763">
        <v>0</v>
      </c>
      <c r="BN865" s="763">
        <v>0</v>
      </c>
      <c r="BO865" s="763">
        <v>0</v>
      </c>
      <c r="BP865" s="763">
        <v>0</v>
      </c>
      <c r="BQ865" s="763">
        <v>0</v>
      </c>
      <c r="BR865" s="763">
        <v>0</v>
      </c>
      <c r="BS865" s="762">
        <v>0</v>
      </c>
      <c r="BT865" s="762">
        <v>0</v>
      </c>
      <c r="BU865" s="762">
        <v>0</v>
      </c>
      <c r="BV865" s="762">
        <v>353.68007314383237</v>
      </c>
      <c r="BW865" s="762">
        <v>353.68007314383237</v>
      </c>
      <c r="BX865" s="762">
        <v>217.50841038746742</v>
      </c>
      <c r="BY865" s="762">
        <v>0</v>
      </c>
      <c r="BZ865" s="762">
        <v>0</v>
      </c>
      <c r="CA865" s="762">
        <v>0</v>
      </c>
      <c r="CB865" s="762">
        <v>0</v>
      </c>
      <c r="CC865" s="762">
        <v>0</v>
      </c>
      <c r="CD865" s="762">
        <v>0</v>
      </c>
      <c r="CE865" s="762">
        <v>0</v>
      </c>
      <c r="CF865" s="762">
        <v>0</v>
      </c>
      <c r="CG865" s="762">
        <v>0</v>
      </c>
      <c r="CH865" s="762">
        <v>0</v>
      </c>
      <c r="CI865" s="762">
        <v>0</v>
      </c>
      <c r="CJ865" s="762">
        <v>0</v>
      </c>
      <c r="CK865" s="762">
        <v>0</v>
      </c>
      <c r="CL865" s="762">
        <v>0</v>
      </c>
      <c r="CM865" s="762">
        <v>0</v>
      </c>
      <c r="CN865" s="762">
        <v>0</v>
      </c>
      <c r="CO865" s="762">
        <v>0</v>
      </c>
      <c r="CP865" s="762">
        <v>0</v>
      </c>
      <c r="CQ865" s="762">
        <v>0</v>
      </c>
      <c r="CR865" s="762">
        <v>0</v>
      </c>
    </row>
    <row r="866" spans="1:96" s="53" customFormat="1">
      <c r="A866" s="721" t="s">
        <v>3</v>
      </c>
      <c r="B866" s="723">
        <v>41779</v>
      </c>
      <c r="C866" s="721">
        <v>2014</v>
      </c>
      <c r="D866" s="713" t="s">
        <v>1</v>
      </c>
      <c r="E866" s="713" t="s">
        <v>674</v>
      </c>
      <c r="F866" s="723" t="s">
        <v>685</v>
      </c>
      <c r="G866" s="713" t="s">
        <v>58</v>
      </c>
      <c r="H866" s="723" t="s">
        <v>703</v>
      </c>
      <c r="I866" s="713" t="s">
        <v>5</v>
      </c>
      <c r="J866" s="713" t="s">
        <v>376</v>
      </c>
      <c r="K866" s="766">
        <v>1</v>
      </c>
      <c r="L866" s="766" t="s">
        <v>671</v>
      </c>
      <c r="M866" s="765" t="s">
        <v>717</v>
      </c>
      <c r="N866" s="765">
        <v>3</v>
      </c>
      <c r="O866" s="765">
        <v>1</v>
      </c>
      <c r="P866" s="735">
        <v>0.60014709718448678</v>
      </c>
      <c r="Q866" s="713" t="s">
        <v>58</v>
      </c>
      <c r="R866" s="713" t="s">
        <v>58</v>
      </c>
      <c r="S866" s="713" t="s">
        <v>58</v>
      </c>
      <c r="T866" s="713" t="s">
        <v>58</v>
      </c>
      <c r="U866" s="764">
        <v>7.6999999999999999E-2</v>
      </c>
      <c r="V866" s="764">
        <v>371.52499999999998</v>
      </c>
      <c r="W866" s="764">
        <v>6.0391909982667233E-2</v>
      </c>
      <c r="X866" s="764">
        <v>306.94540502967504</v>
      </c>
      <c r="Y866" s="764">
        <v>675.37019267502706</v>
      </c>
      <c r="Z866" s="764">
        <v>637.46187546151441</v>
      </c>
      <c r="AA866" s="764">
        <v>289.71665566037336</v>
      </c>
      <c r="AB866" s="764">
        <v>5.7042783241417691E-2</v>
      </c>
      <c r="AC866" s="714">
        <v>0.82617698682369967</v>
      </c>
      <c r="AD866" s="714">
        <v>0.7843105192554185</v>
      </c>
      <c r="AE866" s="713" t="s">
        <v>58</v>
      </c>
      <c r="AF866" s="713" t="s">
        <v>58</v>
      </c>
      <c r="AG866" s="713" t="s">
        <v>58</v>
      </c>
      <c r="AH866" s="714">
        <v>0.94387031345969796</v>
      </c>
      <c r="AI866" s="713" t="s">
        <v>58</v>
      </c>
      <c r="AJ866" s="713" t="s">
        <v>58</v>
      </c>
      <c r="AK866" s="713" t="s">
        <v>58</v>
      </c>
      <c r="AL866" s="714">
        <v>0.94454345387965444</v>
      </c>
      <c r="AM866" s="713" t="s">
        <v>58</v>
      </c>
      <c r="AN866" s="713" t="s">
        <v>58</v>
      </c>
      <c r="AO866" s="713" t="s">
        <v>58</v>
      </c>
      <c r="AP866" s="747">
        <v>9.85</v>
      </c>
      <c r="AQ866" s="747">
        <v>9.85</v>
      </c>
      <c r="AR866" s="709"/>
      <c r="AS866" s="763">
        <v>0</v>
      </c>
      <c r="AT866" s="763">
        <v>0</v>
      </c>
      <c r="AU866" s="763">
        <v>0</v>
      </c>
      <c r="AV866" s="763">
        <v>5.7042783241417691E-2</v>
      </c>
      <c r="AW866" s="763">
        <v>3.4234060777660717E-2</v>
      </c>
      <c r="AX866" s="763">
        <v>3.4234060777660717E-2</v>
      </c>
      <c r="AY866" s="763">
        <v>0</v>
      </c>
      <c r="AZ866" s="763">
        <v>0</v>
      </c>
      <c r="BA866" s="763">
        <v>0</v>
      </c>
      <c r="BB866" s="763">
        <v>0</v>
      </c>
      <c r="BC866" s="763">
        <v>0</v>
      </c>
      <c r="BD866" s="763">
        <v>0</v>
      </c>
      <c r="BE866" s="763">
        <v>0</v>
      </c>
      <c r="BF866" s="763">
        <v>0</v>
      </c>
      <c r="BG866" s="763">
        <v>0</v>
      </c>
      <c r="BH866" s="763">
        <v>0</v>
      </c>
      <c r="BI866" s="763">
        <v>0</v>
      </c>
      <c r="BJ866" s="763">
        <v>0</v>
      </c>
      <c r="BK866" s="763">
        <v>0</v>
      </c>
      <c r="BL866" s="763">
        <v>0</v>
      </c>
      <c r="BM866" s="763">
        <v>0</v>
      </c>
      <c r="BN866" s="763">
        <v>0</v>
      </c>
      <c r="BO866" s="763">
        <v>0</v>
      </c>
      <c r="BP866" s="763">
        <v>0</v>
      </c>
      <c r="BQ866" s="763">
        <v>0</v>
      </c>
      <c r="BR866" s="763">
        <v>0</v>
      </c>
      <c r="BS866" s="762">
        <v>0</v>
      </c>
      <c r="BT866" s="762">
        <v>0</v>
      </c>
      <c r="BU866" s="762">
        <v>0</v>
      </c>
      <c r="BV866" s="762">
        <v>289.71665566037336</v>
      </c>
      <c r="BW866" s="762">
        <v>173.87260990057058</v>
      </c>
      <c r="BX866" s="762">
        <v>173.87260990057058</v>
      </c>
      <c r="BY866" s="762">
        <v>0</v>
      </c>
      <c r="BZ866" s="762">
        <v>0</v>
      </c>
      <c r="CA866" s="762">
        <v>0</v>
      </c>
      <c r="CB866" s="762">
        <v>0</v>
      </c>
      <c r="CC866" s="762">
        <v>0</v>
      </c>
      <c r="CD866" s="762">
        <v>0</v>
      </c>
      <c r="CE866" s="762">
        <v>0</v>
      </c>
      <c r="CF866" s="762">
        <v>0</v>
      </c>
      <c r="CG866" s="762">
        <v>0</v>
      </c>
      <c r="CH866" s="762">
        <v>0</v>
      </c>
      <c r="CI866" s="762">
        <v>0</v>
      </c>
      <c r="CJ866" s="762">
        <v>0</v>
      </c>
      <c r="CK866" s="762">
        <v>0</v>
      </c>
      <c r="CL866" s="762">
        <v>0</v>
      </c>
      <c r="CM866" s="762">
        <v>0</v>
      </c>
      <c r="CN866" s="762">
        <v>0</v>
      </c>
      <c r="CO866" s="762">
        <v>0</v>
      </c>
      <c r="CP866" s="762">
        <v>0</v>
      </c>
      <c r="CQ866" s="762">
        <v>0</v>
      </c>
      <c r="CR866" s="762">
        <v>0</v>
      </c>
    </row>
    <row r="867" spans="1:96" s="53" customFormat="1">
      <c r="A867" s="721" t="s">
        <v>3</v>
      </c>
      <c r="B867" s="723">
        <v>41779</v>
      </c>
      <c r="C867" s="721">
        <v>2014</v>
      </c>
      <c r="D867" s="713" t="s">
        <v>1</v>
      </c>
      <c r="E867" s="713" t="s">
        <v>674</v>
      </c>
      <c r="F867" s="723" t="s">
        <v>685</v>
      </c>
      <c r="G867" s="713" t="s">
        <v>58</v>
      </c>
      <c r="H867" s="723" t="s">
        <v>690</v>
      </c>
      <c r="I867" s="713" t="s">
        <v>5</v>
      </c>
      <c r="J867" s="713" t="s">
        <v>376</v>
      </c>
      <c r="K867" s="766">
        <v>3</v>
      </c>
      <c r="L867" s="766" t="s">
        <v>671</v>
      </c>
      <c r="M867" s="765" t="s">
        <v>717</v>
      </c>
      <c r="N867" s="765">
        <v>3</v>
      </c>
      <c r="O867" s="765" t="s">
        <v>7</v>
      </c>
      <c r="P867" s="735">
        <v>1</v>
      </c>
      <c r="Q867" s="713" t="s">
        <v>58</v>
      </c>
      <c r="R867" s="713" t="s">
        <v>58</v>
      </c>
      <c r="S867" s="713" t="s">
        <v>58</v>
      </c>
      <c r="T867" s="713" t="s">
        <v>58</v>
      </c>
      <c r="U867" s="764">
        <v>0.13500000000000001</v>
      </c>
      <c r="V867" s="764">
        <v>651.375</v>
      </c>
      <c r="W867" s="764">
        <v>0.10588192009948152</v>
      </c>
      <c r="X867" s="764">
        <v>538.15103479228731</v>
      </c>
      <c r="Y867" s="764">
        <v>1614.453104376862</v>
      </c>
      <c r="Z867" s="764">
        <v>1523.8343576941713</v>
      </c>
      <c r="AA867" s="764">
        <v>507.94478589805703</v>
      </c>
      <c r="AB867" s="764">
        <v>0.10001007451417389</v>
      </c>
      <c r="AC867" s="714">
        <v>0.82617698682369967</v>
      </c>
      <c r="AD867" s="714">
        <v>0.7843105192554185</v>
      </c>
      <c r="AE867" s="713" t="s">
        <v>58</v>
      </c>
      <c r="AF867" s="713" t="s">
        <v>58</v>
      </c>
      <c r="AG867" s="713" t="s">
        <v>58</v>
      </c>
      <c r="AH867" s="714">
        <v>0.94387031345969796</v>
      </c>
      <c r="AI867" s="713" t="s">
        <v>58</v>
      </c>
      <c r="AJ867" s="713" t="s">
        <v>58</v>
      </c>
      <c r="AK867" s="713" t="s">
        <v>58</v>
      </c>
      <c r="AL867" s="714">
        <v>0.94454345387965444</v>
      </c>
      <c r="AM867" s="713" t="s">
        <v>58</v>
      </c>
      <c r="AN867" s="713" t="s">
        <v>58</v>
      </c>
      <c r="AO867" s="713" t="s">
        <v>58</v>
      </c>
      <c r="AP867" s="747">
        <v>13</v>
      </c>
      <c r="AQ867" s="747">
        <v>39</v>
      </c>
      <c r="AR867" s="709"/>
      <c r="AS867" s="763">
        <v>0</v>
      </c>
      <c r="AT867" s="763">
        <v>0</v>
      </c>
      <c r="AU867" s="763">
        <v>0</v>
      </c>
      <c r="AV867" s="763">
        <v>0.10001007451417389</v>
      </c>
      <c r="AW867" s="763">
        <v>0.10001007451417389</v>
      </c>
      <c r="AX867" s="763">
        <v>0.10001007451417389</v>
      </c>
      <c r="AY867" s="763">
        <v>0</v>
      </c>
      <c r="AZ867" s="763">
        <v>0</v>
      </c>
      <c r="BA867" s="763">
        <v>0</v>
      </c>
      <c r="BB867" s="763">
        <v>0</v>
      </c>
      <c r="BC867" s="763">
        <v>0</v>
      </c>
      <c r="BD867" s="763">
        <v>0</v>
      </c>
      <c r="BE867" s="763">
        <v>0</v>
      </c>
      <c r="BF867" s="763">
        <v>0</v>
      </c>
      <c r="BG867" s="763">
        <v>0</v>
      </c>
      <c r="BH867" s="763">
        <v>0</v>
      </c>
      <c r="BI867" s="763">
        <v>0</v>
      </c>
      <c r="BJ867" s="763">
        <v>0</v>
      </c>
      <c r="BK867" s="763">
        <v>0</v>
      </c>
      <c r="BL867" s="763">
        <v>0</v>
      </c>
      <c r="BM867" s="763">
        <v>0</v>
      </c>
      <c r="BN867" s="763">
        <v>0</v>
      </c>
      <c r="BO867" s="763">
        <v>0</v>
      </c>
      <c r="BP867" s="763">
        <v>0</v>
      </c>
      <c r="BQ867" s="763">
        <v>0</v>
      </c>
      <c r="BR867" s="763">
        <v>0</v>
      </c>
      <c r="BS867" s="762">
        <v>0</v>
      </c>
      <c r="BT867" s="762">
        <v>0</v>
      </c>
      <c r="BU867" s="762">
        <v>0</v>
      </c>
      <c r="BV867" s="762">
        <v>507.94478589805703</v>
      </c>
      <c r="BW867" s="762">
        <v>507.94478589805703</v>
      </c>
      <c r="BX867" s="762">
        <v>507.94478589805703</v>
      </c>
      <c r="BY867" s="762">
        <v>0</v>
      </c>
      <c r="BZ867" s="762">
        <v>0</v>
      </c>
      <c r="CA867" s="762">
        <v>0</v>
      </c>
      <c r="CB867" s="762">
        <v>0</v>
      </c>
      <c r="CC867" s="762">
        <v>0</v>
      </c>
      <c r="CD867" s="762">
        <v>0</v>
      </c>
      <c r="CE867" s="762">
        <v>0</v>
      </c>
      <c r="CF867" s="762">
        <v>0</v>
      </c>
      <c r="CG867" s="762">
        <v>0</v>
      </c>
      <c r="CH867" s="762">
        <v>0</v>
      </c>
      <c r="CI867" s="762">
        <v>0</v>
      </c>
      <c r="CJ867" s="762">
        <v>0</v>
      </c>
      <c r="CK867" s="762">
        <v>0</v>
      </c>
      <c r="CL867" s="762">
        <v>0</v>
      </c>
      <c r="CM867" s="762">
        <v>0</v>
      </c>
      <c r="CN867" s="762">
        <v>0</v>
      </c>
      <c r="CO867" s="762">
        <v>0</v>
      </c>
      <c r="CP867" s="762">
        <v>0</v>
      </c>
      <c r="CQ867" s="762">
        <v>0</v>
      </c>
      <c r="CR867" s="762">
        <v>0</v>
      </c>
    </row>
    <row r="868" spans="1:96" s="53" customFormat="1">
      <c r="A868" s="721" t="s">
        <v>3</v>
      </c>
      <c r="B868" s="723">
        <v>41779</v>
      </c>
      <c r="C868" s="721">
        <v>2014</v>
      </c>
      <c r="D868" s="713" t="s">
        <v>1</v>
      </c>
      <c r="E868" s="713" t="s">
        <v>674</v>
      </c>
      <c r="F868" s="723" t="s">
        <v>685</v>
      </c>
      <c r="G868" s="713" t="s">
        <v>58</v>
      </c>
      <c r="H868" s="723" t="s">
        <v>690</v>
      </c>
      <c r="I868" s="713" t="s">
        <v>5</v>
      </c>
      <c r="J868" s="713" t="s">
        <v>376</v>
      </c>
      <c r="K868" s="766">
        <v>3</v>
      </c>
      <c r="L868" s="766" t="s">
        <v>671</v>
      </c>
      <c r="M868" s="765" t="s">
        <v>717</v>
      </c>
      <c r="N868" s="765">
        <v>3</v>
      </c>
      <c r="O868" s="765" t="s">
        <v>7</v>
      </c>
      <c r="P868" s="735">
        <v>1</v>
      </c>
      <c r="Q868" s="713" t="s">
        <v>58</v>
      </c>
      <c r="R868" s="713" t="s">
        <v>58</v>
      </c>
      <c r="S868" s="713" t="s">
        <v>58</v>
      </c>
      <c r="T868" s="713" t="s">
        <v>58</v>
      </c>
      <c r="U868" s="764">
        <v>0.13500000000000001</v>
      </c>
      <c r="V868" s="764">
        <v>651.375</v>
      </c>
      <c r="W868" s="764">
        <v>0.10588192009948152</v>
      </c>
      <c r="X868" s="764">
        <v>538.15103479228731</v>
      </c>
      <c r="Y868" s="764">
        <v>1614.453104376862</v>
      </c>
      <c r="Z868" s="764">
        <v>1523.8343576941713</v>
      </c>
      <c r="AA868" s="764">
        <v>507.94478589805703</v>
      </c>
      <c r="AB868" s="764">
        <v>0.10001007451417389</v>
      </c>
      <c r="AC868" s="714">
        <v>0.82617698682369967</v>
      </c>
      <c r="AD868" s="714">
        <v>0.7843105192554185</v>
      </c>
      <c r="AE868" s="713" t="s">
        <v>58</v>
      </c>
      <c r="AF868" s="713" t="s">
        <v>58</v>
      </c>
      <c r="AG868" s="713" t="s">
        <v>58</v>
      </c>
      <c r="AH868" s="714">
        <v>0.94387031345969796</v>
      </c>
      <c r="AI868" s="713" t="s">
        <v>58</v>
      </c>
      <c r="AJ868" s="713" t="s">
        <v>58</v>
      </c>
      <c r="AK868" s="713" t="s">
        <v>58</v>
      </c>
      <c r="AL868" s="714">
        <v>0.94454345387965444</v>
      </c>
      <c r="AM868" s="713" t="s">
        <v>58</v>
      </c>
      <c r="AN868" s="713" t="s">
        <v>58</v>
      </c>
      <c r="AO868" s="713" t="s">
        <v>58</v>
      </c>
      <c r="AP868" s="747">
        <v>13</v>
      </c>
      <c r="AQ868" s="747">
        <v>39</v>
      </c>
      <c r="AR868" s="709"/>
      <c r="AS868" s="763">
        <v>0</v>
      </c>
      <c r="AT868" s="763">
        <v>0</v>
      </c>
      <c r="AU868" s="763">
        <v>0</v>
      </c>
      <c r="AV868" s="763">
        <v>0.10001007451417389</v>
      </c>
      <c r="AW868" s="763">
        <v>0.10001007451417389</v>
      </c>
      <c r="AX868" s="763">
        <v>0.10001007451417389</v>
      </c>
      <c r="AY868" s="763">
        <v>0</v>
      </c>
      <c r="AZ868" s="763">
        <v>0</v>
      </c>
      <c r="BA868" s="763">
        <v>0</v>
      </c>
      <c r="BB868" s="763">
        <v>0</v>
      </c>
      <c r="BC868" s="763">
        <v>0</v>
      </c>
      <c r="BD868" s="763">
        <v>0</v>
      </c>
      <c r="BE868" s="763">
        <v>0</v>
      </c>
      <c r="BF868" s="763">
        <v>0</v>
      </c>
      <c r="BG868" s="763">
        <v>0</v>
      </c>
      <c r="BH868" s="763">
        <v>0</v>
      </c>
      <c r="BI868" s="763">
        <v>0</v>
      </c>
      <c r="BJ868" s="763">
        <v>0</v>
      </c>
      <c r="BK868" s="763">
        <v>0</v>
      </c>
      <c r="BL868" s="763">
        <v>0</v>
      </c>
      <c r="BM868" s="763">
        <v>0</v>
      </c>
      <c r="BN868" s="763">
        <v>0</v>
      </c>
      <c r="BO868" s="763">
        <v>0</v>
      </c>
      <c r="BP868" s="763">
        <v>0</v>
      </c>
      <c r="BQ868" s="763">
        <v>0</v>
      </c>
      <c r="BR868" s="763">
        <v>0</v>
      </c>
      <c r="BS868" s="762">
        <v>0</v>
      </c>
      <c r="BT868" s="762">
        <v>0</v>
      </c>
      <c r="BU868" s="762">
        <v>0</v>
      </c>
      <c r="BV868" s="762">
        <v>507.94478589805703</v>
      </c>
      <c r="BW868" s="762">
        <v>507.94478589805703</v>
      </c>
      <c r="BX868" s="762">
        <v>507.94478589805703</v>
      </c>
      <c r="BY868" s="762">
        <v>0</v>
      </c>
      <c r="BZ868" s="762">
        <v>0</v>
      </c>
      <c r="CA868" s="762">
        <v>0</v>
      </c>
      <c r="CB868" s="762">
        <v>0</v>
      </c>
      <c r="CC868" s="762">
        <v>0</v>
      </c>
      <c r="CD868" s="762">
        <v>0</v>
      </c>
      <c r="CE868" s="762">
        <v>0</v>
      </c>
      <c r="CF868" s="762">
        <v>0</v>
      </c>
      <c r="CG868" s="762">
        <v>0</v>
      </c>
      <c r="CH868" s="762">
        <v>0</v>
      </c>
      <c r="CI868" s="762">
        <v>0</v>
      </c>
      <c r="CJ868" s="762">
        <v>0</v>
      </c>
      <c r="CK868" s="762">
        <v>0</v>
      </c>
      <c r="CL868" s="762">
        <v>0</v>
      </c>
      <c r="CM868" s="762">
        <v>0</v>
      </c>
      <c r="CN868" s="762">
        <v>0</v>
      </c>
      <c r="CO868" s="762">
        <v>0</v>
      </c>
      <c r="CP868" s="762">
        <v>0</v>
      </c>
      <c r="CQ868" s="762">
        <v>0</v>
      </c>
      <c r="CR868" s="762">
        <v>0</v>
      </c>
    </row>
    <row r="869" spans="1:96" s="53" customFormat="1">
      <c r="A869" s="721" t="s">
        <v>3</v>
      </c>
      <c r="B869" s="723">
        <v>41779</v>
      </c>
      <c r="C869" s="721">
        <v>2014</v>
      </c>
      <c r="D869" s="713" t="s">
        <v>1</v>
      </c>
      <c r="E869" s="713" t="s">
        <v>674</v>
      </c>
      <c r="F869" s="723" t="s">
        <v>685</v>
      </c>
      <c r="G869" s="713" t="s">
        <v>58</v>
      </c>
      <c r="H869" s="723" t="s">
        <v>677</v>
      </c>
      <c r="I869" s="713" t="s">
        <v>5</v>
      </c>
      <c r="J869" s="713" t="s">
        <v>376</v>
      </c>
      <c r="K869" s="766">
        <v>1</v>
      </c>
      <c r="L869" s="766" t="s">
        <v>671</v>
      </c>
      <c r="M869" s="765" t="s">
        <v>717</v>
      </c>
      <c r="N869" s="765">
        <v>0</v>
      </c>
      <c r="O869" s="765">
        <v>0</v>
      </c>
      <c r="P869" s="735">
        <v>0</v>
      </c>
      <c r="Q869" s="713" t="s">
        <v>58</v>
      </c>
      <c r="R869" s="713" t="s">
        <v>58</v>
      </c>
      <c r="S869" s="713" t="s">
        <v>58</v>
      </c>
      <c r="T869" s="713" t="s">
        <v>58</v>
      </c>
      <c r="U869" s="764">
        <v>0</v>
      </c>
      <c r="V869" s="764">
        <v>0</v>
      </c>
      <c r="W869" s="764">
        <v>0</v>
      </c>
      <c r="X869" s="764">
        <v>0</v>
      </c>
      <c r="Y869" s="764">
        <v>0</v>
      </c>
      <c r="Z869" s="764">
        <v>0</v>
      </c>
      <c r="AA869" s="764">
        <v>0</v>
      </c>
      <c r="AB869" s="764">
        <v>0</v>
      </c>
      <c r="AC869" s="714">
        <v>0.82617698682369967</v>
      </c>
      <c r="AD869" s="714">
        <v>0.7843105192554185</v>
      </c>
      <c r="AE869" s="713" t="s">
        <v>58</v>
      </c>
      <c r="AF869" s="713" t="s">
        <v>58</v>
      </c>
      <c r="AG869" s="713" t="s">
        <v>58</v>
      </c>
      <c r="AH869" s="714">
        <v>0.94387031345969796</v>
      </c>
      <c r="AI869" s="713" t="s">
        <v>58</v>
      </c>
      <c r="AJ869" s="713" t="s">
        <v>58</v>
      </c>
      <c r="AK869" s="713" t="s">
        <v>58</v>
      </c>
      <c r="AL869" s="714">
        <v>0.94454345387965444</v>
      </c>
      <c r="AM869" s="713" t="s">
        <v>58</v>
      </c>
      <c r="AN869" s="713" t="s">
        <v>58</v>
      </c>
      <c r="AO869" s="713" t="s">
        <v>58</v>
      </c>
      <c r="AP869" s="747">
        <v>51</v>
      </c>
      <c r="AQ869" s="747">
        <v>51</v>
      </c>
      <c r="AR869" s="709"/>
      <c r="AS869" s="763">
        <v>0</v>
      </c>
      <c r="AT869" s="763">
        <v>0</v>
      </c>
      <c r="AU869" s="763">
        <v>0</v>
      </c>
      <c r="AV869" s="763">
        <v>0</v>
      </c>
      <c r="AW869" s="763">
        <v>0</v>
      </c>
      <c r="AX869" s="763">
        <v>0</v>
      </c>
      <c r="AY869" s="763">
        <v>0</v>
      </c>
      <c r="AZ869" s="763">
        <v>0</v>
      </c>
      <c r="BA869" s="763">
        <v>0</v>
      </c>
      <c r="BB869" s="763">
        <v>0</v>
      </c>
      <c r="BC869" s="763">
        <v>0</v>
      </c>
      <c r="BD869" s="763">
        <v>0</v>
      </c>
      <c r="BE869" s="763">
        <v>0</v>
      </c>
      <c r="BF869" s="763">
        <v>0</v>
      </c>
      <c r="BG869" s="763">
        <v>0</v>
      </c>
      <c r="BH869" s="763">
        <v>0</v>
      </c>
      <c r="BI869" s="763">
        <v>0</v>
      </c>
      <c r="BJ869" s="763">
        <v>0</v>
      </c>
      <c r="BK869" s="763">
        <v>0</v>
      </c>
      <c r="BL869" s="763">
        <v>0</v>
      </c>
      <c r="BM869" s="763">
        <v>0</v>
      </c>
      <c r="BN869" s="763">
        <v>0</v>
      </c>
      <c r="BO869" s="763">
        <v>0</v>
      </c>
      <c r="BP869" s="763">
        <v>0</v>
      </c>
      <c r="BQ869" s="763">
        <v>0</v>
      </c>
      <c r="BR869" s="763">
        <v>0</v>
      </c>
      <c r="BS869" s="762">
        <v>0</v>
      </c>
      <c r="BT869" s="762">
        <v>0</v>
      </c>
      <c r="BU869" s="762">
        <v>0</v>
      </c>
      <c r="BV869" s="762">
        <v>0</v>
      </c>
      <c r="BW869" s="762">
        <v>0</v>
      </c>
      <c r="BX869" s="762">
        <v>0</v>
      </c>
      <c r="BY869" s="762">
        <v>0</v>
      </c>
      <c r="BZ869" s="762">
        <v>0</v>
      </c>
      <c r="CA869" s="762">
        <v>0</v>
      </c>
      <c r="CB869" s="762">
        <v>0</v>
      </c>
      <c r="CC869" s="762">
        <v>0</v>
      </c>
      <c r="CD869" s="762">
        <v>0</v>
      </c>
      <c r="CE869" s="762">
        <v>0</v>
      </c>
      <c r="CF869" s="762">
        <v>0</v>
      </c>
      <c r="CG869" s="762">
        <v>0</v>
      </c>
      <c r="CH869" s="762">
        <v>0</v>
      </c>
      <c r="CI869" s="762">
        <v>0</v>
      </c>
      <c r="CJ869" s="762">
        <v>0</v>
      </c>
      <c r="CK869" s="762">
        <v>0</v>
      </c>
      <c r="CL869" s="762">
        <v>0</v>
      </c>
      <c r="CM869" s="762">
        <v>0</v>
      </c>
      <c r="CN869" s="762">
        <v>0</v>
      </c>
      <c r="CO869" s="762">
        <v>0</v>
      </c>
      <c r="CP869" s="762">
        <v>0</v>
      </c>
      <c r="CQ869" s="762">
        <v>0</v>
      </c>
      <c r="CR869" s="762">
        <v>0</v>
      </c>
    </row>
    <row r="870" spans="1:96" s="53" customFormat="1">
      <c r="A870" s="721" t="s">
        <v>3</v>
      </c>
      <c r="B870" s="723">
        <v>41779</v>
      </c>
      <c r="C870" s="721">
        <v>2014</v>
      </c>
      <c r="D870" s="713" t="s">
        <v>1</v>
      </c>
      <c r="E870" s="713" t="s">
        <v>674</v>
      </c>
      <c r="F870" s="723" t="s">
        <v>685</v>
      </c>
      <c r="G870" s="713" t="s">
        <v>58</v>
      </c>
      <c r="H870" s="723" t="s">
        <v>675</v>
      </c>
      <c r="I870" s="713" t="s">
        <v>5</v>
      </c>
      <c r="J870" s="713" t="s">
        <v>376</v>
      </c>
      <c r="K870" s="766">
        <v>4</v>
      </c>
      <c r="L870" s="766" t="s">
        <v>671</v>
      </c>
      <c r="M870" s="765" t="s">
        <v>717</v>
      </c>
      <c r="N870" s="765">
        <v>12</v>
      </c>
      <c r="O870" s="765">
        <v>3</v>
      </c>
      <c r="P870" s="735">
        <v>0.36842105263157893</v>
      </c>
      <c r="Q870" s="713" t="s">
        <v>58</v>
      </c>
      <c r="R870" s="713" t="s">
        <v>58</v>
      </c>
      <c r="S870" s="713" t="s">
        <v>58</v>
      </c>
      <c r="T870" s="713" t="s">
        <v>58</v>
      </c>
      <c r="U870" s="764">
        <v>0.22800000000000001</v>
      </c>
      <c r="V870" s="764">
        <v>1100.0999999999999</v>
      </c>
      <c r="W870" s="764">
        <v>0.17882279839023546</v>
      </c>
      <c r="X870" s="764">
        <v>908.87730320475191</v>
      </c>
      <c r="Y870" s="764">
        <v>5740.277704451064</v>
      </c>
      <c r="Z870" s="764">
        <v>5418.0777162459408</v>
      </c>
      <c r="AA870" s="764">
        <v>857.86230507227413</v>
      </c>
      <c r="AB870" s="764">
        <v>0.16890590362393812</v>
      </c>
      <c r="AC870" s="714">
        <v>0.82617698682369967</v>
      </c>
      <c r="AD870" s="714">
        <v>0.7843105192554185</v>
      </c>
      <c r="AE870" s="713" t="s">
        <v>58</v>
      </c>
      <c r="AF870" s="713" t="s">
        <v>58</v>
      </c>
      <c r="AG870" s="713" t="s">
        <v>58</v>
      </c>
      <c r="AH870" s="714">
        <v>0.94387031345969796</v>
      </c>
      <c r="AI870" s="713" t="s">
        <v>58</v>
      </c>
      <c r="AJ870" s="713" t="s">
        <v>58</v>
      </c>
      <c r="AK870" s="713" t="s">
        <v>58</v>
      </c>
      <c r="AL870" s="714">
        <v>0.94454345387965444</v>
      </c>
      <c r="AM870" s="713" t="s">
        <v>58</v>
      </c>
      <c r="AN870" s="713" t="s">
        <v>58</v>
      </c>
      <c r="AO870" s="713" t="s">
        <v>58</v>
      </c>
      <c r="AP870" s="747">
        <v>73</v>
      </c>
      <c r="AQ870" s="747">
        <v>292</v>
      </c>
      <c r="AR870" s="709"/>
      <c r="AS870" s="763">
        <v>0</v>
      </c>
      <c r="AT870" s="763">
        <v>0</v>
      </c>
      <c r="AU870" s="763">
        <v>0</v>
      </c>
      <c r="AV870" s="763">
        <v>0.16890590362393812</v>
      </c>
      <c r="AW870" s="763">
        <v>0.16890590362393812</v>
      </c>
      <c r="AX870" s="763">
        <v>0.16890590362393812</v>
      </c>
      <c r="AY870" s="763">
        <v>6.2228490808819301E-2</v>
      </c>
      <c r="AZ870" s="763">
        <v>6.2228490808819301E-2</v>
      </c>
      <c r="BA870" s="763">
        <v>6.2228490808819301E-2</v>
      </c>
      <c r="BB870" s="763">
        <v>6.2228490808819301E-2</v>
      </c>
      <c r="BC870" s="763">
        <v>6.2228490808819301E-2</v>
      </c>
      <c r="BD870" s="763">
        <v>6.2228490808819301E-2</v>
      </c>
      <c r="BE870" s="763">
        <v>6.2228490808819301E-2</v>
      </c>
      <c r="BF870" s="763">
        <v>6.2228490808819301E-2</v>
      </c>
      <c r="BG870" s="763">
        <v>6.2228490808819301E-2</v>
      </c>
      <c r="BH870" s="763">
        <v>0</v>
      </c>
      <c r="BI870" s="763">
        <v>0</v>
      </c>
      <c r="BJ870" s="763">
        <v>0</v>
      </c>
      <c r="BK870" s="763">
        <v>0</v>
      </c>
      <c r="BL870" s="763">
        <v>0</v>
      </c>
      <c r="BM870" s="763">
        <v>0</v>
      </c>
      <c r="BN870" s="763">
        <v>0</v>
      </c>
      <c r="BO870" s="763">
        <v>0</v>
      </c>
      <c r="BP870" s="763">
        <v>0</v>
      </c>
      <c r="BQ870" s="763">
        <v>0</v>
      </c>
      <c r="BR870" s="763">
        <v>0</v>
      </c>
      <c r="BS870" s="762">
        <v>0</v>
      </c>
      <c r="BT870" s="762">
        <v>0</v>
      </c>
      <c r="BU870" s="762">
        <v>0</v>
      </c>
      <c r="BV870" s="762">
        <v>857.86230507227413</v>
      </c>
      <c r="BW870" s="762">
        <v>857.86230507227413</v>
      </c>
      <c r="BX870" s="762">
        <v>857.86230507227413</v>
      </c>
      <c r="BY870" s="762">
        <v>316.05453344767994</v>
      </c>
      <c r="BZ870" s="762">
        <v>316.05453344767994</v>
      </c>
      <c r="CA870" s="762">
        <v>316.05453344767994</v>
      </c>
      <c r="CB870" s="762">
        <v>316.05453344767994</v>
      </c>
      <c r="CC870" s="762">
        <v>316.05453344767994</v>
      </c>
      <c r="CD870" s="762">
        <v>316.05453344767994</v>
      </c>
      <c r="CE870" s="762">
        <v>316.05453344767994</v>
      </c>
      <c r="CF870" s="762">
        <v>316.05453344767994</v>
      </c>
      <c r="CG870" s="762">
        <v>316.05453344767994</v>
      </c>
      <c r="CH870" s="762">
        <v>0</v>
      </c>
      <c r="CI870" s="762">
        <v>0</v>
      </c>
      <c r="CJ870" s="762">
        <v>0</v>
      </c>
      <c r="CK870" s="762">
        <v>0</v>
      </c>
      <c r="CL870" s="762">
        <v>0</v>
      </c>
      <c r="CM870" s="762">
        <v>0</v>
      </c>
      <c r="CN870" s="762">
        <v>0</v>
      </c>
      <c r="CO870" s="762">
        <v>0</v>
      </c>
      <c r="CP870" s="762">
        <v>0</v>
      </c>
      <c r="CQ870" s="762">
        <v>0</v>
      </c>
      <c r="CR870" s="762">
        <v>0</v>
      </c>
    </row>
    <row r="871" spans="1:96" s="53" customFormat="1">
      <c r="A871" s="721" t="s">
        <v>3</v>
      </c>
      <c r="B871" s="723">
        <v>41979</v>
      </c>
      <c r="C871" s="721">
        <v>2014</v>
      </c>
      <c r="D871" s="713" t="s">
        <v>1</v>
      </c>
      <c r="E871" s="713" t="s">
        <v>674</v>
      </c>
      <c r="F871" s="723" t="s">
        <v>673</v>
      </c>
      <c r="G871" s="713" t="s">
        <v>58</v>
      </c>
      <c r="H871" s="723" t="s">
        <v>677</v>
      </c>
      <c r="I871" s="713" t="s">
        <v>5</v>
      </c>
      <c r="J871" s="713" t="s">
        <v>376</v>
      </c>
      <c r="K871" s="766">
        <v>1</v>
      </c>
      <c r="L871" s="766" t="s">
        <v>671</v>
      </c>
      <c r="M871" s="765" t="s">
        <v>738</v>
      </c>
      <c r="N871" s="765">
        <v>0</v>
      </c>
      <c r="O871" s="765">
        <v>0</v>
      </c>
      <c r="P871" s="735">
        <v>0</v>
      </c>
      <c r="Q871" s="713" t="s">
        <v>58</v>
      </c>
      <c r="R871" s="713" t="s">
        <v>58</v>
      </c>
      <c r="S871" s="713" t="s">
        <v>58</v>
      </c>
      <c r="T871" s="713" t="s">
        <v>58</v>
      </c>
      <c r="U871" s="764">
        <v>0</v>
      </c>
      <c r="V871" s="764">
        <v>0</v>
      </c>
      <c r="W871" s="764">
        <v>0</v>
      </c>
      <c r="X871" s="764">
        <v>0</v>
      </c>
      <c r="Y871" s="764">
        <v>0</v>
      </c>
      <c r="Z871" s="764">
        <v>0</v>
      </c>
      <c r="AA871" s="764">
        <v>0</v>
      </c>
      <c r="AB871" s="764">
        <v>0</v>
      </c>
      <c r="AC871" s="714">
        <v>0.82617698682369967</v>
      </c>
      <c r="AD871" s="714">
        <v>0.7843105192554185</v>
      </c>
      <c r="AE871" s="713" t="s">
        <v>58</v>
      </c>
      <c r="AF871" s="713" t="s">
        <v>58</v>
      </c>
      <c r="AG871" s="713" t="s">
        <v>58</v>
      </c>
      <c r="AH871" s="714">
        <v>0.94387031345969796</v>
      </c>
      <c r="AI871" s="713" t="s">
        <v>58</v>
      </c>
      <c r="AJ871" s="713" t="s">
        <v>58</v>
      </c>
      <c r="AK871" s="713" t="s">
        <v>58</v>
      </c>
      <c r="AL871" s="714">
        <v>0.94454345387965444</v>
      </c>
      <c r="AM871" s="713" t="s">
        <v>58</v>
      </c>
      <c r="AN871" s="713" t="s">
        <v>58</v>
      </c>
      <c r="AO871" s="713" t="s">
        <v>58</v>
      </c>
      <c r="AP871" s="747">
        <v>51</v>
      </c>
      <c r="AQ871" s="747">
        <v>51</v>
      </c>
      <c r="AR871" s="709"/>
      <c r="AS871" s="763">
        <v>0</v>
      </c>
      <c r="AT871" s="763">
        <v>0</v>
      </c>
      <c r="AU871" s="763">
        <v>0</v>
      </c>
      <c r="AV871" s="763">
        <v>0</v>
      </c>
      <c r="AW871" s="763">
        <v>0</v>
      </c>
      <c r="AX871" s="763">
        <v>0</v>
      </c>
      <c r="AY871" s="763">
        <v>0</v>
      </c>
      <c r="AZ871" s="763">
        <v>0</v>
      </c>
      <c r="BA871" s="763">
        <v>0</v>
      </c>
      <c r="BB871" s="763">
        <v>0</v>
      </c>
      <c r="BC871" s="763">
        <v>0</v>
      </c>
      <c r="BD871" s="763">
        <v>0</v>
      </c>
      <c r="BE871" s="763">
        <v>0</v>
      </c>
      <c r="BF871" s="763">
        <v>0</v>
      </c>
      <c r="BG871" s="763">
        <v>0</v>
      </c>
      <c r="BH871" s="763">
        <v>0</v>
      </c>
      <c r="BI871" s="763">
        <v>0</v>
      </c>
      <c r="BJ871" s="763">
        <v>0</v>
      </c>
      <c r="BK871" s="763">
        <v>0</v>
      </c>
      <c r="BL871" s="763">
        <v>0</v>
      </c>
      <c r="BM871" s="763">
        <v>0</v>
      </c>
      <c r="BN871" s="763">
        <v>0</v>
      </c>
      <c r="BO871" s="763">
        <v>0</v>
      </c>
      <c r="BP871" s="763">
        <v>0</v>
      </c>
      <c r="BQ871" s="763">
        <v>0</v>
      </c>
      <c r="BR871" s="763">
        <v>0</v>
      </c>
      <c r="BS871" s="762">
        <v>0</v>
      </c>
      <c r="BT871" s="762">
        <v>0</v>
      </c>
      <c r="BU871" s="762">
        <v>0</v>
      </c>
      <c r="BV871" s="762">
        <v>0</v>
      </c>
      <c r="BW871" s="762">
        <v>0</v>
      </c>
      <c r="BX871" s="762">
        <v>0</v>
      </c>
      <c r="BY871" s="762">
        <v>0</v>
      </c>
      <c r="BZ871" s="762">
        <v>0</v>
      </c>
      <c r="CA871" s="762">
        <v>0</v>
      </c>
      <c r="CB871" s="762">
        <v>0</v>
      </c>
      <c r="CC871" s="762">
        <v>0</v>
      </c>
      <c r="CD871" s="762">
        <v>0</v>
      </c>
      <c r="CE871" s="762">
        <v>0</v>
      </c>
      <c r="CF871" s="762">
        <v>0</v>
      </c>
      <c r="CG871" s="762">
        <v>0</v>
      </c>
      <c r="CH871" s="762">
        <v>0</v>
      </c>
      <c r="CI871" s="762">
        <v>0</v>
      </c>
      <c r="CJ871" s="762">
        <v>0</v>
      </c>
      <c r="CK871" s="762">
        <v>0</v>
      </c>
      <c r="CL871" s="762">
        <v>0</v>
      </c>
      <c r="CM871" s="762">
        <v>0</v>
      </c>
      <c r="CN871" s="762">
        <v>0</v>
      </c>
      <c r="CO871" s="762">
        <v>0</v>
      </c>
      <c r="CP871" s="762">
        <v>0</v>
      </c>
      <c r="CQ871" s="762">
        <v>0</v>
      </c>
      <c r="CR871" s="762">
        <v>0</v>
      </c>
    </row>
    <row r="872" spans="1:96" s="53" customFormat="1">
      <c r="A872" s="721" t="s">
        <v>3</v>
      </c>
      <c r="B872" s="723">
        <v>41979</v>
      </c>
      <c r="C872" s="721">
        <v>2014</v>
      </c>
      <c r="D872" s="713" t="s">
        <v>1</v>
      </c>
      <c r="E872" s="713" t="s">
        <v>674</v>
      </c>
      <c r="F872" s="723" t="s">
        <v>673</v>
      </c>
      <c r="G872" s="713" t="s">
        <v>58</v>
      </c>
      <c r="H872" s="723" t="s">
        <v>684</v>
      </c>
      <c r="I872" s="713" t="s">
        <v>5</v>
      </c>
      <c r="J872" s="713" t="s">
        <v>376</v>
      </c>
      <c r="K872" s="766">
        <v>21</v>
      </c>
      <c r="L872" s="766" t="s">
        <v>671</v>
      </c>
      <c r="M872" s="765" t="s">
        <v>738</v>
      </c>
      <c r="N872" s="765">
        <v>11</v>
      </c>
      <c r="O872" s="765">
        <v>2</v>
      </c>
      <c r="P872" s="735">
        <v>0.43976996379393668</v>
      </c>
      <c r="Q872" s="713" t="s">
        <v>58</v>
      </c>
      <c r="R872" s="713" t="s">
        <v>58</v>
      </c>
      <c r="S872" s="713" t="s">
        <v>58</v>
      </c>
      <c r="T872" s="713" t="s">
        <v>58</v>
      </c>
      <c r="U872" s="764">
        <v>1.4279999999999999</v>
      </c>
      <c r="V872" s="764">
        <v>4401.0959999999995</v>
      </c>
      <c r="W872" s="764">
        <v>1.1199954214967378</v>
      </c>
      <c r="X872" s="764">
        <v>3636.0842320018369</v>
      </c>
      <c r="Y872" s="764">
        <v>21663.534143536039</v>
      </c>
      <c r="Z872" s="764">
        <v>20447.566762704231</v>
      </c>
      <c r="AA872" s="764">
        <v>3431.9919638254387</v>
      </c>
      <c r="AB872" s="764">
        <v>1.0578843437499281</v>
      </c>
      <c r="AC872" s="714">
        <v>0.82617698682369967</v>
      </c>
      <c r="AD872" s="714">
        <v>0.7843105192554185</v>
      </c>
      <c r="AE872" s="713" t="s">
        <v>58</v>
      </c>
      <c r="AF872" s="713" t="s">
        <v>58</v>
      </c>
      <c r="AG872" s="713" t="s">
        <v>58</v>
      </c>
      <c r="AH872" s="714">
        <v>0.94387031345969796</v>
      </c>
      <c r="AI872" s="713" t="s">
        <v>58</v>
      </c>
      <c r="AJ872" s="713" t="s">
        <v>58</v>
      </c>
      <c r="AK872" s="713" t="s">
        <v>58</v>
      </c>
      <c r="AL872" s="714">
        <v>0.94454345387965444</v>
      </c>
      <c r="AM872" s="713" t="s">
        <v>58</v>
      </c>
      <c r="AN872" s="713" t="s">
        <v>58</v>
      </c>
      <c r="AO872" s="713" t="s">
        <v>58</v>
      </c>
      <c r="AP872" s="747">
        <v>48</v>
      </c>
      <c r="AQ872" s="747">
        <v>1008</v>
      </c>
      <c r="AR872" s="709"/>
      <c r="AS872" s="763">
        <v>0</v>
      </c>
      <c r="AT872" s="763">
        <v>0</v>
      </c>
      <c r="AU872" s="763">
        <v>0</v>
      </c>
      <c r="AV872" s="763">
        <v>1.0578843437499281</v>
      </c>
      <c r="AW872" s="763">
        <v>1.0578843437499281</v>
      </c>
      <c r="AX872" s="763">
        <v>0.46522575954907835</v>
      </c>
      <c r="AY872" s="763">
        <v>0.46522575954907835</v>
      </c>
      <c r="AZ872" s="763">
        <v>0.46522575954907835</v>
      </c>
      <c r="BA872" s="763">
        <v>0.46522575954907835</v>
      </c>
      <c r="BB872" s="763">
        <v>0.46522575954907835</v>
      </c>
      <c r="BC872" s="763">
        <v>0.46522575954907835</v>
      </c>
      <c r="BD872" s="763">
        <v>0.46522575954907835</v>
      </c>
      <c r="BE872" s="763">
        <v>0.46522575954907835</v>
      </c>
      <c r="BF872" s="763">
        <v>0.46522575954907835</v>
      </c>
      <c r="BG872" s="763">
        <v>0</v>
      </c>
      <c r="BH872" s="763">
        <v>0</v>
      </c>
      <c r="BI872" s="763">
        <v>0</v>
      </c>
      <c r="BJ872" s="763">
        <v>0</v>
      </c>
      <c r="BK872" s="763">
        <v>0</v>
      </c>
      <c r="BL872" s="763">
        <v>0</v>
      </c>
      <c r="BM872" s="763">
        <v>0</v>
      </c>
      <c r="BN872" s="763">
        <v>0</v>
      </c>
      <c r="BO872" s="763">
        <v>0</v>
      </c>
      <c r="BP872" s="763">
        <v>0</v>
      </c>
      <c r="BQ872" s="763">
        <v>0</v>
      </c>
      <c r="BR872" s="763">
        <v>0</v>
      </c>
      <c r="BS872" s="762">
        <v>0</v>
      </c>
      <c r="BT872" s="762">
        <v>0</v>
      </c>
      <c r="BU872" s="762">
        <v>0</v>
      </c>
      <c r="BV872" s="762">
        <v>3431.9919638254387</v>
      </c>
      <c r="BW872" s="762">
        <v>3431.9919638254387</v>
      </c>
      <c r="BX872" s="762">
        <v>1509.2869816725947</v>
      </c>
      <c r="BY872" s="762">
        <v>1509.2869816725947</v>
      </c>
      <c r="BZ872" s="762">
        <v>1509.2869816725947</v>
      </c>
      <c r="CA872" s="762">
        <v>1509.2869816725947</v>
      </c>
      <c r="CB872" s="762">
        <v>1509.2869816725947</v>
      </c>
      <c r="CC872" s="762">
        <v>1509.2869816725947</v>
      </c>
      <c r="CD872" s="762">
        <v>1509.2869816725947</v>
      </c>
      <c r="CE872" s="762">
        <v>1509.2869816725947</v>
      </c>
      <c r="CF872" s="762">
        <v>1509.2869816725947</v>
      </c>
      <c r="CG872" s="762">
        <v>0</v>
      </c>
      <c r="CH872" s="762">
        <v>0</v>
      </c>
      <c r="CI872" s="762">
        <v>0</v>
      </c>
      <c r="CJ872" s="762">
        <v>0</v>
      </c>
      <c r="CK872" s="762">
        <v>0</v>
      </c>
      <c r="CL872" s="762">
        <v>0</v>
      </c>
      <c r="CM872" s="762">
        <v>0</v>
      </c>
      <c r="CN872" s="762">
        <v>0</v>
      </c>
      <c r="CO872" s="762">
        <v>0</v>
      </c>
      <c r="CP872" s="762">
        <v>0</v>
      </c>
      <c r="CQ872" s="762">
        <v>0</v>
      </c>
      <c r="CR872" s="762">
        <v>0</v>
      </c>
    </row>
    <row r="873" spans="1:96" s="53" customFormat="1">
      <c r="A873" s="721" t="s">
        <v>3</v>
      </c>
      <c r="B873" s="723">
        <v>41889</v>
      </c>
      <c r="C873" s="721">
        <v>2014</v>
      </c>
      <c r="D873" s="713" t="s">
        <v>1</v>
      </c>
      <c r="E873" s="713" t="s">
        <v>674</v>
      </c>
      <c r="F873" s="723" t="s">
        <v>123</v>
      </c>
      <c r="G873" s="713" t="s">
        <v>58</v>
      </c>
      <c r="H873" s="723" t="s">
        <v>710</v>
      </c>
      <c r="I873" s="713" t="s">
        <v>5</v>
      </c>
      <c r="J873" s="713" t="s">
        <v>376</v>
      </c>
      <c r="K873" s="766">
        <v>1</v>
      </c>
      <c r="L873" s="766" t="s">
        <v>671</v>
      </c>
      <c r="M873" s="765" t="s">
        <v>737</v>
      </c>
      <c r="N873" s="765">
        <v>10</v>
      </c>
      <c r="O873" s="765" t="s">
        <v>7</v>
      </c>
      <c r="P873" s="735">
        <v>1</v>
      </c>
      <c r="Q873" s="713" t="s">
        <v>58</v>
      </c>
      <c r="R873" s="713" t="s">
        <v>58</v>
      </c>
      <c r="S873" s="713" t="s">
        <v>58</v>
      </c>
      <c r="T873" s="713" t="s">
        <v>58</v>
      </c>
      <c r="U873" s="764">
        <v>2.7E-2</v>
      </c>
      <c r="V873" s="764">
        <v>236.52</v>
      </c>
      <c r="W873" s="764">
        <v>2.1176384019896303E-2</v>
      </c>
      <c r="X873" s="764">
        <v>195.40738092354144</v>
      </c>
      <c r="Y873" s="764">
        <v>1954.0738092354145</v>
      </c>
      <c r="Z873" s="764">
        <v>1844.3922588464168</v>
      </c>
      <c r="AA873" s="764">
        <v>184.43922588464167</v>
      </c>
      <c r="AB873" s="764">
        <v>2.0002014902834774E-2</v>
      </c>
      <c r="AC873" s="714">
        <v>0.82617698682369967</v>
      </c>
      <c r="AD873" s="714">
        <v>0.7843105192554185</v>
      </c>
      <c r="AE873" s="713" t="s">
        <v>58</v>
      </c>
      <c r="AF873" s="713" t="s">
        <v>58</v>
      </c>
      <c r="AG873" s="713" t="s">
        <v>58</v>
      </c>
      <c r="AH873" s="714">
        <v>0.94387031345969796</v>
      </c>
      <c r="AI873" s="713" t="s">
        <v>58</v>
      </c>
      <c r="AJ873" s="713" t="s">
        <v>58</v>
      </c>
      <c r="AK873" s="713" t="s">
        <v>58</v>
      </c>
      <c r="AL873" s="714">
        <v>0.94454345387965444</v>
      </c>
      <c r="AM873" s="713" t="s">
        <v>58</v>
      </c>
      <c r="AN873" s="713" t="s">
        <v>58</v>
      </c>
      <c r="AO873" s="713" t="s">
        <v>58</v>
      </c>
      <c r="AP873" s="747">
        <v>29</v>
      </c>
      <c r="AQ873" s="747">
        <v>29</v>
      </c>
      <c r="AR873" s="709"/>
      <c r="AS873" s="763">
        <v>0</v>
      </c>
      <c r="AT873" s="763">
        <v>0</v>
      </c>
      <c r="AU873" s="763">
        <v>0</v>
      </c>
      <c r="AV873" s="763">
        <v>2.0002014902834774E-2</v>
      </c>
      <c r="AW873" s="763">
        <v>2.0002014902834774E-2</v>
      </c>
      <c r="AX873" s="763">
        <v>2.0002014902834774E-2</v>
      </c>
      <c r="AY873" s="763">
        <v>2.0002014902834774E-2</v>
      </c>
      <c r="AZ873" s="763">
        <v>2.0002014902834774E-2</v>
      </c>
      <c r="BA873" s="763">
        <v>2.0002014902834774E-2</v>
      </c>
      <c r="BB873" s="763">
        <v>2.0002014902834774E-2</v>
      </c>
      <c r="BC873" s="763">
        <v>2.0002014902834774E-2</v>
      </c>
      <c r="BD873" s="763">
        <v>2.0002014902834774E-2</v>
      </c>
      <c r="BE873" s="763">
        <v>2.0002014902834774E-2</v>
      </c>
      <c r="BF873" s="763">
        <v>0</v>
      </c>
      <c r="BG873" s="763">
        <v>0</v>
      </c>
      <c r="BH873" s="763">
        <v>0</v>
      </c>
      <c r="BI873" s="763">
        <v>0</v>
      </c>
      <c r="BJ873" s="763">
        <v>0</v>
      </c>
      <c r="BK873" s="763">
        <v>0</v>
      </c>
      <c r="BL873" s="763">
        <v>0</v>
      </c>
      <c r="BM873" s="763">
        <v>0</v>
      </c>
      <c r="BN873" s="763">
        <v>0</v>
      </c>
      <c r="BO873" s="763">
        <v>0</v>
      </c>
      <c r="BP873" s="763">
        <v>0</v>
      </c>
      <c r="BQ873" s="763">
        <v>0</v>
      </c>
      <c r="BR873" s="763">
        <v>0</v>
      </c>
      <c r="BS873" s="762">
        <v>0</v>
      </c>
      <c r="BT873" s="762">
        <v>0</v>
      </c>
      <c r="BU873" s="762">
        <v>0</v>
      </c>
      <c r="BV873" s="762">
        <v>184.43922588464167</v>
      </c>
      <c r="BW873" s="762">
        <v>184.43922588464167</v>
      </c>
      <c r="BX873" s="762">
        <v>184.43922588464167</v>
      </c>
      <c r="BY873" s="762">
        <v>184.43922588464167</v>
      </c>
      <c r="BZ873" s="762">
        <v>184.43922588464167</v>
      </c>
      <c r="CA873" s="762">
        <v>184.43922588464167</v>
      </c>
      <c r="CB873" s="762">
        <v>184.43922588464167</v>
      </c>
      <c r="CC873" s="762">
        <v>184.43922588464167</v>
      </c>
      <c r="CD873" s="762">
        <v>184.43922588464167</v>
      </c>
      <c r="CE873" s="762">
        <v>184.43922588464167</v>
      </c>
      <c r="CF873" s="762">
        <v>0</v>
      </c>
      <c r="CG873" s="762">
        <v>0</v>
      </c>
      <c r="CH873" s="762">
        <v>0</v>
      </c>
      <c r="CI873" s="762">
        <v>0</v>
      </c>
      <c r="CJ873" s="762">
        <v>0</v>
      </c>
      <c r="CK873" s="762">
        <v>0</v>
      </c>
      <c r="CL873" s="762">
        <v>0</v>
      </c>
      <c r="CM873" s="762">
        <v>0</v>
      </c>
      <c r="CN873" s="762">
        <v>0</v>
      </c>
      <c r="CO873" s="762">
        <v>0</v>
      </c>
      <c r="CP873" s="762">
        <v>0</v>
      </c>
      <c r="CQ873" s="762">
        <v>0</v>
      </c>
      <c r="CR873" s="762">
        <v>0</v>
      </c>
    </row>
    <row r="874" spans="1:96" s="53" customFormat="1">
      <c r="A874" s="721" t="s">
        <v>3</v>
      </c>
      <c r="B874" s="723">
        <v>41889</v>
      </c>
      <c r="C874" s="721">
        <v>2014</v>
      </c>
      <c r="D874" s="713" t="s">
        <v>1</v>
      </c>
      <c r="E874" s="713" t="s">
        <v>674</v>
      </c>
      <c r="F874" s="723" t="s">
        <v>123</v>
      </c>
      <c r="G874" s="713" t="s">
        <v>58</v>
      </c>
      <c r="H874" s="723" t="s">
        <v>710</v>
      </c>
      <c r="I874" s="713" t="s">
        <v>5</v>
      </c>
      <c r="J874" s="713" t="s">
        <v>376</v>
      </c>
      <c r="K874" s="766">
        <v>5</v>
      </c>
      <c r="L874" s="766" t="s">
        <v>671</v>
      </c>
      <c r="M874" s="765" t="s">
        <v>737</v>
      </c>
      <c r="N874" s="765">
        <v>10</v>
      </c>
      <c r="O874" s="765" t="s">
        <v>7</v>
      </c>
      <c r="P874" s="735">
        <v>1</v>
      </c>
      <c r="Q874" s="713" t="s">
        <v>58</v>
      </c>
      <c r="R874" s="713" t="s">
        <v>58</v>
      </c>
      <c r="S874" s="713" t="s">
        <v>58</v>
      </c>
      <c r="T874" s="713" t="s">
        <v>58</v>
      </c>
      <c r="U874" s="764">
        <v>0.13500000000000001</v>
      </c>
      <c r="V874" s="764">
        <v>1182.5999999999999</v>
      </c>
      <c r="W874" s="764">
        <v>0.10588192009948152</v>
      </c>
      <c r="X874" s="764">
        <v>977.03690461770702</v>
      </c>
      <c r="Y874" s="764">
        <v>9770.3690461770711</v>
      </c>
      <c r="Z874" s="764">
        <v>9221.9612942320819</v>
      </c>
      <c r="AA874" s="764">
        <v>922.19612942320816</v>
      </c>
      <c r="AB874" s="764">
        <v>0.10001007451417389</v>
      </c>
      <c r="AC874" s="714">
        <v>0.82617698682369967</v>
      </c>
      <c r="AD874" s="714">
        <v>0.7843105192554185</v>
      </c>
      <c r="AE874" s="713" t="s">
        <v>58</v>
      </c>
      <c r="AF874" s="713" t="s">
        <v>58</v>
      </c>
      <c r="AG874" s="713" t="s">
        <v>58</v>
      </c>
      <c r="AH874" s="714">
        <v>0.94387031345969796</v>
      </c>
      <c r="AI874" s="713" t="s">
        <v>58</v>
      </c>
      <c r="AJ874" s="713" t="s">
        <v>58</v>
      </c>
      <c r="AK874" s="713" t="s">
        <v>58</v>
      </c>
      <c r="AL874" s="714">
        <v>0.94454345387965444</v>
      </c>
      <c r="AM874" s="713" t="s">
        <v>58</v>
      </c>
      <c r="AN874" s="713" t="s">
        <v>58</v>
      </c>
      <c r="AO874" s="713" t="s">
        <v>58</v>
      </c>
      <c r="AP874" s="747">
        <v>29</v>
      </c>
      <c r="AQ874" s="747">
        <v>145</v>
      </c>
      <c r="AR874" s="709"/>
      <c r="AS874" s="763">
        <v>0</v>
      </c>
      <c r="AT874" s="763">
        <v>0</v>
      </c>
      <c r="AU874" s="763">
        <v>0</v>
      </c>
      <c r="AV874" s="763">
        <v>0.10001007451417389</v>
      </c>
      <c r="AW874" s="763">
        <v>0.10001007451417389</v>
      </c>
      <c r="AX874" s="763">
        <v>0.10001007451417389</v>
      </c>
      <c r="AY874" s="763">
        <v>0.10001007451417389</v>
      </c>
      <c r="AZ874" s="763">
        <v>0.10001007451417389</v>
      </c>
      <c r="BA874" s="763">
        <v>0.10001007451417389</v>
      </c>
      <c r="BB874" s="763">
        <v>0.10001007451417389</v>
      </c>
      <c r="BC874" s="763">
        <v>0.10001007451417389</v>
      </c>
      <c r="BD874" s="763">
        <v>0.10001007451417389</v>
      </c>
      <c r="BE874" s="763">
        <v>0.10001007451417389</v>
      </c>
      <c r="BF874" s="763">
        <v>0</v>
      </c>
      <c r="BG874" s="763">
        <v>0</v>
      </c>
      <c r="BH874" s="763">
        <v>0</v>
      </c>
      <c r="BI874" s="763">
        <v>0</v>
      </c>
      <c r="BJ874" s="763">
        <v>0</v>
      </c>
      <c r="BK874" s="763">
        <v>0</v>
      </c>
      <c r="BL874" s="763">
        <v>0</v>
      </c>
      <c r="BM874" s="763">
        <v>0</v>
      </c>
      <c r="BN874" s="763">
        <v>0</v>
      </c>
      <c r="BO874" s="763">
        <v>0</v>
      </c>
      <c r="BP874" s="763">
        <v>0</v>
      </c>
      <c r="BQ874" s="763">
        <v>0</v>
      </c>
      <c r="BR874" s="763">
        <v>0</v>
      </c>
      <c r="BS874" s="762">
        <v>0</v>
      </c>
      <c r="BT874" s="762">
        <v>0</v>
      </c>
      <c r="BU874" s="762">
        <v>0</v>
      </c>
      <c r="BV874" s="762">
        <v>922.19612942320816</v>
      </c>
      <c r="BW874" s="762">
        <v>922.19612942320816</v>
      </c>
      <c r="BX874" s="762">
        <v>922.19612942320816</v>
      </c>
      <c r="BY874" s="762">
        <v>922.19612942320816</v>
      </c>
      <c r="BZ874" s="762">
        <v>922.19612942320816</v>
      </c>
      <c r="CA874" s="762">
        <v>922.19612942320816</v>
      </c>
      <c r="CB874" s="762">
        <v>922.19612942320816</v>
      </c>
      <c r="CC874" s="762">
        <v>922.19612942320816</v>
      </c>
      <c r="CD874" s="762">
        <v>922.19612942320816</v>
      </c>
      <c r="CE874" s="762">
        <v>922.19612942320816</v>
      </c>
      <c r="CF874" s="762">
        <v>0</v>
      </c>
      <c r="CG874" s="762">
        <v>0</v>
      </c>
      <c r="CH874" s="762">
        <v>0</v>
      </c>
      <c r="CI874" s="762">
        <v>0</v>
      </c>
      <c r="CJ874" s="762">
        <v>0</v>
      </c>
      <c r="CK874" s="762">
        <v>0</v>
      </c>
      <c r="CL874" s="762">
        <v>0</v>
      </c>
      <c r="CM874" s="762">
        <v>0</v>
      </c>
      <c r="CN874" s="762">
        <v>0</v>
      </c>
      <c r="CO874" s="762">
        <v>0</v>
      </c>
      <c r="CP874" s="762">
        <v>0</v>
      </c>
      <c r="CQ874" s="762">
        <v>0</v>
      </c>
      <c r="CR874" s="762">
        <v>0</v>
      </c>
    </row>
    <row r="875" spans="1:96" s="53" customFormat="1">
      <c r="A875" s="721" t="s">
        <v>3</v>
      </c>
      <c r="B875" s="723">
        <v>41889</v>
      </c>
      <c r="C875" s="721">
        <v>2014</v>
      </c>
      <c r="D875" s="713" t="s">
        <v>1</v>
      </c>
      <c r="E875" s="713" t="s">
        <v>674</v>
      </c>
      <c r="F875" s="723" t="s">
        <v>123</v>
      </c>
      <c r="G875" s="713" t="s">
        <v>58</v>
      </c>
      <c r="H875" s="723" t="s">
        <v>677</v>
      </c>
      <c r="I875" s="713" t="s">
        <v>5</v>
      </c>
      <c r="J875" s="713" t="s">
        <v>376</v>
      </c>
      <c r="K875" s="766">
        <v>1</v>
      </c>
      <c r="L875" s="766" t="s">
        <v>671</v>
      </c>
      <c r="M875" s="765" t="s">
        <v>737</v>
      </c>
      <c r="N875" s="765">
        <v>0</v>
      </c>
      <c r="O875" s="765">
        <v>0</v>
      </c>
      <c r="P875" s="735">
        <v>0</v>
      </c>
      <c r="Q875" s="713" t="s">
        <v>58</v>
      </c>
      <c r="R875" s="713" t="s">
        <v>58</v>
      </c>
      <c r="S875" s="713" t="s">
        <v>58</v>
      </c>
      <c r="T875" s="713" t="s">
        <v>58</v>
      </c>
      <c r="U875" s="764">
        <v>0</v>
      </c>
      <c r="V875" s="764">
        <v>0</v>
      </c>
      <c r="W875" s="764">
        <v>0</v>
      </c>
      <c r="X875" s="764">
        <v>0</v>
      </c>
      <c r="Y875" s="764">
        <v>0</v>
      </c>
      <c r="Z875" s="764">
        <v>0</v>
      </c>
      <c r="AA875" s="764">
        <v>0</v>
      </c>
      <c r="AB875" s="764">
        <v>0</v>
      </c>
      <c r="AC875" s="714">
        <v>0.82617698682369967</v>
      </c>
      <c r="AD875" s="714">
        <v>0.7843105192554185</v>
      </c>
      <c r="AE875" s="713" t="s">
        <v>58</v>
      </c>
      <c r="AF875" s="713" t="s">
        <v>58</v>
      </c>
      <c r="AG875" s="713" t="s">
        <v>58</v>
      </c>
      <c r="AH875" s="714">
        <v>0.94387031345969796</v>
      </c>
      <c r="AI875" s="713" t="s">
        <v>58</v>
      </c>
      <c r="AJ875" s="713" t="s">
        <v>58</v>
      </c>
      <c r="AK875" s="713" t="s">
        <v>58</v>
      </c>
      <c r="AL875" s="714">
        <v>0.94454345387965444</v>
      </c>
      <c r="AM875" s="713" t="s">
        <v>58</v>
      </c>
      <c r="AN875" s="713" t="s">
        <v>58</v>
      </c>
      <c r="AO875" s="713" t="s">
        <v>58</v>
      </c>
      <c r="AP875" s="747">
        <v>51</v>
      </c>
      <c r="AQ875" s="747">
        <v>51</v>
      </c>
      <c r="AR875" s="709"/>
      <c r="AS875" s="763">
        <v>0</v>
      </c>
      <c r="AT875" s="763">
        <v>0</v>
      </c>
      <c r="AU875" s="763">
        <v>0</v>
      </c>
      <c r="AV875" s="763">
        <v>0</v>
      </c>
      <c r="AW875" s="763">
        <v>0</v>
      </c>
      <c r="AX875" s="763">
        <v>0</v>
      </c>
      <c r="AY875" s="763">
        <v>0</v>
      </c>
      <c r="AZ875" s="763">
        <v>0</v>
      </c>
      <c r="BA875" s="763">
        <v>0</v>
      </c>
      <c r="BB875" s="763">
        <v>0</v>
      </c>
      <c r="BC875" s="763">
        <v>0</v>
      </c>
      <c r="BD875" s="763">
        <v>0</v>
      </c>
      <c r="BE875" s="763">
        <v>0</v>
      </c>
      <c r="BF875" s="763">
        <v>0</v>
      </c>
      <c r="BG875" s="763">
        <v>0</v>
      </c>
      <c r="BH875" s="763">
        <v>0</v>
      </c>
      <c r="BI875" s="763">
        <v>0</v>
      </c>
      <c r="BJ875" s="763">
        <v>0</v>
      </c>
      <c r="BK875" s="763">
        <v>0</v>
      </c>
      <c r="BL875" s="763">
        <v>0</v>
      </c>
      <c r="BM875" s="763">
        <v>0</v>
      </c>
      <c r="BN875" s="763">
        <v>0</v>
      </c>
      <c r="BO875" s="763">
        <v>0</v>
      </c>
      <c r="BP875" s="763">
        <v>0</v>
      </c>
      <c r="BQ875" s="763">
        <v>0</v>
      </c>
      <c r="BR875" s="763">
        <v>0</v>
      </c>
      <c r="BS875" s="762">
        <v>0</v>
      </c>
      <c r="BT875" s="762">
        <v>0</v>
      </c>
      <c r="BU875" s="762">
        <v>0</v>
      </c>
      <c r="BV875" s="762">
        <v>0</v>
      </c>
      <c r="BW875" s="762">
        <v>0</v>
      </c>
      <c r="BX875" s="762">
        <v>0</v>
      </c>
      <c r="BY875" s="762">
        <v>0</v>
      </c>
      <c r="BZ875" s="762">
        <v>0</v>
      </c>
      <c r="CA875" s="762">
        <v>0</v>
      </c>
      <c r="CB875" s="762">
        <v>0</v>
      </c>
      <c r="CC875" s="762">
        <v>0</v>
      </c>
      <c r="CD875" s="762">
        <v>0</v>
      </c>
      <c r="CE875" s="762">
        <v>0</v>
      </c>
      <c r="CF875" s="762">
        <v>0</v>
      </c>
      <c r="CG875" s="762">
        <v>0</v>
      </c>
      <c r="CH875" s="762">
        <v>0</v>
      </c>
      <c r="CI875" s="762">
        <v>0</v>
      </c>
      <c r="CJ875" s="762">
        <v>0</v>
      </c>
      <c r="CK875" s="762">
        <v>0</v>
      </c>
      <c r="CL875" s="762">
        <v>0</v>
      </c>
      <c r="CM875" s="762">
        <v>0</v>
      </c>
      <c r="CN875" s="762">
        <v>0</v>
      </c>
      <c r="CO875" s="762">
        <v>0</v>
      </c>
      <c r="CP875" s="762">
        <v>0</v>
      </c>
      <c r="CQ875" s="762">
        <v>0</v>
      </c>
      <c r="CR875" s="762">
        <v>0</v>
      </c>
    </row>
    <row r="876" spans="1:96" s="53" customFormat="1">
      <c r="A876" s="721" t="s">
        <v>3</v>
      </c>
      <c r="B876" s="723">
        <v>41889</v>
      </c>
      <c r="C876" s="721">
        <v>2014</v>
      </c>
      <c r="D876" s="713" t="s">
        <v>1</v>
      </c>
      <c r="E876" s="713" t="s">
        <v>674</v>
      </c>
      <c r="F876" s="723" t="s">
        <v>123</v>
      </c>
      <c r="G876" s="713" t="s">
        <v>58</v>
      </c>
      <c r="H876" s="723" t="s">
        <v>682</v>
      </c>
      <c r="I876" s="713" t="s">
        <v>5</v>
      </c>
      <c r="J876" s="713" t="s">
        <v>376</v>
      </c>
      <c r="K876" s="766">
        <v>6</v>
      </c>
      <c r="L876" s="766" t="s">
        <v>671</v>
      </c>
      <c r="M876" s="765" t="s">
        <v>737</v>
      </c>
      <c r="N876" s="765">
        <v>12</v>
      </c>
      <c r="O876" s="765">
        <v>3</v>
      </c>
      <c r="P876" s="735">
        <v>0.4</v>
      </c>
      <c r="Q876" s="713" t="s">
        <v>58</v>
      </c>
      <c r="R876" s="713" t="s">
        <v>58</v>
      </c>
      <c r="S876" s="713" t="s">
        <v>58</v>
      </c>
      <c r="T876" s="713" t="s">
        <v>58</v>
      </c>
      <c r="U876" s="764">
        <v>0.14399999999999999</v>
      </c>
      <c r="V876" s="764">
        <v>491.04</v>
      </c>
      <c r="W876" s="764">
        <v>0.11294071477278027</v>
      </c>
      <c r="X876" s="764">
        <v>405.68594760990948</v>
      </c>
      <c r="Y876" s="764">
        <v>2677.5272542254024</v>
      </c>
      <c r="Z876" s="764">
        <v>2527.2384887426151</v>
      </c>
      <c r="AA876" s="764">
        <v>382.91492253675989</v>
      </c>
      <c r="AB876" s="764">
        <v>0.10667741281511879</v>
      </c>
      <c r="AC876" s="714">
        <v>0.82617698682369967</v>
      </c>
      <c r="AD876" s="714">
        <v>0.7843105192554185</v>
      </c>
      <c r="AE876" s="713" t="s">
        <v>58</v>
      </c>
      <c r="AF876" s="713" t="s">
        <v>58</v>
      </c>
      <c r="AG876" s="713" t="s">
        <v>58</v>
      </c>
      <c r="AH876" s="714">
        <v>0.94387031345969796</v>
      </c>
      <c r="AI876" s="713" t="s">
        <v>58</v>
      </c>
      <c r="AJ876" s="713" t="s">
        <v>58</v>
      </c>
      <c r="AK876" s="713" t="s">
        <v>58</v>
      </c>
      <c r="AL876" s="714">
        <v>0.94454345387965444</v>
      </c>
      <c r="AM876" s="713" t="s">
        <v>58</v>
      </c>
      <c r="AN876" s="713" t="s">
        <v>58</v>
      </c>
      <c r="AO876" s="713" t="s">
        <v>58</v>
      </c>
      <c r="AP876" s="747">
        <v>47</v>
      </c>
      <c r="AQ876" s="747">
        <v>282</v>
      </c>
      <c r="AR876" s="709"/>
      <c r="AS876" s="763">
        <v>0</v>
      </c>
      <c r="AT876" s="763">
        <v>0</v>
      </c>
      <c r="AU876" s="763">
        <v>0</v>
      </c>
      <c r="AV876" s="763">
        <v>0.10667741281511879</v>
      </c>
      <c r="AW876" s="763">
        <v>0.10667741281511879</v>
      </c>
      <c r="AX876" s="763">
        <v>0.10667741281511879</v>
      </c>
      <c r="AY876" s="763">
        <v>4.2670965126047518E-2</v>
      </c>
      <c r="AZ876" s="763">
        <v>4.2670965126047518E-2</v>
      </c>
      <c r="BA876" s="763">
        <v>4.2670965126047518E-2</v>
      </c>
      <c r="BB876" s="763">
        <v>4.2670965126047518E-2</v>
      </c>
      <c r="BC876" s="763">
        <v>4.2670965126047518E-2</v>
      </c>
      <c r="BD876" s="763">
        <v>4.2670965126047518E-2</v>
      </c>
      <c r="BE876" s="763">
        <v>4.2670965126047518E-2</v>
      </c>
      <c r="BF876" s="763">
        <v>4.2670965126047518E-2</v>
      </c>
      <c r="BG876" s="763">
        <v>4.2670965126047518E-2</v>
      </c>
      <c r="BH876" s="763">
        <v>0</v>
      </c>
      <c r="BI876" s="763">
        <v>0</v>
      </c>
      <c r="BJ876" s="763">
        <v>0</v>
      </c>
      <c r="BK876" s="763">
        <v>0</v>
      </c>
      <c r="BL876" s="763">
        <v>0</v>
      </c>
      <c r="BM876" s="763">
        <v>0</v>
      </c>
      <c r="BN876" s="763">
        <v>0</v>
      </c>
      <c r="BO876" s="763">
        <v>0</v>
      </c>
      <c r="BP876" s="763">
        <v>0</v>
      </c>
      <c r="BQ876" s="763">
        <v>0</v>
      </c>
      <c r="BR876" s="763">
        <v>0</v>
      </c>
      <c r="BS876" s="762">
        <v>0</v>
      </c>
      <c r="BT876" s="762">
        <v>0</v>
      </c>
      <c r="BU876" s="762">
        <v>0</v>
      </c>
      <c r="BV876" s="762">
        <v>382.91492253675989</v>
      </c>
      <c r="BW876" s="762">
        <v>382.91492253675989</v>
      </c>
      <c r="BX876" s="762">
        <v>382.91492253675989</v>
      </c>
      <c r="BY876" s="762">
        <v>153.16596901470396</v>
      </c>
      <c r="BZ876" s="762">
        <v>153.16596901470396</v>
      </c>
      <c r="CA876" s="762">
        <v>153.16596901470396</v>
      </c>
      <c r="CB876" s="762">
        <v>153.16596901470396</v>
      </c>
      <c r="CC876" s="762">
        <v>153.16596901470396</v>
      </c>
      <c r="CD876" s="762">
        <v>153.16596901470396</v>
      </c>
      <c r="CE876" s="762">
        <v>153.16596901470396</v>
      </c>
      <c r="CF876" s="762">
        <v>153.16596901470396</v>
      </c>
      <c r="CG876" s="762">
        <v>153.16596901470396</v>
      </c>
      <c r="CH876" s="762">
        <v>0</v>
      </c>
      <c r="CI876" s="762">
        <v>0</v>
      </c>
      <c r="CJ876" s="762">
        <v>0</v>
      </c>
      <c r="CK876" s="762">
        <v>0</v>
      </c>
      <c r="CL876" s="762">
        <v>0</v>
      </c>
      <c r="CM876" s="762">
        <v>0</v>
      </c>
      <c r="CN876" s="762">
        <v>0</v>
      </c>
      <c r="CO876" s="762">
        <v>0</v>
      </c>
      <c r="CP876" s="762">
        <v>0</v>
      </c>
      <c r="CQ876" s="762">
        <v>0</v>
      </c>
      <c r="CR876" s="762">
        <v>0</v>
      </c>
    </row>
    <row r="877" spans="1:96" s="53" customFormat="1">
      <c r="A877" s="721" t="s">
        <v>3</v>
      </c>
      <c r="B877" s="723">
        <v>41889</v>
      </c>
      <c r="C877" s="721">
        <v>2014</v>
      </c>
      <c r="D877" s="713" t="s">
        <v>1</v>
      </c>
      <c r="E877" s="713" t="s">
        <v>674</v>
      </c>
      <c r="F877" s="723" t="s">
        <v>123</v>
      </c>
      <c r="G877" s="713" t="s">
        <v>58</v>
      </c>
      <c r="H877" s="723" t="s">
        <v>676</v>
      </c>
      <c r="I877" s="713" t="s">
        <v>5</v>
      </c>
      <c r="J877" s="713" t="s">
        <v>376</v>
      </c>
      <c r="K877" s="766">
        <v>2</v>
      </c>
      <c r="L877" s="766" t="s">
        <v>671</v>
      </c>
      <c r="M877" s="765" t="s">
        <v>737</v>
      </c>
      <c r="N877" s="765">
        <v>12</v>
      </c>
      <c r="O877" s="765">
        <v>3</v>
      </c>
      <c r="P877" s="735">
        <v>0.31578947368421051</v>
      </c>
      <c r="Q877" s="713" t="s">
        <v>58</v>
      </c>
      <c r="R877" s="713" t="s">
        <v>58</v>
      </c>
      <c r="S877" s="713" t="s">
        <v>58</v>
      </c>
      <c r="T877" s="713" t="s">
        <v>58</v>
      </c>
      <c r="U877" s="764">
        <v>7.1999999999999995E-2</v>
      </c>
      <c r="V877" s="764">
        <v>245.52</v>
      </c>
      <c r="W877" s="764">
        <v>5.6470357386390134E-2</v>
      </c>
      <c r="X877" s="764">
        <v>202.84297380495474</v>
      </c>
      <c r="Y877" s="764">
        <v>1185.030004860525</v>
      </c>
      <c r="Z877" s="764">
        <v>1118.5146421468512</v>
      </c>
      <c r="AA877" s="764">
        <v>191.45746126837994</v>
      </c>
      <c r="AB877" s="764">
        <v>5.3338706407559396E-2</v>
      </c>
      <c r="AC877" s="714">
        <v>0.82617698682369967</v>
      </c>
      <c r="AD877" s="714">
        <v>0.7843105192554185</v>
      </c>
      <c r="AE877" s="713" t="s">
        <v>58</v>
      </c>
      <c r="AF877" s="713" t="s">
        <v>58</v>
      </c>
      <c r="AG877" s="713" t="s">
        <v>58</v>
      </c>
      <c r="AH877" s="714">
        <v>0.94387031345969796</v>
      </c>
      <c r="AI877" s="713" t="s">
        <v>58</v>
      </c>
      <c r="AJ877" s="713" t="s">
        <v>58</v>
      </c>
      <c r="AK877" s="713" t="s">
        <v>58</v>
      </c>
      <c r="AL877" s="714">
        <v>0.94454345387965444</v>
      </c>
      <c r="AM877" s="713" t="s">
        <v>58</v>
      </c>
      <c r="AN877" s="713" t="s">
        <v>58</v>
      </c>
      <c r="AO877" s="713" t="s">
        <v>58</v>
      </c>
      <c r="AP877" s="747">
        <v>57</v>
      </c>
      <c r="AQ877" s="747">
        <v>114</v>
      </c>
      <c r="AR877" s="709"/>
      <c r="AS877" s="763">
        <v>0</v>
      </c>
      <c r="AT877" s="763">
        <v>0</v>
      </c>
      <c r="AU877" s="763">
        <v>0</v>
      </c>
      <c r="AV877" s="763">
        <v>5.3338706407559396E-2</v>
      </c>
      <c r="AW877" s="763">
        <v>5.3338706407559396E-2</v>
      </c>
      <c r="AX877" s="763">
        <v>5.3338706407559396E-2</v>
      </c>
      <c r="AY877" s="763">
        <v>1.6843802023439807E-2</v>
      </c>
      <c r="AZ877" s="763">
        <v>1.6843802023439807E-2</v>
      </c>
      <c r="BA877" s="763">
        <v>1.6843802023439807E-2</v>
      </c>
      <c r="BB877" s="763">
        <v>1.6843802023439807E-2</v>
      </c>
      <c r="BC877" s="763">
        <v>1.6843802023439807E-2</v>
      </c>
      <c r="BD877" s="763">
        <v>1.6843802023439807E-2</v>
      </c>
      <c r="BE877" s="763">
        <v>1.6843802023439807E-2</v>
      </c>
      <c r="BF877" s="763">
        <v>1.6843802023439807E-2</v>
      </c>
      <c r="BG877" s="763">
        <v>1.6843802023439807E-2</v>
      </c>
      <c r="BH877" s="763">
        <v>0</v>
      </c>
      <c r="BI877" s="763">
        <v>0</v>
      </c>
      <c r="BJ877" s="763">
        <v>0</v>
      </c>
      <c r="BK877" s="763">
        <v>0</v>
      </c>
      <c r="BL877" s="763">
        <v>0</v>
      </c>
      <c r="BM877" s="763">
        <v>0</v>
      </c>
      <c r="BN877" s="763">
        <v>0</v>
      </c>
      <c r="BO877" s="763">
        <v>0</v>
      </c>
      <c r="BP877" s="763">
        <v>0</v>
      </c>
      <c r="BQ877" s="763">
        <v>0</v>
      </c>
      <c r="BR877" s="763">
        <v>0</v>
      </c>
      <c r="BS877" s="762">
        <v>0</v>
      </c>
      <c r="BT877" s="762">
        <v>0</v>
      </c>
      <c r="BU877" s="762">
        <v>0</v>
      </c>
      <c r="BV877" s="762">
        <v>191.45746126837994</v>
      </c>
      <c r="BW877" s="762">
        <v>191.45746126837994</v>
      </c>
      <c r="BX877" s="762">
        <v>191.45746126837994</v>
      </c>
      <c r="BY877" s="762">
        <v>60.460250926856823</v>
      </c>
      <c r="BZ877" s="762">
        <v>60.460250926856823</v>
      </c>
      <c r="CA877" s="762">
        <v>60.460250926856823</v>
      </c>
      <c r="CB877" s="762">
        <v>60.460250926856823</v>
      </c>
      <c r="CC877" s="762">
        <v>60.460250926856823</v>
      </c>
      <c r="CD877" s="762">
        <v>60.460250926856823</v>
      </c>
      <c r="CE877" s="762">
        <v>60.460250926856823</v>
      </c>
      <c r="CF877" s="762">
        <v>60.460250926856823</v>
      </c>
      <c r="CG877" s="762">
        <v>60.460250926856823</v>
      </c>
      <c r="CH877" s="762">
        <v>0</v>
      </c>
      <c r="CI877" s="762">
        <v>0</v>
      </c>
      <c r="CJ877" s="762">
        <v>0</v>
      </c>
      <c r="CK877" s="762">
        <v>0</v>
      </c>
      <c r="CL877" s="762">
        <v>0</v>
      </c>
      <c r="CM877" s="762">
        <v>0</v>
      </c>
      <c r="CN877" s="762">
        <v>0</v>
      </c>
      <c r="CO877" s="762">
        <v>0</v>
      </c>
      <c r="CP877" s="762">
        <v>0</v>
      </c>
      <c r="CQ877" s="762">
        <v>0</v>
      </c>
      <c r="CR877" s="762">
        <v>0</v>
      </c>
    </row>
    <row r="878" spans="1:96" s="53" customFormat="1">
      <c r="A878" s="721" t="s">
        <v>3</v>
      </c>
      <c r="B878" s="723">
        <v>41889</v>
      </c>
      <c r="C878" s="721">
        <v>2014</v>
      </c>
      <c r="D878" s="713" t="s">
        <v>1</v>
      </c>
      <c r="E878" s="713" t="s">
        <v>674</v>
      </c>
      <c r="F878" s="723" t="s">
        <v>123</v>
      </c>
      <c r="G878" s="713" t="s">
        <v>58</v>
      </c>
      <c r="H878" s="723" t="s">
        <v>675</v>
      </c>
      <c r="I878" s="713" t="s">
        <v>5</v>
      </c>
      <c r="J878" s="713" t="s">
        <v>376</v>
      </c>
      <c r="K878" s="766">
        <v>3</v>
      </c>
      <c r="L878" s="766" t="s">
        <v>671</v>
      </c>
      <c r="M878" s="765" t="s">
        <v>737</v>
      </c>
      <c r="N878" s="765">
        <v>12</v>
      </c>
      <c r="O878" s="765">
        <v>3</v>
      </c>
      <c r="P878" s="735">
        <v>0.36842105263157893</v>
      </c>
      <c r="Q878" s="713" t="s">
        <v>58</v>
      </c>
      <c r="R878" s="713" t="s">
        <v>58</v>
      </c>
      <c r="S878" s="713" t="s">
        <v>58</v>
      </c>
      <c r="T878" s="713" t="s">
        <v>58</v>
      </c>
      <c r="U878" s="764">
        <v>0.17699999999999999</v>
      </c>
      <c r="V878" s="764">
        <v>603.57000000000005</v>
      </c>
      <c r="W878" s="764">
        <v>0.13882296190820909</v>
      </c>
      <c r="X878" s="764">
        <v>498.6556439371804</v>
      </c>
      <c r="Y878" s="764">
        <v>3149.4040669716655</v>
      </c>
      <c r="Z878" s="764">
        <v>2972.6290039037935</v>
      </c>
      <c r="AA878" s="764">
        <v>470.66625895143397</v>
      </c>
      <c r="AB878" s="764">
        <v>0.1311243199185835</v>
      </c>
      <c r="AC878" s="714">
        <v>0.82617698682369967</v>
      </c>
      <c r="AD878" s="714">
        <v>0.7843105192554185</v>
      </c>
      <c r="AE878" s="713" t="s">
        <v>58</v>
      </c>
      <c r="AF878" s="713" t="s">
        <v>58</v>
      </c>
      <c r="AG878" s="713" t="s">
        <v>58</v>
      </c>
      <c r="AH878" s="714">
        <v>0.94387031345969796</v>
      </c>
      <c r="AI878" s="713" t="s">
        <v>58</v>
      </c>
      <c r="AJ878" s="713" t="s">
        <v>58</v>
      </c>
      <c r="AK878" s="713" t="s">
        <v>58</v>
      </c>
      <c r="AL878" s="714">
        <v>0.94454345387965444</v>
      </c>
      <c r="AM878" s="713" t="s">
        <v>58</v>
      </c>
      <c r="AN878" s="713" t="s">
        <v>58</v>
      </c>
      <c r="AO878" s="713" t="s">
        <v>58</v>
      </c>
      <c r="AP878" s="747">
        <v>73</v>
      </c>
      <c r="AQ878" s="747">
        <v>219</v>
      </c>
      <c r="AR878" s="709"/>
      <c r="AS878" s="763">
        <v>0</v>
      </c>
      <c r="AT878" s="763">
        <v>0</v>
      </c>
      <c r="AU878" s="763">
        <v>0</v>
      </c>
      <c r="AV878" s="763">
        <v>0.1311243199185835</v>
      </c>
      <c r="AW878" s="763">
        <v>0.1311243199185835</v>
      </c>
      <c r="AX878" s="763">
        <v>0.1311243199185835</v>
      </c>
      <c r="AY878" s="763">
        <v>4.8308959970004443E-2</v>
      </c>
      <c r="AZ878" s="763">
        <v>4.8308959970004443E-2</v>
      </c>
      <c r="BA878" s="763">
        <v>4.8308959970004443E-2</v>
      </c>
      <c r="BB878" s="763">
        <v>4.8308959970004443E-2</v>
      </c>
      <c r="BC878" s="763">
        <v>4.8308959970004443E-2</v>
      </c>
      <c r="BD878" s="763">
        <v>4.8308959970004443E-2</v>
      </c>
      <c r="BE878" s="763">
        <v>4.8308959970004443E-2</v>
      </c>
      <c r="BF878" s="763">
        <v>4.8308959970004443E-2</v>
      </c>
      <c r="BG878" s="763">
        <v>4.8308959970004443E-2</v>
      </c>
      <c r="BH878" s="763">
        <v>0</v>
      </c>
      <c r="BI878" s="763">
        <v>0</v>
      </c>
      <c r="BJ878" s="763">
        <v>0</v>
      </c>
      <c r="BK878" s="763">
        <v>0</v>
      </c>
      <c r="BL878" s="763">
        <v>0</v>
      </c>
      <c r="BM878" s="763">
        <v>0</v>
      </c>
      <c r="BN878" s="763">
        <v>0</v>
      </c>
      <c r="BO878" s="763">
        <v>0</v>
      </c>
      <c r="BP878" s="763">
        <v>0</v>
      </c>
      <c r="BQ878" s="763">
        <v>0</v>
      </c>
      <c r="BR878" s="763">
        <v>0</v>
      </c>
      <c r="BS878" s="762">
        <v>0</v>
      </c>
      <c r="BT878" s="762">
        <v>0</v>
      </c>
      <c r="BU878" s="762">
        <v>0</v>
      </c>
      <c r="BV878" s="762">
        <v>470.66625895143397</v>
      </c>
      <c r="BW878" s="762">
        <v>470.66625895143397</v>
      </c>
      <c r="BX878" s="762">
        <v>470.66625895143397</v>
      </c>
      <c r="BY878" s="762">
        <v>173.4033585610546</v>
      </c>
      <c r="BZ878" s="762">
        <v>173.4033585610546</v>
      </c>
      <c r="CA878" s="762">
        <v>173.4033585610546</v>
      </c>
      <c r="CB878" s="762">
        <v>173.4033585610546</v>
      </c>
      <c r="CC878" s="762">
        <v>173.4033585610546</v>
      </c>
      <c r="CD878" s="762">
        <v>173.4033585610546</v>
      </c>
      <c r="CE878" s="762">
        <v>173.4033585610546</v>
      </c>
      <c r="CF878" s="762">
        <v>173.4033585610546</v>
      </c>
      <c r="CG878" s="762">
        <v>173.4033585610546</v>
      </c>
      <c r="CH878" s="762">
        <v>0</v>
      </c>
      <c r="CI878" s="762">
        <v>0</v>
      </c>
      <c r="CJ878" s="762">
        <v>0</v>
      </c>
      <c r="CK878" s="762">
        <v>0</v>
      </c>
      <c r="CL878" s="762">
        <v>0</v>
      </c>
      <c r="CM878" s="762">
        <v>0</v>
      </c>
      <c r="CN878" s="762">
        <v>0</v>
      </c>
      <c r="CO878" s="762">
        <v>0</v>
      </c>
      <c r="CP878" s="762">
        <v>0</v>
      </c>
      <c r="CQ878" s="762">
        <v>0</v>
      </c>
      <c r="CR878" s="762">
        <v>0</v>
      </c>
    </row>
    <row r="879" spans="1:96" s="53" customFormat="1">
      <c r="A879" s="721" t="s">
        <v>3</v>
      </c>
      <c r="B879" s="723">
        <v>41889</v>
      </c>
      <c r="C879" s="721">
        <v>2014</v>
      </c>
      <c r="D879" s="713" t="s">
        <v>1</v>
      </c>
      <c r="E879" s="713" t="s">
        <v>674</v>
      </c>
      <c r="F879" s="723" t="s">
        <v>123</v>
      </c>
      <c r="G879" s="713" t="s">
        <v>58</v>
      </c>
      <c r="H879" s="723" t="s">
        <v>675</v>
      </c>
      <c r="I879" s="713" t="s">
        <v>5</v>
      </c>
      <c r="J879" s="713" t="s">
        <v>376</v>
      </c>
      <c r="K879" s="766">
        <v>5</v>
      </c>
      <c r="L879" s="766" t="s">
        <v>671</v>
      </c>
      <c r="M879" s="765" t="s">
        <v>737</v>
      </c>
      <c r="N879" s="765">
        <v>12</v>
      </c>
      <c r="O879" s="765">
        <v>3</v>
      </c>
      <c r="P879" s="735">
        <v>0.36842105263157893</v>
      </c>
      <c r="Q879" s="713" t="s">
        <v>58</v>
      </c>
      <c r="R879" s="713" t="s">
        <v>58</v>
      </c>
      <c r="S879" s="713" t="s">
        <v>58</v>
      </c>
      <c r="T879" s="713" t="s">
        <v>58</v>
      </c>
      <c r="U879" s="764">
        <v>0.29499999999999998</v>
      </c>
      <c r="V879" s="764">
        <v>1005.95</v>
      </c>
      <c r="W879" s="764">
        <v>0.23137160318034847</v>
      </c>
      <c r="X879" s="764">
        <v>831.09273989530061</v>
      </c>
      <c r="Y879" s="764">
        <v>5249.0067782861088</v>
      </c>
      <c r="Z879" s="764">
        <v>4954.3816731729885</v>
      </c>
      <c r="AA879" s="764">
        <v>784.44376491905666</v>
      </c>
      <c r="AB879" s="764">
        <v>0.21854053319763919</v>
      </c>
      <c r="AC879" s="714">
        <v>0.82617698682369967</v>
      </c>
      <c r="AD879" s="714">
        <v>0.7843105192554185</v>
      </c>
      <c r="AE879" s="713" t="s">
        <v>58</v>
      </c>
      <c r="AF879" s="713" t="s">
        <v>58</v>
      </c>
      <c r="AG879" s="713" t="s">
        <v>58</v>
      </c>
      <c r="AH879" s="714">
        <v>0.94387031345969796</v>
      </c>
      <c r="AI879" s="713" t="s">
        <v>58</v>
      </c>
      <c r="AJ879" s="713" t="s">
        <v>58</v>
      </c>
      <c r="AK879" s="713" t="s">
        <v>58</v>
      </c>
      <c r="AL879" s="714">
        <v>0.94454345387965444</v>
      </c>
      <c r="AM879" s="713" t="s">
        <v>58</v>
      </c>
      <c r="AN879" s="713" t="s">
        <v>58</v>
      </c>
      <c r="AO879" s="713" t="s">
        <v>58</v>
      </c>
      <c r="AP879" s="747">
        <v>73</v>
      </c>
      <c r="AQ879" s="747">
        <v>365</v>
      </c>
      <c r="AR879" s="709"/>
      <c r="AS879" s="763">
        <v>0</v>
      </c>
      <c r="AT879" s="763">
        <v>0</v>
      </c>
      <c r="AU879" s="763">
        <v>0</v>
      </c>
      <c r="AV879" s="763">
        <v>0.21854053319763919</v>
      </c>
      <c r="AW879" s="763">
        <v>0.21854053319763919</v>
      </c>
      <c r="AX879" s="763">
        <v>0.21854053319763919</v>
      </c>
      <c r="AY879" s="763">
        <v>8.0514933283340751E-2</v>
      </c>
      <c r="AZ879" s="763">
        <v>8.0514933283340751E-2</v>
      </c>
      <c r="BA879" s="763">
        <v>8.0514933283340751E-2</v>
      </c>
      <c r="BB879" s="763">
        <v>8.0514933283340751E-2</v>
      </c>
      <c r="BC879" s="763">
        <v>8.0514933283340751E-2</v>
      </c>
      <c r="BD879" s="763">
        <v>8.0514933283340751E-2</v>
      </c>
      <c r="BE879" s="763">
        <v>8.0514933283340751E-2</v>
      </c>
      <c r="BF879" s="763">
        <v>8.0514933283340751E-2</v>
      </c>
      <c r="BG879" s="763">
        <v>8.0514933283340751E-2</v>
      </c>
      <c r="BH879" s="763">
        <v>0</v>
      </c>
      <c r="BI879" s="763">
        <v>0</v>
      </c>
      <c r="BJ879" s="763">
        <v>0</v>
      </c>
      <c r="BK879" s="763">
        <v>0</v>
      </c>
      <c r="BL879" s="763">
        <v>0</v>
      </c>
      <c r="BM879" s="763">
        <v>0</v>
      </c>
      <c r="BN879" s="763">
        <v>0</v>
      </c>
      <c r="BO879" s="763">
        <v>0</v>
      </c>
      <c r="BP879" s="763">
        <v>0</v>
      </c>
      <c r="BQ879" s="763">
        <v>0</v>
      </c>
      <c r="BR879" s="763">
        <v>0</v>
      </c>
      <c r="BS879" s="762">
        <v>0</v>
      </c>
      <c r="BT879" s="762">
        <v>0</v>
      </c>
      <c r="BU879" s="762">
        <v>0</v>
      </c>
      <c r="BV879" s="762">
        <v>784.44376491905666</v>
      </c>
      <c r="BW879" s="762">
        <v>784.44376491905666</v>
      </c>
      <c r="BX879" s="762">
        <v>784.44376491905666</v>
      </c>
      <c r="BY879" s="762">
        <v>289.0055976017577</v>
      </c>
      <c r="BZ879" s="762">
        <v>289.0055976017577</v>
      </c>
      <c r="CA879" s="762">
        <v>289.0055976017577</v>
      </c>
      <c r="CB879" s="762">
        <v>289.0055976017577</v>
      </c>
      <c r="CC879" s="762">
        <v>289.0055976017577</v>
      </c>
      <c r="CD879" s="762">
        <v>289.0055976017577</v>
      </c>
      <c r="CE879" s="762">
        <v>289.0055976017577</v>
      </c>
      <c r="CF879" s="762">
        <v>289.0055976017577</v>
      </c>
      <c r="CG879" s="762">
        <v>289.0055976017577</v>
      </c>
      <c r="CH879" s="762">
        <v>0</v>
      </c>
      <c r="CI879" s="762">
        <v>0</v>
      </c>
      <c r="CJ879" s="762">
        <v>0</v>
      </c>
      <c r="CK879" s="762">
        <v>0</v>
      </c>
      <c r="CL879" s="762">
        <v>0</v>
      </c>
      <c r="CM879" s="762">
        <v>0</v>
      </c>
      <c r="CN879" s="762">
        <v>0</v>
      </c>
      <c r="CO879" s="762">
        <v>0</v>
      </c>
      <c r="CP879" s="762">
        <v>0</v>
      </c>
      <c r="CQ879" s="762">
        <v>0</v>
      </c>
      <c r="CR879" s="762">
        <v>0</v>
      </c>
    </row>
    <row r="880" spans="1:96" s="53" customFormat="1">
      <c r="A880" s="721" t="s">
        <v>3</v>
      </c>
      <c r="B880" s="723">
        <v>41803</v>
      </c>
      <c r="C880" s="721">
        <v>2014</v>
      </c>
      <c r="D880" s="713" t="s">
        <v>1</v>
      </c>
      <c r="E880" s="713" t="s">
        <v>674</v>
      </c>
      <c r="F880" s="723" t="s">
        <v>681</v>
      </c>
      <c r="G880" s="713" t="s">
        <v>58</v>
      </c>
      <c r="H880" s="723" t="s">
        <v>678</v>
      </c>
      <c r="I880" s="713" t="s">
        <v>5</v>
      </c>
      <c r="J880" s="713" t="s">
        <v>376</v>
      </c>
      <c r="K880" s="766">
        <v>1</v>
      </c>
      <c r="L880" s="766" t="s">
        <v>671</v>
      </c>
      <c r="M880" s="765" t="s">
        <v>736</v>
      </c>
      <c r="N880" s="765">
        <v>3</v>
      </c>
      <c r="O880" s="765">
        <v>2</v>
      </c>
      <c r="P880" s="735">
        <v>0.6149863305954828</v>
      </c>
      <c r="Q880" s="713" t="s">
        <v>58</v>
      </c>
      <c r="R880" s="713" t="s">
        <v>58</v>
      </c>
      <c r="S880" s="713" t="s">
        <v>58</v>
      </c>
      <c r="T880" s="713" t="s">
        <v>58</v>
      </c>
      <c r="U880" s="764">
        <v>4.7E-2</v>
      </c>
      <c r="V880" s="764">
        <v>174.887</v>
      </c>
      <c r="W880" s="764">
        <v>3.6862594405004674E-2</v>
      </c>
      <c r="X880" s="764">
        <v>144.48761469463636</v>
      </c>
      <c r="Y880" s="764">
        <v>377.83313736682112</v>
      </c>
      <c r="Z880" s="764">
        <v>356.62548180188259</v>
      </c>
      <c r="AA880" s="764">
        <v>136.37757017287049</v>
      </c>
      <c r="AB880" s="764">
        <v>3.4818322238267939E-2</v>
      </c>
      <c r="AC880" s="714">
        <v>0.82617698682369967</v>
      </c>
      <c r="AD880" s="714">
        <v>0.7843105192554185</v>
      </c>
      <c r="AE880" s="713" t="s">
        <v>58</v>
      </c>
      <c r="AF880" s="713" t="s">
        <v>58</v>
      </c>
      <c r="AG880" s="713" t="s">
        <v>58</v>
      </c>
      <c r="AH880" s="714">
        <v>0.94387031345969796</v>
      </c>
      <c r="AI880" s="713" t="s">
        <v>58</v>
      </c>
      <c r="AJ880" s="713" t="s">
        <v>58</v>
      </c>
      <c r="AK880" s="713" t="s">
        <v>58</v>
      </c>
      <c r="AL880" s="714">
        <v>0.94454345387965444</v>
      </c>
      <c r="AM880" s="713" t="s">
        <v>58</v>
      </c>
      <c r="AN880" s="713" t="s">
        <v>58</v>
      </c>
      <c r="AO880" s="713" t="s">
        <v>58</v>
      </c>
      <c r="AP880" s="747">
        <v>8</v>
      </c>
      <c r="AQ880" s="747">
        <v>8</v>
      </c>
      <c r="AR880" s="709"/>
      <c r="AS880" s="763">
        <v>0</v>
      </c>
      <c r="AT880" s="763">
        <v>0</v>
      </c>
      <c r="AU880" s="763">
        <v>0</v>
      </c>
      <c r="AV880" s="763">
        <v>3.4818322238267939E-2</v>
      </c>
      <c r="AW880" s="763">
        <v>3.4818322238267939E-2</v>
      </c>
      <c r="AX880" s="763">
        <v>2.1412792230803498E-2</v>
      </c>
      <c r="AY880" s="763">
        <v>0</v>
      </c>
      <c r="AZ880" s="763">
        <v>0</v>
      </c>
      <c r="BA880" s="763">
        <v>0</v>
      </c>
      <c r="BB880" s="763">
        <v>0</v>
      </c>
      <c r="BC880" s="763">
        <v>0</v>
      </c>
      <c r="BD880" s="763">
        <v>0</v>
      </c>
      <c r="BE880" s="763">
        <v>0</v>
      </c>
      <c r="BF880" s="763">
        <v>0</v>
      </c>
      <c r="BG880" s="763">
        <v>0</v>
      </c>
      <c r="BH880" s="763">
        <v>0</v>
      </c>
      <c r="BI880" s="763">
        <v>0</v>
      </c>
      <c r="BJ880" s="763">
        <v>0</v>
      </c>
      <c r="BK880" s="763">
        <v>0</v>
      </c>
      <c r="BL880" s="763">
        <v>0</v>
      </c>
      <c r="BM880" s="763">
        <v>0</v>
      </c>
      <c r="BN880" s="763">
        <v>0</v>
      </c>
      <c r="BO880" s="763">
        <v>0</v>
      </c>
      <c r="BP880" s="763">
        <v>0</v>
      </c>
      <c r="BQ880" s="763">
        <v>0</v>
      </c>
      <c r="BR880" s="763">
        <v>0</v>
      </c>
      <c r="BS880" s="762">
        <v>0</v>
      </c>
      <c r="BT880" s="762">
        <v>0</v>
      </c>
      <c r="BU880" s="762">
        <v>0</v>
      </c>
      <c r="BV880" s="762">
        <v>136.37757017287049</v>
      </c>
      <c r="BW880" s="762">
        <v>136.37757017287049</v>
      </c>
      <c r="BX880" s="762">
        <v>83.870341456141588</v>
      </c>
      <c r="BY880" s="762">
        <v>0</v>
      </c>
      <c r="BZ880" s="762">
        <v>0</v>
      </c>
      <c r="CA880" s="762">
        <v>0</v>
      </c>
      <c r="CB880" s="762">
        <v>0</v>
      </c>
      <c r="CC880" s="762">
        <v>0</v>
      </c>
      <c r="CD880" s="762">
        <v>0</v>
      </c>
      <c r="CE880" s="762">
        <v>0</v>
      </c>
      <c r="CF880" s="762">
        <v>0</v>
      </c>
      <c r="CG880" s="762">
        <v>0</v>
      </c>
      <c r="CH880" s="762">
        <v>0</v>
      </c>
      <c r="CI880" s="762">
        <v>0</v>
      </c>
      <c r="CJ880" s="762">
        <v>0</v>
      </c>
      <c r="CK880" s="762">
        <v>0</v>
      </c>
      <c r="CL880" s="762">
        <v>0</v>
      </c>
      <c r="CM880" s="762">
        <v>0</v>
      </c>
      <c r="CN880" s="762">
        <v>0</v>
      </c>
      <c r="CO880" s="762">
        <v>0</v>
      </c>
      <c r="CP880" s="762">
        <v>0</v>
      </c>
      <c r="CQ880" s="762">
        <v>0</v>
      </c>
      <c r="CR880" s="762">
        <v>0</v>
      </c>
    </row>
    <row r="881" spans="1:96" s="53" customFormat="1">
      <c r="A881" s="721" t="s">
        <v>3</v>
      </c>
      <c r="B881" s="723">
        <v>41803</v>
      </c>
      <c r="C881" s="721">
        <v>2014</v>
      </c>
      <c r="D881" s="713" t="s">
        <v>1</v>
      </c>
      <c r="E881" s="713" t="s">
        <v>674</v>
      </c>
      <c r="F881" s="723" t="s">
        <v>681</v>
      </c>
      <c r="G881" s="713" t="s">
        <v>58</v>
      </c>
      <c r="H881" s="723" t="s">
        <v>677</v>
      </c>
      <c r="I881" s="713" t="s">
        <v>5</v>
      </c>
      <c r="J881" s="713" t="s">
        <v>376</v>
      </c>
      <c r="K881" s="766">
        <v>1</v>
      </c>
      <c r="L881" s="766" t="s">
        <v>671</v>
      </c>
      <c r="M881" s="765" t="s">
        <v>736</v>
      </c>
      <c r="N881" s="765">
        <v>0</v>
      </c>
      <c r="O881" s="765">
        <v>0</v>
      </c>
      <c r="P881" s="735">
        <v>0</v>
      </c>
      <c r="Q881" s="713" t="s">
        <v>58</v>
      </c>
      <c r="R881" s="713" t="s">
        <v>58</v>
      </c>
      <c r="S881" s="713" t="s">
        <v>58</v>
      </c>
      <c r="T881" s="713" t="s">
        <v>58</v>
      </c>
      <c r="U881" s="764">
        <v>0</v>
      </c>
      <c r="V881" s="764">
        <v>0</v>
      </c>
      <c r="W881" s="764">
        <v>0</v>
      </c>
      <c r="X881" s="764">
        <v>0</v>
      </c>
      <c r="Y881" s="764">
        <v>0</v>
      </c>
      <c r="Z881" s="764">
        <v>0</v>
      </c>
      <c r="AA881" s="764">
        <v>0</v>
      </c>
      <c r="AB881" s="764">
        <v>0</v>
      </c>
      <c r="AC881" s="714">
        <v>0.82617698682369967</v>
      </c>
      <c r="AD881" s="714">
        <v>0.7843105192554185</v>
      </c>
      <c r="AE881" s="713" t="s">
        <v>58</v>
      </c>
      <c r="AF881" s="713" t="s">
        <v>58</v>
      </c>
      <c r="AG881" s="713" t="s">
        <v>58</v>
      </c>
      <c r="AH881" s="714">
        <v>0.94387031345969796</v>
      </c>
      <c r="AI881" s="713" t="s">
        <v>58</v>
      </c>
      <c r="AJ881" s="713" t="s">
        <v>58</v>
      </c>
      <c r="AK881" s="713" t="s">
        <v>58</v>
      </c>
      <c r="AL881" s="714">
        <v>0.94454345387965444</v>
      </c>
      <c r="AM881" s="713" t="s">
        <v>58</v>
      </c>
      <c r="AN881" s="713" t="s">
        <v>58</v>
      </c>
      <c r="AO881" s="713" t="s">
        <v>58</v>
      </c>
      <c r="AP881" s="747">
        <v>51</v>
      </c>
      <c r="AQ881" s="747">
        <v>51</v>
      </c>
      <c r="AR881" s="709"/>
      <c r="AS881" s="763">
        <v>0</v>
      </c>
      <c r="AT881" s="763">
        <v>0</v>
      </c>
      <c r="AU881" s="763">
        <v>0</v>
      </c>
      <c r="AV881" s="763">
        <v>0</v>
      </c>
      <c r="AW881" s="763">
        <v>0</v>
      </c>
      <c r="AX881" s="763">
        <v>0</v>
      </c>
      <c r="AY881" s="763">
        <v>0</v>
      </c>
      <c r="AZ881" s="763">
        <v>0</v>
      </c>
      <c r="BA881" s="763">
        <v>0</v>
      </c>
      <c r="BB881" s="763">
        <v>0</v>
      </c>
      <c r="BC881" s="763">
        <v>0</v>
      </c>
      <c r="BD881" s="763">
        <v>0</v>
      </c>
      <c r="BE881" s="763">
        <v>0</v>
      </c>
      <c r="BF881" s="763">
        <v>0</v>
      </c>
      <c r="BG881" s="763">
        <v>0</v>
      </c>
      <c r="BH881" s="763">
        <v>0</v>
      </c>
      <c r="BI881" s="763">
        <v>0</v>
      </c>
      <c r="BJ881" s="763">
        <v>0</v>
      </c>
      <c r="BK881" s="763">
        <v>0</v>
      </c>
      <c r="BL881" s="763">
        <v>0</v>
      </c>
      <c r="BM881" s="763">
        <v>0</v>
      </c>
      <c r="BN881" s="763">
        <v>0</v>
      </c>
      <c r="BO881" s="763">
        <v>0</v>
      </c>
      <c r="BP881" s="763">
        <v>0</v>
      </c>
      <c r="BQ881" s="763">
        <v>0</v>
      </c>
      <c r="BR881" s="763">
        <v>0</v>
      </c>
      <c r="BS881" s="762">
        <v>0</v>
      </c>
      <c r="BT881" s="762">
        <v>0</v>
      </c>
      <c r="BU881" s="762">
        <v>0</v>
      </c>
      <c r="BV881" s="762">
        <v>0</v>
      </c>
      <c r="BW881" s="762">
        <v>0</v>
      </c>
      <c r="BX881" s="762">
        <v>0</v>
      </c>
      <c r="BY881" s="762">
        <v>0</v>
      </c>
      <c r="BZ881" s="762">
        <v>0</v>
      </c>
      <c r="CA881" s="762">
        <v>0</v>
      </c>
      <c r="CB881" s="762">
        <v>0</v>
      </c>
      <c r="CC881" s="762">
        <v>0</v>
      </c>
      <c r="CD881" s="762">
        <v>0</v>
      </c>
      <c r="CE881" s="762">
        <v>0</v>
      </c>
      <c r="CF881" s="762">
        <v>0</v>
      </c>
      <c r="CG881" s="762">
        <v>0</v>
      </c>
      <c r="CH881" s="762">
        <v>0</v>
      </c>
      <c r="CI881" s="762">
        <v>0</v>
      </c>
      <c r="CJ881" s="762">
        <v>0</v>
      </c>
      <c r="CK881" s="762">
        <v>0</v>
      </c>
      <c r="CL881" s="762">
        <v>0</v>
      </c>
      <c r="CM881" s="762">
        <v>0</v>
      </c>
      <c r="CN881" s="762">
        <v>0</v>
      </c>
      <c r="CO881" s="762">
        <v>0</v>
      </c>
      <c r="CP881" s="762">
        <v>0</v>
      </c>
      <c r="CQ881" s="762">
        <v>0</v>
      </c>
      <c r="CR881" s="762">
        <v>0</v>
      </c>
    </row>
    <row r="882" spans="1:96" s="53" customFormat="1">
      <c r="A882" s="721" t="s">
        <v>3</v>
      </c>
      <c r="B882" s="723">
        <v>41803</v>
      </c>
      <c r="C882" s="721">
        <v>2014</v>
      </c>
      <c r="D882" s="713" t="s">
        <v>1</v>
      </c>
      <c r="E882" s="713" t="s">
        <v>674</v>
      </c>
      <c r="F882" s="723" t="s">
        <v>681</v>
      </c>
      <c r="G882" s="713" t="s">
        <v>58</v>
      </c>
      <c r="H882" s="723" t="s">
        <v>693</v>
      </c>
      <c r="I882" s="713" t="s">
        <v>5</v>
      </c>
      <c r="J882" s="713" t="s">
        <v>376</v>
      </c>
      <c r="K882" s="766">
        <v>27</v>
      </c>
      <c r="L882" s="766" t="s">
        <v>671</v>
      </c>
      <c r="M882" s="765" t="s">
        <v>736</v>
      </c>
      <c r="N882" s="765">
        <v>11</v>
      </c>
      <c r="O882" s="765" t="s">
        <v>7</v>
      </c>
      <c r="P882" s="735">
        <v>1</v>
      </c>
      <c r="Q882" s="713" t="s">
        <v>58</v>
      </c>
      <c r="R882" s="713" t="s">
        <v>58</v>
      </c>
      <c r="S882" s="713" t="s">
        <v>58</v>
      </c>
      <c r="T882" s="713" t="s">
        <v>58</v>
      </c>
      <c r="U882" s="764">
        <v>1.9305000000000001</v>
      </c>
      <c r="V882" s="764">
        <v>7183.3905000000004</v>
      </c>
      <c r="W882" s="764">
        <v>1.5141114574225858</v>
      </c>
      <c r="X882" s="764">
        <v>5934.7519184679895</v>
      </c>
      <c r="Y882" s="764">
        <v>65282.271103147883</v>
      </c>
      <c r="Z882" s="764">
        <v>61617.997689489173</v>
      </c>
      <c r="AA882" s="764">
        <v>5601.636153589925</v>
      </c>
      <c r="AB882" s="764">
        <v>1.4301440655526865</v>
      </c>
      <c r="AC882" s="714">
        <v>0.82617698682369967</v>
      </c>
      <c r="AD882" s="714">
        <v>0.7843105192554185</v>
      </c>
      <c r="AE882" s="713" t="s">
        <v>58</v>
      </c>
      <c r="AF882" s="713" t="s">
        <v>58</v>
      </c>
      <c r="AG882" s="713" t="s">
        <v>58</v>
      </c>
      <c r="AH882" s="714">
        <v>0.94387031345969796</v>
      </c>
      <c r="AI882" s="713" t="s">
        <v>58</v>
      </c>
      <c r="AJ882" s="713" t="s">
        <v>58</v>
      </c>
      <c r="AK882" s="713" t="s">
        <v>58</v>
      </c>
      <c r="AL882" s="714">
        <v>0.94454345387965444</v>
      </c>
      <c r="AM882" s="713" t="s">
        <v>58</v>
      </c>
      <c r="AN882" s="713" t="s">
        <v>58</v>
      </c>
      <c r="AO882" s="713" t="s">
        <v>58</v>
      </c>
      <c r="AP882" s="747">
        <v>52</v>
      </c>
      <c r="AQ882" s="747">
        <v>1404</v>
      </c>
      <c r="AR882" s="709"/>
      <c r="AS882" s="763">
        <v>0</v>
      </c>
      <c r="AT882" s="763">
        <v>0</v>
      </c>
      <c r="AU882" s="763">
        <v>0</v>
      </c>
      <c r="AV882" s="763">
        <v>1.4301440655526865</v>
      </c>
      <c r="AW882" s="763">
        <v>1.4301440655526865</v>
      </c>
      <c r="AX882" s="763">
        <v>1.4301440655526865</v>
      </c>
      <c r="AY882" s="763">
        <v>1.4301440655526865</v>
      </c>
      <c r="AZ882" s="763">
        <v>1.4301440655526865</v>
      </c>
      <c r="BA882" s="763">
        <v>1.4301440655526865</v>
      </c>
      <c r="BB882" s="763">
        <v>1.4301440655526865</v>
      </c>
      <c r="BC882" s="763">
        <v>1.4301440655526865</v>
      </c>
      <c r="BD882" s="763">
        <v>1.4301440655526865</v>
      </c>
      <c r="BE882" s="763">
        <v>1.4301440655526865</v>
      </c>
      <c r="BF882" s="763">
        <v>1.4301440655526865</v>
      </c>
      <c r="BG882" s="763">
        <v>0</v>
      </c>
      <c r="BH882" s="763">
        <v>0</v>
      </c>
      <c r="BI882" s="763">
        <v>0</v>
      </c>
      <c r="BJ882" s="763">
        <v>0</v>
      </c>
      <c r="BK882" s="763">
        <v>0</v>
      </c>
      <c r="BL882" s="763">
        <v>0</v>
      </c>
      <c r="BM882" s="763">
        <v>0</v>
      </c>
      <c r="BN882" s="763">
        <v>0</v>
      </c>
      <c r="BO882" s="763">
        <v>0</v>
      </c>
      <c r="BP882" s="763">
        <v>0</v>
      </c>
      <c r="BQ882" s="763">
        <v>0</v>
      </c>
      <c r="BR882" s="763">
        <v>0</v>
      </c>
      <c r="BS882" s="762">
        <v>0</v>
      </c>
      <c r="BT882" s="762">
        <v>0</v>
      </c>
      <c r="BU882" s="762">
        <v>0</v>
      </c>
      <c r="BV882" s="762">
        <v>5601.636153589925</v>
      </c>
      <c r="BW882" s="762">
        <v>5601.636153589925</v>
      </c>
      <c r="BX882" s="762">
        <v>5601.636153589925</v>
      </c>
      <c r="BY882" s="762">
        <v>5601.636153589925</v>
      </c>
      <c r="BZ882" s="762">
        <v>5601.636153589925</v>
      </c>
      <c r="CA882" s="762">
        <v>5601.636153589925</v>
      </c>
      <c r="CB882" s="762">
        <v>5601.636153589925</v>
      </c>
      <c r="CC882" s="762">
        <v>5601.636153589925</v>
      </c>
      <c r="CD882" s="762">
        <v>5601.636153589925</v>
      </c>
      <c r="CE882" s="762">
        <v>5601.636153589925</v>
      </c>
      <c r="CF882" s="762">
        <v>5601.636153589925</v>
      </c>
      <c r="CG882" s="762">
        <v>0</v>
      </c>
      <c r="CH882" s="762">
        <v>0</v>
      </c>
      <c r="CI882" s="762">
        <v>0</v>
      </c>
      <c r="CJ882" s="762">
        <v>0</v>
      </c>
      <c r="CK882" s="762">
        <v>0</v>
      </c>
      <c r="CL882" s="762">
        <v>0</v>
      </c>
      <c r="CM882" s="762">
        <v>0</v>
      </c>
      <c r="CN882" s="762">
        <v>0</v>
      </c>
      <c r="CO882" s="762">
        <v>0</v>
      </c>
      <c r="CP882" s="762">
        <v>0</v>
      </c>
      <c r="CQ882" s="762">
        <v>0</v>
      </c>
      <c r="CR882" s="762">
        <v>0</v>
      </c>
    </row>
    <row r="883" spans="1:96" s="53" customFormat="1">
      <c r="A883" s="721" t="s">
        <v>3</v>
      </c>
      <c r="B883" s="723">
        <v>41803</v>
      </c>
      <c r="C883" s="721">
        <v>2014</v>
      </c>
      <c r="D883" s="713" t="s">
        <v>1</v>
      </c>
      <c r="E883" s="713" t="s">
        <v>674</v>
      </c>
      <c r="F883" s="723" t="s">
        <v>681</v>
      </c>
      <c r="G883" s="713" t="s">
        <v>58</v>
      </c>
      <c r="H883" s="723" t="s">
        <v>693</v>
      </c>
      <c r="I883" s="713" t="s">
        <v>5</v>
      </c>
      <c r="J883" s="713" t="s">
        <v>376</v>
      </c>
      <c r="K883" s="766">
        <v>9</v>
      </c>
      <c r="L883" s="766" t="s">
        <v>671</v>
      </c>
      <c r="M883" s="765" t="s">
        <v>736</v>
      </c>
      <c r="N883" s="765">
        <v>11</v>
      </c>
      <c r="O883" s="765" t="s">
        <v>7</v>
      </c>
      <c r="P883" s="735">
        <v>1</v>
      </c>
      <c r="Q883" s="713" t="s">
        <v>58</v>
      </c>
      <c r="R883" s="713" t="s">
        <v>58</v>
      </c>
      <c r="S883" s="713" t="s">
        <v>58</v>
      </c>
      <c r="T883" s="713" t="s">
        <v>58</v>
      </c>
      <c r="U883" s="764">
        <v>0.64349999999999996</v>
      </c>
      <c r="V883" s="764">
        <v>2394.4634999999998</v>
      </c>
      <c r="W883" s="764">
        <v>0.50470381914086193</v>
      </c>
      <c r="X883" s="764">
        <v>1978.2506394893296</v>
      </c>
      <c r="Y883" s="764">
        <v>21760.757034382626</v>
      </c>
      <c r="Z883" s="764">
        <v>20539.332563163058</v>
      </c>
      <c r="AA883" s="764">
        <v>1867.2120511966416</v>
      </c>
      <c r="AB883" s="764">
        <v>0.47671468851756216</v>
      </c>
      <c r="AC883" s="714">
        <v>0.82617698682369967</v>
      </c>
      <c r="AD883" s="714">
        <v>0.7843105192554185</v>
      </c>
      <c r="AE883" s="713" t="s">
        <v>58</v>
      </c>
      <c r="AF883" s="713" t="s">
        <v>58</v>
      </c>
      <c r="AG883" s="713" t="s">
        <v>58</v>
      </c>
      <c r="AH883" s="714">
        <v>0.94387031345969796</v>
      </c>
      <c r="AI883" s="713" t="s">
        <v>58</v>
      </c>
      <c r="AJ883" s="713" t="s">
        <v>58</v>
      </c>
      <c r="AK883" s="713" t="s">
        <v>58</v>
      </c>
      <c r="AL883" s="714">
        <v>0.94454345387965444</v>
      </c>
      <c r="AM883" s="713" t="s">
        <v>58</v>
      </c>
      <c r="AN883" s="713" t="s">
        <v>58</v>
      </c>
      <c r="AO883" s="713" t="s">
        <v>58</v>
      </c>
      <c r="AP883" s="747">
        <v>20</v>
      </c>
      <c r="AQ883" s="747">
        <v>180</v>
      </c>
      <c r="AR883" s="709"/>
      <c r="AS883" s="763">
        <v>0</v>
      </c>
      <c r="AT883" s="763">
        <v>0</v>
      </c>
      <c r="AU883" s="763">
        <v>0</v>
      </c>
      <c r="AV883" s="763">
        <v>0.47671468851756216</v>
      </c>
      <c r="AW883" s="763">
        <v>0.47671468851756216</v>
      </c>
      <c r="AX883" s="763">
        <v>0.47671468851756216</v>
      </c>
      <c r="AY883" s="763">
        <v>0.47671468851756216</v>
      </c>
      <c r="AZ883" s="763">
        <v>0.47671468851756216</v>
      </c>
      <c r="BA883" s="763">
        <v>0.47671468851756216</v>
      </c>
      <c r="BB883" s="763">
        <v>0.47671468851756216</v>
      </c>
      <c r="BC883" s="763">
        <v>0.47671468851756216</v>
      </c>
      <c r="BD883" s="763">
        <v>0.47671468851756216</v>
      </c>
      <c r="BE883" s="763">
        <v>0.47671468851756216</v>
      </c>
      <c r="BF883" s="763">
        <v>0.47671468851756216</v>
      </c>
      <c r="BG883" s="763">
        <v>0</v>
      </c>
      <c r="BH883" s="763">
        <v>0</v>
      </c>
      <c r="BI883" s="763">
        <v>0</v>
      </c>
      <c r="BJ883" s="763">
        <v>0</v>
      </c>
      <c r="BK883" s="763">
        <v>0</v>
      </c>
      <c r="BL883" s="763">
        <v>0</v>
      </c>
      <c r="BM883" s="763">
        <v>0</v>
      </c>
      <c r="BN883" s="763">
        <v>0</v>
      </c>
      <c r="BO883" s="763">
        <v>0</v>
      </c>
      <c r="BP883" s="763">
        <v>0</v>
      </c>
      <c r="BQ883" s="763">
        <v>0</v>
      </c>
      <c r="BR883" s="763">
        <v>0</v>
      </c>
      <c r="BS883" s="762">
        <v>0</v>
      </c>
      <c r="BT883" s="762">
        <v>0</v>
      </c>
      <c r="BU883" s="762">
        <v>0</v>
      </c>
      <c r="BV883" s="762">
        <v>1867.2120511966416</v>
      </c>
      <c r="BW883" s="762">
        <v>1867.2120511966416</v>
      </c>
      <c r="BX883" s="762">
        <v>1867.2120511966416</v>
      </c>
      <c r="BY883" s="762">
        <v>1867.2120511966416</v>
      </c>
      <c r="BZ883" s="762">
        <v>1867.2120511966416</v>
      </c>
      <c r="CA883" s="762">
        <v>1867.2120511966416</v>
      </c>
      <c r="CB883" s="762">
        <v>1867.2120511966416</v>
      </c>
      <c r="CC883" s="762">
        <v>1867.2120511966416</v>
      </c>
      <c r="CD883" s="762">
        <v>1867.2120511966416</v>
      </c>
      <c r="CE883" s="762">
        <v>1867.2120511966416</v>
      </c>
      <c r="CF883" s="762">
        <v>1867.2120511966416</v>
      </c>
      <c r="CG883" s="762">
        <v>0</v>
      </c>
      <c r="CH883" s="762">
        <v>0</v>
      </c>
      <c r="CI883" s="762">
        <v>0</v>
      </c>
      <c r="CJ883" s="762">
        <v>0</v>
      </c>
      <c r="CK883" s="762">
        <v>0</v>
      </c>
      <c r="CL883" s="762">
        <v>0</v>
      </c>
      <c r="CM883" s="762">
        <v>0</v>
      </c>
      <c r="CN883" s="762">
        <v>0</v>
      </c>
      <c r="CO883" s="762">
        <v>0</v>
      </c>
      <c r="CP883" s="762">
        <v>0</v>
      </c>
      <c r="CQ883" s="762">
        <v>0</v>
      </c>
      <c r="CR883" s="762">
        <v>0</v>
      </c>
    </row>
    <row r="884" spans="1:96" s="53" customFormat="1">
      <c r="A884" s="721" t="s">
        <v>3</v>
      </c>
      <c r="B884" s="723">
        <v>41827</v>
      </c>
      <c r="C884" s="721">
        <v>2014</v>
      </c>
      <c r="D884" s="713" t="s">
        <v>1</v>
      </c>
      <c r="E884" s="713" t="s">
        <v>674</v>
      </c>
      <c r="F884" s="723" t="s">
        <v>681</v>
      </c>
      <c r="G884" s="713" t="s">
        <v>58</v>
      </c>
      <c r="H884" s="723" t="s">
        <v>677</v>
      </c>
      <c r="I884" s="713" t="s">
        <v>5</v>
      </c>
      <c r="J884" s="713" t="s">
        <v>376</v>
      </c>
      <c r="K884" s="766">
        <v>1</v>
      </c>
      <c r="L884" s="766" t="s">
        <v>671</v>
      </c>
      <c r="M884" s="765" t="s">
        <v>733</v>
      </c>
      <c r="N884" s="765">
        <v>0</v>
      </c>
      <c r="O884" s="765">
        <v>0</v>
      </c>
      <c r="P884" s="735">
        <v>0</v>
      </c>
      <c r="Q884" s="713" t="s">
        <v>58</v>
      </c>
      <c r="R884" s="713" t="s">
        <v>58</v>
      </c>
      <c r="S884" s="713" t="s">
        <v>58</v>
      </c>
      <c r="T884" s="713" t="s">
        <v>58</v>
      </c>
      <c r="U884" s="764">
        <v>0</v>
      </c>
      <c r="V884" s="764">
        <v>0</v>
      </c>
      <c r="W884" s="764">
        <v>0</v>
      </c>
      <c r="X884" s="764">
        <v>0</v>
      </c>
      <c r="Y884" s="764">
        <v>0</v>
      </c>
      <c r="Z884" s="764">
        <v>0</v>
      </c>
      <c r="AA884" s="764">
        <v>0</v>
      </c>
      <c r="AB884" s="764">
        <v>0</v>
      </c>
      <c r="AC884" s="714">
        <v>0.82617698682369967</v>
      </c>
      <c r="AD884" s="714">
        <v>0.7843105192554185</v>
      </c>
      <c r="AE884" s="713" t="s">
        <v>58</v>
      </c>
      <c r="AF884" s="713" t="s">
        <v>58</v>
      </c>
      <c r="AG884" s="713" t="s">
        <v>58</v>
      </c>
      <c r="AH884" s="714">
        <v>0.94387031345969796</v>
      </c>
      <c r="AI884" s="713" t="s">
        <v>58</v>
      </c>
      <c r="AJ884" s="713" t="s">
        <v>58</v>
      </c>
      <c r="AK884" s="713" t="s">
        <v>58</v>
      </c>
      <c r="AL884" s="714">
        <v>0.94454345387965444</v>
      </c>
      <c r="AM884" s="713" t="s">
        <v>58</v>
      </c>
      <c r="AN884" s="713" t="s">
        <v>58</v>
      </c>
      <c r="AO884" s="713" t="s">
        <v>58</v>
      </c>
      <c r="AP884" s="747">
        <v>51</v>
      </c>
      <c r="AQ884" s="747">
        <v>51</v>
      </c>
      <c r="AR884" s="709"/>
      <c r="AS884" s="763">
        <v>0</v>
      </c>
      <c r="AT884" s="763">
        <v>0</v>
      </c>
      <c r="AU884" s="763">
        <v>0</v>
      </c>
      <c r="AV884" s="763">
        <v>0</v>
      </c>
      <c r="AW884" s="763">
        <v>0</v>
      </c>
      <c r="AX884" s="763">
        <v>0</v>
      </c>
      <c r="AY884" s="763">
        <v>0</v>
      </c>
      <c r="AZ884" s="763">
        <v>0</v>
      </c>
      <c r="BA884" s="763">
        <v>0</v>
      </c>
      <c r="BB884" s="763">
        <v>0</v>
      </c>
      <c r="BC884" s="763">
        <v>0</v>
      </c>
      <c r="BD884" s="763">
        <v>0</v>
      </c>
      <c r="BE884" s="763">
        <v>0</v>
      </c>
      <c r="BF884" s="763">
        <v>0</v>
      </c>
      <c r="BG884" s="763">
        <v>0</v>
      </c>
      <c r="BH884" s="763">
        <v>0</v>
      </c>
      <c r="BI884" s="763">
        <v>0</v>
      </c>
      <c r="BJ884" s="763">
        <v>0</v>
      </c>
      <c r="BK884" s="763">
        <v>0</v>
      </c>
      <c r="BL884" s="763">
        <v>0</v>
      </c>
      <c r="BM884" s="763">
        <v>0</v>
      </c>
      <c r="BN884" s="763">
        <v>0</v>
      </c>
      <c r="BO884" s="763">
        <v>0</v>
      </c>
      <c r="BP884" s="763">
        <v>0</v>
      </c>
      <c r="BQ884" s="763">
        <v>0</v>
      </c>
      <c r="BR884" s="763">
        <v>0</v>
      </c>
      <c r="BS884" s="762">
        <v>0</v>
      </c>
      <c r="BT884" s="762">
        <v>0</v>
      </c>
      <c r="BU884" s="762">
        <v>0</v>
      </c>
      <c r="BV884" s="762">
        <v>0</v>
      </c>
      <c r="BW884" s="762">
        <v>0</v>
      </c>
      <c r="BX884" s="762">
        <v>0</v>
      </c>
      <c r="BY884" s="762">
        <v>0</v>
      </c>
      <c r="BZ884" s="762">
        <v>0</v>
      </c>
      <c r="CA884" s="762">
        <v>0</v>
      </c>
      <c r="CB884" s="762">
        <v>0</v>
      </c>
      <c r="CC884" s="762">
        <v>0</v>
      </c>
      <c r="CD884" s="762">
        <v>0</v>
      </c>
      <c r="CE884" s="762">
        <v>0</v>
      </c>
      <c r="CF884" s="762">
        <v>0</v>
      </c>
      <c r="CG884" s="762">
        <v>0</v>
      </c>
      <c r="CH884" s="762">
        <v>0</v>
      </c>
      <c r="CI884" s="762">
        <v>0</v>
      </c>
      <c r="CJ884" s="762">
        <v>0</v>
      </c>
      <c r="CK884" s="762">
        <v>0</v>
      </c>
      <c r="CL884" s="762">
        <v>0</v>
      </c>
      <c r="CM884" s="762">
        <v>0</v>
      </c>
      <c r="CN884" s="762">
        <v>0</v>
      </c>
      <c r="CO884" s="762">
        <v>0</v>
      </c>
      <c r="CP884" s="762">
        <v>0</v>
      </c>
      <c r="CQ884" s="762">
        <v>0</v>
      </c>
      <c r="CR884" s="762">
        <v>0</v>
      </c>
    </row>
    <row r="885" spans="1:96" s="53" customFormat="1">
      <c r="A885" s="721" t="s">
        <v>3</v>
      </c>
      <c r="B885" s="723">
        <v>41827</v>
      </c>
      <c r="C885" s="721">
        <v>2014</v>
      </c>
      <c r="D885" s="713" t="s">
        <v>1</v>
      </c>
      <c r="E885" s="713" t="s">
        <v>674</v>
      </c>
      <c r="F885" s="723" t="s">
        <v>681</v>
      </c>
      <c r="G885" s="713" t="s">
        <v>58</v>
      </c>
      <c r="H885" s="723" t="s">
        <v>735</v>
      </c>
      <c r="I885" s="713" t="s">
        <v>5</v>
      </c>
      <c r="J885" s="713" t="s">
        <v>376</v>
      </c>
      <c r="K885" s="766">
        <v>10</v>
      </c>
      <c r="L885" s="766" t="s">
        <v>671</v>
      </c>
      <c r="M885" s="765" t="s">
        <v>733</v>
      </c>
      <c r="N885" s="765">
        <v>12</v>
      </c>
      <c r="O885" s="765">
        <v>3</v>
      </c>
      <c r="P885" s="735">
        <v>0.6097560975609756</v>
      </c>
      <c r="Q885" s="713" t="s">
        <v>58</v>
      </c>
      <c r="R885" s="713" t="s">
        <v>58</v>
      </c>
      <c r="S885" s="713" t="s">
        <v>58</v>
      </c>
      <c r="T885" s="713" t="s">
        <v>58</v>
      </c>
      <c r="U885" s="764">
        <v>0.41</v>
      </c>
      <c r="V885" s="764">
        <v>1333.73</v>
      </c>
      <c r="W885" s="764">
        <v>0.32156731289472162</v>
      </c>
      <c r="X885" s="764">
        <v>1101.8970326363728</v>
      </c>
      <c r="Y885" s="764">
        <v>9352.6870087184816</v>
      </c>
      <c r="Z885" s="764">
        <v>8827.7236186095579</v>
      </c>
      <c r="AA885" s="764">
        <v>1040.0478975948042</v>
      </c>
      <c r="AB885" s="764">
        <v>0.30373430037637988</v>
      </c>
      <c r="AC885" s="714">
        <v>0.82617698682369967</v>
      </c>
      <c r="AD885" s="714">
        <v>0.7843105192554185</v>
      </c>
      <c r="AE885" s="713" t="s">
        <v>58</v>
      </c>
      <c r="AF885" s="713" t="s">
        <v>58</v>
      </c>
      <c r="AG885" s="713" t="s">
        <v>58</v>
      </c>
      <c r="AH885" s="714">
        <v>0.94387031345969796</v>
      </c>
      <c r="AI885" s="713" t="s">
        <v>58</v>
      </c>
      <c r="AJ885" s="713" t="s">
        <v>58</v>
      </c>
      <c r="AK885" s="713" t="s">
        <v>58</v>
      </c>
      <c r="AL885" s="714">
        <v>0.94454345387965444</v>
      </c>
      <c r="AM885" s="713" t="s">
        <v>58</v>
      </c>
      <c r="AN885" s="713" t="s">
        <v>58</v>
      </c>
      <c r="AO885" s="713" t="s">
        <v>58</v>
      </c>
      <c r="AP885" s="747">
        <v>119</v>
      </c>
      <c r="AQ885" s="747">
        <v>1190</v>
      </c>
      <c r="AR885" s="709"/>
      <c r="AS885" s="763">
        <v>0</v>
      </c>
      <c r="AT885" s="763">
        <v>0</v>
      </c>
      <c r="AU885" s="763">
        <v>0</v>
      </c>
      <c r="AV885" s="763">
        <v>0.30373430037637988</v>
      </c>
      <c r="AW885" s="763">
        <v>0.30373430037637988</v>
      </c>
      <c r="AX885" s="763">
        <v>0.30373430037637988</v>
      </c>
      <c r="AY885" s="763">
        <v>0.18520384169291457</v>
      </c>
      <c r="AZ885" s="763">
        <v>0.18520384169291457</v>
      </c>
      <c r="BA885" s="763">
        <v>0.18520384169291457</v>
      </c>
      <c r="BB885" s="763">
        <v>0.18520384169291457</v>
      </c>
      <c r="BC885" s="763">
        <v>0.18520384169291457</v>
      </c>
      <c r="BD885" s="763">
        <v>0.18520384169291457</v>
      </c>
      <c r="BE885" s="763">
        <v>0.18520384169291457</v>
      </c>
      <c r="BF885" s="763">
        <v>0.18520384169291457</v>
      </c>
      <c r="BG885" s="763">
        <v>0.18520384169291457</v>
      </c>
      <c r="BH885" s="763">
        <v>0</v>
      </c>
      <c r="BI885" s="763">
        <v>0</v>
      </c>
      <c r="BJ885" s="763">
        <v>0</v>
      </c>
      <c r="BK885" s="763">
        <v>0</v>
      </c>
      <c r="BL885" s="763">
        <v>0</v>
      </c>
      <c r="BM885" s="763">
        <v>0</v>
      </c>
      <c r="BN885" s="763">
        <v>0</v>
      </c>
      <c r="BO885" s="763">
        <v>0</v>
      </c>
      <c r="BP885" s="763">
        <v>0</v>
      </c>
      <c r="BQ885" s="763">
        <v>0</v>
      </c>
      <c r="BR885" s="763">
        <v>0</v>
      </c>
      <c r="BS885" s="762">
        <v>0</v>
      </c>
      <c r="BT885" s="762">
        <v>0</v>
      </c>
      <c r="BU885" s="762">
        <v>0</v>
      </c>
      <c r="BV885" s="762">
        <v>1040.0478975948042</v>
      </c>
      <c r="BW885" s="762">
        <v>1040.0478975948042</v>
      </c>
      <c r="BX885" s="762">
        <v>1040.0478975948042</v>
      </c>
      <c r="BY885" s="762">
        <v>634.17554731390499</v>
      </c>
      <c r="BZ885" s="762">
        <v>634.17554731390499</v>
      </c>
      <c r="CA885" s="762">
        <v>634.17554731390499</v>
      </c>
      <c r="CB885" s="762">
        <v>634.17554731390499</v>
      </c>
      <c r="CC885" s="762">
        <v>634.17554731390499</v>
      </c>
      <c r="CD885" s="762">
        <v>634.17554731390499</v>
      </c>
      <c r="CE885" s="762">
        <v>634.17554731390499</v>
      </c>
      <c r="CF885" s="762">
        <v>634.17554731390499</v>
      </c>
      <c r="CG885" s="762">
        <v>634.17554731390499</v>
      </c>
      <c r="CH885" s="762">
        <v>0</v>
      </c>
      <c r="CI885" s="762">
        <v>0</v>
      </c>
      <c r="CJ885" s="762">
        <v>0</v>
      </c>
      <c r="CK885" s="762">
        <v>0</v>
      </c>
      <c r="CL885" s="762">
        <v>0</v>
      </c>
      <c r="CM885" s="762">
        <v>0</v>
      </c>
      <c r="CN885" s="762">
        <v>0</v>
      </c>
      <c r="CO885" s="762">
        <v>0</v>
      </c>
      <c r="CP885" s="762">
        <v>0</v>
      </c>
      <c r="CQ885" s="762">
        <v>0</v>
      </c>
      <c r="CR885" s="762">
        <v>0</v>
      </c>
    </row>
    <row r="886" spans="1:96" s="53" customFormat="1">
      <c r="A886" s="721" t="s">
        <v>3</v>
      </c>
      <c r="B886" s="723">
        <v>41827</v>
      </c>
      <c r="C886" s="721">
        <v>2014</v>
      </c>
      <c r="D886" s="713" t="s">
        <v>1</v>
      </c>
      <c r="E886" s="713" t="s">
        <v>674</v>
      </c>
      <c r="F886" s="723" t="s">
        <v>681</v>
      </c>
      <c r="G886" s="713" t="s">
        <v>58</v>
      </c>
      <c r="H886" s="723" t="s">
        <v>675</v>
      </c>
      <c r="I886" s="713" t="s">
        <v>5</v>
      </c>
      <c r="J886" s="713" t="s">
        <v>376</v>
      </c>
      <c r="K886" s="766">
        <v>3</v>
      </c>
      <c r="L886" s="766" t="s">
        <v>671</v>
      </c>
      <c r="M886" s="765" t="s">
        <v>733</v>
      </c>
      <c r="N886" s="765">
        <v>12</v>
      </c>
      <c r="O886" s="765">
        <v>3</v>
      </c>
      <c r="P886" s="735">
        <v>0.36842105263157893</v>
      </c>
      <c r="Q886" s="713" t="s">
        <v>58</v>
      </c>
      <c r="R886" s="713" t="s">
        <v>58</v>
      </c>
      <c r="S886" s="713" t="s">
        <v>58</v>
      </c>
      <c r="T886" s="713" t="s">
        <v>58</v>
      </c>
      <c r="U886" s="764">
        <v>0.17100000000000001</v>
      </c>
      <c r="V886" s="764">
        <v>556.26300000000003</v>
      </c>
      <c r="W886" s="764">
        <v>0.13411709879267658</v>
      </c>
      <c r="X886" s="764">
        <v>459.57168922151169</v>
      </c>
      <c r="Y886" s="764">
        <v>2902.5580371884948</v>
      </c>
      <c r="Z886" s="764">
        <v>2739.6383643960703</v>
      </c>
      <c r="AA886" s="764">
        <v>433.77607436271114</v>
      </c>
      <c r="AB886" s="764">
        <v>0.12667942771795357</v>
      </c>
      <c r="AC886" s="714">
        <v>0.82617698682369967</v>
      </c>
      <c r="AD886" s="714">
        <v>0.7843105192554185</v>
      </c>
      <c r="AE886" s="713" t="s">
        <v>58</v>
      </c>
      <c r="AF886" s="713" t="s">
        <v>58</v>
      </c>
      <c r="AG886" s="713" t="s">
        <v>58</v>
      </c>
      <c r="AH886" s="714">
        <v>0.94387031345969796</v>
      </c>
      <c r="AI886" s="713" t="s">
        <v>58</v>
      </c>
      <c r="AJ886" s="713" t="s">
        <v>58</v>
      </c>
      <c r="AK886" s="713" t="s">
        <v>58</v>
      </c>
      <c r="AL886" s="714">
        <v>0.94454345387965444</v>
      </c>
      <c r="AM886" s="713" t="s">
        <v>58</v>
      </c>
      <c r="AN886" s="713" t="s">
        <v>58</v>
      </c>
      <c r="AO886" s="713" t="s">
        <v>58</v>
      </c>
      <c r="AP886" s="747">
        <v>17</v>
      </c>
      <c r="AQ886" s="747">
        <v>51</v>
      </c>
      <c r="AR886" s="709"/>
      <c r="AS886" s="763">
        <v>0</v>
      </c>
      <c r="AT886" s="763">
        <v>0</v>
      </c>
      <c r="AU886" s="763">
        <v>0</v>
      </c>
      <c r="AV886" s="763">
        <v>0.12667942771795357</v>
      </c>
      <c r="AW886" s="763">
        <v>0.12667942771795357</v>
      </c>
      <c r="AX886" s="763">
        <v>0.12667942771795357</v>
      </c>
      <c r="AY886" s="763">
        <v>4.6671368106614472E-2</v>
      </c>
      <c r="AZ886" s="763">
        <v>4.6671368106614472E-2</v>
      </c>
      <c r="BA886" s="763">
        <v>4.6671368106614472E-2</v>
      </c>
      <c r="BB886" s="763">
        <v>4.6671368106614472E-2</v>
      </c>
      <c r="BC886" s="763">
        <v>4.6671368106614472E-2</v>
      </c>
      <c r="BD886" s="763">
        <v>4.6671368106614472E-2</v>
      </c>
      <c r="BE886" s="763">
        <v>4.6671368106614472E-2</v>
      </c>
      <c r="BF886" s="763">
        <v>4.6671368106614472E-2</v>
      </c>
      <c r="BG886" s="763">
        <v>4.6671368106614472E-2</v>
      </c>
      <c r="BH886" s="763">
        <v>0</v>
      </c>
      <c r="BI886" s="763">
        <v>0</v>
      </c>
      <c r="BJ886" s="763">
        <v>0</v>
      </c>
      <c r="BK886" s="763">
        <v>0</v>
      </c>
      <c r="BL886" s="763">
        <v>0</v>
      </c>
      <c r="BM886" s="763">
        <v>0</v>
      </c>
      <c r="BN886" s="763">
        <v>0</v>
      </c>
      <c r="BO886" s="763">
        <v>0</v>
      </c>
      <c r="BP886" s="763">
        <v>0</v>
      </c>
      <c r="BQ886" s="763">
        <v>0</v>
      </c>
      <c r="BR886" s="763">
        <v>0</v>
      </c>
      <c r="BS886" s="762">
        <v>0</v>
      </c>
      <c r="BT886" s="762">
        <v>0</v>
      </c>
      <c r="BU886" s="762">
        <v>0</v>
      </c>
      <c r="BV886" s="762">
        <v>433.77607436271114</v>
      </c>
      <c r="BW886" s="762">
        <v>433.77607436271114</v>
      </c>
      <c r="BX886" s="762">
        <v>433.77607436271114</v>
      </c>
      <c r="BY886" s="762">
        <v>159.81223792310411</v>
      </c>
      <c r="BZ886" s="762">
        <v>159.81223792310411</v>
      </c>
      <c r="CA886" s="762">
        <v>159.81223792310411</v>
      </c>
      <c r="CB886" s="762">
        <v>159.81223792310411</v>
      </c>
      <c r="CC886" s="762">
        <v>159.81223792310411</v>
      </c>
      <c r="CD886" s="762">
        <v>159.81223792310411</v>
      </c>
      <c r="CE886" s="762">
        <v>159.81223792310411</v>
      </c>
      <c r="CF886" s="762">
        <v>159.81223792310411</v>
      </c>
      <c r="CG886" s="762">
        <v>159.81223792310411</v>
      </c>
      <c r="CH886" s="762">
        <v>0</v>
      </c>
      <c r="CI886" s="762">
        <v>0</v>
      </c>
      <c r="CJ886" s="762">
        <v>0</v>
      </c>
      <c r="CK886" s="762">
        <v>0</v>
      </c>
      <c r="CL886" s="762">
        <v>0</v>
      </c>
      <c r="CM886" s="762">
        <v>0</v>
      </c>
      <c r="CN886" s="762">
        <v>0</v>
      </c>
      <c r="CO886" s="762">
        <v>0</v>
      </c>
      <c r="CP886" s="762">
        <v>0</v>
      </c>
      <c r="CQ886" s="762">
        <v>0</v>
      </c>
      <c r="CR886" s="762">
        <v>0</v>
      </c>
    </row>
    <row r="887" spans="1:96" s="53" customFormat="1">
      <c r="A887" s="721" t="s">
        <v>3</v>
      </c>
      <c r="B887" s="723">
        <v>41827</v>
      </c>
      <c r="C887" s="721">
        <v>2014</v>
      </c>
      <c r="D887" s="713" t="s">
        <v>1</v>
      </c>
      <c r="E887" s="713" t="s">
        <v>674</v>
      </c>
      <c r="F887" s="723" t="s">
        <v>681</v>
      </c>
      <c r="G887" s="713" t="s">
        <v>58</v>
      </c>
      <c r="H887" s="723" t="s">
        <v>675</v>
      </c>
      <c r="I887" s="713" t="s">
        <v>5</v>
      </c>
      <c r="J887" s="713" t="s">
        <v>376</v>
      </c>
      <c r="K887" s="766">
        <v>1</v>
      </c>
      <c r="L887" s="766" t="s">
        <v>671</v>
      </c>
      <c r="M887" s="765" t="s">
        <v>733</v>
      </c>
      <c r="N887" s="765">
        <v>12</v>
      </c>
      <c r="O887" s="765">
        <v>3</v>
      </c>
      <c r="P887" s="735">
        <v>0.36842105263157893</v>
      </c>
      <c r="Q887" s="713" t="s">
        <v>58</v>
      </c>
      <c r="R887" s="713" t="s">
        <v>58</v>
      </c>
      <c r="S887" s="713" t="s">
        <v>58</v>
      </c>
      <c r="T887" s="713" t="s">
        <v>58</v>
      </c>
      <c r="U887" s="764">
        <v>5.7000000000000002E-2</v>
      </c>
      <c r="V887" s="764">
        <v>185.42099999999999</v>
      </c>
      <c r="W887" s="764">
        <v>4.4705699597558865E-2</v>
      </c>
      <c r="X887" s="764">
        <v>153.19056307383721</v>
      </c>
      <c r="Y887" s="764">
        <v>967.51934572949813</v>
      </c>
      <c r="Z887" s="764">
        <v>913.21278813202332</v>
      </c>
      <c r="AA887" s="764">
        <v>144.59202478757035</v>
      </c>
      <c r="AB887" s="764">
        <v>4.222647590598453E-2</v>
      </c>
      <c r="AC887" s="714">
        <v>0.82617698682369967</v>
      </c>
      <c r="AD887" s="714">
        <v>0.7843105192554185</v>
      </c>
      <c r="AE887" s="713" t="s">
        <v>58</v>
      </c>
      <c r="AF887" s="713" t="s">
        <v>58</v>
      </c>
      <c r="AG887" s="713" t="s">
        <v>58</v>
      </c>
      <c r="AH887" s="714">
        <v>0.94387031345969796</v>
      </c>
      <c r="AI887" s="713" t="s">
        <v>58</v>
      </c>
      <c r="AJ887" s="713" t="s">
        <v>58</v>
      </c>
      <c r="AK887" s="713" t="s">
        <v>58</v>
      </c>
      <c r="AL887" s="714">
        <v>0.94454345387965444</v>
      </c>
      <c r="AM887" s="713" t="s">
        <v>58</v>
      </c>
      <c r="AN887" s="713" t="s">
        <v>58</v>
      </c>
      <c r="AO887" s="713" t="s">
        <v>58</v>
      </c>
      <c r="AP887" s="747">
        <v>73</v>
      </c>
      <c r="AQ887" s="747">
        <v>73</v>
      </c>
      <c r="AR887" s="709"/>
      <c r="AS887" s="763">
        <v>0</v>
      </c>
      <c r="AT887" s="763">
        <v>0</v>
      </c>
      <c r="AU887" s="763">
        <v>0</v>
      </c>
      <c r="AV887" s="763">
        <v>4.222647590598453E-2</v>
      </c>
      <c r="AW887" s="763">
        <v>4.222647590598453E-2</v>
      </c>
      <c r="AX887" s="763">
        <v>4.222647590598453E-2</v>
      </c>
      <c r="AY887" s="763">
        <v>1.5557122702204825E-2</v>
      </c>
      <c r="AZ887" s="763">
        <v>1.5557122702204825E-2</v>
      </c>
      <c r="BA887" s="763">
        <v>1.5557122702204825E-2</v>
      </c>
      <c r="BB887" s="763">
        <v>1.5557122702204825E-2</v>
      </c>
      <c r="BC887" s="763">
        <v>1.5557122702204825E-2</v>
      </c>
      <c r="BD887" s="763">
        <v>1.5557122702204825E-2</v>
      </c>
      <c r="BE887" s="763">
        <v>1.5557122702204825E-2</v>
      </c>
      <c r="BF887" s="763">
        <v>1.5557122702204825E-2</v>
      </c>
      <c r="BG887" s="763">
        <v>1.5557122702204825E-2</v>
      </c>
      <c r="BH887" s="763">
        <v>0</v>
      </c>
      <c r="BI887" s="763">
        <v>0</v>
      </c>
      <c r="BJ887" s="763">
        <v>0</v>
      </c>
      <c r="BK887" s="763">
        <v>0</v>
      </c>
      <c r="BL887" s="763">
        <v>0</v>
      </c>
      <c r="BM887" s="763">
        <v>0</v>
      </c>
      <c r="BN887" s="763">
        <v>0</v>
      </c>
      <c r="BO887" s="763">
        <v>0</v>
      </c>
      <c r="BP887" s="763">
        <v>0</v>
      </c>
      <c r="BQ887" s="763">
        <v>0</v>
      </c>
      <c r="BR887" s="763">
        <v>0</v>
      </c>
      <c r="BS887" s="762">
        <v>0</v>
      </c>
      <c r="BT887" s="762">
        <v>0</v>
      </c>
      <c r="BU887" s="762">
        <v>0</v>
      </c>
      <c r="BV887" s="762">
        <v>144.59202478757035</v>
      </c>
      <c r="BW887" s="762">
        <v>144.59202478757035</v>
      </c>
      <c r="BX887" s="762">
        <v>144.59202478757035</v>
      </c>
      <c r="BY887" s="762">
        <v>53.270745974368019</v>
      </c>
      <c r="BZ887" s="762">
        <v>53.270745974368019</v>
      </c>
      <c r="CA887" s="762">
        <v>53.270745974368019</v>
      </c>
      <c r="CB887" s="762">
        <v>53.270745974368019</v>
      </c>
      <c r="CC887" s="762">
        <v>53.270745974368019</v>
      </c>
      <c r="CD887" s="762">
        <v>53.270745974368019</v>
      </c>
      <c r="CE887" s="762">
        <v>53.270745974368019</v>
      </c>
      <c r="CF887" s="762">
        <v>53.270745974368019</v>
      </c>
      <c r="CG887" s="762">
        <v>53.270745974368019</v>
      </c>
      <c r="CH887" s="762">
        <v>0</v>
      </c>
      <c r="CI887" s="762">
        <v>0</v>
      </c>
      <c r="CJ887" s="762">
        <v>0</v>
      </c>
      <c r="CK887" s="762">
        <v>0</v>
      </c>
      <c r="CL887" s="762">
        <v>0</v>
      </c>
      <c r="CM887" s="762">
        <v>0</v>
      </c>
      <c r="CN887" s="762">
        <v>0</v>
      </c>
      <c r="CO887" s="762">
        <v>0</v>
      </c>
      <c r="CP887" s="762">
        <v>0</v>
      </c>
      <c r="CQ887" s="762">
        <v>0</v>
      </c>
      <c r="CR887" s="762">
        <v>0</v>
      </c>
    </row>
    <row r="888" spans="1:96" s="53" customFormat="1">
      <c r="A888" s="721" t="s">
        <v>3</v>
      </c>
      <c r="B888" s="723">
        <v>41827</v>
      </c>
      <c r="C888" s="721">
        <v>2014</v>
      </c>
      <c r="D888" s="713" t="s">
        <v>1</v>
      </c>
      <c r="E888" s="713" t="s">
        <v>674</v>
      </c>
      <c r="F888" s="723" t="s">
        <v>681</v>
      </c>
      <c r="G888" s="713" t="s">
        <v>58</v>
      </c>
      <c r="H888" s="723" t="s">
        <v>734</v>
      </c>
      <c r="I888" s="713" t="s">
        <v>5</v>
      </c>
      <c r="J888" s="713" t="s">
        <v>376</v>
      </c>
      <c r="K888" s="766">
        <v>1</v>
      </c>
      <c r="L888" s="766" t="s">
        <v>671</v>
      </c>
      <c r="M888" s="765" t="s">
        <v>733</v>
      </c>
      <c r="N888" s="765">
        <v>0</v>
      </c>
      <c r="O888" s="765">
        <v>0</v>
      </c>
      <c r="P888" s="735">
        <v>0</v>
      </c>
      <c r="Q888" s="713" t="s">
        <v>58</v>
      </c>
      <c r="R888" s="713" t="s">
        <v>58</v>
      </c>
      <c r="S888" s="713" t="s">
        <v>58</v>
      </c>
      <c r="T888" s="713" t="s">
        <v>58</v>
      </c>
      <c r="U888" s="764">
        <v>0</v>
      </c>
      <c r="V888" s="764">
        <v>0</v>
      </c>
      <c r="W888" s="764">
        <v>0</v>
      </c>
      <c r="X888" s="764">
        <v>0</v>
      </c>
      <c r="Y888" s="764">
        <v>0</v>
      </c>
      <c r="Z888" s="764">
        <v>0</v>
      </c>
      <c r="AA888" s="764">
        <v>0</v>
      </c>
      <c r="AB888" s="764">
        <v>0</v>
      </c>
      <c r="AC888" s="714">
        <v>0.82617698682369967</v>
      </c>
      <c r="AD888" s="714">
        <v>0.7843105192554185</v>
      </c>
      <c r="AE888" s="713" t="s">
        <v>58</v>
      </c>
      <c r="AF888" s="713" t="s">
        <v>58</v>
      </c>
      <c r="AG888" s="713" t="s">
        <v>58</v>
      </c>
      <c r="AH888" s="714">
        <v>0.94387031345969796</v>
      </c>
      <c r="AI888" s="713" t="s">
        <v>58</v>
      </c>
      <c r="AJ888" s="713" t="s">
        <v>58</v>
      </c>
      <c r="AK888" s="713" t="s">
        <v>58</v>
      </c>
      <c r="AL888" s="714">
        <v>0.94454345387965444</v>
      </c>
      <c r="AM888" s="713" t="s">
        <v>58</v>
      </c>
      <c r="AN888" s="713" t="s">
        <v>58</v>
      </c>
      <c r="AO888" s="713" t="s">
        <v>58</v>
      </c>
      <c r="AP888" s="747">
        <v>150</v>
      </c>
      <c r="AQ888" s="747">
        <v>150</v>
      </c>
      <c r="AR888" s="709"/>
      <c r="AS888" s="763">
        <v>0</v>
      </c>
      <c r="AT888" s="763">
        <v>0</v>
      </c>
      <c r="AU888" s="763">
        <v>0</v>
      </c>
      <c r="AV888" s="763">
        <v>0</v>
      </c>
      <c r="AW888" s="763">
        <v>0</v>
      </c>
      <c r="AX888" s="763">
        <v>0</v>
      </c>
      <c r="AY888" s="763">
        <v>0</v>
      </c>
      <c r="AZ888" s="763">
        <v>0</v>
      </c>
      <c r="BA888" s="763">
        <v>0</v>
      </c>
      <c r="BB888" s="763">
        <v>0</v>
      </c>
      <c r="BC888" s="763">
        <v>0</v>
      </c>
      <c r="BD888" s="763">
        <v>0</v>
      </c>
      <c r="BE888" s="763">
        <v>0</v>
      </c>
      <c r="BF888" s="763">
        <v>0</v>
      </c>
      <c r="BG888" s="763">
        <v>0</v>
      </c>
      <c r="BH888" s="763">
        <v>0</v>
      </c>
      <c r="BI888" s="763">
        <v>0</v>
      </c>
      <c r="BJ888" s="763">
        <v>0</v>
      </c>
      <c r="BK888" s="763">
        <v>0</v>
      </c>
      <c r="BL888" s="763">
        <v>0</v>
      </c>
      <c r="BM888" s="763">
        <v>0</v>
      </c>
      <c r="BN888" s="763">
        <v>0</v>
      </c>
      <c r="BO888" s="763">
        <v>0</v>
      </c>
      <c r="BP888" s="763">
        <v>0</v>
      </c>
      <c r="BQ888" s="763">
        <v>0</v>
      </c>
      <c r="BR888" s="763">
        <v>0</v>
      </c>
      <c r="BS888" s="762">
        <v>0</v>
      </c>
      <c r="BT888" s="762">
        <v>0</v>
      </c>
      <c r="BU888" s="762">
        <v>0</v>
      </c>
      <c r="BV888" s="762">
        <v>0</v>
      </c>
      <c r="BW888" s="762">
        <v>0</v>
      </c>
      <c r="BX888" s="762">
        <v>0</v>
      </c>
      <c r="BY888" s="762">
        <v>0</v>
      </c>
      <c r="BZ888" s="762">
        <v>0</v>
      </c>
      <c r="CA888" s="762">
        <v>0</v>
      </c>
      <c r="CB888" s="762">
        <v>0</v>
      </c>
      <c r="CC888" s="762">
        <v>0</v>
      </c>
      <c r="CD888" s="762">
        <v>0</v>
      </c>
      <c r="CE888" s="762">
        <v>0</v>
      </c>
      <c r="CF888" s="762">
        <v>0</v>
      </c>
      <c r="CG888" s="762">
        <v>0</v>
      </c>
      <c r="CH888" s="762">
        <v>0</v>
      </c>
      <c r="CI888" s="762">
        <v>0</v>
      </c>
      <c r="CJ888" s="762">
        <v>0</v>
      </c>
      <c r="CK888" s="762">
        <v>0</v>
      </c>
      <c r="CL888" s="762">
        <v>0</v>
      </c>
      <c r="CM888" s="762">
        <v>0</v>
      </c>
      <c r="CN888" s="762">
        <v>0</v>
      </c>
      <c r="CO888" s="762">
        <v>0</v>
      </c>
      <c r="CP888" s="762">
        <v>0</v>
      </c>
      <c r="CQ888" s="762">
        <v>0</v>
      </c>
      <c r="CR888" s="762">
        <v>0</v>
      </c>
    </row>
    <row r="889" spans="1:96" s="53" customFormat="1">
      <c r="A889" s="721" t="s">
        <v>3</v>
      </c>
      <c r="B889" s="723">
        <v>41888</v>
      </c>
      <c r="C889" s="721">
        <v>2014</v>
      </c>
      <c r="D889" s="713" t="s">
        <v>1</v>
      </c>
      <c r="E889" s="713" t="s">
        <v>674</v>
      </c>
      <c r="F889" s="723" t="s">
        <v>123</v>
      </c>
      <c r="G889" s="713" t="s">
        <v>58</v>
      </c>
      <c r="H889" s="723" t="s">
        <v>677</v>
      </c>
      <c r="I889" s="713" t="s">
        <v>5</v>
      </c>
      <c r="J889" s="713" t="s">
        <v>376</v>
      </c>
      <c r="K889" s="766">
        <v>1</v>
      </c>
      <c r="L889" s="766" t="s">
        <v>671</v>
      </c>
      <c r="M889" s="765" t="s">
        <v>732</v>
      </c>
      <c r="N889" s="765">
        <v>0</v>
      </c>
      <c r="O889" s="765">
        <v>0</v>
      </c>
      <c r="P889" s="735">
        <v>0</v>
      </c>
      <c r="Q889" s="713" t="s">
        <v>58</v>
      </c>
      <c r="R889" s="713" t="s">
        <v>58</v>
      </c>
      <c r="S889" s="713" t="s">
        <v>58</v>
      </c>
      <c r="T889" s="713" t="s">
        <v>58</v>
      </c>
      <c r="U889" s="764">
        <v>0</v>
      </c>
      <c r="V889" s="764">
        <v>0</v>
      </c>
      <c r="W889" s="764">
        <v>0</v>
      </c>
      <c r="X889" s="764">
        <v>0</v>
      </c>
      <c r="Y889" s="764">
        <v>0</v>
      </c>
      <c r="Z889" s="764">
        <v>0</v>
      </c>
      <c r="AA889" s="764">
        <v>0</v>
      </c>
      <c r="AB889" s="764">
        <v>0</v>
      </c>
      <c r="AC889" s="714">
        <v>0.82617698682369967</v>
      </c>
      <c r="AD889" s="714">
        <v>0.7843105192554185</v>
      </c>
      <c r="AE889" s="713" t="s">
        <v>58</v>
      </c>
      <c r="AF889" s="713" t="s">
        <v>58</v>
      </c>
      <c r="AG889" s="713" t="s">
        <v>58</v>
      </c>
      <c r="AH889" s="714">
        <v>0.94387031345969796</v>
      </c>
      <c r="AI889" s="713" t="s">
        <v>58</v>
      </c>
      <c r="AJ889" s="713" t="s">
        <v>58</v>
      </c>
      <c r="AK889" s="713" t="s">
        <v>58</v>
      </c>
      <c r="AL889" s="714">
        <v>0.94454345387965444</v>
      </c>
      <c r="AM889" s="713" t="s">
        <v>58</v>
      </c>
      <c r="AN889" s="713" t="s">
        <v>58</v>
      </c>
      <c r="AO889" s="713" t="s">
        <v>58</v>
      </c>
      <c r="AP889" s="747">
        <v>51</v>
      </c>
      <c r="AQ889" s="747">
        <v>51</v>
      </c>
      <c r="AR889" s="709"/>
      <c r="AS889" s="763">
        <v>0</v>
      </c>
      <c r="AT889" s="763">
        <v>0</v>
      </c>
      <c r="AU889" s="763">
        <v>0</v>
      </c>
      <c r="AV889" s="763">
        <v>0</v>
      </c>
      <c r="AW889" s="763">
        <v>0</v>
      </c>
      <c r="AX889" s="763">
        <v>0</v>
      </c>
      <c r="AY889" s="763">
        <v>0</v>
      </c>
      <c r="AZ889" s="763">
        <v>0</v>
      </c>
      <c r="BA889" s="763">
        <v>0</v>
      </c>
      <c r="BB889" s="763">
        <v>0</v>
      </c>
      <c r="BC889" s="763">
        <v>0</v>
      </c>
      <c r="BD889" s="763">
        <v>0</v>
      </c>
      <c r="BE889" s="763">
        <v>0</v>
      </c>
      <c r="BF889" s="763">
        <v>0</v>
      </c>
      <c r="BG889" s="763">
        <v>0</v>
      </c>
      <c r="BH889" s="763">
        <v>0</v>
      </c>
      <c r="BI889" s="763">
        <v>0</v>
      </c>
      <c r="BJ889" s="763">
        <v>0</v>
      </c>
      <c r="BK889" s="763">
        <v>0</v>
      </c>
      <c r="BL889" s="763">
        <v>0</v>
      </c>
      <c r="BM889" s="763">
        <v>0</v>
      </c>
      <c r="BN889" s="763">
        <v>0</v>
      </c>
      <c r="BO889" s="763">
        <v>0</v>
      </c>
      <c r="BP889" s="763">
        <v>0</v>
      </c>
      <c r="BQ889" s="763">
        <v>0</v>
      </c>
      <c r="BR889" s="763">
        <v>0</v>
      </c>
      <c r="BS889" s="762">
        <v>0</v>
      </c>
      <c r="BT889" s="762">
        <v>0</v>
      </c>
      <c r="BU889" s="762">
        <v>0</v>
      </c>
      <c r="BV889" s="762">
        <v>0</v>
      </c>
      <c r="BW889" s="762">
        <v>0</v>
      </c>
      <c r="BX889" s="762">
        <v>0</v>
      </c>
      <c r="BY889" s="762">
        <v>0</v>
      </c>
      <c r="BZ889" s="762">
        <v>0</v>
      </c>
      <c r="CA889" s="762">
        <v>0</v>
      </c>
      <c r="CB889" s="762">
        <v>0</v>
      </c>
      <c r="CC889" s="762">
        <v>0</v>
      </c>
      <c r="CD889" s="762">
        <v>0</v>
      </c>
      <c r="CE889" s="762">
        <v>0</v>
      </c>
      <c r="CF889" s="762">
        <v>0</v>
      </c>
      <c r="CG889" s="762">
        <v>0</v>
      </c>
      <c r="CH889" s="762">
        <v>0</v>
      </c>
      <c r="CI889" s="762">
        <v>0</v>
      </c>
      <c r="CJ889" s="762">
        <v>0</v>
      </c>
      <c r="CK889" s="762">
        <v>0</v>
      </c>
      <c r="CL889" s="762">
        <v>0</v>
      </c>
      <c r="CM889" s="762">
        <v>0</v>
      </c>
      <c r="CN889" s="762">
        <v>0</v>
      </c>
      <c r="CO889" s="762">
        <v>0</v>
      </c>
      <c r="CP889" s="762">
        <v>0</v>
      </c>
      <c r="CQ889" s="762">
        <v>0</v>
      </c>
      <c r="CR889" s="762">
        <v>0</v>
      </c>
    </row>
    <row r="890" spans="1:96" s="53" customFormat="1">
      <c r="A890" s="721" t="s">
        <v>3</v>
      </c>
      <c r="B890" s="723">
        <v>41888</v>
      </c>
      <c r="C890" s="721">
        <v>2014</v>
      </c>
      <c r="D890" s="713" t="s">
        <v>1</v>
      </c>
      <c r="E890" s="713" t="s">
        <v>674</v>
      </c>
      <c r="F890" s="723" t="s">
        <v>123</v>
      </c>
      <c r="G890" s="713" t="s">
        <v>58</v>
      </c>
      <c r="H890" s="723" t="s">
        <v>712</v>
      </c>
      <c r="I890" s="713" t="s">
        <v>5</v>
      </c>
      <c r="J890" s="713" t="s">
        <v>376</v>
      </c>
      <c r="K890" s="766">
        <v>1</v>
      </c>
      <c r="L890" s="766" t="s">
        <v>671</v>
      </c>
      <c r="M890" s="765" t="s">
        <v>732</v>
      </c>
      <c r="N890" s="765">
        <v>0</v>
      </c>
      <c r="O890" s="765">
        <v>0</v>
      </c>
      <c r="P890" s="735">
        <v>0</v>
      </c>
      <c r="Q890" s="713" t="s">
        <v>58</v>
      </c>
      <c r="R890" s="713" t="s">
        <v>58</v>
      </c>
      <c r="S890" s="713" t="s">
        <v>58</v>
      </c>
      <c r="T890" s="713" t="s">
        <v>58</v>
      </c>
      <c r="U890" s="764">
        <v>0</v>
      </c>
      <c r="V890" s="764">
        <v>0</v>
      </c>
      <c r="W890" s="764">
        <v>0</v>
      </c>
      <c r="X890" s="764">
        <v>0</v>
      </c>
      <c r="Y890" s="764">
        <v>0</v>
      </c>
      <c r="Z890" s="764">
        <v>0</v>
      </c>
      <c r="AA890" s="764">
        <v>0</v>
      </c>
      <c r="AB890" s="764">
        <v>0</v>
      </c>
      <c r="AC890" s="714">
        <v>0.82617698682369967</v>
      </c>
      <c r="AD890" s="714">
        <v>0.7843105192554185</v>
      </c>
      <c r="AE890" s="713" t="s">
        <v>58</v>
      </c>
      <c r="AF890" s="713" t="s">
        <v>58</v>
      </c>
      <c r="AG890" s="713" t="s">
        <v>58</v>
      </c>
      <c r="AH890" s="714">
        <v>0.94387031345969796</v>
      </c>
      <c r="AI890" s="713" t="s">
        <v>58</v>
      </c>
      <c r="AJ890" s="713" t="s">
        <v>58</v>
      </c>
      <c r="AK890" s="713" t="s">
        <v>58</v>
      </c>
      <c r="AL890" s="714">
        <v>0.94454345387965444</v>
      </c>
      <c r="AM890" s="713" t="s">
        <v>58</v>
      </c>
      <c r="AN890" s="713" t="s">
        <v>58</v>
      </c>
      <c r="AO890" s="713" t="s">
        <v>58</v>
      </c>
      <c r="AP890" s="747">
        <v>0</v>
      </c>
      <c r="AQ890" s="747">
        <v>0</v>
      </c>
      <c r="AR890" s="709"/>
      <c r="AS890" s="763">
        <v>0</v>
      </c>
      <c r="AT890" s="763">
        <v>0</v>
      </c>
      <c r="AU890" s="763">
        <v>0</v>
      </c>
      <c r="AV890" s="763">
        <v>0</v>
      </c>
      <c r="AW890" s="763">
        <v>0</v>
      </c>
      <c r="AX890" s="763">
        <v>0</v>
      </c>
      <c r="AY890" s="763">
        <v>0</v>
      </c>
      <c r="AZ890" s="763">
        <v>0</v>
      </c>
      <c r="BA890" s="763">
        <v>0</v>
      </c>
      <c r="BB890" s="763">
        <v>0</v>
      </c>
      <c r="BC890" s="763">
        <v>0</v>
      </c>
      <c r="BD890" s="763">
        <v>0</v>
      </c>
      <c r="BE890" s="763">
        <v>0</v>
      </c>
      <c r="BF890" s="763">
        <v>0</v>
      </c>
      <c r="BG890" s="763">
        <v>0</v>
      </c>
      <c r="BH890" s="763">
        <v>0</v>
      </c>
      <c r="BI890" s="763">
        <v>0</v>
      </c>
      <c r="BJ890" s="763">
        <v>0</v>
      </c>
      <c r="BK890" s="763">
        <v>0</v>
      </c>
      <c r="BL890" s="763">
        <v>0</v>
      </c>
      <c r="BM890" s="763">
        <v>0</v>
      </c>
      <c r="BN890" s="763">
        <v>0</v>
      </c>
      <c r="BO890" s="763">
        <v>0</v>
      </c>
      <c r="BP890" s="763">
        <v>0</v>
      </c>
      <c r="BQ890" s="763">
        <v>0</v>
      </c>
      <c r="BR890" s="763">
        <v>0</v>
      </c>
      <c r="BS890" s="762">
        <v>0</v>
      </c>
      <c r="BT890" s="762">
        <v>0</v>
      </c>
      <c r="BU890" s="762">
        <v>0</v>
      </c>
      <c r="BV890" s="762">
        <v>0</v>
      </c>
      <c r="BW890" s="762">
        <v>0</v>
      </c>
      <c r="BX890" s="762">
        <v>0</v>
      </c>
      <c r="BY890" s="762">
        <v>0</v>
      </c>
      <c r="BZ890" s="762">
        <v>0</v>
      </c>
      <c r="CA890" s="762">
        <v>0</v>
      </c>
      <c r="CB890" s="762">
        <v>0</v>
      </c>
      <c r="CC890" s="762">
        <v>0</v>
      </c>
      <c r="CD890" s="762">
        <v>0</v>
      </c>
      <c r="CE890" s="762">
        <v>0</v>
      </c>
      <c r="CF890" s="762">
        <v>0</v>
      </c>
      <c r="CG890" s="762">
        <v>0</v>
      </c>
      <c r="CH890" s="762">
        <v>0</v>
      </c>
      <c r="CI890" s="762">
        <v>0</v>
      </c>
      <c r="CJ890" s="762">
        <v>0</v>
      </c>
      <c r="CK890" s="762">
        <v>0</v>
      </c>
      <c r="CL890" s="762">
        <v>0</v>
      </c>
      <c r="CM890" s="762">
        <v>0</v>
      </c>
      <c r="CN890" s="762">
        <v>0</v>
      </c>
      <c r="CO890" s="762">
        <v>0</v>
      </c>
      <c r="CP890" s="762">
        <v>0</v>
      </c>
      <c r="CQ890" s="762">
        <v>0</v>
      </c>
      <c r="CR890" s="762">
        <v>0</v>
      </c>
    </row>
    <row r="891" spans="1:96" s="53" customFormat="1">
      <c r="A891" s="721" t="s">
        <v>3</v>
      </c>
      <c r="B891" s="723">
        <v>41888</v>
      </c>
      <c r="C891" s="721">
        <v>2014</v>
      </c>
      <c r="D891" s="713" t="s">
        <v>1</v>
      </c>
      <c r="E891" s="713" t="s">
        <v>674</v>
      </c>
      <c r="F891" s="723" t="s">
        <v>123</v>
      </c>
      <c r="G891" s="713" t="s">
        <v>58</v>
      </c>
      <c r="H891" s="723" t="s">
        <v>676</v>
      </c>
      <c r="I891" s="713" t="s">
        <v>5</v>
      </c>
      <c r="J891" s="713" t="s">
        <v>376</v>
      </c>
      <c r="K891" s="766">
        <v>2</v>
      </c>
      <c r="L891" s="766" t="s">
        <v>671</v>
      </c>
      <c r="M891" s="765" t="s">
        <v>732</v>
      </c>
      <c r="N891" s="765">
        <v>12</v>
      </c>
      <c r="O891" s="765">
        <v>3</v>
      </c>
      <c r="P891" s="735">
        <v>0.31578947368421051</v>
      </c>
      <c r="Q891" s="713" t="s">
        <v>58</v>
      </c>
      <c r="R891" s="713" t="s">
        <v>58</v>
      </c>
      <c r="S891" s="713" t="s">
        <v>58</v>
      </c>
      <c r="T891" s="713" t="s">
        <v>58</v>
      </c>
      <c r="U891" s="764">
        <v>7.5999999999999998E-2</v>
      </c>
      <c r="V891" s="764">
        <v>259.16000000000003</v>
      </c>
      <c r="W891" s="764">
        <v>5.9607599463411813E-2</v>
      </c>
      <c r="X891" s="764">
        <v>214.11202790523004</v>
      </c>
      <c r="Y891" s="764">
        <v>1250.8650051305544</v>
      </c>
      <c r="Z891" s="764">
        <v>1180.6543444883432</v>
      </c>
      <c r="AA891" s="764">
        <v>202.09398689440107</v>
      </c>
      <c r="AB891" s="764">
        <v>5.6301967874646031E-2</v>
      </c>
      <c r="AC891" s="714">
        <v>0.82617698682369967</v>
      </c>
      <c r="AD891" s="714">
        <v>0.7843105192554185</v>
      </c>
      <c r="AE891" s="713" t="s">
        <v>58</v>
      </c>
      <c r="AF891" s="713" t="s">
        <v>58</v>
      </c>
      <c r="AG891" s="713" t="s">
        <v>58</v>
      </c>
      <c r="AH891" s="714">
        <v>0.94387031345969796</v>
      </c>
      <c r="AI891" s="713" t="s">
        <v>58</v>
      </c>
      <c r="AJ891" s="713" t="s">
        <v>58</v>
      </c>
      <c r="AK891" s="713" t="s">
        <v>58</v>
      </c>
      <c r="AL891" s="714">
        <v>0.94454345387965444</v>
      </c>
      <c r="AM891" s="713" t="s">
        <v>58</v>
      </c>
      <c r="AN891" s="713" t="s">
        <v>58</v>
      </c>
      <c r="AO891" s="713" t="s">
        <v>58</v>
      </c>
      <c r="AP891" s="747">
        <v>57</v>
      </c>
      <c r="AQ891" s="747">
        <v>114</v>
      </c>
      <c r="AR891" s="709"/>
      <c r="AS891" s="763">
        <v>0</v>
      </c>
      <c r="AT891" s="763">
        <v>0</v>
      </c>
      <c r="AU891" s="763">
        <v>0</v>
      </c>
      <c r="AV891" s="763">
        <v>5.6301967874646031E-2</v>
      </c>
      <c r="AW891" s="763">
        <v>5.6301967874646031E-2</v>
      </c>
      <c r="AX891" s="763">
        <v>5.6301967874646031E-2</v>
      </c>
      <c r="AY891" s="763">
        <v>1.77795688025198E-2</v>
      </c>
      <c r="AZ891" s="763">
        <v>1.77795688025198E-2</v>
      </c>
      <c r="BA891" s="763">
        <v>1.77795688025198E-2</v>
      </c>
      <c r="BB891" s="763">
        <v>1.77795688025198E-2</v>
      </c>
      <c r="BC891" s="763">
        <v>1.77795688025198E-2</v>
      </c>
      <c r="BD891" s="763">
        <v>1.77795688025198E-2</v>
      </c>
      <c r="BE891" s="763">
        <v>1.77795688025198E-2</v>
      </c>
      <c r="BF891" s="763">
        <v>1.77795688025198E-2</v>
      </c>
      <c r="BG891" s="763">
        <v>1.77795688025198E-2</v>
      </c>
      <c r="BH891" s="763">
        <v>0</v>
      </c>
      <c r="BI891" s="763">
        <v>0</v>
      </c>
      <c r="BJ891" s="763">
        <v>0</v>
      </c>
      <c r="BK891" s="763">
        <v>0</v>
      </c>
      <c r="BL891" s="763">
        <v>0</v>
      </c>
      <c r="BM891" s="763">
        <v>0</v>
      </c>
      <c r="BN891" s="763">
        <v>0</v>
      </c>
      <c r="BO891" s="763">
        <v>0</v>
      </c>
      <c r="BP891" s="763">
        <v>0</v>
      </c>
      <c r="BQ891" s="763">
        <v>0</v>
      </c>
      <c r="BR891" s="763">
        <v>0</v>
      </c>
      <c r="BS891" s="762">
        <v>0</v>
      </c>
      <c r="BT891" s="762">
        <v>0</v>
      </c>
      <c r="BU891" s="762">
        <v>0</v>
      </c>
      <c r="BV891" s="762">
        <v>202.09398689440107</v>
      </c>
      <c r="BW891" s="762">
        <v>202.09398689440107</v>
      </c>
      <c r="BX891" s="762">
        <v>202.09398689440107</v>
      </c>
      <c r="BY891" s="762">
        <v>63.819153756126653</v>
      </c>
      <c r="BZ891" s="762">
        <v>63.819153756126653</v>
      </c>
      <c r="CA891" s="762">
        <v>63.819153756126653</v>
      </c>
      <c r="CB891" s="762">
        <v>63.819153756126653</v>
      </c>
      <c r="CC891" s="762">
        <v>63.819153756126653</v>
      </c>
      <c r="CD891" s="762">
        <v>63.819153756126653</v>
      </c>
      <c r="CE891" s="762">
        <v>63.819153756126653</v>
      </c>
      <c r="CF891" s="762">
        <v>63.819153756126653</v>
      </c>
      <c r="CG891" s="762">
        <v>63.819153756126653</v>
      </c>
      <c r="CH891" s="762">
        <v>0</v>
      </c>
      <c r="CI891" s="762">
        <v>0</v>
      </c>
      <c r="CJ891" s="762">
        <v>0</v>
      </c>
      <c r="CK891" s="762">
        <v>0</v>
      </c>
      <c r="CL891" s="762">
        <v>0</v>
      </c>
      <c r="CM891" s="762">
        <v>0</v>
      </c>
      <c r="CN891" s="762">
        <v>0</v>
      </c>
      <c r="CO891" s="762">
        <v>0</v>
      </c>
      <c r="CP891" s="762">
        <v>0</v>
      </c>
      <c r="CQ891" s="762">
        <v>0</v>
      </c>
      <c r="CR891" s="762">
        <v>0</v>
      </c>
    </row>
    <row r="892" spans="1:96" s="53" customFormat="1">
      <c r="A892" s="721" t="s">
        <v>3</v>
      </c>
      <c r="B892" s="723">
        <v>41888</v>
      </c>
      <c r="C892" s="721">
        <v>2014</v>
      </c>
      <c r="D892" s="713" t="s">
        <v>1</v>
      </c>
      <c r="E892" s="713" t="s">
        <v>674</v>
      </c>
      <c r="F892" s="723" t="s">
        <v>123</v>
      </c>
      <c r="G892" s="713" t="s">
        <v>58</v>
      </c>
      <c r="H892" s="723" t="s">
        <v>676</v>
      </c>
      <c r="I892" s="713" t="s">
        <v>5</v>
      </c>
      <c r="J892" s="713" t="s">
        <v>376</v>
      </c>
      <c r="K892" s="766">
        <v>9</v>
      </c>
      <c r="L892" s="766" t="s">
        <v>671</v>
      </c>
      <c r="M892" s="765" t="s">
        <v>732</v>
      </c>
      <c r="N892" s="765">
        <v>12</v>
      </c>
      <c r="O892" s="765">
        <v>3</v>
      </c>
      <c r="P892" s="735">
        <v>0.31578947368421051</v>
      </c>
      <c r="Q892" s="713" t="s">
        <v>58</v>
      </c>
      <c r="R892" s="713" t="s">
        <v>58</v>
      </c>
      <c r="S892" s="713" t="s">
        <v>58</v>
      </c>
      <c r="T892" s="713" t="s">
        <v>58</v>
      </c>
      <c r="U892" s="764">
        <v>0.34200000000000003</v>
      </c>
      <c r="V892" s="764">
        <v>1166.22</v>
      </c>
      <c r="W892" s="764">
        <v>0.26823419758535316</v>
      </c>
      <c r="X892" s="764">
        <v>963.50412557353502</v>
      </c>
      <c r="Y892" s="764">
        <v>5628.8925230874938</v>
      </c>
      <c r="Z892" s="764">
        <v>5312.9445501975433</v>
      </c>
      <c r="AA892" s="764">
        <v>909.42294102480469</v>
      </c>
      <c r="AB892" s="764">
        <v>0.25335885543590714</v>
      </c>
      <c r="AC892" s="714">
        <v>0.82617698682369967</v>
      </c>
      <c r="AD892" s="714">
        <v>0.7843105192554185</v>
      </c>
      <c r="AE892" s="713" t="s">
        <v>58</v>
      </c>
      <c r="AF892" s="713" t="s">
        <v>58</v>
      </c>
      <c r="AG892" s="713" t="s">
        <v>58</v>
      </c>
      <c r="AH892" s="714">
        <v>0.94387031345969796</v>
      </c>
      <c r="AI892" s="713" t="s">
        <v>58</v>
      </c>
      <c r="AJ892" s="713" t="s">
        <v>58</v>
      </c>
      <c r="AK892" s="713" t="s">
        <v>58</v>
      </c>
      <c r="AL892" s="714">
        <v>0.94454345387965444</v>
      </c>
      <c r="AM892" s="713" t="s">
        <v>58</v>
      </c>
      <c r="AN892" s="713" t="s">
        <v>58</v>
      </c>
      <c r="AO892" s="713" t="s">
        <v>58</v>
      </c>
      <c r="AP892" s="747">
        <v>17</v>
      </c>
      <c r="AQ892" s="747">
        <v>153</v>
      </c>
      <c r="AR892" s="709"/>
      <c r="AS892" s="763">
        <v>0</v>
      </c>
      <c r="AT892" s="763">
        <v>0</v>
      </c>
      <c r="AU892" s="763">
        <v>0</v>
      </c>
      <c r="AV892" s="763">
        <v>0.25335885543590714</v>
      </c>
      <c r="AW892" s="763">
        <v>0.25335885543590714</v>
      </c>
      <c r="AX892" s="763">
        <v>0.25335885543590714</v>
      </c>
      <c r="AY892" s="763">
        <v>8.0008059611339097E-2</v>
      </c>
      <c r="AZ892" s="763">
        <v>8.0008059611339097E-2</v>
      </c>
      <c r="BA892" s="763">
        <v>8.0008059611339097E-2</v>
      </c>
      <c r="BB892" s="763">
        <v>8.0008059611339097E-2</v>
      </c>
      <c r="BC892" s="763">
        <v>8.0008059611339097E-2</v>
      </c>
      <c r="BD892" s="763">
        <v>8.0008059611339097E-2</v>
      </c>
      <c r="BE892" s="763">
        <v>8.0008059611339097E-2</v>
      </c>
      <c r="BF892" s="763">
        <v>8.0008059611339097E-2</v>
      </c>
      <c r="BG892" s="763">
        <v>8.0008059611339097E-2</v>
      </c>
      <c r="BH892" s="763">
        <v>0</v>
      </c>
      <c r="BI892" s="763">
        <v>0</v>
      </c>
      <c r="BJ892" s="763">
        <v>0</v>
      </c>
      <c r="BK892" s="763">
        <v>0</v>
      </c>
      <c r="BL892" s="763">
        <v>0</v>
      </c>
      <c r="BM892" s="763">
        <v>0</v>
      </c>
      <c r="BN892" s="763">
        <v>0</v>
      </c>
      <c r="BO892" s="763">
        <v>0</v>
      </c>
      <c r="BP892" s="763">
        <v>0</v>
      </c>
      <c r="BQ892" s="763">
        <v>0</v>
      </c>
      <c r="BR892" s="763">
        <v>0</v>
      </c>
      <c r="BS892" s="762">
        <v>0</v>
      </c>
      <c r="BT892" s="762">
        <v>0</v>
      </c>
      <c r="BU892" s="762">
        <v>0</v>
      </c>
      <c r="BV892" s="762">
        <v>909.42294102480469</v>
      </c>
      <c r="BW892" s="762">
        <v>909.42294102480469</v>
      </c>
      <c r="BX892" s="762">
        <v>909.42294102480469</v>
      </c>
      <c r="BY892" s="762">
        <v>287.18619190256987</v>
      </c>
      <c r="BZ892" s="762">
        <v>287.18619190256987</v>
      </c>
      <c r="CA892" s="762">
        <v>287.18619190256987</v>
      </c>
      <c r="CB892" s="762">
        <v>287.18619190256987</v>
      </c>
      <c r="CC892" s="762">
        <v>287.18619190256987</v>
      </c>
      <c r="CD892" s="762">
        <v>287.18619190256987</v>
      </c>
      <c r="CE892" s="762">
        <v>287.18619190256987</v>
      </c>
      <c r="CF892" s="762">
        <v>287.18619190256987</v>
      </c>
      <c r="CG892" s="762">
        <v>287.18619190256987</v>
      </c>
      <c r="CH892" s="762">
        <v>0</v>
      </c>
      <c r="CI892" s="762">
        <v>0</v>
      </c>
      <c r="CJ892" s="762">
        <v>0</v>
      </c>
      <c r="CK892" s="762">
        <v>0</v>
      </c>
      <c r="CL892" s="762">
        <v>0</v>
      </c>
      <c r="CM892" s="762">
        <v>0</v>
      </c>
      <c r="CN892" s="762">
        <v>0</v>
      </c>
      <c r="CO892" s="762">
        <v>0</v>
      </c>
      <c r="CP892" s="762">
        <v>0</v>
      </c>
      <c r="CQ892" s="762">
        <v>0</v>
      </c>
      <c r="CR892" s="762">
        <v>0</v>
      </c>
    </row>
    <row r="893" spans="1:96" s="53" customFormat="1">
      <c r="A893" s="721" t="s">
        <v>3</v>
      </c>
      <c r="B893" s="723">
        <v>41888</v>
      </c>
      <c r="C893" s="721">
        <v>2014</v>
      </c>
      <c r="D893" s="713" t="s">
        <v>1</v>
      </c>
      <c r="E893" s="713" t="s">
        <v>674</v>
      </c>
      <c r="F893" s="723" t="s">
        <v>123</v>
      </c>
      <c r="G893" s="713" t="s">
        <v>58</v>
      </c>
      <c r="H893" s="723" t="s">
        <v>676</v>
      </c>
      <c r="I893" s="713" t="s">
        <v>5</v>
      </c>
      <c r="J893" s="713" t="s">
        <v>376</v>
      </c>
      <c r="K893" s="766">
        <v>17</v>
      </c>
      <c r="L893" s="766" t="s">
        <v>671</v>
      </c>
      <c r="M893" s="765" t="s">
        <v>732</v>
      </c>
      <c r="N893" s="765">
        <v>12</v>
      </c>
      <c r="O893" s="765">
        <v>3</v>
      </c>
      <c r="P893" s="735">
        <v>0.31578947368421051</v>
      </c>
      <c r="Q893" s="713" t="s">
        <v>58</v>
      </c>
      <c r="R893" s="713" t="s">
        <v>58</v>
      </c>
      <c r="S893" s="713" t="s">
        <v>58</v>
      </c>
      <c r="T893" s="713" t="s">
        <v>58</v>
      </c>
      <c r="U893" s="764">
        <v>0.64600000000000002</v>
      </c>
      <c r="V893" s="764">
        <v>2202.86</v>
      </c>
      <c r="W893" s="764">
        <v>0.50666459543900044</v>
      </c>
      <c r="X893" s="764">
        <v>1819.9522371944552</v>
      </c>
      <c r="Y893" s="764">
        <v>10632.352543609712</v>
      </c>
      <c r="Z893" s="764">
        <v>10035.561928150915</v>
      </c>
      <c r="AA893" s="764">
        <v>1717.7988886024091</v>
      </c>
      <c r="AB893" s="764">
        <v>0.47856672693449132</v>
      </c>
      <c r="AC893" s="714">
        <v>0.82617698682369967</v>
      </c>
      <c r="AD893" s="714">
        <v>0.7843105192554185</v>
      </c>
      <c r="AE893" s="713" t="s">
        <v>58</v>
      </c>
      <c r="AF893" s="713" t="s">
        <v>58</v>
      </c>
      <c r="AG893" s="713" t="s">
        <v>58</v>
      </c>
      <c r="AH893" s="714">
        <v>0.94387031345969796</v>
      </c>
      <c r="AI893" s="713" t="s">
        <v>58</v>
      </c>
      <c r="AJ893" s="713" t="s">
        <v>58</v>
      </c>
      <c r="AK893" s="713" t="s">
        <v>58</v>
      </c>
      <c r="AL893" s="714">
        <v>0.94454345387965444</v>
      </c>
      <c r="AM893" s="713" t="s">
        <v>58</v>
      </c>
      <c r="AN893" s="713" t="s">
        <v>58</v>
      </c>
      <c r="AO893" s="713" t="s">
        <v>58</v>
      </c>
      <c r="AP893" s="747">
        <v>57</v>
      </c>
      <c r="AQ893" s="747">
        <v>969</v>
      </c>
      <c r="AR893" s="709"/>
      <c r="AS893" s="763">
        <v>0</v>
      </c>
      <c r="AT893" s="763">
        <v>0</v>
      </c>
      <c r="AU893" s="763">
        <v>0</v>
      </c>
      <c r="AV893" s="763">
        <v>0.47856672693449132</v>
      </c>
      <c r="AW893" s="763">
        <v>0.47856672693449132</v>
      </c>
      <c r="AX893" s="763">
        <v>0.47856672693449132</v>
      </c>
      <c r="AY893" s="763">
        <v>0.1511263348214183</v>
      </c>
      <c r="AZ893" s="763">
        <v>0.1511263348214183</v>
      </c>
      <c r="BA893" s="763">
        <v>0.1511263348214183</v>
      </c>
      <c r="BB893" s="763">
        <v>0.1511263348214183</v>
      </c>
      <c r="BC893" s="763">
        <v>0.1511263348214183</v>
      </c>
      <c r="BD893" s="763">
        <v>0.1511263348214183</v>
      </c>
      <c r="BE893" s="763">
        <v>0.1511263348214183</v>
      </c>
      <c r="BF893" s="763">
        <v>0.1511263348214183</v>
      </c>
      <c r="BG893" s="763">
        <v>0.1511263348214183</v>
      </c>
      <c r="BH893" s="763">
        <v>0</v>
      </c>
      <c r="BI893" s="763">
        <v>0</v>
      </c>
      <c r="BJ893" s="763">
        <v>0</v>
      </c>
      <c r="BK893" s="763">
        <v>0</v>
      </c>
      <c r="BL893" s="763">
        <v>0</v>
      </c>
      <c r="BM893" s="763">
        <v>0</v>
      </c>
      <c r="BN893" s="763">
        <v>0</v>
      </c>
      <c r="BO893" s="763">
        <v>0</v>
      </c>
      <c r="BP893" s="763">
        <v>0</v>
      </c>
      <c r="BQ893" s="763">
        <v>0</v>
      </c>
      <c r="BR893" s="763">
        <v>0</v>
      </c>
      <c r="BS893" s="762">
        <v>0</v>
      </c>
      <c r="BT893" s="762">
        <v>0</v>
      </c>
      <c r="BU893" s="762">
        <v>0</v>
      </c>
      <c r="BV893" s="762">
        <v>1717.7988886024091</v>
      </c>
      <c r="BW893" s="762">
        <v>1717.7988886024091</v>
      </c>
      <c r="BX893" s="762">
        <v>1717.7988886024091</v>
      </c>
      <c r="BY893" s="762">
        <v>542.46280692707649</v>
      </c>
      <c r="BZ893" s="762">
        <v>542.46280692707649</v>
      </c>
      <c r="CA893" s="762">
        <v>542.46280692707649</v>
      </c>
      <c r="CB893" s="762">
        <v>542.46280692707649</v>
      </c>
      <c r="CC893" s="762">
        <v>542.46280692707649</v>
      </c>
      <c r="CD893" s="762">
        <v>542.46280692707649</v>
      </c>
      <c r="CE893" s="762">
        <v>542.46280692707649</v>
      </c>
      <c r="CF893" s="762">
        <v>542.46280692707649</v>
      </c>
      <c r="CG893" s="762">
        <v>542.46280692707649</v>
      </c>
      <c r="CH893" s="762">
        <v>0</v>
      </c>
      <c r="CI893" s="762">
        <v>0</v>
      </c>
      <c r="CJ893" s="762">
        <v>0</v>
      </c>
      <c r="CK893" s="762">
        <v>0</v>
      </c>
      <c r="CL893" s="762">
        <v>0</v>
      </c>
      <c r="CM893" s="762">
        <v>0</v>
      </c>
      <c r="CN893" s="762">
        <v>0</v>
      </c>
      <c r="CO893" s="762">
        <v>0</v>
      </c>
      <c r="CP893" s="762">
        <v>0</v>
      </c>
      <c r="CQ893" s="762">
        <v>0</v>
      </c>
      <c r="CR893" s="762">
        <v>0</v>
      </c>
    </row>
    <row r="894" spans="1:96" s="53" customFormat="1">
      <c r="A894" s="721" t="s">
        <v>3</v>
      </c>
      <c r="B894" s="723">
        <v>41888</v>
      </c>
      <c r="C894" s="721">
        <v>2014</v>
      </c>
      <c r="D894" s="713" t="s">
        <v>1</v>
      </c>
      <c r="E894" s="713" t="s">
        <v>674</v>
      </c>
      <c r="F894" s="723" t="s">
        <v>123</v>
      </c>
      <c r="G894" s="713" t="s">
        <v>58</v>
      </c>
      <c r="H894" s="723" t="s">
        <v>676</v>
      </c>
      <c r="I894" s="713" t="s">
        <v>5</v>
      </c>
      <c r="J894" s="713" t="s">
        <v>376</v>
      </c>
      <c r="K894" s="766">
        <v>6</v>
      </c>
      <c r="L894" s="766" t="s">
        <v>671</v>
      </c>
      <c r="M894" s="765" t="s">
        <v>732</v>
      </c>
      <c r="N894" s="765">
        <v>12</v>
      </c>
      <c r="O894" s="765">
        <v>3</v>
      </c>
      <c r="P894" s="735">
        <v>0.31578947368421051</v>
      </c>
      <c r="Q894" s="713" t="s">
        <v>58</v>
      </c>
      <c r="R894" s="713" t="s">
        <v>58</v>
      </c>
      <c r="S894" s="713" t="s">
        <v>58</v>
      </c>
      <c r="T894" s="713" t="s">
        <v>58</v>
      </c>
      <c r="U894" s="764">
        <v>0.22800000000000001</v>
      </c>
      <c r="V894" s="764">
        <v>777.48</v>
      </c>
      <c r="W894" s="764">
        <v>0.17882279839023546</v>
      </c>
      <c r="X894" s="764">
        <v>642.33608371569005</v>
      </c>
      <c r="Y894" s="764">
        <v>3752.5950153916629</v>
      </c>
      <c r="Z894" s="764">
        <v>3541.9630334650287</v>
      </c>
      <c r="AA894" s="764">
        <v>606.28196068320312</v>
      </c>
      <c r="AB894" s="764">
        <v>0.16890590362393812</v>
      </c>
      <c r="AC894" s="714">
        <v>0.82617698682369967</v>
      </c>
      <c r="AD894" s="714">
        <v>0.7843105192554185</v>
      </c>
      <c r="AE894" s="713" t="s">
        <v>58</v>
      </c>
      <c r="AF894" s="713" t="s">
        <v>58</v>
      </c>
      <c r="AG894" s="713" t="s">
        <v>58</v>
      </c>
      <c r="AH894" s="714">
        <v>0.94387031345969796</v>
      </c>
      <c r="AI894" s="713" t="s">
        <v>58</v>
      </c>
      <c r="AJ894" s="713" t="s">
        <v>58</v>
      </c>
      <c r="AK894" s="713" t="s">
        <v>58</v>
      </c>
      <c r="AL894" s="714">
        <v>0.94454345387965444</v>
      </c>
      <c r="AM894" s="713" t="s">
        <v>58</v>
      </c>
      <c r="AN894" s="713" t="s">
        <v>58</v>
      </c>
      <c r="AO894" s="713" t="s">
        <v>58</v>
      </c>
      <c r="AP894" s="747">
        <v>57</v>
      </c>
      <c r="AQ894" s="747">
        <v>342</v>
      </c>
      <c r="AR894" s="709"/>
      <c r="AS894" s="763">
        <v>0</v>
      </c>
      <c r="AT894" s="763">
        <v>0</v>
      </c>
      <c r="AU894" s="763">
        <v>0</v>
      </c>
      <c r="AV894" s="763">
        <v>0.16890590362393812</v>
      </c>
      <c r="AW894" s="763">
        <v>0.16890590362393812</v>
      </c>
      <c r="AX894" s="763">
        <v>0.16890590362393812</v>
      </c>
      <c r="AY894" s="763">
        <v>5.3338706407559403E-2</v>
      </c>
      <c r="AZ894" s="763">
        <v>5.3338706407559403E-2</v>
      </c>
      <c r="BA894" s="763">
        <v>5.3338706407559403E-2</v>
      </c>
      <c r="BB894" s="763">
        <v>5.3338706407559403E-2</v>
      </c>
      <c r="BC894" s="763">
        <v>5.3338706407559403E-2</v>
      </c>
      <c r="BD894" s="763">
        <v>5.3338706407559403E-2</v>
      </c>
      <c r="BE894" s="763">
        <v>5.3338706407559403E-2</v>
      </c>
      <c r="BF894" s="763">
        <v>5.3338706407559403E-2</v>
      </c>
      <c r="BG894" s="763">
        <v>5.3338706407559403E-2</v>
      </c>
      <c r="BH894" s="763">
        <v>0</v>
      </c>
      <c r="BI894" s="763">
        <v>0</v>
      </c>
      <c r="BJ894" s="763">
        <v>0</v>
      </c>
      <c r="BK894" s="763">
        <v>0</v>
      </c>
      <c r="BL894" s="763">
        <v>0</v>
      </c>
      <c r="BM894" s="763">
        <v>0</v>
      </c>
      <c r="BN894" s="763">
        <v>0</v>
      </c>
      <c r="BO894" s="763">
        <v>0</v>
      </c>
      <c r="BP894" s="763">
        <v>0</v>
      </c>
      <c r="BQ894" s="763">
        <v>0</v>
      </c>
      <c r="BR894" s="763">
        <v>0</v>
      </c>
      <c r="BS894" s="762">
        <v>0</v>
      </c>
      <c r="BT894" s="762">
        <v>0</v>
      </c>
      <c r="BU894" s="762">
        <v>0</v>
      </c>
      <c r="BV894" s="762">
        <v>606.28196068320312</v>
      </c>
      <c r="BW894" s="762">
        <v>606.28196068320312</v>
      </c>
      <c r="BX894" s="762">
        <v>606.28196068320312</v>
      </c>
      <c r="BY894" s="762">
        <v>191.45746126837992</v>
      </c>
      <c r="BZ894" s="762">
        <v>191.45746126837992</v>
      </c>
      <c r="CA894" s="762">
        <v>191.45746126837992</v>
      </c>
      <c r="CB894" s="762">
        <v>191.45746126837992</v>
      </c>
      <c r="CC894" s="762">
        <v>191.45746126837992</v>
      </c>
      <c r="CD894" s="762">
        <v>191.45746126837992</v>
      </c>
      <c r="CE894" s="762">
        <v>191.45746126837992</v>
      </c>
      <c r="CF894" s="762">
        <v>191.45746126837992</v>
      </c>
      <c r="CG894" s="762">
        <v>191.45746126837992</v>
      </c>
      <c r="CH894" s="762">
        <v>0</v>
      </c>
      <c r="CI894" s="762">
        <v>0</v>
      </c>
      <c r="CJ894" s="762">
        <v>0</v>
      </c>
      <c r="CK894" s="762">
        <v>0</v>
      </c>
      <c r="CL894" s="762">
        <v>0</v>
      </c>
      <c r="CM894" s="762">
        <v>0</v>
      </c>
      <c r="CN894" s="762">
        <v>0</v>
      </c>
      <c r="CO894" s="762">
        <v>0</v>
      </c>
      <c r="CP894" s="762">
        <v>0</v>
      </c>
      <c r="CQ894" s="762">
        <v>0</v>
      </c>
      <c r="CR894" s="762">
        <v>0</v>
      </c>
    </row>
    <row r="895" spans="1:96" s="53" customFormat="1">
      <c r="A895" s="721" t="s">
        <v>3</v>
      </c>
      <c r="B895" s="723">
        <v>41888</v>
      </c>
      <c r="C895" s="721">
        <v>2014</v>
      </c>
      <c r="D895" s="713" t="s">
        <v>1</v>
      </c>
      <c r="E895" s="713" t="s">
        <v>674</v>
      </c>
      <c r="F895" s="723" t="s">
        <v>123</v>
      </c>
      <c r="G895" s="713" t="s">
        <v>58</v>
      </c>
      <c r="H895" s="723" t="s">
        <v>675</v>
      </c>
      <c r="I895" s="713" t="s">
        <v>5</v>
      </c>
      <c r="J895" s="713" t="s">
        <v>376</v>
      </c>
      <c r="K895" s="766">
        <v>3</v>
      </c>
      <c r="L895" s="766" t="s">
        <v>671</v>
      </c>
      <c r="M895" s="765" t="s">
        <v>732</v>
      </c>
      <c r="N895" s="765">
        <v>12</v>
      </c>
      <c r="O895" s="765">
        <v>3</v>
      </c>
      <c r="P895" s="735">
        <v>0.36842105263157893</v>
      </c>
      <c r="Q895" s="713" t="s">
        <v>58</v>
      </c>
      <c r="R895" s="713" t="s">
        <v>58</v>
      </c>
      <c r="S895" s="713" t="s">
        <v>58</v>
      </c>
      <c r="T895" s="713" t="s">
        <v>58</v>
      </c>
      <c r="U895" s="764">
        <v>0.17100000000000001</v>
      </c>
      <c r="V895" s="764">
        <v>583.11</v>
      </c>
      <c r="W895" s="764">
        <v>0.13411709879267658</v>
      </c>
      <c r="X895" s="764">
        <v>481.75206278676751</v>
      </c>
      <c r="Y895" s="764">
        <v>3042.6446070743209</v>
      </c>
      <c r="Z895" s="764">
        <v>2871.8619190256986</v>
      </c>
      <c r="AA895" s="764">
        <v>454.71147051240234</v>
      </c>
      <c r="AB895" s="764">
        <v>0.12667942771795357</v>
      </c>
      <c r="AC895" s="714">
        <v>0.82617698682369967</v>
      </c>
      <c r="AD895" s="714">
        <v>0.7843105192554185</v>
      </c>
      <c r="AE895" s="713" t="s">
        <v>58</v>
      </c>
      <c r="AF895" s="713" t="s">
        <v>58</v>
      </c>
      <c r="AG895" s="713" t="s">
        <v>58</v>
      </c>
      <c r="AH895" s="714">
        <v>0.94387031345969796</v>
      </c>
      <c r="AI895" s="713" t="s">
        <v>58</v>
      </c>
      <c r="AJ895" s="713" t="s">
        <v>58</v>
      </c>
      <c r="AK895" s="713" t="s">
        <v>58</v>
      </c>
      <c r="AL895" s="714">
        <v>0.94454345387965444</v>
      </c>
      <c r="AM895" s="713" t="s">
        <v>58</v>
      </c>
      <c r="AN895" s="713" t="s">
        <v>58</v>
      </c>
      <c r="AO895" s="713" t="s">
        <v>58</v>
      </c>
      <c r="AP895" s="747">
        <v>17</v>
      </c>
      <c r="AQ895" s="747">
        <v>51</v>
      </c>
      <c r="AR895" s="709"/>
      <c r="AS895" s="763">
        <v>0</v>
      </c>
      <c r="AT895" s="763">
        <v>0</v>
      </c>
      <c r="AU895" s="763">
        <v>0</v>
      </c>
      <c r="AV895" s="763">
        <v>0.12667942771795357</v>
      </c>
      <c r="AW895" s="763">
        <v>0.12667942771795357</v>
      </c>
      <c r="AX895" s="763">
        <v>0.12667942771795357</v>
      </c>
      <c r="AY895" s="763">
        <v>4.6671368106614472E-2</v>
      </c>
      <c r="AZ895" s="763">
        <v>4.6671368106614472E-2</v>
      </c>
      <c r="BA895" s="763">
        <v>4.6671368106614472E-2</v>
      </c>
      <c r="BB895" s="763">
        <v>4.6671368106614472E-2</v>
      </c>
      <c r="BC895" s="763">
        <v>4.6671368106614472E-2</v>
      </c>
      <c r="BD895" s="763">
        <v>4.6671368106614472E-2</v>
      </c>
      <c r="BE895" s="763">
        <v>4.6671368106614472E-2</v>
      </c>
      <c r="BF895" s="763">
        <v>4.6671368106614472E-2</v>
      </c>
      <c r="BG895" s="763">
        <v>4.6671368106614472E-2</v>
      </c>
      <c r="BH895" s="763">
        <v>0</v>
      </c>
      <c r="BI895" s="763">
        <v>0</v>
      </c>
      <c r="BJ895" s="763">
        <v>0</v>
      </c>
      <c r="BK895" s="763">
        <v>0</v>
      </c>
      <c r="BL895" s="763">
        <v>0</v>
      </c>
      <c r="BM895" s="763">
        <v>0</v>
      </c>
      <c r="BN895" s="763">
        <v>0</v>
      </c>
      <c r="BO895" s="763">
        <v>0</v>
      </c>
      <c r="BP895" s="763">
        <v>0</v>
      </c>
      <c r="BQ895" s="763">
        <v>0</v>
      </c>
      <c r="BR895" s="763">
        <v>0</v>
      </c>
      <c r="BS895" s="762">
        <v>0</v>
      </c>
      <c r="BT895" s="762">
        <v>0</v>
      </c>
      <c r="BU895" s="762">
        <v>0</v>
      </c>
      <c r="BV895" s="762">
        <v>454.71147051240234</v>
      </c>
      <c r="BW895" s="762">
        <v>454.71147051240234</v>
      </c>
      <c r="BX895" s="762">
        <v>454.71147051240234</v>
      </c>
      <c r="BY895" s="762">
        <v>167.52527860983244</v>
      </c>
      <c r="BZ895" s="762">
        <v>167.52527860983244</v>
      </c>
      <c r="CA895" s="762">
        <v>167.52527860983244</v>
      </c>
      <c r="CB895" s="762">
        <v>167.52527860983244</v>
      </c>
      <c r="CC895" s="762">
        <v>167.52527860983244</v>
      </c>
      <c r="CD895" s="762">
        <v>167.52527860983244</v>
      </c>
      <c r="CE895" s="762">
        <v>167.52527860983244</v>
      </c>
      <c r="CF895" s="762">
        <v>167.52527860983244</v>
      </c>
      <c r="CG895" s="762">
        <v>167.52527860983244</v>
      </c>
      <c r="CH895" s="762">
        <v>0</v>
      </c>
      <c r="CI895" s="762">
        <v>0</v>
      </c>
      <c r="CJ895" s="762">
        <v>0</v>
      </c>
      <c r="CK895" s="762">
        <v>0</v>
      </c>
      <c r="CL895" s="762">
        <v>0</v>
      </c>
      <c r="CM895" s="762">
        <v>0</v>
      </c>
      <c r="CN895" s="762">
        <v>0</v>
      </c>
      <c r="CO895" s="762">
        <v>0</v>
      </c>
      <c r="CP895" s="762">
        <v>0</v>
      </c>
      <c r="CQ895" s="762">
        <v>0</v>
      </c>
      <c r="CR895" s="762">
        <v>0</v>
      </c>
    </row>
    <row r="896" spans="1:96" s="53" customFormat="1">
      <c r="A896" s="721" t="s">
        <v>3</v>
      </c>
      <c r="B896" s="723">
        <v>41888</v>
      </c>
      <c r="C896" s="721">
        <v>2014</v>
      </c>
      <c r="D896" s="713" t="s">
        <v>1</v>
      </c>
      <c r="E896" s="713" t="s">
        <v>674</v>
      </c>
      <c r="F896" s="723" t="s">
        <v>123</v>
      </c>
      <c r="G896" s="713" t="s">
        <v>58</v>
      </c>
      <c r="H896" s="723" t="s">
        <v>675</v>
      </c>
      <c r="I896" s="713" t="s">
        <v>5</v>
      </c>
      <c r="J896" s="713" t="s">
        <v>376</v>
      </c>
      <c r="K896" s="766">
        <v>1</v>
      </c>
      <c r="L896" s="766" t="s">
        <v>671</v>
      </c>
      <c r="M896" s="765" t="s">
        <v>732</v>
      </c>
      <c r="N896" s="765">
        <v>12</v>
      </c>
      <c r="O896" s="765">
        <v>3</v>
      </c>
      <c r="P896" s="735">
        <v>0.36842105263157893</v>
      </c>
      <c r="Q896" s="713" t="s">
        <v>58</v>
      </c>
      <c r="R896" s="713" t="s">
        <v>58</v>
      </c>
      <c r="S896" s="713" t="s">
        <v>58</v>
      </c>
      <c r="T896" s="713" t="s">
        <v>58</v>
      </c>
      <c r="U896" s="764">
        <v>5.7000000000000002E-2</v>
      </c>
      <c r="V896" s="764">
        <v>194.37</v>
      </c>
      <c r="W896" s="764">
        <v>4.4705699597558865E-2</v>
      </c>
      <c r="X896" s="764">
        <v>160.58402092892251</v>
      </c>
      <c r="Y896" s="764">
        <v>1014.2148690247736</v>
      </c>
      <c r="Z896" s="764">
        <v>957.28730634189958</v>
      </c>
      <c r="AA896" s="764">
        <v>151.57049017080078</v>
      </c>
      <c r="AB896" s="764">
        <v>4.222647590598453E-2</v>
      </c>
      <c r="AC896" s="714">
        <v>0.82617698682369967</v>
      </c>
      <c r="AD896" s="714">
        <v>0.7843105192554185</v>
      </c>
      <c r="AE896" s="713" t="s">
        <v>58</v>
      </c>
      <c r="AF896" s="713" t="s">
        <v>58</v>
      </c>
      <c r="AG896" s="713" t="s">
        <v>58</v>
      </c>
      <c r="AH896" s="714">
        <v>0.94387031345969796</v>
      </c>
      <c r="AI896" s="713" t="s">
        <v>58</v>
      </c>
      <c r="AJ896" s="713" t="s">
        <v>58</v>
      </c>
      <c r="AK896" s="713" t="s">
        <v>58</v>
      </c>
      <c r="AL896" s="714">
        <v>0.94454345387965444</v>
      </c>
      <c r="AM896" s="713" t="s">
        <v>58</v>
      </c>
      <c r="AN896" s="713" t="s">
        <v>58</v>
      </c>
      <c r="AO896" s="713" t="s">
        <v>58</v>
      </c>
      <c r="AP896" s="747">
        <v>17</v>
      </c>
      <c r="AQ896" s="747">
        <v>17</v>
      </c>
      <c r="AR896" s="709"/>
      <c r="AS896" s="763">
        <v>0</v>
      </c>
      <c r="AT896" s="763">
        <v>0</v>
      </c>
      <c r="AU896" s="763">
        <v>0</v>
      </c>
      <c r="AV896" s="763">
        <v>4.222647590598453E-2</v>
      </c>
      <c r="AW896" s="763">
        <v>4.222647590598453E-2</v>
      </c>
      <c r="AX896" s="763">
        <v>4.222647590598453E-2</v>
      </c>
      <c r="AY896" s="763">
        <v>1.5557122702204825E-2</v>
      </c>
      <c r="AZ896" s="763">
        <v>1.5557122702204825E-2</v>
      </c>
      <c r="BA896" s="763">
        <v>1.5557122702204825E-2</v>
      </c>
      <c r="BB896" s="763">
        <v>1.5557122702204825E-2</v>
      </c>
      <c r="BC896" s="763">
        <v>1.5557122702204825E-2</v>
      </c>
      <c r="BD896" s="763">
        <v>1.5557122702204825E-2</v>
      </c>
      <c r="BE896" s="763">
        <v>1.5557122702204825E-2</v>
      </c>
      <c r="BF896" s="763">
        <v>1.5557122702204825E-2</v>
      </c>
      <c r="BG896" s="763">
        <v>1.5557122702204825E-2</v>
      </c>
      <c r="BH896" s="763">
        <v>0</v>
      </c>
      <c r="BI896" s="763">
        <v>0</v>
      </c>
      <c r="BJ896" s="763">
        <v>0</v>
      </c>
      <c r="BK896" s="763">
        <v>0</v>
      </c>
      <c r="BL896" s="763">
        <v>0</v>
      </c>
      <c r="BM896" s="763">
        <v>0</v>
      </c>
      <c r="BN896" s="763">
        <v>0</v>
      </c>
      <c r="BO896" s="763">
        <v>0</v>
      </c>
      <c r="BP896" s="763">
        <v>0</v>
      </c>
      <c r="BQ896" s="763">
        <v>0</v>
      </c>
      <c r="BR896" s="763">
        <v>0</v>
      </c>
      <c r="BS896" s="762">
        <v>0</v>
      </c>
      <c r="BT896" s="762">
        <v>0</v>
      </c>
      <c r="BU896" s="762">
        <v>0</v>
      </c>
      <c r="BV896" s="762">
        <v>151.57049017080078</v>
      </c>
      <c r="BW896" s="762">
        <v>151.57049017080078</v>
      </c>
      <c r="BX896" s="762">
        <v>151.57049017080078</v>
      </c>
      <c r="BY896" s="762">
        <v>55.841759536610809</v>
      </c>
      <c r="BZ896" s="762">
        <v>55.841759536610809</v>
      </c>
      <c r="CA896" s="762">
        <v>55.841759536610809</v>
      </c>
      <c r="CB896" s="762">
        <v>55.841759536610809</v>
      </c>
      <c r="CC896" s="762">
        <v>55.841759536610809</v>
      </c>
      <c r="CD896" s="762">
        <v>55.841759536610809</v>
      </c>
      <c r="CE896" s="762">
        <v>55.841759536610809</v>
      </c>
      <c r="CF896" s="762">
        <v>55.841759536610809</v>
      </c>
      <c r="CG896" s="762">
        <v>55.841759536610809</v>
      </c>
      <c r="CH896" s="762">
        <v>0</v>
      </c>
      <c r="CI896" s="762">
        <v>0</v>
      </c>
      <c r="CJ896" s="762">
        <v>0</v>
      </c>
      <c r="CK896" s="762">
        <v>0</v>
      </c>
      <c r="CL896" s="762">
        <v>0</v>
      </c>
      <c r="CM896" s="762">
        <v>0</v>
      </c>
      <c r="CN896" s="762">
        <v>0</v>
      </c>
      <c r="CO896" s="762">
        <v>0</v>
      </c>
      <c r="CP896" s="762">
        <v>0</v>
      </c>
      <c r="CQ896" s="762">
        <v>0</v>
      </c>
      <c r="CR896" s="762">
        <v>0</v>
      </c>
    </row>
    <row r="897" spans="1:96" s="53" customFormat="1">
      <c r="A897" s="721" t="s">
        <v>3</v>
      </c>
      <c r="B897" s="723">
        <v>41888</v>
      </c>
      <c r="C897" s="721">
        <v>2014</v>
      </c>
      <c r="D897" s="713" t="s">
        <v>1</v>
      </c>
      <c r="E897" s="713" t="s">
        <v>674</v>
      </c>
      <c r="F897" s="723" t="s">
        <v>123</v>
      </c>
      <c r="G897" s="713" t="s">
        <v>58</v>
      </c>
      <c r="H897" s="723" t="s">
        <v>684</v>
      </c>
      <c r="I897" s="713" t="s">
        <v>5</v>
      </c>
      <c r="J897" s="713" t="s">
        <v>376</v>
      </c>
      <c r="K897" s="766">
        <v>3</v>
      </c>
      <c r="L897" s="766" t="s">
        <v>671</v>
      </c>
      <c r="M897" s="765" t="s">
        <v>732</v>
      </c>
      <c r="N897" s="765">
        <v>11</v>
      </c>
      <c r="O897" s="765">
        <v>2</v>
      </c>
      <c r="P897" s="735">
        <v>0.43976996379393668</v>
      </c>
      <c r="Q897" s="713" t="s">
        <v>58</v>
      </c>
      <c r="R897" s="713" t="s">
        <v>58</v>
      </c>
      <c r="S897" s="713" t="s">
        <v>58</v>
      </c>
      <c r="T897" s="713" t="s">
        <v>58</v>
      </c>
      <c r="U897" s="764">
        <v>0.20399999999999999</v>
      </c>
      <c r="V897" s="764">
        <v>647.49599999999998</v>
      </c>
      <c r="W897" s="764">
        <v>0.15999934592810541</v>
      </c>
      <c r="X897" s="764">
        <v>534.94629426039819</v>
      </c>
      <c r="Y897" s="764">
        <v>3187.1724006481595</v>
      </c>
      <c r="Z897" s="764">
        <v>3008.2774128498763</v>
      </c>
      <c r="AA897" s="764">
        <v>504.91992644766589</v>
      </c>
      <c r="AB897" s="764">
        <v>0.15112633482141832</v>
      </c>
      <c r="AC897" s="714">
        <v>0.82617698682369967</v>
      </c>
      <c r="AD897" s="714">
        <v>0.7843105192554185</v>
      </c>
      <c r="AE897" s="713" t="s">
        <v>58</v>
      </c>
      <c r="AF897" s="713" t="s">
        <v>58</v>
      </c>
      <c r="AG897" s="713" t="s">
        <v>58</v>
      </c>
      <c r="AH897" s="714">
        <v>0.94387031345969796</v>
      </c>
      <c r="AI897" s="713" t="s">
        <v>58</v>
      </c>
      <c r="AJ897" s="713" t="s">
        <v>58</v>
      </c>
      <c r="AK897" s="713" t="s">
        <v>58</v>
      </c>
      <c r="AL897" s="714">
        <v>0.94454345387965444</v>
      </c>
      <c r="AM897" s="713" t="s">
        <v>58</v>
      </c>
      <c r="AN897" s="713" t="s">
        <v>58</v>
      </c>
      <c r="AO897" s="713" t="s">
        <v>58</v>
      </c>
      <c r="AP897" s="747">
        <v>19</v>
      </c>
      <c r="AQ897" s="747">
        <v>57</v>
      </c>
      <c r="AR897" s="709"/>
      <c r="AS897" s="763">
        <v>0</v>
      </c>
      <c r="AT897" s="763">
        <v>0</v>
      </c>
      <c r="AU897" s="763">
        <v>0</v>
      </c>
      <c r="AV897" s="763">
        <v>0.15112633482141832</v>
      </c>
      <c r="AW897" s="763">
        <v>0.15112633482141832</v>
      </c>
      <c r="AX897" s="763">
        <v>6.6460822792725485E-2</v>
      </c>
      <c r="AY897" s="763">
        <v>6.6460822792725485E-2</v>
      </c>
      <c r="AZ897" s="763">
        <v>6.6460822792725485E-2</v>
      </c>
      <c r="BA897" s="763">
        <v>6.6460822792725485E-2</v>
      </c>
      <c r="BB897" s="763">
        <v>6.6460822792725485E-2</v>
      </c>
      <c r="BC897" s="763">
        <v>6.6460822792725485E-2</v>
      </c>
      <c r="BD897" s="763">
        <v>6.6460822792725485E-2</v>
      </c>
      <c r="BE897" s="763">
        <v>6.6460822792725485E-2</v>
      </c>
      <c r="BF897" s="763">
        <v>6.6460822792725485E-2</v>
      </c>
      <c r="BG897" s="763">
        <v>0</v>
      </c>
      <c r="BH897" s="763">
        <v>0</v>
      </c>
      <c r="BI897" s="763">
        <v>0</v>
      </c>
      <c r="BJ897" s="763">
        <v>0</v>
      </c>
      <c r="BK897" s="763">
        <v>0</v>
      </c>
      <c r="BL897" s="763">
        <v>0</v>
      </c>
      <c r="BM897" s="763">
        <v>0</v>
      </c>
      <c r="BN897" s="763">
        <v>0</v>
      </c>
      <c r="BO897" s="763">
        <v>0</v>
      </c>
      <c r="BP897" s="763">
        <v>0</v>
      </c>
      <c r="BQ897" s="763">
        <v>0</v>
      </c>
      <c r="BR897" s="763">
        <v>0</v>
      </c>
      <c r="BS897" s="762">
        <v>0</v>
      </c>
      <c r="BT897" s="762">
        <v>0</v>
      </c>
      <c r="BU897" s="762">
        <v>0</v>
      </c>
      <c r="BV897" s="762">
        <v>504.91992644766589</v>
      </c>
      <c r="BW897" s="762">
        <v>504.91992644766589</v>
      </c>
      <c r="BX897" s="762">
        <v>222.0486177727272</v>
      </c>
      <c r="BY897" s="762">
        <v>222.0486177727272</v>
      </c>
      <c r="BZ897" s="762">
        <v>222.0486177727272</v>
      </c>
      <c r="CA897" s="762">
        <v>222.0486177727272</v>
      </c>
      <c r="CB897" s="762">
        <v>222.0486177727272</v>
      </c>
      <c r="CC897" s="762">
        <v>222.0486177727272</v>
      </c>
      <c r="CD897" s="762">
        <v>222.0486177727272</v>
      </c>
      <c r="CE897" s="762">
        <v>222.0486177727272</v>
      </c>
      <c r="CF897" s="762">
        <v>222.0486177727272</v>
      </c>
      <c r="CG897" s="762">
        <v>0</v>
      </c>
      <c r="CH897" s="762">
        <v>0</v>
      </c>
      <c r="CI897" s="762">
        <v>0</v>
      </c>
      <c r="CJ897" s="762">
        <v>0</v>
      </c>
      <c r="CK897" s="762">
        <v>0</v>
      </c>
      <c r="CL897" s="762">
        <v>0</v>
      </c>
      <c r="CM897" s="762">
        <v>0</v>
      </c>
      <c r="CN897" s="762">
        <v>0</v>
      </c>
      <c r="CO897" s="762">
        <v>0</v>
      </c>
      <c r="CP897" s="762">
        <v>0</v>
      </c>
      <c r="CQ897" s="762">
        <v>0</v>
      </c>
      <c r="CR897" s="762">
        <v>0</v>
      </c>
    </row>
    <row r="898" spans="1:96" s="53" customFormat="1">
      <c r="A898" s="721" t="s">
        <v>3</v>
      </c>
      <c r="B898" s="723">
        <v>41888</v>
      </c>
      <c r="C898" s="721">
        <v>2014</v>
      </c>
      <c r="D898" s="713" t="s">
        <v>1</v>
      </c>
      <c r="E898" s="713" t="s">
        <v>674</v>
      </c>
      <c r="F898" s="723" t="s">
        <v>123</v>
      </c>
      <c r="G898" s="713" t="s">
        <v>58</v>
      </c>
      <c r="H898" s="723" t="s">
        <v>684</v>
      </c>
      <c r="I898" s="713" t="s">
        <v>5</v>
      </c>
      <c r="J898" s="713" t="s">
        <v>376</v>
      </c>
      <c r="K898" s="766">
        <v>3</v>
      </c>
      <c r="L898" s="766" t="s">
        <v>671</v>
      </c>
      <c r="M898" s="765" t="s">
        <v>732</v>
      </c>
      <c r="N898" s="765">
        <v>11</v>
      </c>
      <c r="O898" s="765">
        <v>2</v>
      </c>
      <c r="P898" s="735">
        <v>0.43976996379393668</v>
      </c>
      <c r="Q898" s="713" t="s">
        <v>58</v>
      </c>
      <c r="R898" s="713" t="s">
        <v>58</v>
      </c>
      <c r="S898" s="713" t="s">
        <v>58</v>
      </c>
      <c r="T898" s="713" t="s">
        <v>58</v>
      </c>
      <c r="U898" s="764">
        <v>0.20399999999999999</v>
      </c>
      <c r="V898" s="764">
        <v>647.49599999999998</v>
      </c>
      <c r="W898" s="764">
        <v>0.15999934592810541</v>
      </c>
      <c r="X898" s="764">
        <v>534.94629426039819</v>
      </c>
      <c r="Y898" s="764">
        <v>3187.1724006481595</v>
      </c>
      <c r="Z898" s="764">
        <v>3008.2774128498763</v>
      </c>
      <c r="AA898" s="764">
        <v>504.91992644766589</v>
      </c>
      <c r="AB898" s="764">
        <v>0.15112633482141832</v>
      </c>
      <c r="AC898" s="714">
        <v>0.82617698682369967</v>
      </c>
      <c r="AD898" s="714">
        <v>0.7843105192554185</v>
      </c>
      <c r="AE898" s="713" t="s">
        <v>58</v>
      </c>
      <c r="AF898" s="713" t="s">
        <v>58</v>
      </c>
      <c r="AG898" s="713" t="s">
        <v>58</v>
      </c>
      <c r="AH898" s="714">
        <v>0.94387031345969796</v>
      </c>
      <c r="AI898" s="713" t="s">
        <v>58</v>
      </c>
      <c r="AJ898" s="713" t="s">
        <v>58</v>
      </c>
      <c r="AK898" s="713" t="s">
        <v>58</v>
      </c>
      <c r="AL898" s="714">
        <v>0.94454345387965444</v>
      </c>
      <c r="AM898" s="713" t="s">
        <v>58</v>
      </c>
      <c r="AN898" s="713" t="s">
        <v>58</v>
      </c>
      <c r="AO898" s="713" t="s">
        <v>58</v>
      </c>
      <c r="AP898" s="747">
        <v>19</v>
      </c>
      <c r="AQ898" s="747">
        <v>57</v>
      </c>
      <c r="AR898" s="709"/>
      <c r="AS898" s="763">
        <v>0</v>
      </c>
      <c r="AT898" s="763">
        <v>0</v>
      </c>
      <c r="AU898" s="763">
        <v>0</v>
      </c>
      <c r="AV898" s="763">
        <v>0.15112633482141832</v>
      </c>
      <c r="AW898" s="763">
        <v>0.15112633482141832</v>
      </c>
      <c r="AX898" s="763">
        <v>6.6460822792725485E-2</v>
      </c>
      <c r="AY898" s="763">
        <v>6.6460822792725485E-2</v>
      </c>
      <c r="AZ898" s="763">
        <v>6.6460822792725485E-2</v>
      </c>
      <c r="BA898" s="763">
        <v>6.6460822792725485E-2</v>
      </c>
      <c r="BB898" s="763">
        <v>6.6460822792725485E-2</v>
      </c>
      <c r="BC898" s="763">
        <v>6.6460822792725485E-2</v>
      </c>
      <c r="BD898" s="763">
        <v>6.6460822792725485E-2</v>
      </c>
      <c r="BE898" s="763">
        <v>6.6460822792725485E-2</v>
      </c>
      <c r="BF898" s="763">
        <v>6.6460822792725485E-2</v>
      </c>
      <c r="BG898" s="763">
        <v>0</v>
      </c>
      <c r="BH898" s="763">
        <v>0</v>
      </c>
      <c r="BI898" s="763">
        <v>0</v>
      </c>
      <c r="BJ898" s="763">
        <v>0</v>
      </c>
      <c r="BK898" s="763">
        <v>0</v>
      </c>
      <c r="BL898" s="763">
        <v>0</v>
      </c>
      <c r="BM898" s="763">
        <v>0</v>
      </c>
      <c r="BN898" s="763">
        <v>0</v>
      </c>
      <c r="BO898" s="763">
        <v>0</v>
      </c>
      <c r="BP898" s="763">
        <v>0</v>
      </c>
      <c r="BQ898" s="763">
        <v>0</v>
      </c>
      <c r="BR898" s="763">
        <v>0</v>
      </c>
      <c r="BS898" s="762">
        <v>0</v>
      </c>
      <c r="BT898" s="762">
        <v>0</v>
      </c>
      <c r="BU898" s="762">
        <v>0</v>
      </c>
      <c r="BV898" s="762">
        <v>504.91992644766589</v>
      </c>
      <c r="BW898" s="762">
        <v>504.91992644766589</v>
      </c>
      <c r="BX898" s="762">
        <v>222.0486177727272</v>
      </c>
      <c r="BY898" s="762">
        <v>222.0486177727272</v>
      </c>
      <c r="BZ898" s="762">
        <v>222.0486177727272</v>
      </c>
      <c r="CA898" s="762">
        <v>222.0486177727272</v>
      </c>
      <c r="CB898" s="762">
        <v>222.0486177727272</v>
      </c>
      <c r="CC898" s="762">
        <v>222.0486177727272</v>
      </c>
      <c r="CD898" s="762">
        <v>222.0486177727272</v>
      </c>
      <c r="CE898" s="762">
        <v>222.0486177727272</v>
      </c>
      <c r="CF898" s="762">
        <v>222.0486177727272</v>
      </c>
      <c r="CG898" s="762">
        <v>0</v>
      </c>
      <c r="CH898" s="762">
        <v>0</v>
      </c>
      <c r="CI898" s="762">
        <v>0</v>
      </c>
      <c r="CJ898" s="762">
        <v>0</v>
      </c>
      <c r="CK898" s="762">
        <v>0</v>
      </c>
      <c r="CL898" s="762">
        <v>0</v>
      </c>
      <c r="CM898" s="762">
        <v>0</v>
      </c>
      <c r="CN898" s="762">
        <v>0</v>
      </c>
      <c r="CO898" s="762">
        <v>0</v>
      </c>
      <c r="CP898" s="762">
        <v>0</v>
      </c>
      <c r="CQ898" s="762">
        <v>0</v>
      </c>
      <c r="CR898" s="762">
        <v>0</v>
      </c>
    </row>
    <row r="899" spans="1:96" s="53" customFormat="1">
      <c r="A899" s="721" t="s">
        <v>3</v>
      </c>
      <c r="B899" s="723">
        <v>41866</v>
      </c>
      <c r="C899" s="721">
        <v>2014</v>
      </c>
      <c r="D899" s="713" t="s">
        <v>1</v>
      </c>
      <c r="E899" s="713" t="s">
        <v>674</v>
      </c>
      <c r="F899" s="723" t="s">
        <v>673</v>
      </c>
      <c r="G899" s="713" t="s">
        <v>58</v>
      </c>
      <c r="H899" s="723" t="s">
        <v>677</v>
      </c>
      <c r="I899" s="713" t="s">
        <v>5</v>
      </c>
      <c r="J899" s="713" t="s">
        <v>376</v>
      </c>
      <c r="K899" s="766">
        <v>1</v>
      </c>
      <c r="L899" s="766" t="s">
        <v>671</v>
      </c>
      <c r="M899" s="765" t="s">
        <v>728</v>
      </c>
      <c r="N899" s="765">
        <v>0</v>
      </c>
      <c r="O899" s="765">
        <v>0</v>
      </c>
      <c r="P899" s="735">
        <v>0</v>
      </c>
      <c r="Q899" s="713" t="s">
        <v>58</v>
      </c>
      <c r="R899" s="713" t="s">
        <v>58</v>
      </c>
      <c r="S899" s="713" t="s">
        <v>58</v>
      </c>
      <c r="T899" s="713" t="s">
        <v>58</v>
      </c>
      <c r="U899" s="764">
        <v>0</v>
      </c>
      <c r="V899" s="764">
        <v>0</v>
      </c>
      <c r="W899" s="764">
        <v>0</v>
      </c>
      <c r="X899" s="764">
        <v>0</v>
      </c>
      <c r="Y899" s="764">
        <v>0</v>
      </c>
      <c r="Z899" s="764">
        <v>0</v>
      </c>
      <c r="AA899" s="764">
        <v>0</v>
      </c>
      <c r="AB899" s="764">
        <v>0</v>
      </c>
      <c r="AC899" s="714">
        <v>0.82617698682369967</v>
      </c>
      <c r="AD899" s="714">
        <v>0.7843105192554185</v>
      </c>
      <c r="AE899" s="713" t="s">
        <v>58</v>
      </c>
      <c r="AF899" s="713" t="s">
        <v>58</v>
      </c>
      <c r="AG899" s="713" t="s">
        <v>58</v>
      </c>
      <c r="AH899" s="714">
        <v>0.94387031345969796</v>
      </c>
      <c r="AI899" s="713" t="s">
        <v>58</v>
      </c>
      <c r="AJ899" s="713" t="s">
        <v>58</v>
      </c>
      <c r="AK899" s="713" t="s">
        <v>58</v>
      </c>
      <c r="AL899" s="714">
        <v>0.94454345387965444</v>
      </c>
      <c r="AM899" s="713" t="s">
        <v>58</v>
      </c>
      <c r="AN899" s="713" t="s">
        <v>58</v>
      </c>
      <c r="AO899" s="713" t="s">
        <v>58</v>
      </c>
      <c r="AP899" s="747">
        <v>51</v>
      </c>
      <c r="AQ899" s="747">
        <v>51</v>
      </c>
      <c r="AR899" s="709"/>
      <c r="AS899" s="763">
        <v>0</v>
      </c>
      <c r="AT899" s="763">
        <v>0</v>
      </c>
      <c r="AU899" s="763">
        <v>0</v>
      </c>
      <c r="AV899" s="763">
        <v>0</v>
      </c>
      <c r="AW899" s="763">
        <v>0</v>
      </c>
      <c r="AX899" s="763">
        <v>0</v>
      </c>
      <c r="AY899" s="763">
        <v>0</v>
      </c>
      <c r="AZ899" s="763">
        <v>0</v>
      </c>
      <c r="BA899" s="763">
        <v>0</v>
      </c>
      <c r="BB899" s="763">
        <v>0</v>
      </c>
      <c r="BC899" s="763">
        <v>0</v>
      </c>
      <c r="BD899" s="763">
        <v>0</v>
      </c>
      <c r="BE899" s="763">
        <v>0</v>
      </c>
      <c r="BF899" s="763">
        <v>0</v>
      </c>
      <c r="BG899" s="763">
        <v>0</v>
      </c>
      <c r="BH899" s="763">
        <v>0</v>
      </c>
      <c r="BI899" s="763">
        <v>0</v>
      </c>
      <c r="BJ899" s="763">
        <v>0</v>
      </c>
      <c r="BK899" s="763">
        <v>0</v>
      </c>
      <c r="BL899" s="763">
        <v>0</v>
      </c>
      <c r="BM899" s="763">
        <v>0</v>
      </c>
      <c r="BN899" s="763">
        <v>0</v>
      </c>
      <c r="BO899" s="763">
        <v>0</v>
      </c>
      <c r="BP899" s="763">
        <v>0</v>
      </c>
      <c r="BQ899" s="763">
        <v>0</v>
      </c>
      <c r="BR899" s="763">
        <v>0</v>
      </c>
      <c r="BS899" s="762">
        <v>0</v>
      </c>
      <c r="BT899" s="762">
        <v>0</v>
      </c>
      <c r="BU899" s="762">
        <v>0</v>
      </c>
      <c r="BV899" s="762">
        <v>0</v>
      </c>
      <c r="BW899" s="762">
        <v>0</v>
      </c>
      <c r="BX899" s="762">
        <v>0</v>
      </c>
      <c r="BY899" s="762">
        <v>0</v>
      </c>
      <c r="BZ899" s="762">
        <v>0</v>
      </c>
      <c r="CA899" s="762">
        <v>0</v>
      </c>
      <c r="CB899" s="762">
        <v>0</v>
      </c>
      <c r="CC899" s="762">
        <v>0</v>
      </c>
      <c r="CD899" s="762">
        <v>0</v>
      </c>
      <c r="CE899" s="762">
        <v>0</v>
      </c>
      <c r="CF899" s="762">
        <v>0</v>
      </c>
      <c r="CG899" s="762">
        <v>0</v>
      </c>
      <c r="CH899" s="762">
        <v>0</v>
      </c>
      <c r="CI899" s="762">
        <v>0</v>
      </c>
      <c r="CJ899" s="762">
        <v>0</v>
      </c>
      <c r="CK899" s="762">
        <v>0</v>
      </c>
      <c r="CL899" s="762">
        <v>0</v>
      </c>
      <c r="CM899" s="762">
        <v>0</v>
      </c>
      <c r="CN899" s="762">
        <v>0</v>
      </c>
      <c r="CO899" s="762">
        <v>0</v>
      </c>
      <c r="CP899" s="762">
        <v>0</v>
      </c>
      <c r="CQ899" s="762">
        <v>0</v>
      </c>
      <c r="CR899" s="762">
        <v>0</v>
      </c>
    </row>
    <row r="900" spans="1:96" s="53" customFormat="1">
      <c r="A900" s="721" t="s">
        <v>3</v>
      </c>
      <c r="B900" s="723">
        <v>41866</v>
      </c>
      <c r="C900" s="721">
        <v>2014</v>
      </c>
      <c r="D900" s="713" t="s">
        <v>1</v>
      </c>
      <c r="E900" s="713" t="s">
        <v>674</v>
      </c>
      <c r="F900" s="723" t="s">
        <v>673</v>
      </c>
      <c r="G900" s="713" t="s">
        <v>58</v>
      </c>
      <c r="H900" s="723" t="s">
        <v>676</v>
      </c>
      <c r="I900" s="713" t="s">
        <v>5</v>
      </c>
      <c r="J900" s="713" t="s">
        <v>376</v>
      </c>
      <c r="K900" s="766">
        <v>2</v>
      </c>
      <c r="L900" s="766" t="s">
        <v>671</v>
      </c>
      <c r="M900" s="765" t="s">
        <v>728</v>
      </c>
      <c r="N900" s="765">
        <v>12</v>
      </c>
      <c r="O900" s="765">
        <v>3</v>
      </c>
      <c r="P900" s="735">
        <v>0.31578947368421051</v>
      </c>
      <c r="Q900" s="713" t="s">
        <v>58</v>
      </c>
      <c r="R900" s="713" t="s">
        <v>58</v>
      </c>
      <c r="S900" s="713" t="s">
        <v>58</v>
      </c>
      <c r="T900" s="713" t="s">
        <v>58</v>
      </c>
      <c r="U900" s="764">
        <v>7.5999999999999998E-2</v>
      </c>
      <c r="V900" s="764">
        <v>197.14400000000001</v>
      </c>
      <c r="W900" s="764">
        <v>5.9607599463411813E-2</v>
      </c>
      <c r="X900" s="764">
        <v>162.87583589037143</v>
      </c>
      <c r="Y900" s="764">
        <v>951.53777809638041</v>
      </c>
      <c r="Z900" s="764">
        <v>898.12826088057511</v>
      </c>
      <c r="AA900" s="764">
        <v>153.73366627685522</v>
      </c>
      <c r="AB900" s="764">
        <v>5.6301967874646031E-2</v>
      </c>
      <c r="AC900" s="714">
        <v>0.82617698682369967</v>
      </c>
      <c r="AD900" s="714">
        <v>0.7843105192554185</v>
      </c>
      <c r="AE900" s="713" t="s">
        <v>58</v>
      </c>
      <c r="AF900" s="713" t="s">
        <v>58</v>
      </c>
      <c r="AG900" s="713" t="s">
        <v>58</v>
      </c>
      <c r="AH900" s="714">
        <v>0.94387031345969796</v>
      </c>
      <c r="AI900" s="713" t="s">
        <v>58</v>
      </c>
      <c r="AJ900" s="713" t="s">
        <v>58</v>
      </c>
      <c r="AK900" s="713" t="s">
        <v>58</v>
      </c>
      <c r="AL900" s="714">
        <v>0.94454345387965444</v>
      </c>
      <c r="AM900" s="713" t="s">
        <v>58</v>
      </c>
      <c r="AN900" s="713" t="s">
        <v>58</v>
      </c>
      <c r="AO900" s="713" t="s">
        <v>58</v>
      </c>
      <c r="AP900" s="747">
        <v>57</v>
      </c>
      <c r="AQ900" s="747">
        <v>114</v>
      </c>
      <c r="AR900" s="709"/>
      <c r="AS900" s="763">
        <v>0</v>
      </c>
      <c r="AT900" s="763">
        <v>0</v>
      </c>
      <c r="AU900" s="763">
        <v>0</v>
      </c>
      <c r="AV900" s="763">
        <v>5.6301967874646031E-2</v>
      </c>
      <c r="AW900" s="763">
        <v>5.6301967874646031E-2</v>
      </c>
      <c r="AX900" s="763">
        <v>5.6301967874646031E-2</v>
      </c>
      <c r="AY900" s="763">
        <v>1.77795688025198E-2</v>
      </c>
      <c r="AZ900" s="763">
        <v>1.77795688025198E-2</v>
      </c>
      <c r="BA900" s="763">
        <v>1.77795688025198E-2</v>
      </c>
      <c r="BB900" s="763">
        <v>1.77795688025198E-2</v>
      </c>
      <c r="BC900" s="763">
        <v>1.77795688025198E-2</v>
      </c>
      <c r="BD900" s="763">
        <v>1.77795688025198E-2</v>
      </c>
      <c r="BE900" s="763">
        <v>1.77795688025198E-2</v>
      </c>
      <c r="BF900" s="763">
        <v>1.77795688025198E-2</v>
      </c>
      <c r="BG900" s="763">
        <v>1.77795688025198E-2</v>
      </c>
      <c r="BH900" s="763">
        <v>0</v>
      </c>
      <c r="BI900" s="763">
        <v>0</v>
      </c>
      <c r="BJ900" s="763">
        <v>0</v>
      </c>
      <c r="BK900" s="763">
        <v>0</v>
      </c>
      <c r="BL900" s="763">
        <v>0</v>
      </c>
      <c r="BM900" s="763">
        <v>0</v>
      </c>
      <c r="BN900" s="763">
        <v>0</v>
      </c>
      <c r="BO900" s="763">
        <v>0</v>
      </c>
      <c r="BP900" s="763">
        <v>0</v>
      </c>
      <c r="BQ900" s="763">
        <v>0</v>
      </c>
      <c r="BR900" s="763">
        <v>0</v>
      </c>
      <c r="BS900" s="762">
        <v>0</v>
      </c>
      <c r="BT900" s="762">
        <v>0</v>
      </c>
      <c r="BU900" s="762">
        <v>0</v>
      </c>
      <c r="BV900" s="762">
        <v>153.73366627685522</v>
      </c>
      <c r="BW900" s="762">
        <v>153.73366627685522</v>
      </c>
      <c r="BX900" s="762">
        <v>153.73366627685522</v>
      </c>
      <c r="BY900" s="762">
        <v>48.54747356111217</v>
      </c>
      <c r="BZ900" s="762">
        <v>48.54747356111217</v>
      </c>
      <c r="CA900" s="762">
        <v>48.54747356111217</v>
      </c>
      <c r="CB900" s="762">
        <v>48.54747356111217</v>
      </c>
      <c r="CC900" s="762">
        <v>48.54747356111217</v>
      </c>
      <c r="CD900" s="762">
        <v>48.54747356111217</v>
      </c>
      <c r="CE900" s="762">
        <v>48.54747356111217</v>
      </c>
      <c r="CF900" s="762">
        <v>48.54747356111217</v>
      </c>
      <c r="CG900" s="762">
        <v>48.54747356111217</v>
      </c>
      <c r="CH900" s="762">
        <v>0</v>
      </c>
      <c r="CI900" s="762">
        <v>0</v>
      </c>
      <c r="CJ900" s="762">
        <v>0</v>
      </c>
      <c r="CK900" s="762">
        <v>0</v>
      </c>
      <c r="CL900" s="762">
        <v>0</v>
      </c>
      <c r="CM900" s="762">
        <v>0</v>
      </c>
      <c r="CN900" s="762">
        <v>0</v>
      </c>
      <c r="CO900" s="762">
        <v>0</v>
      </c>
      <c r="CP900" s="762">
        <v>0</v>
      </c>
      <c r="CQ900" s="762">
        <v>0</v>
      </c>
      <c r="CR900" s="762">
        <v>0</v>
      </c>
    </row>
    <row r="901" spans="1:96" s="53" customFormat="1">
      <c r="A901" s="721" t="s">
        <v>3</v>
      </c>
      <c r="B901" s="723">
        <v>41866</v>
      </c>
      <c r="C901" s="721">
        <v>2014</v>
      </c>
      <c r="D901" s="713" t="s">
        <v>1</v>
      </c>
      <c r="E901" s="713" t="s">
        <v>674</v>
      </c>
      <c r="F901" s="723" t="s">
        <v>673</v>
      </c>
      <c r="G901" s="713" t="s">
        <v>58</v>
      </c>
      <c r="H901" s="723" t="s">
        <v>675</v>
      </c>
      <c r="I901" s="713" t="s">
        <v>5</v>
      </c>
      <c r="J901" s="713" t="s">
        <v>376</v>
      </c>
      <c r="K901" s="766">
        <v>5</v>
      </c>
      <c r="L901" s="766" t="s">
        <v>671</v>
      </c>
      <c r="M901" s="765" t="s">
        <v>728</v>
      </c>
      <c r="N901" s="765">
        <v>12</v>
      </c>
      <c r="O901" s="765">
        <v>3</v>
      </c>
      <c r="P901" s="735">
        <v>0.36842105263157893</v>
      </c>
      <c r="Q901" s="713" t="s">
        <v>58</v>
      </c>
      <c r="R901" s="713" t="s">
        <v>58</v>
      </c>
      <c r="S901" s="713" t="s">
        <v>58</v>
      </c>
      <c r="T901" s="713" t="s">
        <v>58</v>
      </c>
      <c r="U901" s="764">
        <v>0.28499999999999998</v>
      </c>
      <c r="V901" s="764">
        <v>739.29</v>
      </c>
      <c r="W901" s="764">
        <v>0.22352849798779428</v>
      </c>
      <c r="X901" s="764">
        <v>610.78438458889286</v>
      </c>
      <c r="Y901" s="764">
        <v>3857.5855868772178</v>
      </c>
      <c r="Z901" s="764">
        <v>3641.0605170834124</v>
      </c>
      <c r="AA901" s="764">
        <v>576.50124853820705</v>
      </c>
      <c r="AB901" s="764">
        <v>0.21113237952992259</v>
      </c>
      <c r="AC901" s="714">
        <v>0.82617698682369967</v>
      </c>
      <c r="AD901" s="714">
        <v>0.7843105192554185</v>
      </c>
      <c r="AE901" s="713" t="s">
        <v>58</v>
      </c>
      <c r="AF901" s="713" t="s">
        <v>58</v>
      </c>
      <c r="AG901" s="713" t="s">
        <v>58</v>
      </c>
      <c r="AH901" s="714">
        <v>0.94387031345969796</v>
      </c>
      <c r="AI901" s="713" t="s">
        <v>58</v>
      </c>
      <c r="AJ901" s="713" t="s">
        <v>58</v>
      </c>
      <c r="AK901" s="713" t="s">
        <v>58</v>
      </c>
      <c r="AL901" s="714">
        <v>0.94454345387965444</v>
      </c>
      <c r="AM901" s="713" t="s">
        <v>58</v>
      </c>
      <c r="AN901" s="713" t="s">
        <v>58</v>
      </c>
      <c r="AO901" s="713" t="s">
        <v>58</v>
      </c>
      <c r="AP901" s="747">
        <v>73</v>
      </c>
      <c r="AQ901" s="747">
        <v>365</v>
      </c>
      <c r="AR901" s="709"/>
      <c r="AS901" s="763">
        <v>0</v>
      </c>
      <c r="AT901" s="763">
        <v>0</v>
      </c>
      <c r="AU901" s="763">
        <v>0</v>
      </c>
      <c r="AV901" s="763">
        <v>0.21113237952992259</v>
      </c>
      <c r="AW901" s="763">
        <v>0.21113237952992259</v>
      </c>
      <c r="AX901" s="763">
        <v>0.21113237952992259</v>
      </c>
      <c r="AY901" s="763">
        <v>7.7785613511024101E-2</v>
      </c>
      <c r="AZ901" s="763">
        <v>7.7785613511024101E-2</v>
      </c>
      <c r="BA901" s="763">
        <v>7.7785613511024101E-2</v>
      </c>
      <c r="BB901" s="763">
        <v>7.7785613511024101E-2</v>
      </c>
      <c r="BC901" s="763">
        <v>7.7785613511024101E-2</v>
      </c>
      <c r="BD901" s="763">
        <v>7.7785613511024101E-2</v>
      </c>
      <c r="BE901" s="763">
        <v>7.7785613511024101E-2</v>
      </c>
      <c r="BF901" s="763">
        <v>7.7785613511024101E-2</v>
      </c>
      <c r="BG901" s="763">
        <v>7.7785613511024101E-2</v>
      </c>
      <c r="BH901" s="763">
        <v>0</v>
      </c>
      <c r="BI901" s="763">
        <v>0</v>
      </c>
      <c r="BJ901" s="763">
        <v>0</v>
      </c>
      <c r="BK901" s="763">
        <v>0</v>
      </c>
      <c r="BL901" s="763">
        <v>0</v>
      </c>
      <c r="BM901" s="763">
        <v>0</v>
      </c>
      <c r="BN901" s="763">
        <v>0</v>
      </c>
      <c r="BO901" s="763">
        <v>0</v>
      </c>
      <c r="BP901" s="763">
        <v>0</v>
      </c>
      <c r="BQ901" s="763">
        <v>0</v>
      </c>
      <c r="BR901" s="763">
        <v>0</v>
      </c>
      <c r="BS901" s="762">
        <v>0</v>
      </c>
      <c r="BT901" s="762">
        <v>0</v>
      </c>
      <c r="BU901" s="762">
        <v>0</v>
      </c>
      <c r="BV901" s="762">
        <v>576.50124853820705</v>
      </c>
      <c r="BW901" s="762">
        <v>576.50124853820705</v>
      </c>
      <c r="BX901" s="762">
        <v>576.50124853820705</v>
      </c>
      <c r="BY901" s="762">
        <v>212.39519682986574</v>
      </c>
      <c r="BZ901" s="762">
        <v>212.39519682986574</v>
      </c>
      <c r="CA901" s="762">
        <v>212.39519682986574</v>
      </c>
      <c r="CB901" s="762">
        <v>212.39519682986574</v>
      </c>
      <c r="CC901" s="762">
        <v>212.39519682986574</v>
      </c>
      <c r="CD901" s="762">
        <v>212.39519682986574</v>
      </c>
      <c r="CE901" s="762">
        <v>212.39519682986574</v>
      </c>
      <c r="CF901" s="762">
        <v>212.39519682986574</v>
      </c>
      <c r="CG901" s="762">
        <v>212.39519682986574</v>
      </c>
      <c r="CH901" s="762">
        <v>0</v>
      </c>
      <c r="CI901" s="762">
        <v>0</v>
      </c>
      <c r="CJ901" s="762">
        <v>0</v>
      </c>
      <c r="CK901" s="762">
        <v>0</v>
      </c>
      <c r="CL901" s="762">
        <v>0</v>
      </c>
      <c r="CM901" s="762">
        <v>0</v>
      </c>
      <c r="CN901" s="762">
        <v>0</v>
      </c>
      <c r="CO901" s="762">
        <v>0</v>
      </c>
      <c r="CP901" s="762">
        <v>0</v>
      </c>
      <c r="CQ901" s="762">
        <v>0</v>
      </c>
      <c r="CR901" s="762">
        <v>0</v>
      </c>
    </row>
    <row r="902" spans="1:96" s="53" customFormat="1">
      <c r="A902" s="721" t="s">
        <v>3</v>
      </c>
      <c r="B902" s="723">
        <v>41866</v>
      </c>
      <c r="C902" s="721">
        <v>2014</v>
      </c>
      <c r="D902" s="713" t="s">
        <v>1</v>
      </c>
      <c r="E902" s="713" t="s">
        <v>674</v>
      </c>
      <c r="F902" s="723" t="s">
        <v>673</v>
      </c>
      <c r="G902" s="713" t="s">
        <v>58</v>
      </c>
      <c r="H902" s="723" t="s">
        <v>684</v>
      </c>
      <c r="I902" s="713" t="s">
        <v>5</v>
      </c>
      <c r="J902" s="713" t="s">
        <v>376</v>
      </c>
      <c r="K902" s="766">
        <v>13</v>
      </c>
      <c r="L902" s="766" t="s">
        <v>671</v>
      </c>
      <c r="M902" s="765" t="s">
        <v>728</v>
      </c>
      <c r="N902" s="765">
        <v>11</v>
      </c>
      <c r="O902" s="765">
        <v>2</v>
      </c>
      <c r="P902" s="735">
        <v>0.43976996379393668</v>
      </c>
      <c r="Q902" s="713" t="s">
        <v>58</v>
      </c>
      <c r="R902" s="713" t="s">
        <v>58</v>
      </c>
      <c r="S902" s="713" t="s">
        <v>58</v>
      </c>
      <c r="T902" s="713" t="s">
        <v>58</v>
      </c>
      <c r="U902" s="764">
        <v>0.88400000000000001</v>
      </c>
      <c r="V902" s="764">
        <v>2724.4879999999998</v>
      </c>
      <c r="W902" s="764">
        <v>0.69333049902179011</v>
      </c>
      <c r="X902" s="764">
        <v>2250.9092864773274</v>
      </c>
      <c r="Y902" s="764">
        <v>13410.759231712786</v>
      </c>
      <c r="Z902" s="764">
        <v>12658.017519769284</v>
      </c>
      <c r="AA902" s="764">
        <v>2124.5664537967</v>
      </c>
      <c r="AB902" s="764">
        <v>0.65488078422614604</v>
      </c>
      <c r="AC902" s="714">
        <v>0.82617698682369967</v>
      </c>
      <c r="AD902" s="714">
        <v>0.7843105192554185</v>
      </c>
      <c r="AE902" s="713" t="s">
        <v>58</v>
      </c>
      <c r="AF902" s="713" t="s">
        <v>58</v>
      </c>
      <c r="AG902" s="713" t="s">
        <v>58</v>
      </c>
      <c r="AH902" s="714">
        <v>0.94387031345969796</v>
      </c>
      <c r="AI902" s="713" t="s">
        <v>58</v>
      </c>
      <c r="AJ902" s="713" t="s">
        <v>58</v>
      </c>
      <c r="AK902" s="713" t="s">
        <v>58</v>
      </c>
      <c r="AL902" s="714">
        <v>0.94454345387965444</v>
      </c>
      <c r="AM902" s="713" t="s">
        <v>58</v>
      </c>
      <c r="AN902" s="713" t="s">
        <v>58</v>
      </c>
      <c r="AO902" s="713" t="s">
        <v>58</v>
      </c>
      <c r="AP902" s="747">
        <v>48</v>
      </c>
      <c r="AQ902" s="747">
        <v>624</v>
      </c>
      <c r="AR902" s="709"/>
      <c r="AS902" s="763">
        <v>0</v>
      </c>
      <c r="AT902" s="763">
        <v>0</v>
      </c>
      <c r="AU902" s="763">
        <v>0</v>
      </c>
      <c r="AV902" s="763">
        <v>0.65488078422614604</v>
      </c>
      <c r="AW902" s="763">
        <v>0.65488078422614604</v>
      </c>
      <c r="AX902" s="763">
        <v>0.28799689876847712</v>
      </c>
      <c r="AY902" s="763">
        <v>0.28799689876847712</v>
      </c>
      <c r="AZ902" s="763">
        <v>0.28799689876847712</v>
      </c>
      <c r="BA902" s="763">
        <v>0.28799689876847712</v>
      </c>
      <c r="BB902" s="763">
        <v>0.28799689876847712</v>
      </c>
      <c r="BC902" s="763">
        <v>0.28799689876847712</v>
      </c>
      <c r="BD902" s="763">
        <v>0.28799689876847712</v>
      </c>
      <c r="BE902" s="763">
        <v>0.28799689876847712</v>
      </c>
      <c r="BF902" s="763">
        <v>0.28799689876847712</v>
      </c>
      <c r="BG902" s="763">
        <v>0</v>
      </c>
      <c r="BH902" s="763">
        <v>0</v>
      </c>
      <c r="BI902" s="763">
        <v>0</v>
      </c>
      <c r="BJ902" s="763">
        <v>0</v>
      </c>
      <c r="BK902" s="763">
        <v>0</v>
      </c>
      <c r="BL902" s="763">
        <v>0</v>
      </c>
      <c r="BM902" s="763">
        <v>0</v>
      </c>
      <c r="BN902" s="763">
        <v>0</v>
      </c>
      <c r="BO902" s="763">
        <v>0</v>
      </c>
      <c r="BP902" s="763">
        <v>0</v>
      </c>
      <c r="BQ902" s="763">
        <v>0</v>
      </c>
      <c r="BR902" s="763">
        <v>0</v>
      </c>
      <c r="BS902" s="762">
        <v>0</v>
      </c>
      <c r="BT902" s="762">
        <v>0</v>
      </c>
      <c r="BU902" s="762">
        <v>0</v>
      </c>
      <c r="BV902" s="762">
        <v>2124.5664537967</v>
      </c>
      <c r="BW902" s="762">
        <v>2124.5664537967</v>
      </c>
      <c r="BX902" s="762">
        <v>934.32051246398726</v>
      </c>
      <c r="BY902" s="762">
        <v>934.32051246398726</v>
      </c>
      <c r="BZ902" s="762">
        <v>934.32051246398726</v>
      </c>
      <c r="CA902" s="762">
        <v>934.32051246398726</v>
      </c>
      <c r="CB902" s="762">
        <v>934.32051246398726</v>
      </c>
      <c r="CC902" s="762">
        <v>934.32051246398726</v>
      </c>
      <c r="CD902" s="762">
        <v>934.32051246398726</v>
      </c>
      <c r="CE902" s="762">
        <v>934.32051246398726</v>
      </c>
      <c r="CF902" s="762">
        <v>934.32051246398726</v>
      </c>
      <c r="CG902" s="762">
        <v>0</v>
      </c>
      <c r="CH902" s="762">
        <v>0</v>
      </c>
      <c r="CI902" s="762">
        <v>0</v>
      </c>
      <c r="CJ902" s="762">
        <v>0</v>
      </c>
      <c r="CK902" s="762">
        <v>0</v>
      </c>
      <c r="CL902" s="762">
        <v>0</v>
      </c>
      <c r="CM902" s="762">
        <v>0</v>
      </c>
      <c r="CN902" s="762">
        <v>0</v>
      </c>
      <c r="CO902" s="762">
        <v>0</v>
      </c>
      <c r="CP902" s="762">
        <v>0</v>
      </c>
      <c r="CQ902" s="762">
        <v>0</v>
      </c>
      <c r="CR902" s="762">
        <v>0</v>
      </c>
    </row>
    <row r="903" spans="1:96" s="53" customFormat="1">
      <c r="A903" s="721" t="s">
        <v>3</v>
      </c>
      <c r="B903" s="723">
        <v>41866</v>
      </c>
      <c r="C903" s="721">
        <v>2014</v>
      </c>
      <c r="D903" s="713" t="s">
        <v>1</v>
      </c>
      <c r="E903" s="713" t="s">
        <v>674</v>
      </c>
      <c r="F903" s="723" t="s">
        <v>673</v>
      </c>
      <c r="G903" s="713" t="s">
        <v>58</v>
      </c>
      <c r="H903" s="723" t="s">
        <v>695</v>
      </c>
      <c r="I903" s="713" t="s">
        <v>5</v>
      </c>
      <c r="J903" s="713" t="s">
        <v>376</v>
      </c>
      <c r="K903" s="766">
        <v>4</v>
      </c>
      <c r="L903" s="766" t="s">
        <v>671</v>
      </c>
      <c r="M903" s="765" t="s">
        <v>728</v>
      </c>
      <c r="N903" s="765">
        <v>11</v>
      </c>
      <c r="O903" s="765" t="s">
        <v>7</v>
      </c>
      <c r="P903" s="735">
        <v>1</v>
      </c>
      <c r="Q903" s="713" t="s">
        <v>58</v>
      </c>
      <c r="R903" s="713" t="s">
        <v>58</v>
      </c>
      <c r="S903" s="713" t="s">
        <v>58</v>
      </c>
      <c r="T903" s="713" t="s">
        <v>58</v>
      </c>
      <c r="U903" s="764">
        <v>0.21</v>
      </c>
      <c r="V903" s="764">
        <v>647.22</v>
      </c>
      <c r="W903" s="764">
        <v>0.16470520904363792</v>
      </c>
      <c r="X903" s="764">
        <v>534.71826941203494</v>
      </c>
      <c r="Y903" s="764">
        <v>5881.9009635323846</v>
      </c>
      <c r="Z903" s="764">
        <v>5551.7517061882118</v>
      </c>
      <c r="AA903" s="764">
        <v>504.70470056256465</v>
      </c>
      <c r="AB903" s="764">
        <v>0.15557122702204826</v>
      </c>
      <c r="AC903" s="714">
        <v>0.82617698682369967</v>
      </c>
      <c r="AD903" s="714">
        <v>0.7843105192554185</v>
      </c>
      <c r="AE903" s="713" t="s">
        <v>58</v>
      </c>
      <c r="AF903" s="713" t="s">
        <v>58</v>
      </c>
      <c r="AG903" s="713" t="s">
        <v>58</v>
      </c>
      <c r="AH903" s="714">
        <v>0.94387031345969796</v>
      </c>
      <c r="AI903" s="713" t="s">
        <v>58</v>
      </c>
      <c r="AJ903" s="713" t="s">
        <v>58</v>
      </c>
      <c r="AK903" s="713" t="s">
        <v>58</v>
      </c>
      <c r="AL903" s="714">
        <v>0.94454345387965444</v>
      </c>
      <c r="AM903" s="713" t="s">
        <v>58</v>
      </c>
      <c r="AN903" s="713" t="s">
        <v>58</v>
      </c>
      <c r="AO903" s="713" t="s">
        <v>58</v>
      </c>
      <c r="AP903" s="747">
        <v>47</v>
      </c>
      <c r="AQ903" s="747">
        <v>188</v>
      </c>
      <c r="AR903" s="709"/>
      <c r="AS903" s="763">
        <v>0</v>
      </c>
      <c r="AT903" s="763">
        <v>0</v>
      </c>
      <c r="AU903" s="763">
        <v>0</v>
      </c>
      <c r="AV903" s="763">
        <v>0.15557122702204826</v>
      </c>
      <c r="AW903" s="763">
        <v>0.15557122702204826</v>
      </c>
      <c r="AX903" s="763">
        <v>0.15557122702204826</v>
      </c>
      <c r="AY903" s="763">
        <v>0.15557122702204826</v>
      </c>
      <c r="AZ903" s="763">
        <v>0.15557122702204826</v>
      </c>
      <c r="BA903" s="763">
        <v>0.15557122702204826</v>
      </c>
      <c r="BB903" s="763">
        <v>0.15557122702204826</v>
      </c>
      <c r="BC903" s="763">
        <v>0.15557122702204826</v>
      </c>
      <c r="BD903" s="763">
        <v>0.15557122702204826</v>
      </c>
      <c r="BE903" s="763">
        <v>0.15557122702204826</v>
      </c>
      <c r="BF903" s="763">
        <v>0.15557122702204826</v>
      </c>
      <c r="BG903" s="763">
        <v>0</v>
      </c>
      <c r="BH903" s="763">
        <v>0</v>
      </c>
      <c r="BI903" s="763">
        <v>0</v>
      </c>
      <c r="BJ903" s="763">
        <v>0</v>
      </c>
      <c r="BK903" s="763">
        <v>0</v>
      </c>
      <c r="BL903" s="763">
        <v>0</v>
      </c>
      <c r="BM903" s="763">
        <v>0</v>
      </c>
      <c r="BN903" s="763">
        <v>0</v>
      </c>
      <c r="BO903" s="763">
        <v>0</v>
      </c>
      <c r="BP903" s="763">
        <v>0</v>
      </c>
      <c r="BQ903" s="763">
        <v>0</v>
      </c>
      <c r="BR903" s="763">
        <v>0</v>
      </c>
      <c r="BS903" s="762">
        <v>0</v>
      </c>
      <c r="BT903" s="762">
        <v>0</v>
      </c>
      <c r="BU903" s="762">
        <v>0</v>
      </c>
      <c r="BV903" s="762">
        <v>504.70470056256465</v>
      </c>
      <c r="BW903" s="762">
        <v>504.70470056256465</v>
      </c>
      <c r="BX903" s="762">
        <v>504.70470056256465</v>
      </c>
      <c r="BY903" s="762">
        <v>504.70470056256465</v>
      </c>
      <c r="BZ903" s="762">
        <v>504.70470056256465</v>
      </c>
      <c r="CA903" s="762">
        <v>504.70470056256465</v>
      </c>
      <c r="CB903" s="762">
        <v>504.70470056256465</v>
      </c>
      <c r="CC903" s="762">
        <v>504.70470056256465</v>
      </c>
      <c r="CD903" s="762">
        <v>504.70470056256465</v>
      </c>
      <c r="CE903" s="762">
        <v>504.70470056256465</v>
      </c>
      <c r="CF903" s="762">
        <v>504.70470056256465</v>
      </c>
      <c r="CG903" s="762">
        <v>0</v>
      </c>
      <c r="CH903" s="762">
        <v>0</v>
      </c>
      <c r="CI903" s="762">
        <v>0</v>
      </c>
      <c r="CJ903" s="762">
        <v>0</v>
      </c>
      <c r="CK903" s="762">
        <v>0</v>
      </c>
      <c r="CL903" s="762">
        <v>0</v>
      </c>
      <c r="CM903" s="762">
        <v>0</v>
      </c>
      <c r="CN903" s="762">
        <v>0</v>
      </c>
      <c r="CO903" s="762">
        <v>0</v>
      </c>
      <c r="CP903" s="762">
        <v>0</v>
      </c>
      <c r="CQ903" s="762">
        <v>0</v>
      </c>
      <c r="CR903" s="762">
        <v>0</v>
      </c>
    </row>
    <row r="904" spans="1:96" s="53" customFormat="1">
      <c r="A904" s="721" t="s">
        <v>3</v>
      </c>
      <c r="B904" s="723">
        <v>41859</v>
      </c>
      <c r="C904" s="721">
        <v>2014</v>
      </c>
      <c r="D904" s="713" t="s">
        <v>1</v>
      </c>
      <c r="E904" s="713" t="s">
        <v>674</v>
      </c>
      <c r="F904" s="723" t="s">
        <v>689</v>
      </c>
      <c r="G904" s="713" t="s">
        <v>58</v>
      </c>
      <c r="H904" s="723" t="s">
        <v>677</v>
      </c>
      <c r="I904" s="713" t="s">
        <v>5</v>
      </c>
      <c r="J904" s="713" t="s">
        <v>376</v>
      </c>
      <c r="K904" s="766">
        <v>1</v>
      </c>
      <c r="L904" s="766" t="s">
        <v>671</v>
      </c>
      <c r="M904" s="765" t="s">
        <v>725</v>
      </c>
      <c r="N904" s="765">
        <v>0</v>
      </c>
      <c r="O904" s="765">
        <v>0</v>
      </c>
      <c r="P904" s="735">
        <v>0</v>
      </c>
      <c r="Q904" s="713" t="s">
        <v>58</v>
      </c>
      <c r="R904" s="713" t="s">
        <v>58</v>
      </c>
      <c r="S904" s="713" t="s">
        <v>58</v>
      </c>
      <c r="T904" s="713" t="s">
        <v>58</v>
      </c>
      <c r="U904" s="764">
        <v>0</v>
      </c>
      <c r="V904" s="764">
        <v>0</v>
      </c>
      <c r="W904" s="764">
        <v>0</v>
      </c>
      <c r="X904" s="764">
        <v>0</v>
      </c>
      <c r="Y904" s="764">
        <v>0</v>
      </c>
      <c r="Z904" s="764">
        <v>0</v>
      </c>
      <c r="AA904" s="764">
        <v>0</v>
      </c>
      <c r="AB904" s="764">
        <v>0</v>
      </c>
      <c r="AC904" s="714">
        <v>0.82617698682369967</v>
      </c>
      <c r="AD904" s="714">
        <v>0.7843105192554185</v>
      </c>
      <c r="AE904" s="713" t="s">
        <v>58</v>
      </c>
      <c r="AF904" s="713" t="s">
        <v>58</v>
      </c>
      <c r="AG904" s="713" t="s">
        <v>58</v>
      </c>
      <c r="AH904" s="714">
        <v>0.94387031345969796</v>
      </c>
      <c r="AI904" s="713" t="s">
        <v>58</v>
      </c>
      <c r="AJ904" s="713" t="s">
        <v>58</v>
      </c>
      <c r="AK904" s="713" t="s">
        <v>58</v>
      </c>
      <c r="AL904" s="714">
        <v>0.94454345387965444</v>
      </c>
      <c r="AM904" s="713" t="s">
        <v>58</v>
      </c>
      <c r="AN904" s="713" t="s">
        <v>58</v>
      </c>
      <c r="AO904" s="713" t="s">
        <v>58</v>
      </c>
      <c r="AP904" s="747">
        <v>51</v>
      </c>
      <c r="AQ904" s="747">
        <v>51</v>
      </c>
      <c r="AR904" s="709"/>
      <c r="AS904" s="763">
        <v>0</v>
      </c>
      <c r="AT904" s="763">
        <v>0</v>
      </c>
      <c r="AU904" s="763">
        <v>0</v>
      </c>
      <c r="AV904" s="763">
        <v>0</v>
      </c>
      <c r="AW904" s="763">
        <v>0</v>
      </c>
      <c r="AX904" s="763">
        <v>0</v>
      </c>
      <c r="AY904" s="763">
        <v>0</v>
      </c>
      <c r="AZ904" s="763">
        <v>0</v>
      </c>
      <c r="BA904" s="763">
        <v>0</v>
      </c>
      <c r="BB904" s="763">
        <v>0</v>
      </c>
      <c r="BC904" s="763">
        <v>0</v>
      </c>
      <c r="BD904" s="763">
        <v>0</v>
      </c>
      <c r="BE904" s="763">
        <v>0</v>
      </c>
      <c r="BF904" s="763">
        <v>0</v>
      </c>
      <c r="BG904" s="763">
        <v>0</v>
      </c>
      <c r="BH904" s="763">
        <v>0</v>
      </c>
      <c r="BI904" s="763">
        <v>0</v>
      </c>
      <c r="BJ904" s="763">
        <v>0</v>
      </c>
      <c r="BK904" s="763">
        <v>0</v>
      </c>
      <c r="BL904" s="763">
        <v>0</v>
      </c>
      <c r="BM904" s="763">
        <v>0</v>
      </c>
      <c r="BN904" s="763">
        <v>0</v>
      </c>
      <c r="BO904" s="763">
        <v>0</v>
      </c>
      <c r="BP904" s="763">
        <v>0</v>
      </c>
      <c r="BQ904" s="763">
        <v>0</v>
      </c>
      <c r="BR904" s="763">
        <v>0</v>
      </c>
      <c r="BS904" s="762">
        <v>0</v>
      </c>
      <c r="BT904" s="762">
        <v>0</v>
      </c>
      <c r="BU904" s="762">
        <v>0</v>
      </c>
      <c r="BV904" s="762">
        <v>0</v>
      </c>
      <c r="BW904" s="762">
        <v>0</v>
      </c>
      <c r="BX904" s="762">
        <v>0</v>
      </c>
      <c r="BY904" s="762">
        <v>0</v>
      </c>
      <c r="BZ904" s="762">
        <v>0</v>
      </c>
      <c r="CA904" s="762">
        <v>0</v>
      </c>
      <c r="CB904" s="762">
        <v>0</v>
      </c>
      <c r="CC904" s="762">
        <v>0</v>
      </c>
      <c r="CD904" s="762">
        <v>0</v>
      </c>
      <c r="CE904" s="762">
        <v>0</v>
      </c>
      <c r="CF904" s="762">
        <v>0</v>
      </c>
      <c r="CG904" s="762">
        <v>0</v>
      </c>
      <c r="CH904" s="762">
        <v>0</v>
      </c>
      <c r="CI904" s="762">
        <v>0</v>
      </c>
      <c r="CJ904" s="762">
        <v>0</v>
      </c>
      <c r="CK904" s="762">
        <v>0</v>
      </c>
      <c r="CL904" s="762">
        <v>0</v>
      </c>
      <c r="CM904" s="762">
        <v>0</v>
      </c>
      <c r="CN904" s="762">
        <v>0</v>
      </c>
      <c r="CO904" s="762">
        <v>0</v>
      </c>
      <c r="CP904" s="762">
        <v>0</v>
      </c>
      <c r="CQ904" s="762">
        <v>0</v>
      </c>
      <c r="CR904" s="762">
        <v>0</v>
      </c>
    </row>
    <row r="905" spans="1:96" s="53" customFormat="1">
      <c r="A905" s="721" t="s">
        <v>3</v>
      </c>
      <c r="B905" s="723">
        <v>41859</v>
      </c>
      <c r="C905" s="721">
        <v>2014</v>
      </c>
      <c r="D905" s="713" t="s">
        <v>1</v>
      </c>
      <c r="E905" s="713" t="s">
        <v>674</v>
      </c>
      <c r="F905" s="723" t="s">
        <v>689</v>
      </c>
      <c r="G905" s="713" t="s">
        <v>58</v>
      </c>
      <c r="H905" s="723" t="s">
        <v>676</v>
      </c>
      <c r="I905" s="713" t="s">
        <v>5</v>
      </c>
      <c r="J905" s="713" t="s">
        <v>376</v>
      </c>
      <c r="K905" s="766">
        <v>7</v>
      </c>
      <c r="L905" s="766" t="s">
        <v>671</v>
      </c>
      <c r="M905" s="765" t="s">
        <v>725</v>
      </c>
      <c r="N905" s="765">
        <v>12</v>
      </c>
      <c r="O905" s="765">
        <v>3</v>
      </c>
      <c r="P905" s="735">
        <v>0.31578947368421051</v>
      </c>
      <c r="Q905" s="713" t="s">
        <v>58</v>
      </c>
      <c r="R905" s="713" t="s">
        <v>58</v>
      </c>
      <c r="S905" s="713" t="s">
        <v>58</v>
      </c>
      <c r="T905" s="713" t="s">
        <v>58</v>
      </c>
      <c r="U905" s="764">
        <v>0.26600000000000001</v>
      </c>
      <c r="V905" s="764">
        <v>865.298</v>
      </c>
      <c r="W905" s="764">
        <v>0.20862659812194137</v>
      </c>
      <c r="X905" s="764">
        <v>714.88929434457373</v>
      </c>
      <c r="Y905" s="764">
        <v>4176.4585090656674</v>
      </c>
      <c r="Z905" s="764">
        <v>3942.0352021032345</v>
      </c>
      <c r="AA905" s="764">
        <v>674.76278234199503</v>
      </c>
      <c r="AB905" s="764">
        <v>0.19705688756126113</v>
      </c>
      <c r="AC905" s="714">
        <v>0.82617698682369967</v>
      </c>
      <c r="AD905" s="714">
        <v>0.7843105192554185</v>
      </c>
      <c r="AE905" s="713" t="s">
        <v>58</v>
      </c>
      <c r="AF905" s="713" t="s">
        <v>58</v>
      </c>
      <c r="AG905" s="713" t="s">
        <v>58</v>
      </c>
      <c r="AH905" s="714">
        <v>0.94387031345969796</v>
      </c>
      <c r="AI905" s="713" t="s">
        <v>58</v>
      </c>
      <c r="AJ905" s="713" t="s">
        <v>58</v>
      </c>
      <c r="AK905" s="713" t="s">
        <v>58</v>
      </c>
      <c r="AL905" s="714">
        <v>0.94454345387965444</v>
      </c>
      <c r="AM905" s="713" t="s">
        <v>58</v>
      </c>
      <c r="AN905" s="713" t="s">
        <v>58</v>
      </c>
      <c r="AO905" s="713" t="s">
        <v>58</v>
      </c>
      <c r="AP905" s="747">
        <v>57</v>
      </c>
      <c r="AQ905" s="747">
        <v>399</v>
      </c>
      <c r="AR905" s="709"/>
      <c r="AS905" s="763">
        <v>0</v>
      </c>
      <c r="AT905" s="763">
        <v>0</v>
      </c>
      <c r="AU905" s="763">
        <v>0</v>
      </c>
      <c r="AV905" s="763">
        <v>0.19705688756126113</v>
      </c>
      <c r="AW905" s="763">
        <v>0.19705688756126113</v>
      </c>
      <c r="AX905" s="763">
        <v>0.19705688756126113</v>
      </c>
      <c r="AY905" s="763">
        <v>6.2228490808819301E-2</v>
      </c>
      <c r="AZ905" s="763">
        <v>6.2228490808819301E-2</v>
      </c>
      <c r="BA905" s="763">
        <v>6.2228490808819301E-2</v>
      </c>
      <c r="BB905" s="763">
        <v>6.2228490808819301E-2</v>
      </c>
      <c r="BC905" s="763">
        <v>6.2228490808819301E-2</v>
      </c>
      <c r="BD905" s="763">
        <v>6.2228490808819301E-2</v>
      </c>
      <c r="BE905" s="763">
        <v>6.2228490808819301E-2</v>
      </c>
      <c r="BF905" s="763">
        <v>6.2228490808819301E-2</v>
      </c>
      <c r="BG905" s="763">
        <v>6.2228490808819301E-2</v>
      </c>
      <c r="BH905" s="763">
        <v>0</v>
      </c>
      <c r="BI905" s="763">
        <v>0</v>
      </c>
      <c r="BJ905" s="763">
        <v>0</v>
      </c>
      <c r="BK905" s="763">
        <v>0</v>
      </c>
      <c r="BL905" s="763">
        <v>0</v>
      </c>
      <c r="BM905" s="763">
        <v>0</v>
      </c>
      <c r="BN905" s="763">
        <v>0</v>
      </c>
      <c r="BO905" s="763">
        <v>0</v>
      </c>
      <c r="BP905" s="763">
        <v>0</v>
      </c>
      <c r="BQ905" s="763">
        <v>0</v>
      </c>
      <c r="BR905" s="763">
        <v>0</v>
      </c>
      <c r="BS905" s="762">
        <v>0</v>
      </c>
      <c r="BT905" s="762">
        <v>0</v>
      </c>
      <c r="BU905" s="762">
        <v>0</v>
      </c>
      <c r="BV905" s="762">
        <v>674.76278234199503</v>
      </c>
      <c r="BW905" s="762">
        <v>674.76278234199503</v>
      </c>
      <c r="BX905" s="762">
        <v>674.76278234199503</v>
      </c>
      <c r="BY905" s="762">
        <v>213.0829838974721</v>
      </c>
      <c r="BZ905" s="762">
        <v>213.0829838974721</v>
      </c>
      <c r="CA905" s="762">
        <v>213.0829838974721</v>
      </c>
      <c r="CB905" s="762">
        <v>213.0829838974721</v>
      </c>
      <c r="CC905" s="762">
        <v>213.0829838974721</v>
      </c>
      <c r="CD905" s="762">
        <v>213.0829838974721</v>
      </c>
      <c r="CE905" s="762">
        <v>213.0829838974721</v>
      </c>
      <c r="CF905" s="762">
        <v>213.0829838974721</v>
      </c>
      <c r="CG905" s="762">
        <v>213.0829838974721</v>
      </c>
      <c r="CH905" s="762">
        <v>0</v>
      </c>
      <c r="CI905" s="762">
        <v>0</v>
      </c>
      <c r="CJ905" s="762">
        <v>0</v>
      </c>
      <c r="CK905" s="762">
        <v>0</v>
      </c>
      <c r="CL905" s="762">
        <v>0</v>
      </c>
      <c r="CM905" s="762">
        <v>0</v>
      </c>
      <c r="CN905" s="762">
        <v>0</v>
      </c>
      <c r="CO905" s="762">
        <v>0</v>
      </c>
      <c r="CP905" s="762">
        <v>0</v>
      </c>
      <c r="CQ905" s="762">
        <v>0</v>
      </c>
      <c r="CR905" s="762">
        <v>0</v>
      </c>
    </row>
    <row r="906" spans="1:96" s="53" customFormat="1">
      <c r="A906" s="721" t="s">
        <v>3</v>
      </c>
      <c r="B906" s="723">
        <v>41859</v>
      </c>
      <c r="C906" s="721">
        <v>2014</v>
      </c>
      <c r="D906" s="713" t="s">
        <v>1</v>
      </c>
      <c r="E906" s="713" t="s">
        <v>674</v>
      </c>
      <c r="F906" s="723" t="s">
        <v>689</v>
      </c>
      <c r="G906" s="713" t="s">
        <v>58</v>
      </c>
      <c r="H906" s="723" t="s">
        <v>693</v>
      </c>
      <c r="I906" s="713" t="s">
        <v>5</v>
      </c>
      <c r="J906" s="713" t="s">
        <v>376</v>
      </c>
      <c r="K906" s="766">
        <v>8</v>
      </c>
      <c r="L906" s="766" t="s">
        <v>671</v>
      </c>
      <c r="M906" s="765" t="s">
        <v>725</v>
      </c>
      <c r="N906" s="765">
        <v>11</v>
      </c>
      <c r="O906" s="765" t="s">
        <v>7</v>
      </c>
      <c r="P906" s="735">
        <v>1</v>
      </c>
      <c r="Q906" s="713" t="s">
        <v>58</v>
      </c>
      <c r="R906" s="713" t="s">
        <v>58</v>
      </c>
      <c r="S906" s="713" t="s">
        <v>58</v>
      </c>
      <c r="T906" s="713" t="s">
        <v>58</v>
      </c>
      <c r="U906" s="764">
        <v>0.57199999999999995</v>
      </c>
      <c r="V906" s="764">
        <v>2128.4119999999998</v>
      </c>
      <c r="W906" s="764">
        <v>0.44862561701409942</v>
      </c>
      <c r="X906" s="764">
        <v>1758.445012879404</v>
      </c>
      <c r="Y906" s="764">
        <v>19342.895141673445</v>
      </c>
      <c r="Z906" s="764">
        <v>18257.184500589385</v>
      </c>
      <c r="AA906" s="764">
        <v>1659.7440455081257</v>
      </c>
      <c r="AB906" s="764">
        <v>0.42374638979338852</v>
      </c>
      <c r="AC906" s="714">
        <v>0.82617698682369967</v>
      </c>
      <c r="AD906" s="714">
        <v>0.7843105192554185</v>
      </c>
      <c r="AE906" s="713" t="s">
        <v>58</v>
      </c>
      <c r="AF906" s="713" t="s">
        <v>58</v>
      </c>
      <c r="AG906" s="713" t="s">
        <v>58</v>
      </c>
      <c r="AH906" s="714">
        <v>0.94387031345969796</v>
      </c>
      <c r="AI906" s="713" t="s">
        <v>58</v>
      </c>
      <c r="AJ906" s="713" t="s">
        <v>58</v>
      </c>
      <c r="AK906" s="713" t="s">
        <v>58</v>
      </c>
      <c r="AL906" s="714">
        <v>0.94454345387965444</v>
      </c>
      <c r="AM906" s="713" t="s">
        <v>58</v>
      </c>
      <c r="AN906" s="713" t="s">
        <v>58</v>
      </c>
      <c r="AO906" s="713" t="s">
        <v>58</v>
      </c>
      <c r="AP906" s="747">
        <v>52</v>
      </c>
      <c r="AQ906" s="747">
        <v>416</v>
      </c>
      <c r="AR906" s="709"/>
      <c r="AS906" s="763">
        <v>0</v>
      </c>
      <c r="AT906" s="763">
        <v>0</v>
      </c>
      <c r="AU906" s="763">
        <v>0</v>
      </c>
      <c r="AV906" s="763">
        <v>0.42374638979338852</v>
      </c>
      <c r="AW906" s="763">
        <v>0.42374638979338852</v>
      </c>
      <c r="AX906" s="763">
        <v>0.42374638979338852</v>
      </c>
      <c r="AY906" s="763">
        <v>0.42374638979338852</v>
      </c>
      <c r="AZ906" s="763">
        <v>0.42374638979338852</v>
      </c>
      <c r="BA906" s="763">
        <v>0.42374638979338852</v>
      </c>
      <c r="BB906" s="763">
        <v>0.42374638979338852</v>
      </c>
      <c r="BC906" s="763">
        <v>0.42374638979338852</v>
      </c>
      <c r="BD906" s="763">
        <v>0.42374638979338852</v>
      </c>
      <c r="BE906" s="763">
        <v>0.42374638979338852</v>
      </c>
      <c r="BF906" s="763">
        <v>0.42374638979338852</v>
      </c>
      <c r="BG906" s="763">
        <v>0</v>
      </c>
      <c r="BH906" s="763">
        <v>0</v>
      </c>
      <c r="BI906" s="763">
        <v>0</v>
      </c>
      <c r="BJ906" s="763">
        <v>0</v>
      </c>
      <c r="BK906" s="763">
        <v>0</v>
      </c>
      <c r="BL906" s="763">
        <v>0</v>
      </c>
      <c r="BM906" s="763">
        <v>0</v>
      </c>
      <c r="BN906" s="763">
        <v>0</v>
      </c>
      <c r="BO906" s="763">
        <v>0</v>
      </c>
      <c r="BP906" s="763">
        <v>0</v>
      </c>
      <c r="BQ906" s="763">
        <v>0</v>
      </c>
      <c r="BR906" s="763">
        <v>0</v>
      </c>
      <c r="BS906" s="762">
        <v>0</v>
      </c>
      <c r="BT906" s="762">
        <v>0</v>
      </c>
      <c r="BU906" s="762">
        <v>0</v>
      </c>
      <c r="BV906" s="762">
        <v>1659.7440455081257</v>
      </c>
      <c r="BW906" s="762">
        <v>1659.7440455081257</v>
      </c>
      <c r="BX906" s="762">
        <v>1659.7440455081257</v>
      </c>
      <c r="BY906" s="762">
        <v>1659.7440455081257</v>
      </c>
      <c r="BZ906" s="762">
        <v>1659.7440455081257</v>
      </c>
      <c r="CA906" s="762">
        <v>1659.7440455081257</v>
      </c>
      <c r="CB906" s="762">
        <v>1659.7440455081257</v>
      </c>
      <c r="CC906" s="762">
        <v>1659.7440455081257</v>
      </c>
      <c r="CD906" s="762">
        <v>1659.7440455081257</v>
      </c>
      <c r="CE906" s="762">
        <v>1659.7440455081257</v>
      </c>
      <c r="CF906" s="762">
        <v>1659.7440455081257</v>
      </c>
      <c r="CG906" s="762">
        <v>0</v>
      </c>
      <c r="CH906" s="762">
        <v>0</v>
      </c>
      <c r="CI906" s="762">
        <v>0</v>
      </c>
      <c r="CJ906" s="762">
        <v>0</v>
      </c>
      <c r="CK906" s="762">
        <v>0</v>
      </c>
      <c r="CL906" s="762">
        <v>0</v>
      </c>
      <c r="CM906" s="762">
        <v>0</v>
      </c>
      <c r="CN906" s="762">
        <v>0</v>
      </c>
      <c r="CO906" s="762">
        <v>0</v>
      </c>
      <c r="CP906" s="762">
        <v>0</v>
      </c>
      <c r="CQ906" s="762">
        <v>0</v>
      </c>
      <c r="CR906" s="762">
        <v>0</v>
      </c>
    </row>
    <row r="907" spans="1:96" s="53" customFormat="1">
      <c r="A907" s="721" t="s">
        <v>3</v>
      </c>
      <c r="B907" s="723">
        <v>41951</v>
      </c>
      <c r="C907" s="721">
        <v>2014</v>
      </c>
      <c r="D907" s="713" t="s">
        <v>1</v>
      </c>
      <c r="E907" s="713" t="s">
        <v>674</v>
      </c>
      <c r="F907" s="723" t="s">
        <v>689</v>
      </c>
      <c r="G907" s="713" t="s">
        <v>58</v>
      </c>
      <c r="H907" s="723" t="s">
        <v>704</v>
      </c>
      <c r="I907" s="713" t="s">
        <v>5</v>
      </c>
      <c r="J907" s="713" t="s">
        <v>376</v>
      </c>
      <c r="K907" s="766">
        <v>2</v>
      </c>
      <c r="L907" s="766" t="s">
        <v>671</v>
      </c>
      <c r="M907" s="765" t="s">
        <v>725</v>
      </c>
      <c r="N907" s="765">
        <v>12</v>
      </c>
      <c r="O907" s="765">
        <v>3</v>
      </c>
      <c r="P907" s="735">
        <v>4.5454545454545456E-2</v>
      </c>
      <c r="Q907" s="713" t="s">
        <v>58</v>
      </c>
      <c r="R907" s="713" t="s">
        <v>58</v>
      </c>
      <c r="S907" s="713" t="s">
        <v>58</v>
      </c>
      <c r="T907" s="713" t="s">
        <v>58</v>
      </c>
      <c r="U907" s="764">
        <v>4.3999999999999997E-2</v>
      </c>
      <c r="V907" s="764">
        <v>143.13200000000001</v>
      </c>
      <c r="W907" s="764">
        <v>3.4509662847238415E-2</v>
      </c>
      <c r="X907" s="764">
        <v>118.25236447804977</v>
      </c>
      <c r="Y907" s="764">
        <v>403.1330607206242</v>
      </c>
      <c r="Z907" s="764">
        <v>380.505328388343</v>
      </c>
      <c r="AA907" s="764">
        <v>111.61489632724729</v>
      </c>
      <c r="AB907" s="764">
        <v>3.2595876137952964E-2</v>
      </c>
      <c r="AC907" s="714">
        <v>0.82617698682369967</v>
      </c>
      <c r="AD907" s="714">
        <v>0.7843105192554185</v>
      </c>
      <c r="AE907" s="713" t="s">
        <v>58</v>
      </c>
      <c r="AF907" s="713" t="s">
        <v>58</v>
      </c>
      <c r="AG907" s="713" t="s">
        <v>58</v>
      </c>
      <c r="AH907" s="714">
        <v>0.94387031345969796</v>
      </c>
      <c r="AI907" s="713" t="s">
        <v>58</v>
      </c>
      <c r="AJ907" s="713" t="s">
        <v>58</v>
      </c>
      <c r="AK907" s="713" t="s">
        <v>58</v>
      </c>
      <c r="AL907" s="714">
        <v>0.94454345387965444</v>
      </c>
      <c r="AM907" s="713" t="s">
        <v>58</v>
      </c>
      <c r="AN907" s="713" t="s">
        <v>58</v>
      </c>
      <c r="AO907" s="713" t="s">
        <v>58</v>
      </c>
      <c r="AP907" s="747">
        <v>75</v>
      </c>
      <c r="AQ907" s="747">
        <v>150</v>
      </c>
      <c r="AR907" s="709"/>
      <c r="AS907" s="763">
        <v>0</v>
      </c>
      <c r="AT907" s="763">
        <v>0</v>
      </c>
      <c r="AU907" s="763">
        <v>0</v>
      </c>
      <c r="AV907" s="763">
        <v>3.2595876137952964E-2</v>
      </c>
      <c r="AW907" s="763">
        <v>3.2595876137952964E-2</v>
      </c>
      <c r="AX907" s="763">
        <v>3.2595876137952964E-2</v>
      </c>
      <c r="AY907" s="763">
        <v>1.4816307335433166E-3</v>
      </c>
      <c r="AZ907" s="763">
        <v>1.4816307335433166E-3</v>
      </c>
      <c r="BA907" s="763">
        <v>1.4816307335433166E-3</v>
      </c>
      <c r="BB907" s="763">
        <v>1.4816307335433166E-3</v>
      </c>
      <c r="BC907" s="763">
        <v>1.4816307335433166E-3</v>
      </c>
      <c r="BD907" s="763">
        <v>1.4816307335433166E-3</v>
      </c>
      <c r="BE907" s="763">
        <v>1.4816307335433166E-3</v>
      </c>
      <c r="BF907" s="763">
        <v>1.4816307335433166E-3</v>
      </c>
      <c r="BG907" s="763">
        <v>1.4816307335433166E-3</v>
      </c>
      <c r="BH907" s="763">
        <v>0</v>
      </c>
      <c r="BI907" s="763">
        <v>0</v>
      </c>
      <c r="BJ907" s="763">
        <v>0</v>
      </c>
      <c r="BK907" s="763">
        <v>0</v>
      </c>
      <c r="BL907" s="763">
        <v>0</v>
      </c>
      <c r="BM907" s="763">
        <v>0</v>
      </c>
      <c r="BN907" s="763">
        <v>0</v>
      </c>
      <c r="BO907" s="763">
        <v>0</v>
      </c>
      <c r="BP907" s="763">
        <v>0</v>
      </c>
      <c r="BQ907" s="763">
        <v>0</v>
      </c>
      <c r="BR907" s="763">
        <v>0</v>
      </c>
      <c r="BS907" s="762">
        <v>0</v>
      </c>
      <c r="BT907" s="762">
        <v>0</v>
      </c>
      <c r="BU907" s="762">
        <v>0</v>
      </c>
      <c r="BV907" s="762">
        <v>111.61489632724729</v>
      </c>
      <c r="BW907" s="762">
        <v>111.61489632724729</v>
      </c>
      <c r="BX907" s="762">
        <v>111.61489632724729</v>
      </c>
      <c r="BY907" s="762">
        <v>5.073404378511241</v>
      </c>
      <c r="BZ907" s="762">
        <v>5.073404378511241</v>
      </c>
      <c r="CA907" s="762">
        <v>5.073404378511241</v>
      </c>
      <c r="CB907" s="762">
        <v>5.073404378511241</v>
      </c>
      <c r="CC907" s="762">
        <v>5.073404378511241</v>
      </c>
      <c r="CD907" s="762">
        <v>5.073404378511241</v>
      </c>
      <c r="CE907" s="762">
        <v>5.073404378511241</v>
      </c>
      <c r="CF907" s="762">
        <v>5.073404378511241</v>
      </c>
      <c r="CG907" s="762">
        <v>5.073404378511241</v>
      </c>
      <c r="CH907" s="762">
        <v>0</v>
      </c>
      <c r="CI907" s="762">
        <v>0</v>
      </c>
      <c r="CJ907" s="762">
        <v>0</v>
      </c>
      <c r="CK907" s="762">
        <v>0</v>
      </c>
      <c r="CL907" s="762">
        <v>0</v>
      </c>
      <c r="CM907" s="762">
        <v>0</v>
      </c>
      <c r="CN907" s="762">
        <v>0</v>
      </c>
      <c r="CO907" s="762">
        <v>0</v>
      </c>
      <c r="CP907" s="762">
        <v>0</v>
      </c>
      <c r="CQ907" s="762">
        <v>0</v>
      </c>
      <c r="CR907" s="762">
        <v>0</v>
      </c>
    </row>
    <row r="908" spans="1:96" s="53" customFormat="1">
      <c r="A908" s="721" t="s">
        <v>3</v>
      </c>
      <c r="B908" s="723">
        <v>41951</v>
      </c>
      <c r="C908" s="721">
        <v>2014</v>
      </c>
      <c r="D908" s="713" t="s">
        <v>1</v>
      </c>
      <c r="E908" s="713" t="s">
        <v>674</v>
      </c>
      <c r="F908" s="723" t="s">
        <v>689</v>
      </c>
      <c r="G908" s="713" t="s">
        <v>58</v>
      </c>
      <c r="H908" s="723" t="s">
        <v>677</v>
      </c>
      <c r="I908" s="713" t="s">
        <v>5</v>
      </c>
      <c r="J908" s="713" t="s">
        <v>376</v>
      </c>
      <c r="K908" s="766">
        <v>1</v>
      </c>
      <c r="L908" s="766" t="s">
        <v>671</v>
      </c>
      <c r="M908" s="765" t="s">
        <v>725</v>
      </c>
      <c r="N908" s="765">
        <v>0</v>
      </c>
      <c r="O908" s="765">
        <v>0</v>
      </c>
      <c r="P908" s="735">
        <v>0</v>
      </c>
      <c r="Q908" s="713" t="s">
        <v>58</v>
      </c>
      <c r="R908" s="713" t="s">
        <v>58</v>
      </c>
      <c r="S908" s="713" t="s">
        <v>58</v>
      </c>
      <c r="T908" s="713" t="s">
        <v>58</v>
      </c>
      <c r="U908" s="764">
        <v>0</v>
      </c>
      <c r="V908" s="764">
        <v>0</v>
      </c>
      <c r="W908" s="764">
        <v>0</v>
      </c>
      <c r="X908" s="764">
        <v>0</v>
      </c>
      <c r="Y908" s="764">
        <v>0</v>
      </c>
      <c r="Z908" s="764">
        <v>0</v>
      </c>
      <c r="AA908" s="764">
        <v>0</v>
      </c>
      <c r="AB908" s="764">
        <v>0</v>
      </c>
      <c r="AC908" s="714">
        <v>0.82617698682369967</v>
      </c>
      <c r="AD908" s="714">
        <v>0.7843105192554185</v>
      </c>
      <c r="AE908" s="713" t="s">
        <v>58</v>
      </c>
      <c r="AF908" s="713" t="s">
        <v>58</v>
      </c>
      <c r="AG908" s="713" t="s">
        <v>58</v>
      </c>
      <c r="AH908" s="714">
        <v>0.94387031345969796</v>
      </c>
      <c r="AI908" s="713" t="s">
        <v>58</v>
      </c>
      <c r="AJ908" s="713" t="s">
        <v>58</v>
      </c>
      <c r="AK908" s="713" t="s">
        <v>58</v>
      </c>
      <c r="AL908" s="714">
        <v>0.94454345387965444</v>
      </c>
      <c r="AM908" s="713" t="s">
        <v>58</v>
      </c>
      <c r="AN908" s="713" t="s">
        <v>58</v>
      </c>
      <c r="AO908" s="713" t="s">
        <v>58</v>
      </c>
      <c r="AP908" s="747">
        <v>51</v>
      </c>
      <c r="AQ908" s="747">
        <v>51</v>
      </c>
      <c r="AR908" s="709"/>
      <c r="AS908" s="763">
        <v>0</v>
      </c>
      <c r="AT908" s="763">
        <v>0</v>
      </c>
      <c r="AU908" s="763">
        <v>0</v>
      </c>
      <c r="AV908" s="763">
        <v>0</v>
      </c>
      <c r="AW908" s="763">
        <v>0</v>
      </c>
      <c r="AX908" s="763">
        <v>0</v>
      </c>
      <c r="AY908" s="763">
        <v>0</v>
      </c>
      <c r="AZ908" s="763">
        <v>0</v>
      </c>
      <c r="BA908" s="763">
        <v>0</v>
      </c>
      <c r="BB908" s="763">
        <v>0</v>
      </c>
      <c r="BC908" s="763">
        <v>0</v>
      </c>
      <c r="BD908" s="763">
        <v>0</v>
      </c>
      <c r="BE908" s="763">
        <v>0</v>
      </c>
      <c r="BF908" s="763">
        <v>0</v>
      </c>
      <c r="BG908" s="763">
        <v>0</v>
      </c>
      <c r="BH908" s="763">
        <v>0</v>
      </c>
      <c r="BI908" s="763">
        <v>0</v>
      </c>
      <c r="BJ908" s="763">
        <v>0</v>
      </c>
      <c r="BK908" s="763">
        <v>0</v>
      </c>
      <c r="BL908" s="763">
        <v>0</v>
      </c>
      <c r="BM908" s="763">
        <v>0</v>
      </c>
      <c r="BN908" s="763">
        <v>0</v>
      </c>
      <c r="BO908" s="763">
        <v>0</v>
      </c>
      <c r="BP908" s="763">
        <v>0</v>
      </c>
      <c r="BQ908" s="763">
        <v>0</v>
      </c>
      <c r="BR908" s="763">
        <v>0</v>
      </c>
      <c r="BS908" s="762">
        <v>0</v>
      </c>
      <c r="BT908" s="762">
        <v>0</v>
      </c>
      <c r="BU908" s="762">
        <v>0</v>
      </c>
      <c r="BV908" s="762">
        <v>0</v>
      </c>
      <c r="BW908" s="762">
        <v>0</v>
      </c>
      <c r="BX908" s="762">
        <v>0</v>
      </c>
      <c r="BY908" s="762">
        <v>0</v>
      </c>
      <c r="BZ908" s="762">
        <v>0</v>
      </c>
      <c r="CA908" s="762">
        <v>0</v>
      </c>
      <c r="CB908" s="762">
        <v>0</v>
      </c>
      <c r="CC908" s="762">
        <v>0</v>
      </c>
      <c r="CD908" s="762">
        <v>0</v>
      </c>
      <c r="CE908" s="762">
        <v>0</v>
      </c>
      <c r="CF908" s="762">
        <v>0</v>
      </c>
      <c r="CG908" s="762">
        <v>0</v>
      </c>
      <c r="CH908" s="762">
        <v>0</v>
      </c>
      <c r="CI908" s="762">
        <v>0</v>
      </c>
      <c r="CJ908" s="762">
        <v>0</v>
      </c>
      <c r="CK908" s="762">
        <v>0</v>
      </c>
      <c r="CL908" s="762">
        <v>0</v>
      </c>
      <c r="CM908" s="762">
        <v>0</v>
      </c>
      <c r="CN908" s="762">
        <v>0</v>
      </c>
      <c r="CO908" s="762">
        <v>0</v>
      </c>
      <c r="CP908" s="762">
        <v>0</v>
      </c>
      <c r="CQ908" s="762">
        <v>0</v>
      </c>
      <c r="CR908" s="762">
        <v>0</v>
      </c>
    </row>
    <row r="909" spans="1:96" s="53" customFormat="1">
      <c r="A909" s="721" t="s">
        <v>3</v>
      </c>
      <c r="B909" s="723">
        <v>41951</v>
      </c>
      <c r="C909" s="721">
        <v>2014</v>
      </c>
      <c r="D909" s="713" t="s">
        <v>1</v>
      </c>
      <c r="E909" s="713" t="s">
        <v>674</v>
      </c>
      <c r="F909" s="723" t="s">
        <v>689</v>
      </c>
      <c r="G909" s="713" t="s">
        <v>58</v>
      </c>
      <c r="H909" s="723" t="s">
        <v>676</v>
      </c>
      <c r="I909" s="713" t="s">
        <v>5</v>
      </c>
      <c r="J909" s="713" t="s">
        <v>376</v>
      </c>
      <c r="K909" s="766">
        <v>7</v>
      </c>
      <c r="L909" s="766" t="s">
        <v>671</v>
      </c>
      <c r="M909" s="765" t="s">
        <v>725</v>
      </c>
      <c r="N909" s="765">
        <v>12</v>
      </c>
      <c r="O909" s="765">
        <v>3</v>
      </c>
      <c r="P909" s="735">
        <v>0.31578947368421051</v>
      </c>
      <c r="Q909" s="713" t="s">
        <v>58</v>
      </c>
      <c r="R909" s="713" t="s">
        <v>58</v>
      </c>
      <c r="S909" s="713" t="s">
        <v>58</v>
      </c>
      <c r="T909" s="713" t="s">
        <v>58</v>
      </c>
      <c r="U909" s="764">
        <v>0.26600000000000001</v>
      </c>
      <c r="V909" s="764">
        <v>865.298</v>
      </c>
      <c r="W909" s="764">
        <v>0.20862659812194137</v>
      </c>
      <c r="X909" s="764">
        <v>714.88929434457373</v>
      </c>
      <c r="Y909" s="764">
        <v>4176.4585090656674</v>
      </c>
      <c r="Z909" s="764">
        <v>3942.0352021032345</v>
      </c>
      <c r="AA909" s="764">
        <v>674.76278234199503</v>
      </c>
      <c r="AB909" s="764">
        <v>0.19705688756126113</v>
      </c>
      <c r="AC909" s="714">
        <v>0.82617698682369967</v>
      </c>
      <c r="AD909" s="714">
        <v>0.7843105192554185</v>
      </c>
      <c r="AE909" s="713" t="s">
        <v>58</v>
      </c>
      <c r="AF909" s="713" t="s">
        <v>58</v>
      </c>
      <c r="AG909" s="713" t="s">
        <v>58</v>
      </c>
      <c r="AH909" s="714">
        <v>0.94387031345969796</v>
      </c>
      <c r="AI909" s="713" t="s">
        <v>58</v>
      </c>
      <c r="AJ909" s="713" t="s">
        <v>58</v>
      </c>
      <c r="AK909" s="713" t="s">
        <v>58</v>
      </c>
      <c r="AL909" s="714">
        <v>0.94454345387965444</v>
      </c>
      <c r="AM909" s="713" t="s">
        <v>58</v>
      </c>
      <c r="AN909" s="713" t="s">
        <v>58</v>
      </c>
      <c r="AO909" s="713" t="s">
        <v>58</v>
      </c>
      <c r="AP909" s="747">
        <v>57</v>
      </c>
      <c r="AQ909" s="747">
        <v>399</v>
      </c>
      <c r="AR909" s="709"/>
      <c r="AS909" s="763">
        <v>0</v>
      </c>
      <c r="AT909" s="763">
        <v>0</v>
      </c>
      <c r="AU909" s="763">
        <v>0</v>
      </c>
      <c r="AV909" s="763">
        <v>0.19705688756126113</v>
      </c>
      <c r="AW909" s="763">
        <v>0.19705688756126113</v>
      </c>
      <c r="AX909" s="763">
        <v>0.19705688756126113</v>
      </c>
      <c r="AY909" s="763">
        <v>6.2228490808819301E-2</v>
      </c>
      <c r="AZ909" s="763">
        <v>6.2228490808819301E-2</v>
      </c>
      <c r="BA909" s="763">
        <v>6.2228490808819301E-2</v>
      </c>
      <c r="BB909" s="763">
        <v>6.2228490808819301E-2</v>
      </c>
      <c r="BC909" s="763">
        <v>6.2228490808819301E-2</v>
      </c>
      <c r="BD909" s="763">
        <v>6.2228490808819301E-2</v>
      </c>
      <c r="BE909" s="763">
        <v>6.2228490808819301E-2</v>
      </c>
      <c r="BF909" s="763">
        <v>6.2228490808819301E-2</v>
      </c>
      <c r="BG909" s="763">
        <v>6.2228490808819301E-2</v>
      </c>
      <c r="BH909" s="763">
        <v>0</v>
      </c>
      <c r="BI909" s="763">
        <v>0</v>
      </c>
      <c r="BJ909" s="763">
        <v>0</v>
      </c>
      <c r="BK909" s="763">
        <v>0</v>
      </c>
      <c r="BL909" s="763">
        <v>0</v>
      </c>
      <c r="BM909" s="763">
        <v>0</v>
      </c>
      <c r="BN909" s="763">
        <v>0</v>
      </c>
      <c r="BO909" s="763">
        <v>0</v>
      </c>
      <c r="BP909" s="763">
        <v>0</v>
      </c>
      <c r="BQ909" s="763">
        <v>0</v>
      </c>
      <c r="BR909" s="763">
        <v>0</v>
      </c>
      <c r="BS909" s="762">
        <v>0</v>
      </c>
      <c r="BT909" s="762">
        <v>0</v>
      </c>
      <c r="BU909" s="762">
        <v>0</v>
      </c>
      <c r="BV909" s="762">
        <v>674.76278234199503</v>
      </c>
      <c r="BW909" s="762">
        <v>674.76278234199503</v>
      </c>
      <c r="BX909" s="762">
        <v>674.76278234199503</v>
      </c>
      <c r="BY909" s="762">
        <v>213.0829838974721</v>
      </c>
      <c r="BZ909" s="762">
        <v>213.0829838974721</v>
      </c>
      <c r="CA909" s="762">
        <v>213.0829838974721</v>
      </c>
      <c r="CB909" s="762">
        <v>213.0829838974721</v>
      </c>
      <c r="CC909" s="762">
        <v>213.0829838974721</v>
      </c>
      <c r="CD909" s="762">
        <v>213.0829838974721</v>
      </c>
      <c r="CE909" s="762">
        <v>213.0829838974721</v>
      </c>
      <c r="CF909" s="762">
        <v>213.0829838974721</v>
      </c>
      <c r="CG909" s="762">
        <v>213.0829838974721</v>
      </c>
      <c r="CH909" s="762">
        <v>0</v>
      </c>
      <c r="CI909" s="762">
        <v>0</v>
      </c>
      <c r="CJ909" s="762">
        <v>0</v>
      </c>
      <c r="CK909" s="762">
        <v>0</v>
      </c>
      <c r="CL909" s="762">
        <v>0</v>
      </c>
      <c r="CM909" s="762">
        <v>0</v>
      </c>
      <c r="CN909" s="762">
        <v>0</v>
      </c>
      <c r="CO909" s="762">
        <v>0</v>
      </c>
      <c r="CP909" s="762">
        <v>0</v>
      </c>
      <c r="CQ909" s="762">
        <v>0</v>
      </c>
      <c r="CR909" s="762">
        <v>0</v>
      </c>
    </row>
    <row r="910" spans="1:96" s="53" customFormat="1">
      <c r="A910" s="721" t="s">
        <v>3</v>
      </c>
      <c r="B910" s="723">
        <v>41951</v>
      </c>
      <c r="C910" s="721">
        <v>2014</v>
      </c>
      <c r="D910" s="713" t="s">
        <v>1</v>
      </c>
      <c r="E910" s="713" t="s">
        <v>674</v>
      </c>
      <c r="F910" s="723" t="s">
        <v>689</v>
      </c>
      <c r="G910" s="713" t="s">
        <v>58</v>
      </c>
      <c r="H910" s="723" t="s">
        <v>675</v>
      </c>
      <c r="I910" s="713" t="s">
        <v>5</v>
      </c>
      <c r="J910" s="713" t="s">
        <v>376</v>
      </c>
      <c r="K910" s="766">
        <v>12</v>
      </c>
      <c r="L910" s="766" t="s">
        <v>671</v>
      </c>
      <c r="M910" s="765" t="s">
        <v>725</v>
      </c>
      <c r="N910" s="765">
        <v>12</v>
      </c>
      <c r="O910" s="765">
        <v>3</v>
      </c>
      <c r="P910" s="735">
        <v>0.36842105263157893</v>
      </c>
      <c r="Q910" s="713" t="s">
        <v>58</v>
      </c>
      <c r="R910" s="713" t="s">
        <v>58</v>
      </c>
      <c r="S910" s="713" t="s">
        <v>58</v>
      </c>
      <c r="T910" s="713" t="s">
        <v>58</v>
      </c>
      <c r="U910" s="764">
        <v>0.68400000000000005</v>
      </c>
      <c r="V910" s="764">
        <v>2225.0520000000001</v>
      </c>
      <c r="W910" s="764">
        <v>0.53646839517070632</v>
      </c>
      <c r="X910" s="764">
        <v>1838.2867568860468</v>
      </c>
      <c r="Y910" s="764">
        <v>11610.232148753979</v>
      </c>
      <c r="Z910" s="764">
        <v>10958.553457584281</v>
      </c>
      <c r="AA910" s="764">
        <v>1735.1042974508446</v>
      </c>
      <c r="AB910" s="764">
        <v>0.50671771087181428</v>
      </c>
      <c r="AC910" s="714">
        <v>0.82617698682369967</v>
      </c>
      <c r="AD910" s="714">
        <v>0.7843105192554185</v>
      </c>
      <c r="AE910" s="713" t="s">
        <v>58</v>
      </c>
      <c r="AF910" s="713" t="s">
        <v>58</v>
      </c>
      <c r="AG910" s="713" t="s">
        <v>58</v>
      </c>
      <c r="AH910" s="714">
        <v>0.94387031345969796</v>
      </c>
      <c r="AI910" s="713" t="s">
        <v>58</v>
      </c>
      <c r="AJ910" s="713" t="s">
        <v>58</v>
      </c>
      <c r="AK910" s="713" t="s">
        <v>58</v>
      </c>
      <c r="AL910" s="714">
        <v>0.94454345387965444</v>
      </c>
      <c r="AM910" s="713" t="s">
        <v>58</v>
      </c>
      <c r="AN910" s="713" t="s">
        <v>58</v>
      </c>
      <c r="AO910" s="713" t="s">
        <v>58</v>
      </c>
      <c r="AP910" s="747">
        <v>73</v>
      </c>
      <c r="AQ910" s="747">
        <v>876</v>
      </c>
      <c r="AR910" s="709"/>
      <c r="AS910" s="763">
        <v>0</v>
      </c>
      <c r="AT910" s="763">
        <v>0</v>
      </c>
      <c r="AU910" s="763">
        <v>0</v>
      </c>
      <c r="AV910" s="763">
        <v>0.50671771087181428</v>
      </c>
      <c r="AW910" s="763">
        <v>0.50671771087181428</v>
      </c>
      <c r="AX910" s="763">
        <v>0.50671771087181428</v>
      </c>
      <c r="AY910" s="763">
        <v>0.18668547242645789</v>
      </c>
      <c r="AZ910" s="763">
        <v>0.18668547242645789</v>
      </c>
      <c r="BA910" s="763">
        <v>0.18668547242645789</v>
      </c>
      <c r="BB910" s="763">
        <v>0.18668547242645789</v>
      </c>
      <c r="BC910" s="763">
        <v>0.18668547242645789</v>
      </c>
      <c r="BD910" s="763">
        <v>0.18668547242645789</v>
      </c>
      <c r="BE910" s="763">
        <v>0.18668547242645789</v>
      </c>
      <c r="BF910" s="763">
        <v>0.18668547242645789</v>
      </c>
      <c r="BG910" s="763">
        <v>0.18668547242645789</v>
      </c>
      <c r="BH910" s="763">
        <v>0</v>
      </c>
      <c r="BI910" s="763">
        <v>0</v>
      </c>
      <c r="BJ910" s="763">
        <v>0</v>
      </c>
      <c r="BK910" s="763">
        <v>0</v>
      </c>
      <c r="BL910" s="763">
        <v>0</v>
      </c>
      <c r="BM910" s="763">
        <v>0</v>
      </c>
      <c r="BN910" s="763">
        <v>0</v>
      </c>
      <c r="BO910" s="763">
        <v>0</v>
      </c>
      <c r="BP910" s="763">
        <v>0</v>
      </c>
      <c r="BQ910" s="763">
        <v>0</v>
      </c>
      <c r="BR910" s="763">
        <v>0</v>
      </c>
      <c r="BS910" s="762">
        <v>0</v>
      </c>
      <c r="BT910" s="762">
        <v>0</v>
      </c>
      <c r="BU910" s="762">
        <v>0</v>
      </c>
      <c r="BV910" s="762">
        <v>1735.1042974508446</v>
      </c>
      <c r="BW910" s="762">
        <v>1735.1042974508446</v>
      </c>
      <c r="BX910" s="762">
        <v>1735.1042974508446</v>
      </c>
      <c r="BY910" s="762">
        <v>639.24895169241643</v>
      </c>
      <c r="BZ910" s="762">
        <v>639.24895169241643</v>
      </c>
      <c r="CA910" s="762">
        <v>639.24895169241643</v>
      </c>
      <c r="CB910" s="762">
        <v>639.24895169241643</v>
      </c>
      <c r="CC910" s="762">
        <v>639.24895169241643</v>
      </c>
      <c r="CD910" s="762">
        <v>639.24895169241643</v>
      </c>
      <c r="CE910" s="762">
        <v>639.24895169241643</v>
      </c>
      <c r="CF910" s="762">
        <v>639.24895169241643</v>
      </c>
      <c r="CG910" s="762">
        <v>639.24895169241643</v>
      </c>
      <c r="CH910" s="762">
        <v>0</v>
      </c>
      <c r="CI910" s="762">
        <v>0</v>
      </c>
      <c r="CJ910" s="762">
        <v>0</v>
      </c>
      <c r="CK910" s="762">
        <v>0</v>
      </c>
      <c r="CL910" s="762">
        <v>0</v>
      </c>
      <c r="CM910" s="762">
        <v>0</v>
      </c>
      <c r="CN910" s="762">
        <v>0</v>
      </c>
      <c r="CO910" s="762">
        <v>0</v>
      </c>
      <c r="CP910" s="762">
        <v>0</v>
      </c>
      <c r="CQ910" s="762">
        <v>0</v>
      </c>
      <c r="CR910" s="762">
        <v>0</v>
      </c>
    </row>
    <row r="911" spans="1:96" s="53" customFormat="1">
      <c r="A911" s="721" t="s">
        <v>3</v>
      </c>
      <c r="B911" s="723">
        <v>41798</v>
      </c>
      <c r="C911" s="721">
        <v>2014</v>
      </c>
      <c r="D911" s="713" t="s">
        <v>1</v>
      </c>
      <c r="E911" s="713" t="s">
        <v>674</v>
      </c>
      <c r="F911" s="723" t="s">
        <v>685</v>
      </c>
      <c r="G911" s="713" t="s">
        <v>58</v>
      </c>
      <c r="H911" s="723" t="s">
        <v>677</v>
      </c>
      <c r="I911" s="713" t="s">
        <v>5</v>
      </c>
      <c r="J911" s="713" t="s">
        <v>376</v>
      </c>
      <c r="K911" s="766">
        <v>1</v>
      </c>
      <c r="L911" s="766" t="s">
        <v>671</v>
      </c>
      <c r="M911" s="765" t="s">
        <v>731</v>
      </c>
      <c r="N911" s="765">
        <v>0</v>
      </c>
      <c r="O911" s="765">
        <v>0</v>
      </c>
      <c r="P911" s="735">
        <v>0</v>
      </c>
      <c r="Q911" s="713" t="s">
        <v>58</v>
      </c>
      <c r="R911" s="713" t="s">
        <v>58</v>
      </c>
      <c r="S911" s="713" t="s">
        <v>58</v>
      </c>
      <c r="T911" s="713" t="s">
        <v>58</v>
      </c>
      <c r="U911" s="764">
        <v>0</v>
      </c>
      <c r="V911" s="764">
        <v>0</v>
      </c>
      <c r="W911" s="764">
        <v>0</v>
      </c>
      <c r="X911" s="764">
        <v>0</v>
      </c>
      <c r="Y911" s="764">
        <v>0</v>
      </c>
      <c r="Z911" s="764">
        <v>0</v>
      </c>
      <c r="AA911" s="764">
        <v>0</v>
      </c>
      <c r="AB911" s="764">
        <v>0</v>
      </c>
      <c r="AC911" s="714">
        <v>0.82617698682369967</v>
      </c>
      <c r="AD911" s="714">
        <v>0.7843105192554185</v>
      </c>
      <c r="AE911" s="713" t="s">
        <v>58</v>
      </c>
      <c r="AF911" s="713" t="s">
        <v>58</v>
      </c>
      <c r="AG911" s="713" t="s">
        <v>58</v>
      </c>
      <c r="AH911" s="714">
        <v>0.94387031345969796</v>
      </c>
      <c r="AI911" s="713" t="s">
        <v>58</v>
      </c>
      <c r="AJ911" s="713" t="s">
        <v>58</v>
      </c>
      <c r="AK911" s="713" t="s">
        <v>58</v>
      </c>
      <c r="AL911" s="714">
        <v>0.94454345387965444</v>
      </c>
      <c r="AM911" s="713" t="s">
        <v>58</v>
      </c>
      <c r="AN911" s="713" t="s">
        <v>58</v>
      </c>
      <c r="AO911" s="713" t="s">
        <v>58</v>
      </c>
      <c r="AP911" s="747">
        <v>51</v>
      </c>
      <c r="AQ911" s="747">
        <v>51</v>
      </c>
      <c r="AR911" s="709"/>
      <c r="AS911" s="763">
        <v>0</v>
      </c>
      <c r="AT911" s="763">
        <v>0</v>
      </c>
      <c r="AU911" s="763">
        <v>0</v>
      </c>
      <c r="AV911" s="763">
        <v>0</v>
      </c>
      <c r="AW911" s="763">
        <v>0</v>
      </c>
      <c r="AX911" s="763">
        <v>0</v>
      </c>
      <c r="AY911" s="763">
        <v>0</v>
      </c>
      <c r="AZ911" s="763">
        <v>0</v>
      </c>
      <c r="BA911" s="763">
        <v>0</v>
      </c>
      <c r="BB911" s="763">
        <v>0</v>
      </c>
      <c r="BC911" s="763">
        <v>0</v>
      </c>
      <c r="BD911" s="763">
        <v>0</v>
      </c>
      <c r="BE911" s="763">
        <v>0</v>
      </c>
      <c r="BF911" s="763">
        <v>0</v>
      </c>
      <c r="BG911" s="763">
        <v>0</v>
      </c>
      <c r="BH911" s="763">
        <v>0</v>
      </c>
      <c r="BI911" s="763">
        <v>0</v>
      </c>
      <c r="BJ911" s="763">
        <v>0</v>
      </c>
      <c r="BK911" s="763">
        <v>0</v>
      </c>
      <c r="BL911" s="763">
        <v>0</v>
      </c>
      <c r="BM911" s="763">
        <v>0</v>
      </c>
      <c r="BN911" s="763">
        <v>0</v>
      </c>
      <c r="BO911" s="763">
        <v>0</v>
      </c>
      <c r="BP911" s="763">
        <v>0</v>
      </c>
      <c r="BQ911" s="763">
        <v>0</v>
      </c>
      <c r="BR911" s="763">
        <v>0</v>
      </c>
      <c r="BS911" s="762">
        <v>0</v>
      </c>
      <c r="BT911" s="762">
        <v>0</v>
      </c>
      <c r="BU911" s="762">
        <v>0</v>
      </c>
      <c r="BV911" s="762">
        <v>0</v>
      </c>
      <c r="BW911" s="762">
        <v>0</v>
      </c>
      <c r="BX911" s="762">
        <v>0</v>
      </c>
      <c r="BY911" s="762">
        <v>0</v>
      </c>
      <c r="BZ911" s="762">
        <v>0</v>
      </c>
      <c r="CA911" s="762">
        <v>0</v>
      </c>
      <c r="CB911" s="762">
        <v>0</v>
      </c>
      <c r="CC911" s="762">
        <v>0</v>
      </c>
      <c r="CD911" s="762">
        <v>0</v>
      </c>
      <c r="CE911" s="762">
        <v>0</v>
      </c>
      <c r="CF911" s="762">
        <v>0</v>
      </c>
      <c r="CG911" s="762">
        <v>0</v>
      </c>
      <c r="CH911" s="762">
        <v>0</v>
      </c>
      <c r="CI911" s="762">
        <v>0</v>
      </c>
      <c r="CJ911" s="762">
        <v>0</v>
      </c>
      <c r="CK911" s="762">
        <v>0</v>
      </c>
      <c r="CL911" s="762">
        <v>0</v>
      </c>
      <c r="CM911" s="762">
        <v>0</v>
      </c>
      <c r="CN911" s="762">
        <v>0</v>
      </c>
      <c r="CO911" s="762">
        <v>0</v>
      </c>
      <c r="CP911" s="762">
        <v>0</v>
      </c>
      <c r="CQ911" s="762">
        <v>0</v>
      </c>
      <c r="CR911" s="762">
        <v>0</v>
      </c>
    </row>
    <row r="912" spans="1:96" s="53" customFormat="1">
      <c r="A912" s="721" t="s">
        <v>3</v>
      </c>
      <c r="B912" s="723">
        <v>41798</v>
      </c>
      <c r="C912" s="721">
        <v>2014</v>
      </c>
      <c r="D912" s="713" t="s">
        <v>1</v>
      </c>
      <c r="E912" s="713" t="s">
        <v>674</v>
      </c>
      <c r="F912" s="723" t="s">
        <v>685</v>
      </c>
      <c r="G912" s="713" t="s">
        <v>58</v>
      </c>
      <c r="H912" s="723" t="s">
        <v>684</v>
      </c>
      <c r="I912" s="713" t="s">
        <v>5</v>
      </c>
      <c r="J912" s="713" t="s">
        <v>376</v>
      </c>
      <c r="K912" s="766">
        <v>1</v>
      </c>
      <c r="L912" s="766" t="s">
        <v>671</v>
      </c>
      <c r="M912" s="765" t="s">
        <v>731</v>
      </c>
      <c r="N912" s="765">
        <v>11</v>
      </c>
      <c r="O912" s="765">
        <v>2</v>
      </c>
      <c r="P912" s="735">
        <v>0.43976996379393668</v>
      </c>
      <c r="Q912" s="713" t="s">
        <v>58</v>
      </c>
      <c r="R912" s="713" t="s">
        <v>58</v>
      </c>
      <c r="S912" s="713" t="s">
        <v>58</v>
      </c>
      <c r="T912" s="713" t="s">
        <v>58</v>
      </c>
      <c r="U912" s="764">
        <v>6.8000000000000005E-2</v>
      </c>
      <c r="V912" s="764">
        <v>328.1</v>
      </c>
      <c r="W912" s="764">
        <v>5.3333115309368469E-2</v>
      </c>
      <c r="X912" s="764">
        <v>271.06866937685584</v>
      </c>
      <c r="Y912" s="764">
        <v>1615.008069011486</v>
      </c>
      <c r="Z912" s="764">
        <v>1524.3581723378129</v>
      </c>
      <c r="AA912" s="764">
        <v>255.85366993383616</v>
      </c>
      <c r="AB912" s="764">
        <v>5.0375444940472767E-2</v>
      </c>
      <c r="AC912" s="714">
        <v>0.82617698682369967</v>
      </c>
      <c r="AD912" s="714">
        <v>0.7843105192554185</v>
      </c>
      <c r="AE912" s="713" t="s">
        <v>58</v>
      </c>
      <c r="AF912" s="713" t="s">
        <v>58</v>
      </c>
      <c r="AG912" s="713" t="s">
        <v>58</v>
      </c>
      <c r="AH912" s="714">
        <v>0.94387031345969796</v>
      </c>
      <c r="AI912" s="713" t="s">
        <v>58</v>
      </c>
      <c r="AJ912" s="713" t="s">
        <v>58</v>
      </c>
      <c r="AK912" s="713" t="s">
        <v>58</v>
      </c>
      <c r="AL912" s="714">
        <v>0.94454345387965444</v>
      </c>
      <c r="AM912" s="713" t="s">
        <v>58</v>
      </c>
      <c r="AN912" s="713" t="s">
        <v>58</v>
      </c>
      <c r="AO912" s="713" t="s">
        <v>58</v>
      </c>
      <c r="AP912" s="747">
        <v>48</v>
      </c>
      <c r="AQ912" s="747">
        <v>48</v>
      </c>
      <c r="AR912" s="709"/>
      <c r="AS912" s="763">
        <v>0</v>
      </c>
      <c r="AT912" s="763">
        <v>0</v>
      </c>
      <c r="AU912" s="763">
        <v>0</v>
      </c>
      <c r="AV912" s="763">
        <v>5.0375444940472767E-2</v>
      </c>
      <c r="AW912" s="763">
        <v>5.0375444940472767E-2</v>
      </c>
      <c r="AX912" s="763">
        <v>2.2153607597575158E-2</v>
      </c>
      <c r="AY912" s="763">
        <v>2.2153607597575158E-2</v>
      </c>
      <c r="AZ912" s="763">
        <v>2.2153607597575158E-2</v>
      </c>
      <c r="BA912" s="763">
        <v>2.2153607597575158E-2</v>
      </c>
      <c r="BB912" s="763">
        <v>2.2153607597575158E-2</v>
      </c>
      <c r="BC912" s="763">
        <v>2.2153607597575158E-2</v>
      </c>
      <c r="BD912" s="763">
        <v>2.2153607597575158E-2</v>
      </c>
      <c r="BE912" s="763">
        <v>2.2153607597575158E-2</v>
      </c>
      <c r="BF912" s="763">
        <v>2.2153607597575158E-2</v>
      </c>
      <c r="BG912" s="763">
        <v>0</v>
      </c>
      <c r="BH912" s="763">
        <v>0</v>
      </c>
      <c r="BI912" s="763">
        <v>0</v>
      </c>
      <c r="BJ912" s="763">
        <v>0</v>
      </c>
      <c r="BK912" s="763">
        <v>0</v>
      </c>
      <c r="BL912" s="763">
        <v>0</v>
      </c>
      <c r="BM912" s="763">
        <v>0</v>
      </c>
      <c r="BN912" s="763">
        <v>0</v>
      </c>
      <c r="BO912" s="763">
        <v>0</v>
      </c>
      <c r="BP912" s="763">
        <v>0</v>
      </c>
      <c r="BQ912" s="763">
        <v>0</v>
      </c>
      <c r="BR912" s="763">
        <v>0</v>
      </c>
      <c r="BS912" s="762">
        <v>0</v>
      </c>
      <c r="BT912" s="762">
        <v>0</v>
      </c>
      <c r="BU912" s="762">
        <v>0</v>
      </c>
      <c r="BV912" s="762">
        <v>255.85366993383616</v>
      </c>
      <c r="BW912" s="762">
        <v>255.85366993383616</v>
      </c>
      <c r="BX912" s="762">
        <v>112.51675916334895</v>
      </c>
      <c r="BY912" s="762">
        <v>112.51675916334895</v>
      </c>
      <c r="BZ912" s="762">
        <v>112.51675916334895</v>
      </c>
      <c r="CA912" s="762">
        <v>112.51675916334895</v>
      </c>
      <c r="CB912" s="762">
        <v>112.51675916334895</v>
      </c>
      <c r="CC912" s="762">
        <v>112.51675916334895</v>
      </c>
      <c r="CD912" s="762">
        <v>112.51675916334895</v>
      </c>
      <c r="CE912" s="762">
        <v>112.51675916334895</v>
      </c>
      <c r="CF912" s="762">
        <v>112.51675916334895</v>
      </c>
      <c r="CG912" s="762">
        <v>0</v>
      </c>
      <c r="CH912" s="762">
        <v>0</v>
      </c>
      <c r="CI912" s="762">
        <v>0</v>
      </c>
      <c r="CJ912" s="762">
        <v>0</v>
      </c>
      <c r="CK912" s="762">
        <v>0</v>
      </c>
      <c r="CL912" s="762">
        <v>0</v>
      </c>
      <c r="CM912" s="762">
        <v>0</v>
      </c>
      <c r="CN912" s="762">
        <v>0</v>
      </c>
      <c r="CO912" s="762">
        <v>0</v>
      </c>
      <c r="CP912" s="762">
        <v>0</v>
      </c>
      <c r="CQ912" s="762">
        <v>0</v>
      </c>
      <c r="CR912" s="762">
        <v>0</v>
      </c>
    </row>
    <row r="913" spans="1:96" s="53" customFormat="1">
      <c r="A913" s="721" t="s">
        <v>3</v>
      </c>
      <c r="B913" s="723">
        <v>41798</v>
      </c>
      <c r="C913" s="721">
        <v>2014</v>
      </c>
      <c r="D913" s="713" t="s">
        <v>1</v>
      </c>
      <c r="E913" s="713" t="s">
        <v>674</v>
      </c>
      <c r="F913" s="723" t="s">
        <v>685</v>
      </c>
      <c r="G913" s="713" t="s">
        <v>58</v>
      </c>
      <c r="H913" s="723" t="s">
        <v>693</v>
      </c>
      <c r="I913" s="713" t="s">
        <v>5</v>
      </c>
      <c r="J913" s="713" t="s">
        <v>376</v>
      </c>
      <c r="K913" s="766">
        <v>11</v>
      </c>
      <c r="L913" s="766" t="s">
        <v>671</v>
      </c>
      <c r="M913" s="765" t="s">
        <v>731</v>
      </c>
      <c r="N913" s="765">
        <v>11</v>
      </c>
      <c r="O913" s="765" t="s">
        <v>7</v>
      </c>
      <c r="P913" s="735">
        <v>1</v>
      </c>
      <c r="Q913" s="713" t="s">
        <v>58</v>
      </c>
      <c r="R913" s="713" t="s">
        <v>58</v>
      </c>
      <c r="S913" s="713" t="s">
        <v>58</v>
      </c>
      <c r="T913" s="713" t="s">
        <v>58</v>
      </c>
      <c r="U913" s="764">
        <v>0.78649999999999998</v>
      </c>
      <c r="V913" s="764">
        <v>3794.8625000000002</v>
      </c>
      <c r="W913" s="764">
        <v>0.61686022339438673</v>
      </c>
      <c r="X913" s="764">
        <v>3135.228065660252</v>
      </c>
      <c r="Y913" s="764">
        <v>34487.50872226277</v>
      </c>
      <c r="Z913" s="764">
        <v>32551.735668126228</v>
      </c>
      <c r="AA913" s="764">
        <v>2959.2486971023845</v>
      </c>
      <c r="AB913" s="764">
        <v>0.5826512859659092</v>
      </c>
      <c r="AC913" s="714">
        <v>0.82617698682369967</v>
      </c>
      <c r="AD913" s="714">
        <v>0.7843105192554185</v>
      </c>
      <c r="AE913" s="713" t="s">
        <v>58</v>
      </c>
      <c r="AF913" s="713" t="s">
        <v>58</v>
      </c>
      <c r="AG913" s="713" t="s">
        <v>58</v>
      </c>
      <c r="AH913" s="714">
        <v>0.94387031345969796</v>
      </c>
      <c r="AI913" s="713" t="s">
        <v>58</v>
      </c>
      <c r="AJ913" s="713" t="s">
        <v>58</v>
      </c>
      <c r="AK913" s="713" t="s">
        <v>58</v>
      </c>
      <c r="AL913" s="714">
        <v>0.94454345387965444</v>
      </c>
      <c r="AM913" s="713" t="s">
        <v>58</v>
      </c>
      <c r="AN913" s="713" t="s">
        <v>58</v>
      </c>
      <c r="AO913" s="713" t="s">
        <v>58</v>
      </c>
      <c r="AP913" s="747">
        <v>52</v>
      </c>
      <c r="AQ913" s="747">
        <v>572</v>
      </c>
      <c r="AR913" s="709"/>
      <c r="AS913" s="763">
        <v>0</v>
      </c>
      <c r="AT913" s="763">
        <v>0</v>
      </c>
      <c r="AU913" s="763">
        <v>0</v>
      </c>
      <c r="AV913" s="763">
        <v>0.5826512859659092</v>
      </c>
      <c r="AW913" s="763">
        <v>0.5826512859659092</v>
      </c>
      <c r="AX913" s="763">
        <v>0.5826512859659092</v>
      </c>
      <c r="AY913" s="763">
        <v>0.5826512859659092</v>
      </c>
      <c r="AZ913" s="763">
        <v>0.5826512859659092</v>
      </c>
      <c r="BA913" s="763">
        <v>0.5826512859659092</v>
      </c>
      <c r="BB913" s="763">
        <v>0.5826512859659092</v>
      </c>
      <c r="BC913" s="763">
        <v>0.5826512859659092</v>
      </c>
      <c r="BD913" s="763">
        <v>0.5826512859659092</v>
      </c>
      <c r="BE913" s="763">
        <v>0.5826512859659092</v>
      </c>
      <c r="BF913" s="763">
        <v>0.5826512859659092</v>
      </c>
      <c r="BG913" s="763">
        <v>0</v>
      </c>
      <c r="BH913" s="763">
        <v>0</v>
      </c>
      <c r="BI913" s="763">
        <v>0</v>
      </c>
      <c r="BJ913" s="763">
        <v>0</v>
      </c>
      <c r="BK913" s="763">
        <v>0</v>
      </c>
      <c r="BL913" s="763">
        <v>0</v>
      </c>
      <c r="BM913" s="763">
        <v>0</v>
      </c>
      <c r="BN913" s="763">
        <v>0</v>
      </c>
      <c r="BO913" s="763">
        <v>0</v>
      </c>
      <c r="BP913" s="763">
        <v>0</v>
      </c>
      <c r="BQ913" s="763">
        <v>0</v>
      </c>
      <c r="BR913" s="763">
        <v>0</v>
      </c>
      <c r="BS913" s="762">
        <v>0</v>
      </c>
      <c r="BT913" s="762">
        <v>0</v>
      </c>
      <c r="BU913" s="762">
        <v>0</v>
      </c>
      <c r="BV913" s="762">
        <v>2959.2486971023845</v>
      </c>
      <c r="BW913" s="762">
        <v>2959.2486971023845</v>
      </c>
      <c r="BX913" s="762">
        <v>2959.2486971023845</v>
      </c>
      <c r="BY913" s="762">
        <v>2959.2486971023845</v>
      </c>
      <c r="BZ913" s="762">
        <v>2959.2486971023845</v>
      </c>
      <c r="CA913" s="762">
        <v>2959.2486971023845</v>
      </c>
      <c r="CB913" s="762">
        <v>2959.2486971023845</v>
      </c>
      <c r="CC913" s="762">
        <v>2959.2486971023845</v>
      </c>
      <c r="CD913" s="762">
        <v>2959.2486971023845</v>
      </c>
      <c r="CE913" s="762">
        <v>2959.2486971023845</v>
      </c>
      <c r="CF913" s="762">
        <v>2959.2486971023845</v>
      </c>
      <c r="CG913" s="762">
        <v>0</v>
      </c>
      <c r="CH913" s="762">
        <v>0</v>
      </c>
      <c r="CI913" s="762">
        <v>0</v>
      </c>
      <c r="CJ913" s="762">
        <v>0</v>
      </c>
      <c r="CK913" s="762">
        <v>0</v>
      </c>
      <c r="CL913" s="762">
        <v>0</v>
      </c>
      <c r="CM913" s="762">
        <v>0</v>
      </c>
      <c r="CN913" s="762">
        <v>0</v>
      </c>
      <c r="CO913" s="762">
        <v>0</v>
      </c>
      <c r="CP913" s="762">
        <v>0</v>
      </c>
      <c r="CQ913" s="762">
        <v>0</v>
      </c>
      <c r="CR913" s="762">
        <v>0</v>
      </c>
    </row>
    <row r="914" spans="1:96" s="53" customFormat="1">
      <c r="A914" s="721" t="s">
        <v>3</v>
      </c>
      <c r="B914" s="723">
        <v>41866</v>
      </c>
      <c r="C914" s="721">
        <v>2014</v>
      </c>
      <c r="D914" s="713" t="s">
        <v>1</v>
      </c>
      <c r="E914" s="713" t="s">
        <v>674</v>
      </c>
      <c r="F914" s="723" t="s">
        <v>673</v>
      </c>
      <c r="G914" s="713" t="s">
        <v>58</v>
      </c>
      <c r="H914" s="723" t="s">
        <v>697</v>
      </c>
      <c r="I914" s="713" t="s">
        <v>5</v>
      </c>
      <c r="J914" s="713" t="s">
        <v>376</v>
      </c>
      <c r="K914" s="766">
        <v>1</v>
      </c>
      <c r="L914" s="766" t="s">
        <v>671</v>
      </c>
      <c r="M914" s="765" t="s">
        <v>728</v>
      </c>
      <c r="N914" s="765">
        <v>0</v>
      </c>
      <c r="O914" s="765">
        <v>0</v>
      </c>
      <c r="P914" s="735">
        <v>0</v>
      </c>
      <c r="Q914" s="713" t="s">
        <v>58</v>
      </c>
      <c r="R914" s="713" t="s">
        <v>58</v>
      </c>
      <c r="S914" s="713" t="s">
        <v>58</v>
      </c>
      <c r="T914" s="713" t="s">
        <v>58</v>
      </c>
      <c r="U914" s="764">
        <v>0</v>
      </c>
      <c r="V914" s="764">
        <v>0</v>
      </c>
      <c r="W914" s="764">
        <v>0</v>
      </c>
      <c r="X914" s="764">
        <v>0</v>
      </c>
      <c r="Y914" s="764">
        <v>0</v>
      </c>
      <c r="Z914" s="764">
        <v>0</v>
      </c>
      <c r="AA914" s="764">
        <v>0</v>
      </c>
      <c r="AB914" s="764">
        <v>0</v>
      </c>
      <c r="AC914" s="714">
        <v>0.82617698682369967</v>
      </c>
      <c r="AD914" s="714">
        <v>0.7843105192554185</v>
      </c>
      <c r="AE914" s="713" t="s">
        <v>58</v>
      </c>
      <c r="AF914" s="713" t="s">
        <v>58</v>
      </c>
      <c r="AG914" s="713" t="s">
        <v>58</v>
      </c>
      <c r="AH914" s="714">
        <v>0.94387031345969796</v>
      </c>
      <c r="AI914" s="713" t="s">
        <v>58</v>
      </c>
      <c r="AJ914" s="713" t="s">
        <v>58</v>
      </c>
      <c r="AK914" s="713" t="s">
        <v>58</v>
      </c>
      <c r="AL914" s="714">
        <v>0.94454345387965444</v>
      </c>
      <c r="AM914" s="713" t="s">
        <v>58</v>
      </c>
      <c r="AN914" s="713" t="s">
        <v>58</v>
      </c>
      <c r="AO914" s="713" t="s">
        <v>58</v>
      </c>
      <c r="AP914" s="747">
        <v>26</v>
      </c>
      <c r="AQ914" s="747">
        <v>26</v>
      </c>
      <c r="AR914" s="709"/>
      <c r="AS914" s="763">
        <v>0</v>
      </c>
      <c r="AT914" s="763">
        <v>0</v>
      </c>
      <c r="AU914" s="763">
        <v>0</v>
      </c>
      <c r="AV914" s="763">
        <v>0</v>
      </c>
      <c r="AW914" s="763">
        <v>0</v>
      </c>
      <c r="AX914" s="763">
        <v>0</v>
      </c>
      <c r="AY914" s="763">
        <v>0</v>
      </c>
      <c r="AZ914" s="763">
        <v>0</v>
      </c>
      <c r="BA914" s="763">
        <v>0</v>
      </c>
      <c r="BB914" s="763">
        <v>0</v>
      </c>
      <c r="BC914" s="763">
        <v>0</v>
      </c>
      <c r="BD914" s="763">
        <v>0</v>
      </c>
      <c r="BE914" s="763">
        <v>0</v>
      </c>
      <c r="BF914" s="763">
        <v>0</v>
      </c>
      <c r="BG914" s="763">
        <v>0</v>
      </c>
      <c r="BH914" s="763">
        <v>0</v>
      </c>
      <c r="BI914" s="763">
        <v>0</v>
      </c>
      <c r="BJ914" s="763">
        <v>0</v>
      </c>
      <c r="BK914" s="763">
        <v>0</v>
      </c>
      <c r="BL914" s="763">
        <v>0</v>
      </c>
      <c r="BM914" s="763">
        <v>0</v>
      </c>
      <c r="BN914" s="763">
        <v>0</v>
      </c>
      <c r="BO914" s="763">
        <v>0</v>
      </c>
      <c r="BP914" s="763">
        <v>0</v>
      </c>
      <c r="BQ914" s="763">
        <v>0</v>
      </c>
      <c r="BR914" s="763">
        <v>0</v>
      </c>
      <c r="BS914" s="762">
        <v>0</v>
      </c>
      <c r="BT914" s="762">
        <v>0</v>
      </c>
      <c r="BU914" s="762">
        <v>0</v>
      </c>
      <c r="BV914" s="762">
        <v>0</v>
      </c>
      <c r="BW914" s="762">
        <v>0</v>
      </c>
      <c r="BX914" s="762">
        <v>0</v>
      </c>
      <c r="BY914" s="762">
        <v>0</v>
      </c>
      <c r="BZ914" s="762">
        <v>0</v>
      </c>
      <c r="CA914" s="762">
        <v>0</v>
      </c>
      <c r="CB914" s="762">
        <v>0</v>
      </c>
      <c r="CC914" s="762">
        <v>0</v>
      </c>
      <c r="CD914" s="762">
        <v>0</v>
      </c>
      <c r="CE914" s="762">
        <v>0</v>
      </c>
      <c r="CF914" s="762">
        <v>0</v>
      </c>
      <c r="CG914" s="762">
        <v>0</v>
      </c>
      <c r="CH914" s="762">
        <v>0</v>
      </c>
      <c r="CI914" s="762">
        <v>0</v>
      </c>
      <c r="CJ914" s="762">
        <v>0</v>
      </c>
      <c r="CK914" s="762">
        <v>0</v>
      </c>
      <c r="CL914" s="762">
        <v>0</v>
      </c>
      <c r="CM914" s="762">
        <v>0</v>
      </c>
      <c r="CN914" s="762">
        <v>0</v>
      </c>
      <c r="CO914" s="762">
        <v>0</v>
      </c>
      <c r="CP914" s="762">
        <v>0</v>
      </c>
      <c r="CQ914" s="762">
        <v>0</v>
      </c>
      <c r="CR914" s="762">
        <v>0</v>
      </c>
    </row>
    <row r="915" spans="1:96" s="53" customFormat="1">
      <c r="A915" s="721" t="s">
        <v>3</v>
      </c>
      <c r="B915" s="723">
        <v>41866</v>
      </c>
      <c r="C915" s="721">
        <v>2014</v>
      </c>
      <c r="D915" s="713" t="s">
        <v>1</v>
      </c>
      <c r="E915" s="713" t="s">
        <v>674</v>
      </c>
      <c r="F915" s="723" t="s">
        <v>673</v>
      </c>
      <c r="G915" s="713" t="s">
        <v>58</v>
      </c>
      <c r="H915" s="723" t="s">
        <v>676</v>
      </c>
      <c r="I915" s="713" t="s">
        <v>5</v>
      </c>
      <c r="J915" s="713" t="s">
        <v>376</v>
      </c>
      <c r="K915" s="766">
        <v>2</v>
      </c>
      <c r="L915" s="766" t="s">
        <v>671</v>
      </c>
      <c r="M915" s="765" t="s">
        <v>728</v>
      </c>
      <c r="N915" s="765">
        <v>12</v>
      </c>
      <c r="O915" s="765">
        <v>3</v>
      </c>
      <c r="P915" s="735">
        <v>0.31578947368421051</v>
      </c>
      <c r="Q915" s="713" t="s">
        <v>58</v>
      </c>
      <c r="R915" s="713" t="s">
        <v>58</v>
      </c>
      <c r="S915" s="713" t="s">
        <v>58</v>
      </c>
      <c r="T915" s="713" t="s">
        <v>58</v>
      </c>
      <c r="U915" s="764">
        <v>7.5999999999999998E-2</v>
      </c>
      <c r="V915" s="764">
        <v>197.14400000000001</v>
      </c>
      <c r="W915" s="764">
        <v>5.9607599463411813E-2</v>
      </c>
      <c r="X915" s="764">
        <v>162.87583589037143</v>
      </c>
      <c r="Y915" s="764">
        <v>951.53777809638041</v>
      </c>
      <c r="Z915" s="764">
        <v>898.12826088057511</v>
      </c>
      <c r="AA915" s="764">
        <v>153.73366627685522</v>
      </c>
      <c r="AB915" s="764">
        <v>5.6301967874646031E-2</v>
      </c>
      <c r="AC915" s="714">
        <v>0.82617698682369967</v>
      </c>
      <c r="AD915" s="714">
        <v>0.7843105192554185</v>
      </c>
      <c r="AE915" s="713" t="s">
        <v>58</v>
      </c>
      <c r="AF915" s="713" t="s">
        <v>58</v>
      </c>
      <c r="AG915" s="713" t="s">
        <v>58</v>
      </c>
      <c r="AH915" s="714">
        <v>0.94387031345969796</v>
      </c>
      <c r="AI915" s="713" t="s">
        <v>58</v>
      </c>
      <c r="AJ915" s="713" t="s">
        <v>58</v>
      </c>
      <c r="AK915" s="713" t="s">
        <v>58</v>
      </c>
      <c r="AL915" s="714">
        <v>0.94454345387965444</v>
      </c>
      <c r="AM915" s="713" t="s">
        <v>58</v>
      </c>
      <c r="AN915" s="713" t="s">
        <v>58</v>
      </c>
      <c r="AO915" s="713" t="s">
        <v>58</v>
      </c>
      <c r="AP915" s="747">
        <v>57</v>
      </c>
      <c r="AQ915" s="747">
        <v>114</v>
      </c>
      <c r="AR915" s="709"/>
      <c r="AS915" s="763">
        <v>0</v>
      </c>
      <c r="AT915" s="763">
        <v>0</v>
      </c>
      <c r="AU915" s="763">
        <v>0</v>
      </c>
      <c r="AV915" s="763">
        <v>5.6301967874646031E-2</v>
      </c>
      <c r="AW915" s="763">
        <v>5.6301967874646031E-2</v>
      </c>
      <c r="AX915" s="763">
        <v>5.6301967874646031E-2</v>
      </c>
      <c r="AY915" s="763">
        <v>1.77795688025198E-2</v>
      </c>
      <c r="AZ915" s="763">
        <v>1.77795688025198E-2</v>
      </c>
      <c r="BA915" s="763">
        <v>1.77795688025198E-2</v>
      </c>
      <c r="BB915" s="763">
        <v>1.77795688025198E-2</v>
      </c>
      <c r="BC915" s="763">
        <v>1.77795688025198E-2</v>
      </c>
      <c r="BD915" s="763">
        <v>1.77795688025198E-2</v>
      </c>
      <c r="BE915" s="763">
        <v>1.77795688025198E-2</v>
      </c>
      <c r="BF915" s="763">
        <v>1.77795688025198E-2</v>
      </c>
      <c r="BG915" s="763">
        <v>1.77795688025198E-2</v>
      </c>
      <c r="BH915" s="763">
        <v>0</v>
      </c>
      <c r="BI915" s="763">
        <v>0</v>
      </c>
      <c r="BJ915" s="763">
        <v>0</v>
      </c>
      <c r="BK915" s="763">
        <v>0</v>
      </c>
      <c r="BL915" s="763">
        <v>0</v>
      </c>
      <c r="BM915" s="763">
        <v>0</v>
      </c>
      <c r="BN915" s="763">
        <v>0</v>
      </c>
      <c r="BO915" s="763">
        <v>0</v>
      </c>
      <c r="BP915" s="763">
        <v>0</v>
      </c>
      <c r="BQ915" s="763">
        <v>0</v>
      </c>
      <c r="BR915" s="763">
        <v>0</v>
      </c>
      <c r="BS915" s="762">
        <v>0</v>
      </c>
      <c r="BT915" s="762">
        <v>0</v>
      </c>
      <c r="BU915" s="762">
        <v>0</v>
      </c>
      <c r="BV915" s="762">
        <v>153.73366627685522</v>
      </c>
      <c r="BW915" s="762">
        <v>153.73366627685522</v>
      </c>
      <c r="BX915" s="762">
        <v>153.73366627685522</v>
      </c>
      <c r="BY915" s="762">
        <v>48.54747356111217</v>
      </c>
      <c r="BZ915" s="762">
        <v>48.54747356111217</v>
      </c>
      <c r="CA915" s="762">
        <v>48.54747356111217</v>
      </c>
      <c r="CB915" s="762">
        <v>48.54747356111217</v>
      </c>
      <c r="CC915" s="762">
        <v>48.54747356111217</v>
      </c>
      <c r="CD915" s="762">
        <v>48.54747356111217</v>
      </c>
      <c r="CE915" s="762">
        <v>48.54747356111217</v>
      </c>
      <c r="CF915" s="762">
        <v>48.54747356111217</v>
      </c>
      <c r="CG915" s="762">
        <v>48.54747356111217</v>
      </c>
      <c r="CH915" s="762">
        <v>0</v>
      </c>
      <c r="CI915" s="762">
        <v>0</v>
      </c>
      <c r="CJ915" s="762">
        <v>0</v>
      </c>
      <c r="CK915" s="762">
        <v>0</v>
      </c>
      <c r="CL915" s="762">
        <v>0</v>
      </c>
      <c r="CM915" s="762">
        <v>0</v>
      </c>
      <c r="CN915" s="762">
        <v>0</v>
      </c>
      <c r="CO915" s="762">
        <v>0</v>
      </c>
      <c r="CP915" s="762">
        <v>0</v>
      </c>
      <c r="CQ915" s="762">
        <v>0</v>
      </c>
      <c r="CR915" s="762">
        <v>0</v>
      </c>
    </row>
    <row r="916" spans="1:96" s="53" customFormat="1">
      <c r="A916" s="721" t="s">
        <v>3</v>
      </c>
      <c r="B916" s="723">
        <v>41866</v>
      </c>
      <c r="C916" s="721">
        <v>2014</v>
      </c>
      <c r="D916" s="713" t="s">
        <v>1</v>
      </c>
      <c r="E916" s="713" t="s">
        <v>674</v>
      </c>
      <c r="F916" s="723" t="s">
        <v>673</v>
      </c>
      <c r="G916" s="713" t="s">
        <v>58</v>
      </c>
      <c r="H916" s="723" t="s">
        <v>676</v>
      </c>
      <c r="I916" s="713" t="s">
        <v>5</v>
      </c>
      <c r="J916" s="713" t="s">
        <v>376</v>
      </c>
      <c r="K916" s="766">
        <v>1</v>
      </c>
      <c r="L916" s="766" t="s">
        <v>671</v>
      </c>
      <c r="M916" s="765" t="s">
        <v>728</v>
      </c>
      <c r="N916" s="765">
        <v>12</v>
      </c>
      <c r="O916" s="765">
        <v>3</v>
      </c>
      <c r="P916" s="735">
        <v>0.31578947368421051</v>
      </c>
      <c r="Q916" s="713" t="s">
        <v>58</v>
      </c>
      <c r="R916" s="713" t="s">
        <v>58</v>
      </c>
      <c r="S916" s="713" t="s">
        <v>58</v>
      </c>
      <c r="T916" s="713" t="s">
        <v>58</v>
      </c>
      <c r="U916" s="764">
        <v>3.7999999999999999E-2</v>
      </c>
      <c r="V916" s="764">
        <v>98.572000000000003</v>
      </c>
      <c r="W916" s="764">
        <v>2.9803799731705907E-2</v>
      </c>
      <c r="X916" s="764">
        <v>81.437917945185717</v>
      </c>
      <c r="Y916" s="764">
        <v>475.7688890481902</v>
      </c>
      <c r="Z916" s="764">
        <v>449.06413044028756</v>
      </c>
      <c r="AA916" s="764">
        <v>76.866833138427609</v>
      </c>
      <c r="AB916" s="764">
        <v>2.8150983937323015E-2</v>
      </c>
      <c r="AC916" s="714">
        <v>0.82617698682369967</v>
      </c>
      <c r="AD916" s="714">
        <v>0.7843105192554185</v>
      </c>
      <c r="AE916" s="713" t="s">
        <v>58</v>
      </c>
      <c r="AF916" s="713" t="s">
        <v>58</v>
      </c>
      <c r="AG916" s="713" t="s">
        <v>58</v>
      </c>
      <c r="AH916" s="714">
        <v>0.94387031345969796</v>
      </c>
      <c r="AI916" s="713" t="s">
        <v>58</v>
      </c>
      <c r="AJ916" s="713" t="s">
        <v>58</v>
      </c>
      <c r="AK916" s="713" t="s">
        <v>58</v>
      </c>
      <c r="AL916" s="714">
        <v>0.94454345387965444</v>
      </c>
      <c r="AM916" s="713" t="s">
        <v>58</v>
      </c>
      <c r="AN916" s="713" t="s">
        <v>58</v>
      </c>
      <c r="AO916" s="713" t="s">
        <v>58</v>
      </c>
      <c r="AP916" s="747">
        <v>57</v>
      </c>
      <c r="AQ916" s="747">
        <v>57</v>
      </c>
      <c r="AR916" s="709"/>
      <c r="AS916" s="763">
        <v>0</v>
      </c>
      <c r="AT916" s="763">
        <v>0</v>
      </c>
      <c r="AU916" s="763">
        <v>0</v>
      </c>
      <c r="AV916" s="763">
        <v>2.8150983937323015E-2</v>
      </c>
      <c r="AW916" s="763">
        <v>2.8150983937323015E-2</v>
      </c>
      <c r="AX916" s="763">
        <v>2.8150983937323015E-2</v>
      </c>
      <c r="AY916" s="763">
        <v>8.8897844012598998E-3</v>
      </c>
      <c r="AZ916" s="763">
        <v>8.8897844012598998E-3</v>
      </c>
      <c r="BA916" s="763">
        <v>8.8897844012598998E-3</v>
      </c>
      <c r="BB916" s="763">
        <v>8.8897844012598998E-3</v>
      </c>
      <c r="BC916" s="763">
        <v>8.8897844012598998E-3</v>
      </c>
      <c r="BD916" s="763">
        <v>8.8897844012598998E-3</v>
      </c>
      <c r="BE916" s="763">
        <v>8.8897844012598998E-3</v>
      </c>
      <c r="BF916" s="763">
        <v>8.8897844012598998E-3</v>
      </c>
      <c r="BG916" s="763">
        <v>8.8897844012598998E-3</v>
      </c>
      <c r="BH916" s="763">
        <v>0</v>
      </c>
      <c r="BI916" s="763">
        <v>0</v>
      </c>
      <c r="BJ916" s="763">
        <v>0</v>
      </c>
      <c r="BK916" s="763">
        <v>0</v>
      </c>
      <c r="BL916" s="763">
        <v>0</v>
      </c>
      <c r="BM916" s="763">
        <v>0</v>
      </c>
      <c r="BN916" s="763">
        <v>0</v>
      </c>
      <c r="BO916" s="763">
        <v>0</v>
      </c>
      <c r="BP916" s="763">
        <v>0</v>
      </c>
      <c r="BQ916" s="763">
        <v>0</v>
      </c>
      <c r="BR916" s="763">
        <v>0</v>
      </c>
      <c r="BS916" s="762">
        <v>0</v>
      </c>
      <c r="BT916" s="762">
        <v>0</v>
      </c>
      <c r="BU916" s="762">
        <v>0</v>
      </c>
      <c r="BV916" s="762">
        <v>76.866833138427609</v>
      </c>
      <c r="BW916" s="762">
        <v>76.866833138427609</v>
      </c>
      <c r="BX916" s="762">
        <v>76.866833138427609</v>
      </c>
      <c r="BY916" s="762">
        <v>24.273736780556085</v>
      </c>
      <c r="BZ916" s="762">
        <v>24.273736780556085</v>
      </c>
      <c r="CA916" s="762">
        <v>24.273736780556085</v>
      </c>
      <c r="CB916" s="762">
        <v>24.273736780556085</v>
      </c>
      <c r="CC916" s="762">
        <v>24.273736780556085</v>
      </c>
      <c r="CD916" s="762">
        <v>24.273736780556085</v>
      </c>
      <c r="CE916" s="762">
        <v>24.273736780556085</v>
      </c>
      <c r="CF916" s="762">
        <v>24.273736780556085</v>
      </c>
      <c r="CG916" s="762">
        <v>24.273736780556085</v>
      </c>
      <c r="CH916" s="762">
        <v>0</v>
      </c>
      <c r="CI916" s="762">
        <v>0</v>
      </c>
      <c r="CJ916" s="762">
        <v>0</v>
      </c>
      <c r="CK916" s="762">
        <v>0</v>
      </c>
      <c r="CL916" s="762">
        <v>0</v>
      </c>
      <c r="CM916" s="762">
        <v>0</v>
      </c>
      <c r="CN916" s="762">
        <v>0</v>
      </c>
      <c r="CO916" s="762">
        <v>0</v>
      </c>
      <c r="CP916" s="762">
        <v>0</v>
      </c>
      <c r="CQ916" s="762">
        <v>0</v>
      </c>
      <c r="CR916" s="762">
        <v>0</v>
      </c>
    </row>
    <row r="917" spans="1:96" s="53" customFormat="1">
      <c r="A917" s="721" t="s">
        <v>3</v>
      </c>
      <c r="B917" s="723">
        <v>41866</v>
      </c>
      <c r="C917" s="721">
        <v>2014</v>
      </c>
      <c r="D917" s="713" t="s">
        <v>1</v>
      </c>
      <c r="E917" s="713" t="s">
        <v>674</v>
      </c>
      <c r="F917" s="723" t="s">
        <v>673</v>
      </c>
      <c r="G917" s="713" t="s">
        <v>58</v>
      </c>
      <c r="H917" s="723" t="s">
        <v>684</v>
      </c>
      <c r="I917" s="713" t="s">
        <v>5</v>
      </c>
      <c r="J917" s="713" t="s">
        <v>376</v>
      </c>
      <c r="K917" s="766">
        <v>2</v>
      </c>
      <c r="L917" s="766" t="s">
        <v>671</v>
      </c>
      <c r="M917" s="765" t="s">
        <v>728</v>
      </c>
      <c r="N917" s="765">
        <v>11</v>
      </c>
      <c r="O917" s="765">
        <v>2</v>
      </c>
      <c r="P917" s="735">
        <v>0.43976996379393668</v>
      </c>
      <c r="Q917" s="713" t="s">
        <v>58</v>
      </c>
      <c r="R917" s="713" t="s">
        <v>58</v>
      </c>
      <c r="S917" s="713" t="s">
        <v>58</v>
      </c>
      <c r="T917" s="713" t="s">
        <v>58</v>
      </c>
      <c r="U917" s="764">
        <v>0.13600000000000001</v>
      </c>
      <c r="V917" s="764">
        <v>419.15199999999999</v>
      </c>
      <c r="W917" s="764">
        <v>0.10666623061873694</v>
      </c>
      <c r="X917" s="764">
        <v>346.2937363811273</v>
      </c>
      <c r="Y917" s="764">
        <v>2063.1937279558133</v>
      </c>
      <c r="Z917" s="764">
        <v>1947.3873107337363</v>
      </c>
      <c r="AA917" s="764">
        <v>326.85637750718462</v>
      </c>
      <c r="AB917" s="764">
        <v>0.10075088988094553</v>
      </c>
      <c r="AC917" s="714">
        <v>0.82617698682369967</v>
      </c>
      <c r="AD917" s="714">
        <v>0.7843105192554185</v>
      </c>
      <c r="AE917" s="713" t="s">
        <v>58</v>
      </c>
      <c r="AF917" s="713" t="s">
        <v>58</v>
      </c>
      <c r="AG917" s="713" t="s">
        <v>58</v>
      </c>
      <c r="AH917" s="714">
        <v>0.94387031345969796</v>
      </c>
      <c r="AI917" s="713" t="s">
        <v>58</v>
      </c>
      <c r="AJ917" s="713" t="s">
        <v>58</v>
      </c>
      <c r="AK917" s="713" t="s">
        <v>58</v>
      </c>
      <c r="AL917" s="714">
        <v>0.94454345387965444</v>
      </c>
      <c r="AM917" s="713" t="s">
        <v>58</v>
      </c>
      <c r="AN917" s="713" t="s">
        <v>58</v>
      </c>
      <c r="AO917" s="713" t="s">
        <v>58</v>
      </c>
      <c r="AP917" s="747">
        <v>48</v>
      </c>
      <c r="AQ917" s="747">
        <v>96</v>
      </c>
      <c r="AR917" s="709"/>
      <c r="AS917" s="763">
        <v>0</v>
      </c>
      <c r="AT917" s="763">
        <v>0</v>
      </c>
      <c r="AU917" s="763">
        <v>0</v>
      </c>
      <c r="AV917" s="763">
        <v>0.10075088988094553</v>
      </c>
      <c r="AW917" s="763">
        <v>0.10075088988094553</v>
      </c>
      <c r="AX917" s="763">
        <v>4.4307215195150317E-2</v>
      </c>
      <c r="AY917" s="763">
        <v>4.4307215195150317E-2</v>
      </c>
      <c r="AZ917" s="763">
        <v>4.4307215195150317E-2</v>
      </c>
      <c r="BA917" s="763">
        <v>4.4307215195150317E-2</v>
      </c>
      <c r="BB917" s="763">
        <v>4.4307215195150317E-2</v>
      </c>
      <c r="BC917" s="763">
        <v>4.4307215195150317E-2</v>
      </c>
      <c r="BD917" s="763">
        <v>4.4307215195150317E-2</v>
      </c>
      <c r="BE917" s="763">
        <v>4.4307215195150317E-2</v>
      </c>
      <c r="BF917" s="763">
        <v>4.4307215195150317E-2</v>
      </c>
      <c r="BG917" s="763">
        <v>0</v>
      </c>
      <c r="BH917" s="763">
        <v>0</v>
      </c>
      <c r="BI917" s="763">
        <v>0</v>
      </c>
      <c r="BJ917" s="763">
        <v>0</v>
      </c>
      <c r="BK917" s="763">
        <v>0</v>
      </c>
      <c r="BL917" s="763">
        <v>0</v>
      </c>
      <c r="BM917" s="763">
        <v>0</v>
      </c>
      <c r="BN917" s="763">
        <v>0</v>
      </c>
      <c r="BO917" s="763">
        <v>0</v>
      </c>
      <c r="BP917" s="763">
        <v>0</v>
      </c>
      <c r="BQ917" s="763">
        <v>0</v>
      </c>
      <c r="BR917" s="763">
        <v>0</v>
      </c>
      <c r="BS917" s="762">
        <v>0</v>
      </c>
      <c r="BT917" s="762">
        <v>0</v>
      </c>
      <c r="BU917" s="762">
        <v>0</v>
      </c>
      <c r="BV917" s="762">
        <v>326.85637750718462</v>
      </c>
      <c r="BW917" s="762">
        <v>326.85637750718462</v>
      </c>
      <c r="BX917" s="762">
        <v>143.74161730215187</v>
      </c>
      <c r="BY917" s="762">
        <v>143.74161730215187</v>
      </c>
      <c r="BZ917" s="762">
        <v>143.74161730215187</v>
      </c>
      <c r="CA917" s="762">
        <v>143.74161730215187</v>
      </c>
      <c r="CB917" s="762">
        <v>143.74161730215187</v>
      </c>
      <c r="CC917" s="762">
        <v>143.74161730215187</v>
      </c>
      <c r="CD917" s="762">
        <v>143.74161730215187</v>
      </c>
      <c r="CE917" s="762">
        <v>143.74161730215187</v>
      </c>
      <c r="CF917" s="762">
        <v>143.74161730215187</v>
      </c>
      <c r="CG917" s="762">
        <v>0</v>
      </c>
      <c r="CH917" s="762">
        <v>0</v>
      </c>
      <c r="CI917" s="762">
        <v>0</v>
      </c>
      <c r="CJ917" s="762">
        <v>0</v>
      </c>
      <c r="CK917" s="762">
        <v>0</v>
      </c>
      <c r="CL917" s="762">
        <v>0</v>
      </c>
      <c r="CM917" s="762">
        <v>0</v>
      </c>
      <c r="CN917" s="762">
        <v>0</v>
      </c>
      <c r="CO917" s="762">
        <v>0</v>
      </c>
      <c r="CP917" s="762">
        <v>0</v>
      </c>
      <c r="CQ917" s="762">
        <v>0</v>
      </c>
      <c r="CR917" s="762">
        <v>0</v>
      </c>
    </row>
    <row r="918" spans="1:96" s="53" customFormat="1">
      <c r="A918" s="721" t="s">
        <v>3</v>
      </c>
      <c r="B918" s="723">
        <v>41866</v>
      </c>
      <c r="C918" s="721">
        <v>2014</v>
      </c>
      <c r="D918" s="713" t="s">
        <v>1</v>
      </c>
      <c r="E918" s="713" t="s">
        <v>674</v>
      </c>
      <c r="F918" s="723" t="s">
        <v>673</v>
      </c>
      <c r="G918" s="713" t="s">
        <v>58</v>
      </c>
      <c r="H918" s="723" t="s">
        <v>684</v>
      </c>
      <c r="I918" s="713" t="s">
        <v>5</v>
      </c>
      <c r="J918" s="713" t="s">
        <v>376</v>
      </c>
      <c r="K918" s="766">
        <v>1</v>
      </c>
      <c r="L918" s="766" t="s">
        <v>671</v>
      </c>
      <c r="M918" s="765" t="s">
        <v>728</v>
      </c>
      <c r="N918" s="765">
        <v>11</v>
      </c>
      <c r="O918" s="765">
        <v>2</v>
      </c>
      <c r="P918" s="735">
        <v>0.43976996379393668</v>
      </c>
      <c r="Q918" s="713" t="s">
        <v>58</v>
      </c>
      <c r="R918" s="713" t="s">
        <v>58</v>
      </c>
      <c r="S918" s="713" t="s">
        <v>58</v>
      </c>
      <c r="T918" s="713" t="s">
        <v>58</v>
      </c>
      <c r="U918" s="764">
        <v>6.8000000000000005E-2</v>
      </c>
      <c r="V918" s="764">
        <v>209.57599999999999</v>
      </c>
      <c r="W918" s="764">
        <v>5.3333115309368469E-2</v>
      </c>
      <c r="X918" s="764">
        <v>173.14686819056365</v>
      </c>
      <c r="Y918" s="764">
        <v>1031.5968639779067</v>
      </c>
      <c r="Z918" s="764">
        <v>973.69365536686814</v>
      </c>
      <c r="AA918" s="764">
        <v>163.42818875359231</v>
      </c>
      <c r="AB918" s="764">
        <v>5.0375444940472767E-2</v>
      </c>
      <c r="AC918" s="714">
        <v>0.82617698682369967</v>
      </c>
      <c r="AD918" s="714">
        <v>0.7843105192554185</v>
      </c>
      <c r="AE918" s="713" t="s">
        <v>58</v>
      </c>
      <c r="AF918" s="713" t="s">
        <v>58</v>
      </c>
      <c r="AG918" s="713" t="s">
        <v>58</v>
      </c>
      <c r="AH918" s="714">
        <v>0.94387031345969796</v>
      </c>
      <c r="AI918" s="713" t="s">
        <v>58</v>
      </c>
      <c r="AJ918" s="713" t="s">
        <v>58</v>
      </c>
      <c r="AK918" s="713" t="s">
        <v>58</v>
      </c>
      <c r="AL918" s="714">
        <v>0.94454345387965444</v>
      </c>
      <c r="AM918" s="713" t="s">
        <v>58</v>
      </c>
      <c r="AN918" s="713" t="s">
        <v>58</v>
      </c>
      <c r="AO918" s="713" t="s">
        <v>58</v>
      </c>
      <c r="AP918" s="747">
        <v>48</v>
      </c>
      <c r="AQ918" s="747">
        <v>48</v>
      </c>
      <c r="AR918" s="709"/>
      <c r="AS918" s="763">
        <v>0</v>
      </c>
      <c r="AT918" s="763">
        <v>0</v>
      </c>
      <c r="AU918" s="763">
        <v>0</v>
      </c>
      <c r="AV918" s="763">
        <v>5.0375444940472767E-2</v>
      </c>
      <c r="AW918" s="763">
        <v>5.0375444940472767E-2</v>
      </c>
      <c r="AX918" s="763">
        <v>2.2153607597575158E-2</v>
      </c>
      <c r="AY918" s="763">
        <v>2.2153607597575158E-2</v>
      </c>
      <c r="AZ918" s="763">
        <v>2.2153607597575158E-2</v>
      </c>
      <c r="BA918" s="763">
        <v>2.2153607597575158E-2</v>
      </c>
      <c r="BB918" s="763">
        <v>2.2153607597575158E-2</v>
      </c>
      <c r="BC918" s="763">
        <v>2.2153607597575158E-2</v>
      </c>
      <c r="BD918" s="763">
        <v>2.2153607597575158E-2</v>
      </c>
      <c r="BE918" s="763">
        <v>2.2153607597575158E-2</v>
      </c>
      <c r="BF918" s="763">
        <v>2.2153607597575158E-2</v>
      </c>
      <c r="BG918" s="763">
        <v>0</v>
      </c>
      <c r="BH918" s="763">
        <v>0</v>
      </c>
      <c r="BI918" s="763">
        <v>0</v>
      </c>
      <c r="BJ918" s="763">
        <v>0</v>
      </c>
      <c r="BK918" s="763">
        <v>0</v>
      </c>
      <c r="BL918" s="763">
        <v>0</v>
      </c>
      <c r="BM918" s="763">
        <v>0</v>
      </c>
      <c r="BN918" s="763">
        <v>0</v>
      </c>
      <c r="BO918" s="763">
        <v>0</v>
      </c>
      <c r="BP918" s="763">
        <v>0</v>
      </c>
      <c r="BQ918" s="763">
        <v>0</v>
      </c>
      <c r="BR918" s="763">
        <v>0</v>
      </c>
      <c r="BS918" s="762">
        <v>0</v>
      </c>
      <c r="BT918" s="762">
        <v>0</v>
      </c>
      <c r="BU918" s="762">
        <v>0</v>
      </c>
      <c r="BV918" s="762">
        <v>163.42818875359231</v>
      </c>
      <c r="BW918" s="762">
        <v>163.42818875359231</v>
      </c>
      <c r="BX918" s="762">
        <v>71.870808651075933</v>
      </c>
      <c r="BY918" s="762">
        <v>71.870808651075933</v>
      </c>
      <c r="BZ918" s="762">
        <v>71.870808651075933</v>
      </c>
      <c r="CA918" s="762">
        <v>71.870808651075933</v>
      </c>
      <c r="CB918" s="762">
        <v>71.870808651075933</v>
      </c>
      <c r="CC918" s="762">
        <v>71.870808651075933</v>
      </c>
      <c r="CD918" s="762">
        <v>71.870808651075933</v>
      </c>
      <c r="CE918" s="762">
        <v>71.870808651075933</v>
      </c>
      <c r="CF918" s="762">
        <v>71.870808651075933</v>
      </c>
      <c r="CG918" s="762">
        <v>0</v>
      </c>
      <c r="CH918" s="762">
        <v>0</v>
      </c>
      <c r="CI918" s="762">
        <v>0</v>
      </c>
      <c r="CJ918" s="762">
        <v>0</v>
      </c>
      <c r="CK918" s="762">
        <v>0</v>
      </c>
      <c r="CL918" s="762">
        <v>0</v>
      </c>
      <c r="CM918" s="762">
        <v>0</v>
      </c>
      <c r="CN918" s="762">
        <v>0</v>
      </c>
      <c r="CO918" s="762">
        <v>0</v>
      </c>
      <c r="CP918" s="762">
        <v>0</v>
      </c>
      <c r="CQ918" s="762">
        <v>0</v>
      </c>
      <c r="CR918" s="762">
        <v>0</v>
      </c>
    </row>
    <row r="919" spans="1:96" s="53" customFormat="1">
      <c r="A919" s="721" t="s">
        <v>3</v>
      </c>
      <c r="B919" s="723">
        <v>41866</v>
      </c>
      <c r="C919" s="721">
        <v>2014</v>
      </c>
      <c r="D919" s="713" t="s">
        <v>1</v>
      </c>
      <c r="E919" s="713" t="s">
        <v>674</v>
      </c>
      <c r="F919" s="723" t="s">
        <v>673</v>
      </c>
      <c r="G919" s="713" t="s">
        <v>58</v>
      </c>
      <c r="H919" s="723" t="s">
        <v>695</v>
      </c>
      <c r="I919" s="713" t="s">
        <v>5</v>
      </c>
      <c r="J919" s="713" t="s">
        <v>376</v>
      </c>
      <c r="K919" s="766">
        <v>2</v>
      </c>
      <c r="L919" s="766" t="s">
        <v>671</v>
      </c>
      <c r="M919" s="765" t="s">
        <v>728</v>
      </c>
      <c r="N919" s="765">
        <v>11</v>
      </c>
      <c r="O919" s="765" t="s">
        <v>7</v>
      </c>
      <c r="P919" s="735">
        <v>1</v>
      </c>
      <c r="Q919" s="713" t="s">
        <v>58</v>
      </c>
      <c r="R919" s="713" t="s">
        <v>58</v>
      </c>
      <c r="S919" s="713" t="s">
        <v>58</v>
      </c>
      <c r="T919" s="713" t="s">
        <v>58</v>
      </c>
      <c r="U919" s="764">
        <v>0.105</v>
      </c>
      <c r="V919" s="764">
        <v>323.61</v>
      </c>
      <c r="W919" s="764">
        <v>8.2352604521818959E-2</v>
      </c>
      <c r="X919" s="764">
        <v>267.35913470601747</v>
      </c>
      <c r="Y919" s="764">
        <v>2940.9504817661923</v>
      </c>
      <c r="Z919" s="764">
        <v>2775.8758530941059</v>
      </c>
      <c r="AA919" s="764">
        <v>252.35235028128233</v>
      </c>
      <c r="AB919" s="764">
        <v>7.7785613511024129E-2</v>
      </c>
      <c r="AC919" s="714">
        <v>0.82617698682369967</v>
      </c>
      <c r="AD919" s="714">
        <v>0.7843105192554185</v>
      </c>
      <c r="AE919" s="713" t="s">
        <v>58</v>
      </c>
      <c r="AF919" s="713" t="s">
        <v>58</v>
      </c>
      <c r="AG919" s="713" t="s">
        <v>58</v>
      </c>
      <c r="AH919" s="714">
        <v>0.94387031345969796</v>
      </c>
      <c r="AI919" s="713" t="s">
        <v>58</v>
      </c>
      <c r="AJ919" s="713" t="s">
        <v>58</v>
      </c>
      <c r="AK919" s="713" t="s">
        <v>58</v>
      </c>
      <c r="AL919" s="714">
        <v>0.94454345387965444</v>
      </c>
      <c r="AM919" s="713" t="s">
        <v>58</v>
      </c>
      <c r="AN919" s="713" t="s">
        <v>58</v>
      </c>
      <c r="AO919" s="713" t="s">
        <v>58</v>
      </c>
      <c r="AP919" s="747">
        <v>47</v>
      </c>
      <c r="AQ919" s="747">
        <v>94</v>
      </c>
      <c r="AR919" s="709"/>
      <c r="AS919" s="763">
        <v>0</v>
      </c>
      <c r="AT919" s="763">
        <v>0</v>
      </c>
      <c r="AU919" s="763">
        <v>0</v>
      </c>
      <c r="AV919" s="763">
        <v>7.7785613511024129E-2</v>
      </c>
      <c r="AW919" s="763">
        <v>7.7785613511024129E-2</v>
      </c>
      <c r="AX919" s="763">
        <v>7.7785613511024129E-2</v>
      </c>
      <c r="AY919" s="763">
        <v>7.7785613511024129E-2</v>
      </c>
      <c r="AZ919" s="763">
        <v>7.7785613511024129E-2</v>
      </c>
      <c r="BA919" s="763">
        <v>7.7785613511024129E-2</v>
      </c>
      <c r="BB919" s="763">
        <v>7.7785613511024129E-2</v>
      </c>
      <c r="BC919" s="763">
        <v>7.7785613511024129E-2</v>
      </c>
      <c r="BD919" s="763">
        <v>7.7785613511024129E-2</v>
      </c>
      <c r="BE919" s="763">
        <v>7.7785613511024129E-2</v>
      </c>
      <c r="BF919" s="763">
        <v>7.7785613511024129E-2</v>
      </c>
      <c r="BG919" s="763">
        <v>0</v>
      </c>
      <c r="BH919" s="763">
        <v>0</v>
      </c>
      <c r="BI919" s="763">
        <v>0</v>
      </c>
      <c r="BJ919" s="763">
        <v>0</v>
      </c>
      <c r="BK919" s="763">
        <v>0</v>
      </c>
      <c r="BL919" s="763">
        <v>0</v>
      </c>
      <c r="BM919" s="763">
        <v>0</v>
      </c>
      <c r="BN919" s="763">
        <v>0</v>
      </c>
      <c r="BO919" s="763">
        <v>0</v>
      </c>
      <c r="BP919" s="763">
        <v>0</v>
      </c>
      <c r="BQ919" s="763">
        <v>0</v>
      </c>
      <c r="BR919" s="763">
        <v>0</v>
      </c>
      <c r="BS919" s="762">
        <v>0</v>
      </c>
      <c r="BT919" s="762">
        <v>0</v>
      </c>
      <c r="BU919" s="762">
        <v>0</v>
      </c>
      <c r="BV919" s="762">
        <v>252.35235028128233</v>
      </c>
      <c r="BW919" s="762">
        <v>252.35235028128233</v>
      </c>
      <c r="BX919" s="762">
        <v>252.35235028128233</v>
      </c>
      <c r="BY919" s="762">
        <v>252.35235028128233</v>
      </c>
      <c r="BZ919" s="762">
        <v>252.35235028128233</v>
      </c>
      <c r="CA919" s="762">
        <v>252.35235028128233</v>
      </c>
      <c r="CB919" s="762">
        <v>252.35235028128233</v>
      </c>
      <c r="CC919" s="762">
        <v>252.35235028128233</v>
      </c>
      <c r="CD919" s="762">
        <v>252.35235028128233</v>
      </c>
      <c r="CE919" s="762">
        <v>252.35235028128233</v>
      </c>
      <c r="CF919" s="762">
        <v>252.35235028128233</v>
      </c>
      <c r="CG919" s="762">
        <v>0</v>
      </c>
      <c r="CH919" s="762">
        <v>0</v>
      </c>
      <c r="CI919" s="762">
        <v>0</v>
      </c>
      <c r="CJ919" s="762">
        <v>0</v>
      </c>
      <c r="CK919" s="762">
        <v>0</v>
      </c>
      <c r="CL919" s="762">
        <v>0</v>
      </c>
      <c r="CM919" s="762">
        <v>0</v>
      </c>
      <c r="CN919" s="762">
        <v>0</v>
      </c>
      <c r="CO919" s="762">
        <v>0</v>
      </c>
      <c r="CP919" s="762">
        <v>0</v>
      </c>
      <c r="CQ919" s="762">
        <v>0</v>
      </c>
      <c r="CR919" s="762">
        <v>0</v>
      </c>
    </row>
    <row r="920" spans="1:96" s="53" customFormat="1">
      <c r="A920" s="721" t="s">
        <v>3</v>
      </c>
      <c r="B920" s="723">
        <v>41859</v>
      </c>
      <c r="C920" s="721">
        <v>2014</v>
      </c>
      <c r="D920" s="713" t="s">
        <v>1</v>
      </c>
      <c r="E920" s="713" t="s">
        <v>674</v>
      </c>
      <c r="F920" s="723" t="s">
        <v>689</v>
      </c>
      <c r="G920" s="713" t="s">
        <v>58</v>
      </c>
      <c r="H920" s="723" t="s">
        <v>704</v>
      </c>
      <c r="I920" s="713" t="s">
        <v>5</v>
      </c>
      <c r="J920" s="713" t="s">
        <v>376</v>
      </c>
      <c r="K920" s="766">
        <v>3</v>
      </c>
      <c r="L920" s="766" t="s">
        <v>671</v>
      </c>
      <c r="M920" s="765" t="s">
        <v>730</v>
      </c>
      <c r="N920" s="765">
        <v>12</v>
      </c>
      <c r="O920" s="765">
        <v>3</v>
      </c>
      <c r="P920" s="735">
        <v>4.5454545454545456E-2</v>
      </c>
      <c r="Q920" s="713" t="s">
        <v>58</v>
      </c>
      <c r="R920" s="713" t="s">
        <v>58</v>
      </c>
      <c r="S920" s="713" t="s">
        <v>58</v>
      </c>
      <c r="T920" s="713" t="s">
        <v>58</v>
      </c>
      <c r="U920" s="764">
        <v>6.6000000000000003E-2</v>
      </c>
      <c r="V920" s="764">
        <v>214.69800000000001</v>
      </c>
      <c r="W920" s="764">
        <v>5.1764494270857629E-2</v>
      </c>
      <c r="X920" s="764">
        <v>177.37854671707467</v>
      </c>
      <c r="Y920" s="764">
        <v>604.69959108093644</v>
      </c>
      <c r="Z920" s="764">
        <v>570.7579925825147</v>
      </c>
      <c r="AA920" s="764">
        <v>167.42234449087096</v>
      </c>
      <c r="AB920" s="764">
        <v>4.8893814206929447E-2</v>
      </c>
      <c r="AC920" s="714">
        <v>0.82617698682369967</v>
      </c>
      <c r="AD920" s="714">
        <v>0.7843105192554185</v>
      </c>
      <c r="AE920" s="713" t="s">
        <v>58</v>
      </c>
      <c r="AF920" s="713" t="s">
        <v>58</v>
      </c>
      <c r="AG920" s="713" t="s">
        <v>58</v>
      </c>
      <c r="AH920" s="714">
        <v>0.94387031345969796</v>
      </c>
      <c r="AI920" s="713" t="s">
        <v>58</v>
      </c>
      <c r="AJ920" s="713" t="s">
        <v>58</v>
      </c>
      <c r="AK920" s="713" t="s">
        <v>58</v>
      </c>
      <c r="AL920" s="714">
        <v>0.94454345387965444</v>
      </c>
      <c r="AM920" s="713" t="s">
        <v>58</v>
      </c>
      <c r="AN920" s="713" t="s">
        <v>58</v>
      </c>
      <c r="AO920" s="713" t="s">
        <v>58</v>
      </c>
      <c r="AP920" s="747">
        <v>75</v>
      </c>
      <c r="AQ920" s="747">
        <v>225</v>
      </c>
      <c r="AR920" s="709"/>
      <c r="AS920" s="763">
        <v>0</v>
      </c>
      <c r="AT920" s="763">
        <v>0</v>
      </c>
      <c r="AU920" s="763">
        <v>0</v>
      </c>
      <c r="AV920" s="763">
        <v>4.8893814206929447E-2</v>
      </c>
      <c r="AW920" s="763">
        <v>4.8893814206929447E-2</v>
      </c>
      <c r="AX920" s="763">
        <v>4.8893814206929447E-2</v>
      </c>
      <c r="AY920" s="763">
        <v>2.222446100314975E-3</v>
      </c>
      <c r="AZ920" s="763">
        <v>2.222446100314975E-3</v>
      </c>
      <c r="BA920" s="763">
        <v>2.222446100314975E-3</v>
      </c>
      <c r="BB920" s="763">
        <v>2.222446100314975E-3</v>
      </c>
      <c r="BC920" s="763">
        <v>2.222446100314975E-3</v>
      </c>
      <c r="BD920" s="763">
        <v>2.222446100314975E-3</v>
      </c>
      <c r="BE920" s="763">
        <v>2.222446100314975E-3</v>
      </c>
      <c r="BF920" s="763">
        <v>2.222446100314975E-3</v>
      </c>
      <c r="BG920" s="763">
        <v>2.222446100314975E-3</v>
      </c>
      <c r="BH920" s="763">
        <v>0</v>
      </c>
      <c r="BI920" s="763">
        <v>0</v>
      </c>
      <c r="BJ920" s="763">
        <v>0</v>
      </c>
      <c r="BK920" s="763">
        <v>0</v>
      </c>
      <c r="BL920" s="763">
        <v>0</v>
      </c>
      <c r="BM920" s="763">
        <v>0</v>
      </c>
      <c r="BN920" s="763">
        <v>0</v>
      </c>
      <c r="BO920" s="763">
        <v>0</v>
      </c>
      <c r="BP920" s="763">
        <v>0</v>
      </c>
      <c r="BQ920" s="763">
        <v>0</v>
      </c>
      <c r="BR920" s="763">
        <v>0</v>
      </c>
      <c r="BS920" s="762">
        <v>0</v>
      </c>
      <c r="BT920" s="762">
        <v>0</v>
      </c>
      <c r="BU920" s="762">
        <v>0</v>
      </c>
      <c r="BV920" s="762">
        <v>167.42234449087096</v>
      </c>
      <c r="BW920" s="762">
        <v>167.42234449087096</v>
      </c>
      <c r="BX920" s="762">
        <v>167.42234449087096</v>
      </c>
      <c r="BY920" s="762">
        <v>7.610106567766862</v>
      </c>
      <c r="BZ920" s="762">
        <v>7.610106567766862</v>
      </c>
      <c r="CA920" s="762">
        <v>7.610106567766862</v>
      </c>
      <c r="CB920" s="762">
        <v>7.610106567766862</v>
      </c>
      <c r="CC920" s="762">
        <v>7.610106567766862</v>
      </c>
      <c r="CD920" s="762">
        <v>7.610106567766862</v>
      </c>
      <c r="CE920" s="762">
        <v>7.610106567766862</v>
      </c>
      <c r="CF920" s="762">
        <v>7.610106567766862</v>
      </c>
      <c r="CG920" s="762">
        <v>7.610106567766862</v>
      </c>
      <c r="CH920" s="762">
        <v>0</v>
      </c>
      <c r="CI920" s="762">
        <v>0</v>
      </c>
      <c r="CJ920" s="762">
        <v>0</v>
      </c>
      <c r="CK920" s="762">
        <v>0</v>
      </c>
      <c r="CL920" s="762">
        <v>0</v>
      </c>
      <c r="CM920" s="762">
        <v>0</v>
      </c>
      <c r="CN920" s="762">
        <v>0</v>
      </c>
      <c r="CO920" s="762">
        <v>0</v>
      </c>
      <c r="CP920" s="762">
        <v>0</v>
      </c>
      <c r="CQ920" s="762">
        <v>0</v>
      </c>
      <c r="CR920" s="762">
        <v>0</v>
      </c>
    </row>
    <row r="921" spans="1:96" s="53" customFormat="1">
      <c r="A921" s="721" t="s">
        <v>3</v>
      </c>
      <c r="B921" s="723">
        <v>41859</v>
      </c>
      <c r="C921" s="721">
        <v>2014</v>
      </c>
      <c r="D921" s="713" t="s">
        <v>1</v>
      </c>
      <c r="E921" s="713" t="s">
        <v>674</v>
      </c>
      <c r="F921" s="723" t="s">
        <v>689</v>
      </c>
      <c r="G921" s="713" t="s">
        <v>58</v>
      </c>
      <c r="H921" s="723" t="s">
        <v>704</v>
      </c>
      <c r="I921" s="713" t="s">
        <v>5</v>
      </c>
      <c r="J921" s="713" t="s">
        <v>376</v>
      </c>
      <c r="K921" s="766">
        <v>4</v>
      </c>
      <c r="L921" s="766" t="s">
        <v>671</v>
      </c>
      <c r="M921" s="765" t="s">
        <v>730</v>
      </c>
      <c r="N921" s="765">
        <v>12</v>
      </c>
      <c r="O921" s="765">
        <v>3</v>
      </c>
      <c r="P921" s="735">
        <v>4.5454545454545456E-2</v>
      </c>
      <c r="Q921" s="713" t="s">
        <v>58</v>
      </c>
      <c r="R921" s="713" t="s">
        <v>58</v>
      </c>
      <c r="S921" s="713" t="s">
        <v>58</v>
      </c>
      <c r="T921" s="713" t="s">
        <v>58</v>
      </c>
      <c r="U921" s="764">
        <v>8.7999999999999995E-2</v>
      </c>
      <c r="V921" s="764">
        <v>286.26400000000001</v>
      </c>
      <c r="W921" s="764">
        <v>6.901932569447683E-2</v>
      </c>
      <c r="X921" s="764">
        <v>236.50472895609954</v>
      </c>
      <c r="Y921" s="764">
        <v>806.2661214412484</v>
      </c>
      <c r="Z921" s="764">
        <v>761.01065677668601</v>
      </c>
      <c r="AA921" s="764">
        <v>223.22979265449459</v>
      </c>
      <c r="AB921" s="764">
        <v>6.5191752275905929E-2</v>
      </c>
      <c r="AC921" s="714">
        <v>0.82617698682369967</v>
      </c>
      <c r="AD921" s="714">
        <v>0.7843105192554185</v>
      </c>
      <c r="AE921" s="713" t="s">
        <v>58</v>
      </c>
      <c r="AF921" s="713" t="s">
        <v>58</v>
      </c>
      <c r="AG921" s="713" t="s">
        <v>58</v>
      </c>
      <c r="AH921" s="714">
        <v>0.94387031345969796</v>
      </c>
      <c r="AI921" s="713" t="s">
        <v>58</v>
      </c>
      <c r="AJ921" s="713" t="s">
        <v>58</v>
      </c>
      <c r="AK921" s="713" t="s">
        <v>58</v>
      </c>
      <c r="AL921" s="714">
        <v>0.94454345387965444</v>
      </c>
      <c r="AM921" s="713" t="s">
        <v>58</v>
      </c>
      <c r="AN921" s="713" t="s">
        <v>58</v>
      </c>
      <c r="AO921" s="713" t="s">
        <v>58</v>
      </c>
      <c r="AP921" s="747">
        <v>75</v>
      </c>
      <c r="AQ921" s="747">
        <v>300</v>
      </c>
      <c r="AR921" s="709"/>
      <c r="AS921" s="763">
        <v>0</v>
      </c>
      <c r="AT921" s="763">
        <v>0</v>
      </c>
      <c r="AU921" s="763">
        <v>0</v>
      </c>
      <c r="AV921" s="763">
        <v>6.5191752275905929E-2</v>
      </c>
      <c r="AW921" s="763">
        <v>6.5191752275905929E-2</v>
      </c>
      <c r="AX921" s="763">
        <v>6.5191752275905929E-2</v>
      </c>
      <c r="AY921" s="763">
        <v>2.9632614670866333E-3</v>
      </c>
      <c r="AZ921" s="763">
        <v>2.9632614670866333E-3</v>
      </c>
      <c r="BA921" s="763">
        <v>2.9632614670866333E-3</v>
      </c>
      <c r="BB921" s="763">
        <v>2.9632614670866333E-3</v>
      </c>
      <c r="BC921" s="763">
        <v>2.9632614670866333E-3</v>
      </c>
      <c r="BD921" s="763">
        <v>2.9632614670866333E-3</v>
      </c>
      <c r="BE921" s="763">
        <v>2.9632614670866333E-3</v>
      </c>
      <c r="BF921" s="763">
        <v>2.9632614670866333E-3</v>
      </c>
      <c r="BG921" s="763">
        <v>2.9632614670866333E-3</v>
      </c>
      <c r="BH921" s="763">
        <v>0</v>
      </c>
      <c r="BI921" s="763">
        <v>0</v>
      </c>
      <c r="BJ921" s="763">
        <v>0</v>
      </c>
      <c r="BK921" s="763">
        <v>0</v>
      </c>
      <c r="BL921" s="763">
        <v>0</v>
      </c>
      <c r="BM921" s="763">
        <v>0</v>
      </c>
      <c r="BN921" s="763">
        <v>0</v>
      </c>
      <c r="BO921" s="763">
        <v>0</v>
      </c>
      <c r="BP921" s="763">
        <v>0</v>
      </c>
      <c r="BQ921" s="763">
        <v>0</v>
      </c>
      <c r="BR921" s="763">
        <v>0</v>
      </c>
      <c r="BS921" s="762">
        <v>0</v>
      </c>
      <c r="BT921" s="762">
        <v>0</v>
      </c>
      <c r="BU921" s="762">
        <v>0</v>
      </c>
      <c r="BV921" s="762">
        <v>223.22979265449459</v>
      </c>
      <c r="BW921" s="762">
        <v>223.22979265449459</v>
      </c>
      <c r="BX921" s="762">
        <v>223.22979265449459</v>
      </c>
      <c r="BY921" s="762">
        <v>10.146808757022482</v>
      </c>
      <c r="BZ921" s="762">
        <v>10.146808757022482</v>
      </c>
      <c r="CA921" s="762">
        <v>10.146808757022482</v>
      </c>
      <c r="CB921" s="762">
        <v>10.146808757022482</v>
      </c>
      <c r="CC921" s="762">
        <v>10.146808757022482</v>
      </c>
      <c r="CD921" s="762">
        <v>10.146808757022482</v>
      </c>
      <c r="CE921" s="762">
        <v>10.146808757022482</v>
      </c>
      <c r="CF921" s="762">
        <v>10.146808757022482</v>
      </c>
      <c r="CG921" s="762">
        <v>10.146808757022482</v>
      </c>
      <c r="CH921" s="762">
        <v>0</v>
      </c>
      <c r="CI921" s="762">
        <v>0</v>
      </c>
      <c r="CJ921" s="762">
        <v>0</v>
      </c>
      <c r="CK921" s="762">
        <v>0</v>
      </c>
      <c r="CL921" s="762">
        <v>0</v>
      </c>
      <c r="CM921" s="762">
        <v>0</v>
      </c>
      <c r="CN921" s="762">
        <v>0</v>
      </c>
      <c r="CO921" s="762">
        <v>0</v>
      </c>
      <c r="CP921" s="762">
        <v>0</v>
      </c>
      <c r="CQ921" s="762">
        <v>0</v>
      </c>
      <c r="CR921" s="762">
        <v>0</v>
      </c>
    </row>
    <row r="922" spans="1:96" s="53" customFormat="1">
      <c r="A922" s="721" t="s">
        <v>3</v>
      </c>
      <c r="B922" s="723">
        <v>41859</v>
      </c>
      <c r="C922" s="721">
        <v>2014</v>
      </c>
      <c r="D922" s="713" t="s">
        <v>1</v>
      </c>
      <c r="E922" s="713" t="s">
        <v>674</v>
      </c>
      <c r="F922" s="723" t="s">
        <v>689</v>
      </c>
      <c r="G922" s="713" t="s">
        <v>58</v>
      </c>
      <c r="H922" s="723" t="s">
        <v>710</v>
      </c>
      <c r="I922" s="713" t="s">
        <v>5</v>
      </c>
      <c r="J922" s="713" t="s">
        <v>376</v>
      </c>
      <c r="K922" s="766">
        <v>9</v>
      </c>
      <c r="L922" s="766" t="s">
        <v>671</v>
      </c>
      <c r="M922" s="765" t="s">
        <v>730</v>
      </c>
      <c r="N922" s="765">
        <v>10</v>
      </c>
      <c r="O922" s="765" t="s">
        <v>7</v>
      </c>
      <c r="P922" s="735">
        <v>1</v>
      </c>
      <c r="Q922" s="713" t="s">
        <v>58</v>
      </c>
      <c r="R922" s="713" t="s">
        <v>58</v>
      </c>
      <c r="S922" s="713" t="s">
        <v>58</v>
      </c>
      <c r="T922" s="713" t="s">
        <v>58</v>
      </c>
      <c r="U922" s="764">
        <v>0.24299999999999999</v>
      </c>
      <c r="V922" s="764">
        <v>2128.6799999999998</v>
      </c>
      <c r="W922" s="764">
        <v>0.19058745617906672</v>
      </c>
      <c r="X922" s="764">
        <v>1758.6664283118728</v>
      </c>
      <c r="Y922" s="764">
        <v>17586.664283118727</v>
      </c>
      <c r="Z922" s="764">
        <v>16599.530329617748</v>
      </c>
      <c r="AA922" s="764">
        <v>1659.9530329617749</v>
      </c>
      <c r="AB922" s="764">
        <v>0.18001813412551296</v>
      </c>
      <c r="AC922" s="714">
        <v>0.82617698682369967</v>
      </c>
      <c r="AD922" s="714">
        <v>0.7843105192554185</v>
      </c>
      <c r="AE922" s="713" t="s">
        <v>58</v>
      </c>
      <c r="AF922" s="713" t="s">
        <v>58</v>
      </c>
      <c r="AG922" s="713" t="s">
        <v>58</v>
      </c>
      <c r="AH922" s="714">
        <v>0.94387031345969796</v>
      </c>
      <c r="AI922" s="713" t="s">
        <v>58</v>
      </c>
      <c r="AJ922" s="713" t="s">
        <v>58</v>
      </c>
      <c r="AK922" s="713" t="s">
        <v>58</v>
      </c>
      <c r="AL922" s="714">
        <v>0.94454345387965444</v>
      </c>
      <c r="AM922" s="713" t="s">
        <v>58</v>
      </c>
      <c r="AN922" s="713" t="s">
        <v>58</v>
      </c>
      <c r="AO922" s="713" t="s">
        <v>58</v>
      </c>
      <c r="AP922" s="747">
        <v>29</v>
      </c>
      <c r="AQ922" s="747">
        <v>261</v>
      </c>
      <c r="AR922" s="709"/>
      <c r="AS922" s="763">
        <v>0</v>
      </c>
      <c r="AT922" s="763">
        <v>0</v>
      </c>
      <c r="AU922" s="763">
        <v>0</v>
      </c>
      <c r="AV922" s="763">
        <v>0.18001813412551296</v>
      </c>
      <c r="AW922" s="763">
        <v>0.18001813412551296</v>
      </c>
      <c r="AX922" s="763">
        <v>0.18001813412551296</v>
      </c>
      <c r="AY922" s="763">
        <v>0.18001813412551296</v>
      </c>
      <c r="AZ922" s="763">
        <v>0.18001813412551296</v>
      </c>
      <c r="BA922" s="763">
        <v>0.18001813412551296</v>
      </c>
      <c r="BB922" s="763">
        <v>0.18001813412551296</v>
      </c>
      <c r="BC922" s="763">
        <v>0.18001813412551296</v>
      </c>
      <c r="BD922" s="763">
        <v>0.18001813412551296</v>
      </c>
      <c r="BE922" s="763">
        <v>0.18001813412551296</v>
      </c>
      <c r="BF922" s="763">
        <v>0</v>
      </c>
      <c r="BG922" s="763">
        <v>0</v>
      </c>
      <c r="BH922" s="763">
        <v>0</v>
      </c>
      <c r="BI922" s="763">
        <v>0</v>
      </c>
      <c r="BJ922" s="763">
        <v>0</v>
      </c>
      <c r="BK922" s="763">
        <v>0</v>
      </c>
      <c r="BL922" s="763">
        <v>0</v>
      </c>
      <c r="BM922" s="763">
        <v>0</v>
      </c>
      <c r="BN922" s="763">
        <v>0</v>
      </c>
      <c r="BO922" s="763">
        <v>0</v>
      </c>
      <c r="BP922" s="763">
        <v>0</v>
      </c>
      <c r="BQ922" s="763">
        <v>0</v>
      </c>
      <c r="BR922" s="763">
        <v>0</v>
      </c>
      <c r="BS922" s="762">
        <v>0</v>
      </c>
      <c r="BT922" s="762">
        <v>0</v>
      </c>
      <c r="BU922" s="762">
        <v>0</v>
      </c>
      <c r="BV922" s="762">
        <v>1659.9530329617749</v>
      </c>
      <c r="BW922" s="762">
        <v>1659.9530329617749</v>
      </c>
      <c r="BX922" s="762">
        <v>1659.9530329617749</v>
      </c>
      <c r="BY922" s="762">
        <v>1659.9530329617749</v>
      </c>
      <c r="BZ922" s="762">
        <v>1659.9530329617749</v>
      </c>
      <c r="CA922" s="762">
        <v>1659.9530329617749</v>
      </c>
      <c r="CB922" s="762">
        <v>1659.9530329617749</v>
      </c>
      <c r="CC922" s="762">
        <v>1659.9530329617749</v>
      </c>
      <c r="CD922" s="762">
        <v>1659.9530329617749</v>
      </c>
      <c r="CE922" s="762">
        <v>1659.9530329617749</v>
      </c>
      <c r="CF922" s="762">
        <v>0</v>
      </c>
      <c r="CG922" s="762">
        <v>0</v>
      </c>
      <c r="CH922" s="762">
        <v>0</v>
      </c>
      <c r="CI922" s="762">
        <v>0</v>
      </c>
      <c r="CJ922" s="762">
        <v>0</v>
      </c>
      <c r="CK922" s="762">
        <v>0</v>
      </c>
      <c r="CL922" s="762">
        <v>0</v>
      </c>
      <c r="CM922" s="762">
        <v>0</v>
      </c>
      <c r="CN922" s="762">
        <v>0</v>
      </c>
      <c r="CO922" s="762">
        <v>0</v>
      </c>
      <c r="CP922" s="762">
        <v>0</v>
      </c>
      <c r="CQ922" s="762">
        <v>0</v>
      </c>
      <c r="CR922" s="762">
        <v>0</v>
      </c>
    </row>
    <row r="923" spans="1:96" s="53" customFormat="1">
      <c r="A923" s="721" t="s">
        <v>3</v>
      </c>
      <c r="B923" s="723">
        <v>41859</v>
      </c>
      <c r="C923" s="721">
        <v>2014</v>
      </c>
      <c r="D923" s="713" t="s">
        <v>1</v>
      </c>
      <c r="E923" s="713" t="s">
        <v>674</v>
      </c>
      <c r="F923" s="723" t="s">
        <v>689</v>
      </c>
      <c r="G923" s="713" t="s">
        <v>58</v>
      </c>
      <c r="H923" s="723" t="s">
        <v>677</v>
      </c>
      <c r="I923" s="713" t="s">
        <v>5</v>
      </c>
      <c r="J923" s="713" t="s">
        <v>376</v>
      </c>
      <c r="K923" s="766">
        <v>1</v>
      </c>
      <c r="L923" s="766" t="s">
        <v>671</v>
      </c>
      <c r="M923" s="765" t="s">
        <v>730</v>
      </c>
      <c r="N923" s="765">
        <v>0</v>
      </c>
      <c r="O923" s="765">
        <v>0</v>
      </c>
      <c r="P923" s="735">
        <v>0</v>
      </c>
      <c r="Q923" s="713" t="s">
        <v>58</v>
      </c>
      <c r="R923" s="713" t="s">
        <v>58</v>
      </c>
      <c r="S923" s="713" t="s">
        <v>58</v>
      </c>
      <c r="T923" s="713" t="s">
        <v>58</v>
      </c>
      <c r="U923" s="764">
        <v>0</v>
      </c>
      <c r="V923" s="764">
        <v>0</v>
      </c>
      <c r="W923" s="764">
        <v>0</v>
      </c>
      <c r="X923" s="764">
        <v>0</v>
      </c>
      <c r="Y923" s="764">
        <v>0</v>
      </c>
      <c r="Z923" s="764">
        <v>0</v>
      </c>
      <c r="AA923" s="764">
        <v>0</v>
      </c>
      <c r="AB923" s="764">
        <v>0</v>
      </c>
      <c r="AC923" s="714">
        <v>0.82617698682369967</v>
      </c>
      <c r="AD923" s="714">
        <v>0.7843105192554185</v>
      </c>
      <c r="AE923" s="713" t="s">
        <v>58</v>
      </c>
      <c r="AF923" s="713" t="s">
        <v>58</v>
      </c>
      <c r="AG923" s="713" t="s">
        <v>58</v>
      </c>
      <c r="AH923" s="714">
        <v>0.94387031345969796</v>
      </c>
      <c r="AI923" s="713" t="s">
        <v>58</v>
      </c>
      <c r="AJ923" s="713" t="s">
        <v>58</v>
      </c>
      <c r="AK923" s="713" t="s">
        <v>58</v>
      </c>
      <c r="AL923" s="714">
        <v>0.94454345387965444</v>
      </c>
      <c r="AM923" s="713" t="s">
        <v>58</v>
      </c>
      <c r="AN923" s="713" t="s">
        <v>58</v>
      </c>
      <c r="AO923" s="713" t="s">
        <v>58</v>
      </c>
      <c r="AP923" s="747">
        <v>51</v>
      </c>
      <c r="AQ923" s="747">
        <v>51</v>
      </c>
      <c r="AR923" s="709"/>
      <c r="AS923" s="763">
        <v>0</v>
      </c>
      <c r="AT923" s="763">
        <v>0</v>
      </c>
      <c r="AU923" s="763">
        <v>0</v>
      </c>
      <c r="AV923" s="763">
        <v>0</v>
      </c>
      <c r="AW923" s="763">
        <v>0</v>
      </c>
      <c r="AX923" s="763">
        <v>0</v>
      </c>
      <c r="AY923" s="763">
        <v>0</v>
      </c>
      <c r="AZ923" s="763">
        <v>0</v>
      </c>
      <c r="BA923" s="763">
        <v>0</v>
      </c>
      <c r="BB923" s="763">
        <v>0</v>
      </c>
      <c r="BC923" s="763">
        <v>0</v>
      </c>
      <c r="BD923" s="763">
        <v>0</v>
      </c>
      <c r="BE923" s="763">
        <v>0</v>
      </c>
      <c r="BF923" s="763">
        <v>0</v>
      </c>
      <c r="BG923" s="763">
        <v>0</v>
      </c>
      <c r="BH923" s="763">
        <v>0</v>
      </c>
      <c r="BI923" s="763">
        <v>0</v>
      </c>
      <c r="BJ923" s="763">
        <v>0</v>
      </c>
      <c r="BK923" s="763">
        <v>0</v>
      </c>
      <c r="BL923" s="763">
        <v>0</v>
      </c>
      <c r="BM923" s="763">
        <v>0</v>
      </c>
      <c r="BN923" s="763">
        <v>0</v>
      </c>
      <c r="BO923" s="763">
        <v>0</v>
      </c>
      <c r="BP923" s="763">
        <v>0</v>
      </c>
      <c r="BQ923" s="763">
        <v>0</v>
      </c>
      <c r="BR923" s="763">
        <v>0</v>
      </c>
      <c r="BS923" s="762">
        <v>0</v>
      </c>
      <c r="BT923" s="762">
        <v>0</v>
      </c>
      <c r="BU923" s="762">
        <v>0</v>
      </c>
      <c r="BV923" s="762">
        <v>0</v>
      </c>
      <c r="BW923" s="762">
        <v>0</v>
      </c>
      <c r="BX923" s="762">
        <v>0</v>
      </c>
      <c r="BY923" s="762">
        <v>0</v>
      </c>
      <c r="BZ923" s="762">
        <v>0</v>
      </c>
      <c r="CA923" s="762">
        <v>0</v>
      </c>
      <c r="CB923" s="762">
        <v>0</v>
      </c>
      <c r="CC923" s="762">
        <v>0</v>
      </c>
      <c r="CD923" s="762">
        <v>0</v>
      </c>
      <c r="CE923" s="762">
        <v>0</v>
      </c>
      <c r="CF923" s="762">
        <v>0</v>
      </c>
      <c r="CG923" s="762">
        <v>0</v>
      </c>
      <c r="CH923" s="762">
        <v>0</v>
      </c>
      <c r="CI923" s="762">
        <v>0</v>
      </c>
      <c r="CJ923" s="762">
        <v>0</v>
      </c>
      <c r="CK923" s="762">
        <v>0</v>
      </c>
      <c r="CL923" s="762">
        <v>0</v>
      </c>
      <c r="CM923" s="762">
        <v>0</v>
      </c>
      <c r="CN923" s="762">
        <v>0</v>
      </c>
      <c r="CO923" s="762">
        <v>0</v>
      </c>
      <c r="CP923" s="762">
        <v>0</v>
      </c>
      <c r="CQ923" s="762">
        <v>0</v>
      </c>
      <c r="CR923" s="762">
        <v>0</v>
      </c>
    </row>
    <row r="924" spans="1:96" s="53" customFormat="1">
      <c r="A924" s="721" t="s">
        <v>3</v>
      </c>
      <c r="B924" s="723">
        <v>41859</v>
      </c>
      <c r="C924" s="721">
        <v>2014</v>
      </c>
      <c r="D924" s="713" t="s">
        <v>1</v>
      </c>
      <c r="E924" s="713" t="s">
        <v>674</v>
      </c>
      <c r="F924" s="723" t="s">
        <v>689</v>
      </c>
      <c r="G924" s="713" t="s">
        <v>58</v>
      </c>
      <c r="H924" s="723" t="s">
        <v>676</v>
      </c>
      <c r="I924" s="713" t="s">
        <v>5</v>
      </c>
      <c r="J924" s="713" t="s">
        <v>376</v>
      </c>
      <c r="K924" s="766">
        <v>4</v>
      </c>
      <c r="L924" s="766" t="s">
        <v>671</v>
      </c>
      <c r="M924" s="765" t="s">
        <v>730</v>
      </c>
      <c r="N924" s="765">
        <v>12</v>
      </c>
      <c r="O924" s="765">
        <v>3</v>
      </c>
      <c r="P924" s="735">
        <v>0.31578947368421051</v>
      </c>
      <c r="Q924" s="713" t="s">
        <v>58</v>
      </c>
      <c r="R924" s="713" t="s">
        <v>58</v>
      </c>
      <c r="S924" s="713" t="s">
        <v>58</v>
      </c>
      <c r="T924" s="713" t="s">
        <v>58</v>
      </c>
      <c r="U924" s="764">
        <v>0.152</v>
      </c>
      <c r="V924" s="764">
        <v>494.45600000000002</v>
      </c>
      <c r="W924" s="764">
        <v>0.11921519892682363</v>
      </c>
      <c r="X924" s="764">
        <v>408.50816819689925</v>
      </c>
      <c r="Y924" s="764">
        <v>2386.5477194660953</v>
      </c>
      <c r="Z924" s="764">
        <v>2252.5915440589906</v>
      </c>
      <c r="AA924" s="764">
        <v>385.57873276685433</v>
      </c>
      <c r="AB924" s="764">
        <v>0.11260393574929206</v>
      </c>
      <c r="AC924" s="714">
        <v>0.82617698682369967</v>
      </c>
      <c r="AD924" s="714">
        <v>0.7843105192554185</v>
      </c>
      <c r="AE924" s="713" t="s">
        <v>58</v>
      </c>
      <c r="AF924" s="713" t="s">
        <v>58</v>
      </c>
      <c r="AG924" s="713" t="s">
        <v>58</v>
      </c>
      <c r="AH924" s="714">
        <v>0.94387031345969796</v>
      </c>
      <c r="AI924" s="713" t="s">
        <v>58</v>
      </c>
      <c r="AJ924" s="713" t="s">
        <v>58</v>
      </c>
      <c r="AK924" s="713" t="s">
        <v>58</v>
      </c>
      <c r="AL924" s="714">
        <v>0.94454345387965444</v>
      </c>
      <c r="AM924" s="713" t="s">
        <v>58</v>
      </c>
      <c r="AN924" s="713" t="s">
        <v>58</v>
      </c>
      <c r="AO924" s="713" t="s">
        <v>58</v>
      </c>
      <c r="AP924" s="747">
        <v>57</v>
      </c>
      <c r="AQ924" s="747">
        <v>228</v>
      </c>
      <c r="AR924" s="709"/>
      <c r="AS924" s="763">
        <v>0</v>
      </c>
      <c r="AT924" s="763">
        <v>0</v>
      </c>
      <c r="AU924" s="763">
        <v>0</v>
      </c>
      <c r="AV924" s="763">
        <v>0.11260393574929206</v>
      </c>
      <c r="AW924" s="763">
        <v>0.11260393574929206</v>
      </c>
      <c r="AX924" s="763">
        <v>0.11260393574929206</v>
      </c>
      <c r="AY924" s="763">
        <v>3.5559137605039599E-2</v>
      </c>
      <c r="AZ924" s="763">
        <v>3.5559137605039599E-2</v>
      </c>
      <c r="BA924" s="763">
        <v>3.5559137605039599E-2</v>
      </c>
      <c r="BB924" s="763">
        <v>3.5559137605039599E-2</v>
      </c>
      <c r="BC924" s="763">
        <v>3.5559137605039599E-2</v>
      </c>
      <c r="BD924" s="763">
        <v>3.5559137605039599E-2</v>
      </c>
      <c r="BE924" s="763">
        <v>3.5559137605039599E-2</v>
      </c>
      <c r="BF924" s="763">
        <v>3.5559137605039599E-2</v>
      </c>
      <c r="BG924" s="763">
        <v>3.5559137605039599E-2</v>
      </c>
      <c r="BH924" s="763">
        <v>0</v>
      </c>
      <c r="BI924" s="763">
        <v>0</v>
      </c>
      <c r="BJ924" s="763">
        <v>0</v>
      </c>
      <c r="BK924" s="763">
        <v>0</v>
      </c>
      <c r="BL924" s="763">
        <v>0</v>
      </c>
      <c r="BM924" s="763">
        <v>0</v>
      </c>
      <c r="BN924" s="763">
        <v>0</v>
      </c>
      <c r="BO924" s="763">
        <v>0</v>
      </c>
      <c r="BP924" s="763">
        <v>0</v>
      </c>
      <c r="BQ924" s="763">
        <v>0</v>
      </c>
      <c r="BR924" s="763">
        <v>0</v>
      </c>
      <c r="BS924" s="762">
        <v>0</v>
      </c>
      <c r="BT924" s="762">
        <v>0</v>
      </c>
      <c r="BU924" s="762">
        <v>0</v>
      </c>
      <c r="BV924" s="762">
        <v>385.57873276685433</v>
      </c>
      <c r="BW924" s="762">
        <v>385.57873276685433</v>
      </c>
      <c r="BX924" s="762">
        <v>385.57873276685433</v>
      </c>
      <c r="BY924" s="762">
        <v>121.76170508426978</v>
      </c>
      <c r="BZ924" s="762">
        <v>121.76170508426978</v>
      </c>
      <c r="CA924" s="762">
        <v>121.76170508426978</v>
      </c>
      <c r="CB924" s="762">
        <v>121.76170508426978</v>
      </c>
      <c r="CC924" s="762">
        <v>121.76170508426978</v>
      </c>
      <c r="CD924" s="762">
        <v>121.76170508426978</v>
      </c>
      <c r="CE924" s="762">
        <v>121.76170508426978</v>
      </c>
      <c r="CF924" s="762">
        <v>121.76170508426978</v>
      </c>
      <c r="CG924" s="762">
        <v>121.76170508426978</v>
      </c>
      <c r="CH924" s="762">
        <v>0</v>
      </c>
      <c r="CI924" s="762">
        <v>0</v>
      </c>
      <c r="CJ924" s="762">
        <v>0</v>
      </c>
      <c r="CK924" s="762">
        <v>0</v>
      </c>
      <c r="CL924" s="762">
        <v>0</v>
      </c>
      <c r="CM924" s="762">
        <v>0</v>
      </c>
      <c r="CN924" s="762">
        <v>0</v>
      </c>
      <c r="CO924" s="762">
        <v>0</v>
      </c>
      <c r="CP924" s="762">
        <v>0</v>
      </c>
      <c r="CQ924" s="762">
        <v>0</v>
      </c>
      <c r="CR924" s="762">
        <v>0</v>
      </c>
    </row>
    <row r="925" spans="1:96" s="53" customFormat="1">
      <c r="A925" s="721" t="s">
        <v>3</v>
      </c>
      <c r="B925" s="723">
        <v>41859</v>
      </c>
      <c r="C925" s="721">
        <v>2014</v>
      </c>
      <c r="D925" s="713" t="s">
        <v>1</v>
      </c>
      <c r="E925" s="713" t="s">
        <v>674</v>
      </c>
      <c r="F925" s="723" t="s">
        <v>689</v>
      </c>
      <c r="G925" s="713" t="s">
        <v>58</v>
      </c>
      <c r="H925" s="723" t="s">
        <v>676</v>
      </c>
      <c r="I925" s="713" t="s">
        <v>5</v>
      </c>
      <c r="J925" s="713" t="s">
        <v>376</v>
      </c>
      <c r="K925" s="766">
        <v>2</v>
      </c>
      <c r="L925" s="766" t="s">
        <v>671</v>
      </c>
      <c r="M925" s="765" t="s">
        <v>730</v>
      </c>
      <c r="N925" s="765">
        <v>12</v>
      </c>
      <c r="O925" s="765">
        <v>3</v>
      </c>
      <c r="P925" s="735">
        <v>0.31578947368421051</v>
      </c>
      <c r="Q925" s="713" t="s">
        <v>58</v>
      </c>
      <c r="R925" s="713" t="s">
        <v>58</v>
      </c>
      <c r="S925" s="713" t="s">
        <v>58</v>
      </c>
      <c r="T925" s="713" t="s">
        <v>58</v>
      </c>
      <c r="U925" s="764">
        <v>7.5999999999999998E-2</v>
      </c>
      <c r="V925" s="764">
        <v>247.22800000000001</v>
      </c>
      <c r="W925" s="764">
        <v>5.9607599463411813E-2</v>
      </c>
      <c r="X925" s="764">
        <v>204.25408409844962</v>
      </c>
      <c r="Y925" s="764">
        <v>1193.2738597330476</v>
      </c>
      <c r="Z925" s="764">
        <v>1126.2957720294953</v>
      </c>
      <c r="AA925" s="764">
        <v>192.78936638342716</v>
      </c>
      <c r="AB925" s="764">
        <v>5.6301967874646031E-2</v>
      </c>
      <c r="AC925" s="714">
        <v>0.82617698682369967</v>
      </c>
      <c r="AD925" s="714">
        <v>0.7843105192554185</v>
      </c>
      <c r="AE925" s="713" t="s">
        <v>58</v>
      </c>
      <c r="AF925" s="713" t="s">
        <v>58</v>
      </c>
      <c r="AG925" s="713" t="s">
        <v>58</v>
      </c>
      <c r="AH925" s="714">
        <v>0.94387031345969796</v>
      </c>
      <c r="AI925" s="713" t="s">
        <v>58</v>
      </c>
      <c r="AJ925" s="713" t="s">
        <v>58</v>
      </c>
      <c r="AK925" s="713" t="s">
        <v>58</v>
      </c>
      <c r="AL925" s="714">
        <v>0.94454345387965444</v>
      </c>
      <c r="AM925" s="713" t="s">
        <v>58</v>
      </c>
      <c r="AN925" s="713" t="s">
        <v>58</v>
      </c>
      <c r="AO925" s="713" t="s">
        <v>58</v>
      </c>
      <c r="AP925" s="747">
        <v>57</v>
      </c>
      <c r="AQ925" s="747">
        <v>114</v>
      </c>
      <c r="AR925" s="709"/>
      <c r="AS925" s="763">
        <v>0</v>
      </c>
      <c r="AT925" s="763">
        <v>0</v>
      </c>
      <c r="AU925" s="763">
        <v>0</v>
      </c>
      <c r="AV925" s="763">
        <v>5.6301967874646031E-2</v>
      </c>
      <c r="AW925" s="763">
        <v>5.6301967874646031E-2</v>
      </c>
      <c r="AX925" s="763">
        <v>5.6301967874646031E-2</v>
      </c>
      <c r="AY925" s="763">
        <v>1.77795688025198E-2</v>
      </c>
      <c r="AZ925" s="763">
        <v>1.77795688025198E-2</v>
      </c>
      <c r="BA925" s="763">
        <v>1.77795688025198E-2</v>
      </c>
      <c r="BB925" s="763">
        <v>1.77795688025198E-2</v>
      </c>
      <c r="BC925" s="763">
        <v>1.77795688025198E-2</v>
      </c>
      <c r="BD925" s="763">
        <v>1.77795688025198E-2</v>
      </c>
      <c r="BE925" s="763">
        <v>1.77795688025198E-2</v>
      </c>
      <c r="BF925" s="763">
        <v>1.77795688025198E-2</v>
      </c>
      <c r="BG925" s="763">
        <v>1.77795688025198E-2</v>
      </c>
      <c r="BH925" s="763">
        <v>0</v>
      </c>
      <c r="BI925" s="763">
        <v>0</v>
      </c>
      <c r="BJ925" s="763">
        <v>0</v>
      </c>
      <c r="BK925" s="763">
        <v>0</v>
      </c>
      <c r="BL925" s="763">
        <v>0</v>
      </c>
      <c r="BM925" s="763">
        <v>0</v>
      </c>
      <c r="BN925" s="763">
        <v>0</v>
      </c>
      <c r="BO925" s="763">
        <v>0</v>
      </c>
      <c r="BP925" s="763">
        <v>0</v>
      </c>
      <c r="BQ925" s="763">
        <v>0</v>
      </c>
      <c r="BR925" s="763">
        <v>0</v>
      </c>
      <c r="BS925" s="762">
        <v>0</v>
      </c>
      <c r="BT925" s="762">
        <v>0</v>
      </c>
      <c r="BU925" s="762">
        <v>0</v>
      </c>
      <c r="BV925" s="762">
        <v>192.78936638342716</v>
      </c>
      <c r="BW925" s="762">
        <v>192.78936638342716</v>
      </c>
      <c r="BX925" s="762">
        <v>192.78936638342716</v>
      </c>
      <c r="BY925" s="762">
        <v>60.880852542134889</v>
      </c>
      <c r="BZ925" s="762">
        <v>60.880852542134889</v>
      </c>
      <c r="CA925" s="762">
        <v>60.880852542134889</v>
      </c>
      <c r="CB925" s="762">
        <v>60.880852542134889</v>
      </c>
      <c r="CC925" s="762">
        <v>60.880852542134889</v>
      </c>
      <c r="CD925" s="762">
        <v>60.880852542134889</v>
      </c>
      <c r="CE925" s="762">
        <v>60.880852542134889</v>
      </c>
      <c r="CF925" s="762">
        <v>60.880852542134889</v>
      </c>
      <c r="CG925" s="762">
        <v>60.880852542134889</v>
      </c>
      <c r="CH925" s="762">
        <v>0</v>
      </c>
      <c r="CI925" s="762">
        <v>0</v>
      </c>
      <c r="CJ925" s="762">
        <v>0</v>
      </c>
      <c r="CK925" s="762">
        <v>0</v>
      </c>
      <c r="CL925" s="762">
        <v>0</v>
      </c>
      <c r="CM925" s="762">
        <v>0</v>
      </c>
      <c r="CN925" s="762">
        <v>0</v>
      </c>
      <c r="CO925" s="762">
        <v>0</v>
      </c>
      <c r="CP925" s="762">
        <v>0</v>
      </c>
      <c r="CQ925" s="762">
        <v>0</v>
      </c>
      <c r="CR925" s="762">
        <v>0</v>
      </c>
    </row>
    <row r="926" spans="1:96" s="53" customFormat="1">
      <c r="A926" s="721" t="s">
        <v>3</v>
      </c>
      <c r="B926" s="723">
        <v>41859</v>
      </c>
      <c r="C926" s="721">
        <v>2014</v>
      </c>
      <c r="D926" s="713" t="s">
        <v>1</v>
      </c>
      <c r="E926" s="713" t="s">
        <v>674</v>
      </c>
      <c r="F926" s="723" t="s">
        <v>689</v>
      </c>
      <c r="G926" s="713" t="s">
        <v>58</v>
      </c>
      <c r="H926" s="723" t="s">
        <v>676</v>
      </c>
      <c r="I926" s="713" t="s">
        <v>5</v>
      </c>
      <c r="J926" s="713" t="s">
        <v>376</v>
      </c>
      <c r="K926" s="766">
        <v>2</v>
      </c>
      <c r="L926" s="766" t="s">
        <v>671</v>
      </c>
      <c r="M926" s="765" t="s">
        <v>730</v>
      </c>
      <c r="N926" s="765">
        <v>12</v>
      </c>
      <c r="O926" s="765">
        <v>3</v>
      </c>
      <c r="P926" s="735">
        <v>0.31578947368421051</v>
      </c>
      <c r="Q926" s="713" t="s">
        <v>58</v>
      </c>
      <c r="R926" s="713" t="s">
        <v>58</v>
      </c>
      <c r="S926" s="713" t="s">
        <v>58</v>
      </c>
      <c r="T926" s="713" t="s">
        <v>58</v>
      </c>
      <c r="U926" s="764">
        <v>7.5999999999999998E-2</v>
      </c>
      <c r="V926" s="764">
        <v>247.22800000000001</v>
      </c>
      <c r="W926" s="764">
        <v>5.9607599463411813E-2</v>
      </c>
      <c r="X926" s="764">
        <v>204.25408409844962</v>
      </c>
      <c r="Y926" s="764">
        <v>1193.2738597330476</v>
      </c>
      <c r="Z926" s="764">
        <v>1126.2957720294953</v>
      </c>
      <c r="AA926" s="764">
        <v>192.78936638342716</v>
      </c>
      <c r="AB926" s="764">
        <v>5.6301967874646031E-2</v>
      </c>
      <c r="AC926" s="714">
        <v>0.82617698682369967</v>
      </c>
      <c r="AD926" s="714">
        <v>0.7843105192554185</v>
      </c>
      <c r="AE926" s="713" t="s">
        <v>58</v>
      </c>
      <c r="AF926" s="713" t="s">
        <v>58</v>
      </c>
      <c r="AG926" s="713" t="s">
        <v>58</v>
      </c>
      <c r="AH926" s="714">
        <v>0.94387031345969796</v>
      </c>
      <c r="AI926" s="713" t="s">
        <v>58</v>
      </c>
      <c r="AJ926" s="713" t="s">
        <v>58</v>
      </c>
      <c r="AK926" s="713" t="s">
        <v>58</v>
      </c>
      <c r="AL926" s="714">
        <v>0.94454345387965444</v>
      </c>
      <c r="AM926" s="713" t="s">
        <v>58</v>
      </c>
      <c r="AN926" s="713" t="s">
        <v>58</v>
      </c>
      <c r="AO926" s="713" t="s">
        <v>58</v>
      </c>
      <c r="AP926" s="747">
        <v>57</v>
      </c>
      <c r="AQ926" s="747">
        <v>114</v>
      </c>
      <c r="AR926" s="709"/>
      <c r="AS926" s="763">
        <v>0</v>
      </c>
      <c r="AT926" s="763">
        <v>0</v>
      </c>
      <c r="AU926" s="763">
        <v>0</v>
      </c>
      <c r="AV926" s="763">
        <v>5.6301967874646031E-2</v>
      </c>
      <c r="AW926" s="763">
        <v>5.6301967874646031E-2</v>
      </c>
      <c r="AX926" s="763">
        <v>5.6301967874646031E-2</v>
      </c>
      <c r="AY926" s="763">
        <v>1.77795688025198E-2</v>
      </c>
      <c r="AZ926" s="763">
        <v>1.77795688025198E-2</v>
      </c>
      <c r="BA926" s="763">
        <v>1.77795688025198E-2</v>
      </c>
      <c r="BB926" s="763">
        <v>1.77795688025198E-2</v>
      </c>
      <c r="BC926" s="763">
        <v>1.77795688025198E-2</v>
      </c>
      <c r="BD926" s="763">
        <v>1.77795688025198E-2</v>
      </c>
      <c r="BE926" s="763">
        <v>1.77795688025198E-2</v>
      </c>
      <c r="BF926" s="763">
        <v>1.77795688025198E-2</v>
      </c>
      <c r="BG926" s="763">
        <v>1.77795688025198E-2</v>
      </c>
      <c r="BH926" s="763">
        <v>0</v>
      </c>
      <c r="BI926" s="763">
        <v>0</v>
      </c>
      <c r="BJ926" s="763">
        <v>0</v>
      </c>
      <c r="BK926" s="763">
        <v>0</v>
      </c>
      <c r="BL926" s="763">
        <v>0</v>
      </c>
      <c r="BM926" s="763">
        <v>0</v>
      </c>
      <c r="BN926" s="763">
        <v>0</v>
      </c>
      <c r="BO926" s="763">
        <v>0</v>
      </c>
      <c r="BP926" s="763">
        <v>0</v>
      </c>
      <c r="BQ926" s="763">
        <v>0</v>
      </c>
      <c r="BR926" s="763">
        <v>0</v>
      </c>
      <c r="BS926" s="762">
        <v>0</v>
      </c>
      <c r="BT926" s="762">
        <v>0</v>
      </c>
      <c r="BU926" s="762">
        <v>0</v>
      </c>
      <c r="BV926" s="762">
        <v>192.78936638342716</v>
      </c>
      <c r="BW926" s="762">
        <v>192.78936638342716</v>
      </c>
      <c r="BX926" s="762">
        <v>192.78936638342716</v>
      </c>
      <c r="BY926" s="762">
        <v>60.880852542134889</v>
      </c>
      <c r="BZ926" s="762">
        <v>60.880852542134889</v>
      </c>
      <c r="CA926" s="762">
        <v>60.880852542134889</v>
      </c>
      <c r="CB926" s="762">
        <v>60.880852542134889</v>
      </c>
      <c r="CC926" s="762">
        <v>60.880852542134889</v>
      </c>
      <c r="CD926" s="762">
        <v>60.880852542134889</v>
      </c>
      <c r="CE926" s="762">
        <v>60.880852542134889</v>
      </c>
      <c r="CF926" s="762">
        <v>60.880852542134889</v>
      </c>
      <c r="CG926" s="762">
        <v>60.880852542134889</v>
      </c>
      <c r="CH926" s="762">
        <v>0</v>
      </c>
      <c r="CI926" s="762">
        <v>0</v>
      </c>
      <c r="CJ926" s="762">
        <v>0</v>
      </c>
      <c r="CK926" s="762">
        <v>0</v>
      </c>
      <c r="CL926" s="762">
        <v>0</v>
      </c>
      <c r="CM926" s="762">
        <v>0</v>
      </c>
      <c r="CN926" s="762">
        <v>0</v>
      </c>
      <c r="CO926" s="762">
        <v>0</v>
      </c>
      <c r="CP926" s="762">
        <v>0</v>
      </c>
      <c r="CQ926" s="762">
        <v>0</v>
      </c>
      <c r="CR926" s="762">
        <v>0</v>
      </c>
    </row>
    <row r="927" spans="1:96" s="53" customFormat="1">
      <c r="A927" s="721" t="s">
        <v>3</v>
      </c>
      <c r="B927" s="723">
        <v>41859</v>
      </c>
      <c r="C927" s="721">
        <v>2014</v>
      </c>
      <c r="D927" s="713" t="s">
        <v>1</v>
      </c>
      <c r="E927" s="713" t="s">
        <v>674</v>
      </c>
      <c r="F927" s="723" t="s">
        <v>689</v>
      </c>
      <c r="G927" s="713" t="s">
        <v>58</v>
      </c>
      <c r="H927" s="723" t="s">
        <v>676</v>
      </c>
      <c r="I927" s="713" t="s">
        <v>5</v>
      </c>
      <c r="J927" s="713" t="s">
        <v>376</v>
      </c>
      <c r="K927" s="766">
        <v>3</v>
      </c>
      <c r="L927" s="766" t="s">
        <v>671</v>
      </c>
      <c r="M927" s="765" t="s">
        <v>730</v>
      </c>
      <c r="N927" s="765">
        <v>12</v>
      </c>
      <c r="O927" s="765">
        <v>3</v>
      </c>
      <c r="P927" s="735">
        <v>0.31578947368421051</v>
      </c>
      <c r="Q927" s="713" t="s">
        <v>58</v>
      </c>
      <c r="R927" s="713" t="s">
        <v>58</v>
      </c>
      <c r="S927" s="713" t="s">
        <v>58</v>
      </c>
      <c r="T927" s="713" t="s">
        <v>58</v>
      </c>
      <c r="U927" s="764">
        <v>0.114</v>
      </c>
      <c r="V927" s="764">
        <v>370.84199999999998</v>
      </c>
      <c r="W927" s="764">
        <v>8.941139919511773E-2</v>
      </c>
      <c r="X927" s="764">
        <v>306.38112614767442</v>
      </c>
      <c r="Y927" s="764">
        <v>1789.9107895995717</v>
      </c>
      <c r="Z927" s="764">
        <v>1689.4436580442432</v>
      </c>
      <c r="AA927" s="764">
        <v>289.1840495751407</v>
      </c>
      <c r="AB927" s="764">
        <v>8.445295181196906E-2</v>
      </c>
      <c r="AC927" s="714">
        <v>0.82617698682369967</v>
      </c>
      <c r="AD927" s="714">
        <v>0.7843105192554185</v>
      </c>
      <c r="AE927" s="713" t="s">
        <v>58</v>
      </c>
      <c r="AF927" s="713" t="s">
        <v>58</v>
      </c>
      <c r="AG927" s="713" t="s">
        <v>58</v>
      </c>
      <c r="AH927" s="714">
        <v>0.94387031345969796</v>
      </c>
      <c r="AI927" s="713" t="s">
        <v>58</v>
      </c>
      <c r="AJ927" s="713" t="s">
        <v>58</v>
      </c>
      <c r="AK927" s="713" t="s">
        <v>58</v>
      </c>
      <c r="AL927" s="714">
        <v>0.94454345387965444</v>
      </c>
      <c r="AM927" s="713" t="s">
        <v>58</v>
      </c>
      <c r="AN927" s="713" t="s">
        <v>58</v>
      </c>
      <c r="AO927" s="713" t="s">
        <v>58</v>
      </c>
      <c r="AP927" s="747">
        <v>57</v>
      </c>
      <c r="AQ927" s="747">
        <v>171</v>
      </c>
      <c r="AR927" s="709"/>
      <c r="AS927" s="763">
        <v>0</v>
      </c>
      <c r="AT927" s="763">
        <v>0</v>
      </c>
      <c r="AU927" s="763">
        <v>0</v>
      </c>
      <c r="AV927" s="763">
        <v>8.445295181196906E-2</v>
      </c>
      <c r="AW927" s="763">
        <v>8.445295181196906E-2</v>
      </c>
      <c r="AX927" s="763">
        <v>8.445295181196906E-2</v>
      </c>
      <c r="AY927" s="763">
        <v>2.6669353203779701E-2</v>
      </c>
      <c r="AZ927" s="763">
        <v>2.6669353203779701E-2</v>
      </c>
      <c r="BA927" s="763">
        <v>2.6669353203779701E-2</v>
      </c>
      <c r="BB927" s="763">
        <v>2.6669353203779701E-2</v>
      </c>
      <c r="BC927" s="763">
        <v>2.6669353203779701E-2</v>
      </c>
      <c r="BD927" s="763">
        <v>2.6669353203779701E-2</v>
      </c>
      <c r="BE927" s="763">
        <v>2.6669353203779701E-2</v>
      </c>
      <c r="BF927" s="763">
        <v>2.6669353203779701E-2</v>
      </c>
      <c r="BG927" s="763">
        <v>2.6669353203779701E-2</v>
      </c>
      <c r="BH927" s="763">
        <v>0</v>
      </c>
      <c r="BI927" s="763">
        <v>0</v>
      </c>
      <c r="BJ927" s="763">
        <v>0</v>
      </c>
      <c r="BK927" s="763">
        <v>0</v>
      </c>
      <c r="BL927" s="763">
        <v>0</v>
      </c>
      <c r="BM927" s="763">
        <v>0</v>
      </c>
      <c r="BN927" s="763">
        <v>0</v>
      </c>
      <c r="BO927" s="763">
        <v>0</v>
      </c>
      <c r="BP927" s="763">
        <v>0</v>
      </c>
      <c r="BQ927" s="763">
        <v>0</v>
      </c>
      <c r="BR927" s="763">
        <v>0</v>
      </c>
      <c r="BS927" s="762">
        <v>0</v>
      </c>
      <c r="BT927" s="762">
        <v>0</v>
      </c>
      <c r="BU927" s="762">
        <v>0</v>
      </c>
      <c r="BV927" s="762">
        <v>289.1840495751407</v>
      </c>
      <c r="BW927" s="762">
        <v>289.1840495751407</v>
      </c>
      <c r="BX927" s="762">
        <v>289.1840495751407</v>
      </c>
      <c r="BY927" s="762">
        <v>91.321278813202326</v>
      </c>
      <c r="BZ927" s="762">
        <v>91.321278813202326</v>
      </c>
      <c r="CA927" s="762">
        <v>91.321278813202326</v>
      </c>
      <c r="CB927" s="762">
        <v>91.321278813202326</v>
      </c>
      <c r="CC927" s="762">
        <v>91.321278813202326</v>
      </c>
      <c r="CD927" s="762">
        <v>91.321278813202326</v>
      </c>
      <c r="CE927" s="762">
        <v>91.321278813202326</v>
      </c>
      <c r="CF927" s="762">
        <v>91.321278813202326</v>
      </c>
      <c r="CG927" s="762">
        <v>91.321278813202326</v>
      </c>
      <c r="CH927" s="762">
        <v>0</v>
      </c>
      <c r="CI927" s="762">
        <v>0</v>
      </c>
      <c r="CJ927" s="762">
        <v>0</v>
      </c>
      <c r="CK927" s="762">
        <v>0</v>
      </c>
      <c r="CL927" s="762">
        <v>0</v>
      </c>
      <c r="CM927" s="762">
        <v>0</v>
      </c>
      <c r="CN927" s="762">
        <v>0</v>
      </c>
      <c r="CO927" s="762">
        <v>0</v>
      </c>
      <c r="CP927" s="762">
        <v>0</v>
      </c>
      <c r="CQ927" s="762">
        <v>0</v>
      </c>
      <c r="CR927" s="762">
        <v>0</v>
      </c>
    </row>
    <row r="928" spans="1:96" s="53" customFormat="1">
      <c r="A928" s="721" t="s">
        <v>3</v>
      </c>
      <c r="B928" s="723">
        <v>41828</v>
      </c>
      <c r="C928" s="721">
        <v>2014</v>
      </c>
      <c r="D928" s="713" t="s">
        <v>1</v>
      </c>
      <c r="E928" s="713" t="s">
        <v>674</v>
      </c>
      <c r="F928" s="723" t="s">
        <v>123</v>
      </c>
      <c r="G928" s="713" t="s">
        <v>58</v>
      </c>
      <c r="H928" s="723" t="s">
        <v>677</v>
      </c>
      <c r="I928" s="713" t="s">
        <v>5</v>
      </c>
      <c r="J928" s="713" t="s">
        <v>376</v>
      </c>
      <c r="K928" s="766">
        <v>1</v>
      </c>
      <c r="L928" s="766" t="s">
        <v>671</v>
      </c>
      <c r="M928" s="765" t="s">
        <v>729</v>
      </c>
      <c r="N928" s="765">
        <v>0</v>
      </c>
      <c r="O928" s="765">
        <v>0</v>
      </c>
      <c r="P928" s="735">
        <v>0</v>
      </c>
      <c r="Q928" s="713" t="s">
        <v>58</v>
      </c>
      <c r="R928" s="713" t="s">
        <v>58</v>
      </c>
      <c r="S928" s="713" t="s">
        <v>58</v>
      </c>
      <c r="T928" s="713" t="s">
        <v>58</v>
      </c>
      <c r="U928" s="764">
        <v>0</v>
      </c>
      <c r="V928" s="764">
        <v>0</v>
      </c>
      <c r="W928" s="764">
        <v>0</v>
      </c>
      <c r="X928" s="764">
        <v>0</v>
      </c>
      <c r="Y928" s="764">
        <v>0</v>
      </c>
      <c r="Z928" s="764">
        <v>0</v>
      </c>
      <c r="AA928" s="764">
        <v>0</v>
      </c>
      <c r="AB928" s="764">
        <v>0</v>
      </c>
      <c r="AC928" s="714">
        <v>0.82617698682369967</v>
      </c>
      <c r="AD928" s="714">
        <v>0.7843105192554185</v>
      </c>
      <c r="AE928" s="713" t="s">
        <v>58</v>
      </c>
      <c r="AF928" s="713" t="s">
        <v>58</v>
      </c>
      <c r="AG928" s="713" t="s">
        <v>58</v>
      </c>
      <c r="AH928" s="714">
        <v>0.94387031345969796</v>
      </c>
      <c r="AI928" s="713" t="s">
        <v>58</v>
      </c>
      <c r="AJ928" s="713" t="s">
        <v>58</v>
      </c>
      <c r="AK928" s="713" t="s">
        <v>58</v>
      </c>
      <c r="AL928" s="714">
        <v>0.94454345387965444</v>
      </c>
      <c r="AM928" s="713" t="s">
        <v>58</v>
      </c>
      <c r="AN928" s="713" t="s">
        <v>58</v>
      </c>
      <c r="AO928" s="713" t="s">
        <v>58</v>
      </c>
      <c r="AP928" s="747">
        <v>51</v>
      </c>
      <c r="AQ928" s="747">
        <v>51</v>
      </c>
      <c r="AR928" s="709"/>
      <c r="AS928" s="763">
        <v>0</v>
      </c>
      <c r="AT928" s="763">
        <v>0</v>
      </c>
      <c r="AU928" s="763">
        <v>0</v>
      </c>
      <c r="AV928" s="763">
        <v>0</v>
      </c>
      <c r="AW928" s="763">
        <v>0</v>
      </c>
      <c r="AX928" s="763">
        <v>0</v>
      </c>
      <c r="AY928" s="763">
        <v>0</v>
      </c>
      <c r="AZ928" s="763">
        <v>0</v>
      </c>
      <c r="BA928" s="763">
        <v>0</v>
      </c>
      <c r="BB928" s="763">
        <v>0</v>
      </c>
      <c r="BC928" s="763">
        <v>0</v>
      </c>
      <c r="BD928" s="763">
        <v>0</v>
      </c>
      <c r="BE928" s="763">
        <v>0</v>
      </c>
      <c r="BF928" s="763">
        <v>0</v>
      </c>
      <c r="BG928" s="763">
        <v>0</v>
      </c>
      <c r="BH928" s="763">
        <v>0</v>
      </c>
      <c r="BI928" s="763">
        <v>0</v>
      </c>
      <c r="BJ928" s="763">
        <v>0</v>
      </c>
      <c r="BK928" s="763">
        <v>0</v>
      </c>
      <c r="BL928" s="763">
        <v>0</v>
      </c>
      <c r="BM928" s="763">
        <v>0</v>
      </c>
      <c r="BN928" s="763">
        <v>0</v>
      </c>
      <c r="BO928" s="763">
        <v>0</v>
      </c>
      <c r="BP928" s="763">
        <v>0</v>
      </c>
      <c r="BQ928" s="763">
        <v>0</v>
      </c>
      <c r="BR928" s="763">
        <v>0</v>
      </c>
      <c r="BS928" s="762">
        <v>0</v>
      </c>
      <c r="BT928" s="762">
        <v>0</v>
      </c>
      <c r="BU928" s="762">
        <v>0</v>
      </c>
      <c r="BV928" s="762">
        <v>0</v>
      </c>
      <c r="BW928" s="762">
        <v>0</v>
      </c>
      <c r="BX928" s="762">
        <v>0</v>
      </c>
      <c r="BY928" s="762">
        <v>0</v>
      </c>
      <c r="BZ928" s="762">
        <v>0</v>
      </c>
      <c r="CA928" s="762">
        <v>0</v>
      </c>
      <c r="CB928" s="762">
        <v>0</v>
      </c>
      <c r="CC928" s="762">
        <v>0</v>
      </c>
      <c r="CD928" s="762">
        <v>0</v>
      </c>
      <c r="CE928" s="762">
        <v>0</v>
      </c>
      <c r="CF928" s="762">
        <v>0</v>
      </c>
      <c r="CG928" s="762">
        <v>0</v>
      </c>
      <c r="CH928" s="762">
        <v>0</v>
      </c>
      <c r="CI928" s="762">
        <v>0</v>
      </c>
      <c r="CJ928" s="762">
        <v>0</v>
      </c>
      <c r="CK928" s="762">
        <v>0</v>
      </c>
      <c r="CL928" s="762">
        <v>0</v>
      </c>
      <c r="CM928" s="762">
        <v>0</v>
      </c>
      <c r="CN928" s="762">
        <v>0</v>
      </c>
      <c r="CO928" s="762">
        <v>0</v>
      </c>
      <c r="CP928" s="762">
        <v>0</v>
      </c>
      <c r="CQ928" s="762">
        <v>0</v>
      </c>
      <c r="CR928" s="762">
        <v>0</v>
      </c>
    </row>
    <row r="929" spans="1:96" s="53" customFormat="1">
      <c r="A929" s="721" t="s">
        <v>3</v>
      </c>
      <c r="B929" s="723">
        <v>41828</v>
      </c>
      <c r="C929" s="721">
        <v>2014</v>
      </c>
      <c r="D929" s="713" t="s">
        <v>1</v>
      </c>
      <c r="E929" s="713" t="s">
        <v>674</v>
      </c>
      <c r="F929" s="723" t="s">
        <v>123</v>
      </c>
      <c r="G929" s="713" t="s">
        <v>58</v>
      </c>
      <c r="H929" s="723" t="s">
        <v>684</v>
      </c>
      <c r="I929" s="713" t="s">
        <v>5</v>
      </c>
      <c r="J929" s="713" t="s">
        <v>376</v>
      </c>
      <c r="K929" s="766">
        <v>16</v>
      </c>
      <c r="L929" s="766" t="s">
        <v>671</v>
      </c>
      <c r="M929" s="765" t="s">
        <v>729</v>
      </c>
      <c r="N929" s="765">
        <v>11</v>
      </c>
      <c r="O929" s="765">
        <v>2</v>
      </c>
      <c r="P929" s="735">
        <v>0.43976996379393668</v>
      </c>
      <c r="Q929" s="713" t="s">
        <v>58</v>
      </c>
      <c r="R929" s="713" t="s">
        <v>58</v>
      </c>
      <c r="S929" s="713" t="s">
        <v>58</v>
      </c>
      <c r="T929" s="713" t="s">
        <v>58</v>
      </c>
      <c r="U929" s="764">
        <v>1.0880000000000001</v>
      </c>
      <c r="V929" s="764">
        <v>3453.3119999999999</v>
      </c>
      <c r="W929" s="764">
        <v>0.8533298449498955</v>
      </c>
      <c r="X929" s="764">
        <v>2853.0469027221238</v>
      </c>
      <c r="Y929" s="764">
        <v>16998.252803456853</v>
      </c>
      <c r="Z929" s="764">
        <v>16044.14620186601</v>
      </c>
      <c r="AA929" s="764">
        <v>2692.9062743875515</v>
      </c>
      <c r="AB929" s="764">
        <v>0.80600711904756428</v>
      </c>
      <c r="AC929" s="714">
        <v>0.82617698682369967</v>
      </c>
      <c r="AD929" s="714">
        <v>0.7843105192554185</v>
      </c>
      <c r="AE929" s="713" t="s">
        <v>58</v>
      </c>
      <c r="AF929" s="713" t="s">
        <v>58</v>
      </c>
      <c r="AG929" s="713" t="s">
        <v>58</v>
      </c>
      <c r="AH929" s="714">
        <v>0.94387031345969796</v>
      </c>
      <c r="AI929" s="713" t="s">
        <v>58</v>
      </c>
      <c r="AJ929" s="713" t="s">
        <v>58</v>
      </c>
      <c r="AK929" s="713" t="s">
        <v>58</v>
      </c>
      <c r="AL929" s="714">
        <v>0.94454345387965444</v>
      </c>
      <c r="AM929" s="713" t="s">
        <v>58</v>
      </c>
      <c r="AN929" s="713" t="s">
        <v>58</v>
      </c>
      <c r="AO929" s="713" t="s">
        <v>58</v>
      </c>
      <c r="AP929" s="747">
        <v>48</v>
      </c>
      <c r="AQ929" s="747">
        <v>768</v>
      </c>
      <c r="AR929" s="709"/>
      <c r="AS929" s="763">
        <v>0</v>
      </c>
      <c r="AT929" s="763">
        <v>0</v>
      </c>
      <c r="AU929" s="763">
        <v>0</v>
      </c>
      <c r="AV929" s="763">
        <v>0.80600711904756428</v>
      </c>
      <c r="AW929" s="763">
        <v>0.80600711904756428</v>
      </c>
      <c r="AX929" s="763">
        <v>0.35445772156120253</v>
      </c>
      <c r="AY929" s="763">
        <v>0.35445772156120253</v>
      </c>
      <c r="AZ929" s="763">
        <v>0.35445772156120253</v>
      </c>
      <c r="BA929" s="763">
        <v>0.35445772156120253</v>
      </c>
      <c r="BB929" s="763">
        <v>0.35445772156120253</v>
      </c>
      <c r="BC929" s="763">
        <v>0.35445772156120253</v>
      </c>
      <c r="BD929" s="763">
        <v>0.35445772156120253</v>
      </c>
      <c r="BE929" s="763">
        <v>0.35445772156120253</v>
      </c>
      <c r="BF929" s="763">
        <v>0.35445772156120253</v>
      </c>
      <c r="BG929" s="763">
        <v>0</v>
      </c>
      <c r="BH929" s="763">
        <v>0</v>
      </c>
      <c r="BI929" s="763">
        <v>0</v>
      </c>
      <c r="BJ929" s="763">
        <v>0</v>
      </c>
      <c r="BK929" s="763">
        <v>0</v>
      </c>
      <c r="BL929" s="763">
        <v>0</v>
      </c>
      <c r="BM929" s="763">
        <v>0</v>
      </c>
      <c r="BN929" s="763">
        <v>0</v>
      </c>
      <c r="BO929" s="763">
        <v>0</v>
      </c>
      <c r="BP929" s="763">
        <v>0</v>
      </c>
      <c r="BQ929" s="763">
        <v>0</v>
      </c>
      <c r="BR929" s="763">
        <v>0</v>
      </c>
      <c r="BS929" s="762">
        <v>0</v>
      </c>
      <c r="BT929" s="762">
        <v>0</v>
      </c>
      <c r="BU929" s="762">
        <v>0</v>
      </c>
      <c r="BV929" s="762">
        <v>2692.9062743875515</v>
      </c>
      <c r="BW929" s="762">
        <v>2692.9062743875515</v>
      </c>
      <c r="BX929" s="762">
        <v>1184.2592947878784</v>
      </c>
      <c r="BY929" s="762">
        <v>1184.2592947878784</v>
      </c>
      <c r="BZ929" s="762">
        <v>1184.2592947878784</v>
      </c>
      <c r="CA929" s="762">
        <v>1184.2592947878784</v>
      </c>
      <c r="CB929" s="762">
        <v>1184.2592947878784</v>
      </c>
      <c r="CC929" s="762">
        <v>1184.2592947878784</v>
      </c>
      <c r="CD929" s="762">
        <v>1184.2592947878784</v>
      </c>
      <c r="CE929" s="762">
        <v>1184.2592947878784</v>
      </c>
      <c r="CF929" s="762">
        <v>1184.2592947878784</v>
      </c>
      <c r="CG929" s="762">
        <v>0</v>
      </c>
      <c r="CH929" s="762">
        <v>0</v>
      </c>
      <c r="CI929" s="762">
        <v>0</v>
      </c>
      <c r="CJ929" s="762">
        <v>0</v>
      </c>
      <c r="CK929" s="762">
        <v>0</v>
      </c>
      <c r="CL929" s="762">
        <v>0</v>
      </c>
      <c r="CM929" s="762">
        <v>0</v>
      </c>
      <c r="CN929" s="762">
        <v>0</v>
      </c>
      <c r="CO929" s="762">
        <v>0</v>
      </c>
      <c r="CP929" s="762">
        <v>0</v>
      </c>
      <c r="CQ929" s="762">
        <v>0</v>
      </c>
      <c r="CR929" s="762">
        <v>0</v>
      </c>
    </row>
    <row r="930" spans="1:96" s="53" customFormat="1">
      <c r="A930" s="721" t="s">
        <v>3</v>
      </c>
      <c r="B930" s="723">
        <v>41866</v>
      </c>
      <c r="C930" s="721">
        <v>2014</v>
      </c>
      <c r="D930" s="713" t="s">
        <v>1</v>
      </c>
      <c r="E930" s="713" t="s">
        <v>674</v>
      </c>
      <c r="F930" s="723" t="s">
        <v>689</v>
      </c>
      <c r="G930" s="713" t="s">
        <v>58</v>
      </c>
      <c r="H930" s="723" t="s">
        <v>677</v>
      </c>
      <c r="I930" s="713" t="s">
        <v>5</v>
      </c>
      <c r="J930" s="713" t="s">
        <v>376</v>
      </c>
      <c r="K930" s="766">
        <v>1</v>
      </c>
      <c r="L930" s="766" t="s">
        <v>671</v>
      </c>
      <c r="M930" s="765" t="s">
        <v>728</v>
      </c>
      <c r="N930" s="765">
        <v>0</v>
      </c>
      <c r="O930" s="765">
        <v>0</v>
      </c>
      <c r="P930" s="735">
        <v>0</v>
      </c>
      <c r="Q930" s="713" t="s">
        <v>58</v>
      </c>
      <c r="R930" s="713" t="s">
        <v>58</v>
      </c>
      <c r="S930" s="713" t="s">
        <v>58</v>
      </c>
      <c r="T930" s="713" t="s">
        <v>58</v>
      </c>
      <c r="U930" s="764">
        <v>0</v>
      </c>
      <c r="V930" s="764">
        <v>0</v>
      </c>
      <c r="W930" s="764">
        <v>0</v>
      </c>
      <c r="X930" s="764">
        <v>0</v>
      </c>
      <c r="Y930" s="764">
        <v>0</v>
      </c>
      <c r="Z930" s="764">
        <v>0</v>
      </c>
      <c r="AA930" s="764">
        <v>0</v>
      </c>
      <c r="AB930" s="764">
        <v>0</v>
      </c>
      <c r="AC930" s="714">
        <v>0.82617698682369967</v>
      </c>
      <c r="AD930" s="714">
        <v>0.7843105192554185</v>
      </c>
      <c r="AE930" s="713" t="s">
        <v>58</v>
      </c>
      <c r="AF930" s="713" t="s">
        <v>58</v>
      </c>
      <c r="AG930" s="713" t="s">
        <v>58</v>
      </c>
      <c r="AH930" s="714">
        <v>0.94387031345969796</v>
      </c>
      <c r="AI930" s="713" t="s">
        <v>58</v>
      </c>
      <c r="AJ930" s="713" t="s">
        <v>58</v>
      </c>
      <c r="AK930" s="713" t="s">
        <v>58</v>
      </c>
      <c r="AL930" s="714">
        <v>0.94454345387965444</v>
      </c>
      <c r="AM930" s="713" t="s">
        <v>58</v>
      </c>
      <c r="AN930" s="713" t="s">
        <v>58</v>
      </c>
      <c r="AO930" s="713" t="s">
        <v>58</v>
      </c>
      <c r="AP930" s="747">
        <v>51</v>
      </c>
      <c r="AQ930" s="747">
        <v>51</v>
      </c>
      <c r="AR930" s="709"/>
      <c r="AS930" s="763">
        <v>0</v>
      </c>
      <c r="AT930" s="763">
        <v>0</v>
      </c>
      <c r="AU930" s="763">
        <v>0</v>
      </c>
      <c r="AV930" s="763">
        <v>0</v>
      </c>
      <c r="AW930" s="763">
        <v>0</v>
      </c>
      <c r="AX930" s="763">
        <v>0</v>
      </c>
      <c r="AY930" s="763">
        <v>0</v>
      </c>
      <c r="AZ930" s="763">
        <v>0</v>
      </c>
      <c r="BA930" s="763">
        <v>0</v>
      </c>
      <c r="BB930" s="763">
        <v>0</v>
      </c>
      <c r="BC930" s="763">
        <v>0</v>
      </c>
      <c r="BD930" s="763">
        <v>0</v>
      </c>
      <c r="BE930" s="763">
        <v>0</v>
      </c>
      <c r="BF930" s="763">
        <v>0</v>
      </c>
      <c r="BG930" s="763">
        <v>0</v>
      </c>
      <c r="BH930" s="763">
        <v>0</v>
      </c>
      <c r="BI930" s="763">
        <v>0</v>
      </c>
      <c r="BJ930" s="763">
        <v>0</v>
      </c>
      <c r="BK930" s="763">
        <v>0</v>
      </c>
      <c r="BL930" s="763">
        <v>0</v>
      </c>
      <c r="BM930" s="763">
        <v>0</v>
      </c>
      <c r="BN930" s="763">
        <v>0</v>
      </c>
      <c r="BO930" s="763">
        <v>0</v>
      </c>
      <c r="BP930" s="763">
        <v>0</v>
      </c>
      <c r="BQ930" s="763">
        <v>0</v>
      </c>
      <c r="BR930" s="763">
        <v>0</v>
      </c>
      <c r="BS930" s="762">
        <v>0</v>
      </c>
      <c r="BT930" s="762">
        <v>0</v>
      </c>
      <c r="BU930" s="762">
        <v>0</v>
      </c>
      <c r="BV930" s="762">
        <v>0</v>
      </c>
      <c r="BW930" s="762">
        <v>0</v>
      </c>
      <c r="BX930" s="762">
        <v>0</v>
      </c>
      <c r="BY930" s="762">
        <v>0</v>
      </c>
      <c r="BZ930" s="762">
        <v>0</v>
      </c>
      <c r="CA930" s="762">
        <v>0</v>
      </c>
      <c r="CB930" s="762">
        <v>0</v>
      </c>
      <c r="CC930" s="762">
        <v>0</v>
      </c>
      <c r="CD930" s="762">
        <v>0</v>
      </c>
      <c r="CE930" s="762">
        <v>0</v>
      </c>
      <c r="CF930" s="762">
        <v>0</v>
      </c>
      <c r="CG930" s="762">
        <v>0</v>
      </c>
      <c r="CH930" s="762">
        <v>0</v>
      </c>
      <c r="CI930" s="762">
        <v>0</v>
      </c>
      <c r="CJ930" s="762">
        <v>0</v>
      </c>
      <c r="CK930" s="762">
        <v>0</v>
      </c>
      <c r="CL930" s="762">
        <v>0</v>
      </c>
      <c r="CM930" s="762">
        <v>0</v>
      </c>
      <c r="CN930" s="762">
        <v>0</v>
      </c>
      <c r="CO930" s="762">
        <v>0</v>
      </c>
      <c r="CP930" s="762">
        <v>0</v>
      </c>
      <c r="CQ930" s="762">
        <v>0</v>
      </c>
      <c r="CR930" s="762">
        <v>0</v>
      </c>
    </row>
    <row r="931" spans="1:96" s="53" customFormat="1">
      <c r="A931" s="721" t="s">
        <v>3</v>
      </c>
      <c r="B931" s="723">
        <v>41866</v>
      </c>
      <c r="C931" s="721">
        <v>2014</v>
      </c>
      <c r="D931" s="713" t="s">
        <v>1</v>
      </c>
      <c r="E931" s="713" t="s">
        <v>674</v>
      </c>
      <c r="F931" s="723" t="s">
        <v>689</v>
      </c>
      <c r="G931" s="713" t="s">
        <v>58</v>
      </c>
      <c r="H931" s="723" t="s">
        <v>684</v>
      </c>
      <c r="I931" s="713" t="s">
        <v>5</v>
      </c>
      <c r="J931" s="713" t="s">
        <v>376</v>
      </c>
      <c r="K931" s="766">
        <v>16</v>
      </c>
      <c r="L931" s="766" t="s">
        <v>671</v>
      </c>
      <c r="M931" s="765" t="s">
        <v>728</v>
      </c>
      <c r="N931" s="765">
        <v>11</v>
      </c>
      <c r="O931" s="765">
        <v>2</v>
      </c>
      <c r="P931" s="735">
        <v>0.43976996379393668</v>
      </c>
      <c r="Q931" s="713" t="s">
        <v>58</v>
      </c>
      <c r="R931" s="713" t="s">
        <v>58</v>
      </c>
      <c r="S931" s="713" t="s">
        <v>58</v>
      </c>
      <c r="T931" s="713" t="s">
        <v>58</v>
      </c>
      <c r="U931" s="764">
        <v>1.0880000000000001</v>
      </c>
      <c r="V931" s="764">
        <v>4048.4479999999999</v>
      </c>
      <c r="W931" s="764">
        <v>0.8533298449498955</v>
      </c>
      <c r="X931" s="764">
        <v>3344.734569952433</v>
      </c>
      <c r="Y931" s="764">
        <v>19927.693346459651</v>
      </c>
      <c r="Z931" s="764">
        <v>18809.158165451609</v>
      </c>
      <c r="AA931" s="764">
        <v>3156.995666980491</v>
      </c>
      <c r="AB931" s="764">
        <v>0.80600711904756428</v>
      </c>
      <c r="AC931" s="714">
        <v>0.82617698682369967</v>
      </c>
      <c r="AD931" s="714">
        <v>0.7843105192554185</v>
      </c>
      <c r="AE931" s="713" t="s">
        <v>58</v>
      </c>
      <c r="AF931" s="713" t="s">
        <v>58</v>
      </c>
      <c r="AG931" s="713" t="s">
        <v>58</v>
      </c>
      <c r="AH931" s="714">
        <v>0.94387031345969796</v>
      </c>
      <c r="AI931" s="713" t="s">
        <v>58</v>
      </c>
      <c r="AJ931" s="713" t="s">
        <v>58</v>
      </c>
      <c r="AK931" s="713" t="s">
        <v>58</v>
      </c>
      <c r="AL931" s="714">
        <v>0.94454345387965444</v>
      </c>
      <c r="AM931" s="713" t="s">
        <v>58</v>
      </c>
      <c r="AN931" s="713" t="s">
        <v>58</v>
      </c>
      <c r="AO931" s="713" t="s">
        <v>58</v>
      </c>
      <c r="AP931" s="747">
        <v>48</v>
      </c>
      <c r="AQ931" s="747">
        <v>768</v>
      </c>
      <c r="AR931" s="709"/>
      <c r="AS931" s="763">
        <v>0</v>
      </c>
      <c r="AT931" s="763">
        <v>0</v>
      </c>
      <c r="AU931" s="763">
        <v>0</v>
      </c>
      <c r="AV931" s="763">
        <v>0.80600711904756428</v>
      </c>
      <c r="AW931" s="763">
        <v>0.80600711904756428</v>
      </c>
      <c r="AX931" s="763">
        <v>0.35445772156120253</v>
      </c>
      <c r="AY931" s="763">
        <v>0.35445772156120253</v>
      </c>
      <c r="AZ931" s="763">
        <v>0.35445772156120253</v>
      </c>
      <c r="BA931" s="763">
        <v>0.35445772156120253</v>
      </c>
      <c r="BB931" s="763">
        <v>0.35445772156120253</v>
      </c>
      <c r="BC931" s="763">
        <v>0.35445772156120253</v>
      </c>
      <c r="BD931" s="763">
        <v>0.35445772156120253</v>
      </c>
      <c r="BE931" s="763">
        <v>0.35445772156120253</v>
      </c>
      <c r="BF931" s="763">
        <v>0.35445772156120253</v>
      </c>
      <c r="BG931" s="763">
        <v>0</v>
      </c>
      <c r="BH931" s="763">
        <v>0</v>
      </c>
      <c r="BI931" s="763">
        <v>0</v>
      </c>
      <c r="BJ931" s="763">
        <v>0</v>
      </c>
      <c r="BK931" s="763">
        <v>0</v>
      </c>
      <c r="BL931" s="763">
        <v>0</v>
      </c>
      <c r="BM931" s="763">
        <v>0</v>
      </c>
      <c r="BN931" s="763">
        <v>0</v>
      </c>
      <c r="BO931" s="763">
        <v>0</v>
      </c>
      <c r="BP931" s="763">
        <v>0</v>
      </c>
      <c r="BQ931" s="763">
        <v>0</v>
      </c>
      <c r="BR931" s="763">
        <v>0</v>
      </c>
      <c r="BS931" s="762">
        <v>0</v>
      </c>
      <c r="BT931" s="762">
        <v>0</v>
      </c>
      <c r="BU931" s="762">
        <v>0</v>
      </c>
      <c r="BV931" s="762">
        <v>3156.995666980491</v>
      </c>
      <c r="BW931" s="762">
        <v>3156.995666980491</v>
      </c>
      <c r="BX931" s="762">
        <v>1388.3518701656255</v>
      </c>
      <c r="BY931" s="762">
        <v>1388.3518701656255</v>
      </c>
      <c r="BZ931" s="762">
        <v>1388.3518701656255</v>
      </c>
      <c r="CA931" s="762">
        <v>1388.3518701656255</v>
      </c>
      <c r="CB931" s="762">
        <v>1388.3518701656255</v>
      </c>
      <c r="CC931" s="762">
        <v>1388.3518701656255</v>
      </c>
      <c r="CD931" s="762">
        <v>1388.3518701656255</v>
      </c>
      <c r="CE931" s="762">
        <v>1388.3518701656255</v>
      </c>
      <c r="CF931" s="762">
        <v>1388.3518701656255</v>
      </c>
      <c r="CG931" s="762">
        <v>0</v>
      </c>
      <c r="CH931" s="762">
        <v>0</v>
      </c>
      <c r="CI931" s="762">
        <v>0</v>
      </c>
      <c r="CJ931" s="762">
        <v>0</v>
      </c>
      <c r="CK931" s="762">
        <v>0</v>
      </c>
      <c r="CL931" s="762">
        <v>0</v>
      </c>
      <c r="CM931" s="762">
        <v>0</v>
      </c>
      <c r="CN931" s="762">
        <v>0</v>
      </c>
      <c r="CO931" s="762">
        <v>0</v>
      </c>
      <c r="CP931" s="762">
        <v>0</v>
      </c>
      <c r="CQ931" s="762">
        <v>0</v>
      </c>
      <c r="CR931" s="762">
        <v>0</v>
      </c>
    </row>
    <row r="932" spans="1:96" s="53" customFormat="1">
      <c r="A932" s="721" t="s">
        <v>3</v>
      </c>
      <c r="B932" s="723">
        <v>41828</v>
      </c>
      <c r="C932" s="721">
        <v>2014</v>
      </c>
      <c r="D932" s="713" t="s">
        <v>1</v>
      </c>
      <c r="E932" s="713" t="s">
        <v>674</v>
      </c>
      <c r="F932" s="723" t="s">
        <v>689</v>
      </c>
      <c r="G932" s="713" t="s">
        <v>58</v>
      </c>
      <c r="H932" s="723" t="s">
        <v>677</v>
      </c>
      <c r="I932" s="713" t="s">
        <v>5</v>
      </c>
      <c r="J932" s="713" t="s">
        <v>376</v>
      </c>
      <c r="K932" s="766">
        <v>1</v>
      </c>
      <c r="L932" s="766" t="s">
        <v>671</v>
      </c>
      <c r="M932" s="765" t="s">
        <v>727</v>
      </c>
      <c r="N932" s="765">
        <v>0</v>
      </c>
      <c r="O932" s="765">
        <v>0</v>
      </c>
      <c r="P932" s="735">
        <v>0</v>
      </c>
      <c r="Q932" s="713" t="s">
        <v>58</v>
      </c>
      <c r="R932" s="713" t="s">
        <v>58</v>
      </c>
      <c r="S932" s="713" t="s">
        <v>58</v>
      </c>
      <c r="T932" s="713" t="s">
        <v>58</v>
      </c>
      <c r="U932" s="764">
        <v>0</v>
      </c>
      <c r="V932" s="764">
        <v>0</v>
      </c>
      <c r="W932" s="764">
        <v>0</v>
      </c>
      <c r="X932" s="764">
        <v>0</v>
      </c>
      <c r="Y932" s="764">
        <v>0</v>
      </c>
      <c r="Z932" s="764">
        <v>0</v>
      </c>
      <c r="AA932" s="764">
        <v>0</v>
      </c>
      <c r="AB932" s="764">
        <v>0</v>
      </c>
      <c r="AC932" s="714">
        <v>0.82617698682369967</v>
      </c>
      <c r="AD932" s="714">
        <v>0.7843105192554185</v>
      </c>
      <c r="AE932" s="713" t="s">
        <v>58</v>
      </c>
      <c r="AF932" s="713" t="s">
        <v>58</v>
      </c>
      <c r="AG932" s="713" t="s">
        <v>58</v>
      </c>
      <c r="AH932" s="714">
        <v>0.94387031345969796</v>
      </c>
      <c r="AI932" s="713" t="s">
        <v>58</v>
      </c>
      <c r="AJ932" s="713" t="s">
        <v>58</v>
      </c>
      <c r="AK932" s="713" t="s">
        <v>58</v>
      </c>
      <c r="AL932" s="714">
        <v>0.94454345387965444</v>
      </c>
      <c r="AM932" s="713" t="s">
        <v>58</v>
      </c>
      <c r="AN932" s="713" t="s">
        <v>58</v>
      </c>
      <c r="AO932" s="713" t="s">
        <v>58</v>
      </c>
      <c r="AP932" s="747">
        <v>51</v>
      </c>
      <c r="AQ932" s="747">
        <v>51</v>
      </c>
      <c r="AR932" s="709"/>
      <c r="AS932" s="763">
        <v>0</v>
      </c>
      <c r="AT932" s="763">
        <v>0</v>
      </c>
      <c r="AU932" s="763">
        <v>0</v>
      </c>
      <c r="AV932" s="763">
        <v>0</v>
      </c>
      <c r="AW932" s="763">
        <v>0</v>
      </c>
      <c r="AX932" s="763">
        <v>0</v>
      </c>
      <c r="AY932" s="763">
        <v>0</v>
      </c>
      <c r="AZ932" s="763">
        <v>0</v>
      </c>
      <c r="BA932" s="763">
        <v>0</v>
      </c>
      <c r="BB932" s="763">
        <v>0</v>
      </c>
      <c r="BC932" s="763">
        <v>0</v>
      </c>
      <c r="BD932" s="763">
        <v>0</v>
      </c>
      <c r="BE932" s="763">
        <v>0</v>
      </c>
      <c r="BF932" s="763">
        <v>0</v>
      </c>
      <c r="BG932" s="763">
        <v>0</v>
      </c>
      <c r="BH932" s="763">
        <v>0</v>
      </c>
      <c r="BI932" s="763">
        <v>0</v>
      </c>
      <c r="BJ932" s="763">
        <v>0</v>
      </c>
      <c r="BK932" s="763">
        <v>0</v>
      </c>
      <c r="BL932" s="763">
        <v>0</v>
      </c>
      <c r="BM932" s="763">
        <v>0</v>
      </c>
      <c r="BN932" s="763">
        <v>0</v>
      </c>
      <c r="BO932" s="763">
        <v>0</v>
      </c>
      <c r="BP932" s="763">
        <v>0</v>
      </c>
      <c r="BQ932" s="763">
        <v>0</v>
      </c>
      <c r="BR932" s="763">
        <v>0</v>
      </c>
      <c r="BS932" s="762">
        <v>0</v>
      </c>
      <c r="BT932" s="762">
        <v>0</v>
      </c>
      <c r="BU932" s="762">
        <v>0</v>
      </c>
      <c r="BV932" s="762">
        <v>0</v>
      </c>
      <c r="BW932" s="762">
        <v>0</v>
      </c>
      <c r="BX932" s="762">
        <v>0</v>
      </c>
      <c r="BY932" s="762">
        <v>0</v>
      </c>
      <c r="BZ932" s="762">
        <v>0</v>
      </c>
      <c r="CA932" s="762">
        <v>0</v>
      </c>
      <c r="CB932" s="762">
        <v>0</v>
      </c>
      <c r="CC932" s="762">
        <v>0</v>
      </c>
      <c r="CD932" s="762">
        <v>0</v>
      </c>
      <c r="CE932" s="762">
        <v>0</v>
      </c>
      <c r="CF932" s="762">
        <v>0</v>
      </c>
      <c r="CG932" s="762">
        <v>0</v>
      </c>
      <c r="CH932" s="762">
        <v>0</v>
      </c>
      <c r="CI932" s="762">
        <v>0</v>
      </c>
      <c r="CJ932" s="762">
        <v>0</v>
      </c>
      <c r="CK932" s="762">
        <v>0</v>
      </c>
      <c r="CL932" s="762">
        <v>0</v>
      </c>
      <c r="CM932" s="762">
        <v>0</v>
      </c>
      <c r="CN932" s="762">
        <v>0</v>
      </c>
      <c r="CO932" s="762">
        <v>0</v>
      </c>
      <c r="CP932" s="762">
        <v>0</v>
      </c>
      <c r="CQ932" s="762">
        <v>0</v>
      </c>
      <c r="CR932" s="762">
        <v>0</v>
      </c>
    </row>
    <row r="933" spans="1:96" s="53" customFormat="1">
      <c r="A933" s="721" t="s">
        <v>3</v>
      </c>
      <c r="B933" s="723">
        <v>41828</v>
      </c>
      <c r="C933" s="721">
        <v>2014</v>
      </c>
      <c r="D933" s="713" t="s">
        <v>1</v>
      </c>
      <c r="E933" s="713" t="s">
        <v>674</v>
      </c>
      <c r="F933" s="723" t="s">
        <v>689</v>
      </c>
      <c r="G933" s="713" t="s">
        <v>58</v>
      </c>
      <c r="H933" s="723" t="s">
        <v>702</v>
      </c>
      <c r="I933" s="713" t="s">
        <v>5</v>
      </c>
      <c r="J933" s="713" t="s">
        <v>376</v>
      </c>
      <c r="K933" s="766">
        <v>30</v>
      </c>
      <c r="L933" s="766" t="s">
        <v>671</v>
      </c>
      <c r="M933" s="765" t="s">
        <v>727</v>
      </c>
      <c r="N933" s="765">
        <v>11</v>
      </c>
      <c r="O933" s="765" t="s">
        <v>7</v>
      </c>
      <c r="P933" s="735">
        <v>1</v>
      </c>
      <c r="Q933" s="713" t="s">
        <v>58</v>
      </c>
      <c r="R933" s="713" t="s">
        <v>58</v>
      </c>
      <c r="S933" s="713" t="s">
        <v>58</v>
      </c>
      <c r="T933" s="713" t="s">
        <v>58</v>
      </c>
      <c r="U933" s="764">
        <v>1.365</v>
      </c>
      <c r="V933" s="764">
        <v>5079.165</v>
      </c>
      <c r="W933" s="764">
        <v>1.0705838587836465</v>
      </c>
      <c r="X933" s="764">
        <v>4196.2892352803965</v>
      </c>
      <c r="Y933" s="764">
        <v>46159.181588084364</v>
      </c>
      <c r="Z933" s="764">
        <v>43568.281194588308</v>
      </c>
      <c r="AA933" s="764">
        <v>3960.752835871664</v>
      </c>
      <c r="AB933" s="764">
        <v>1.0112129756433137</v>
      </c>
      <c r="AC933" s="714">
        <v>0.82617698682369967</v>
      </c>
      <c r="AD933" s="714">
        <v>0.7843105192554185</v>
      </c>
      <c r="AE933" s="713" t="s">
        <v>58</v>
      </c>
      <c r="AF933" s="713" t="s">
        <v>58</v>
      </c>
      <c r="AG933" s="713" t="s">
        <v>58</v>
      </c>
      <c r="AH933" s="714">
        <v>0.94387031345969796</v>
      </c>
      <c r="AI933" s="713" t="s">
        <v>58</v>
      </c>
      <c r="AJ933" s="713" t="s">
        <v>58</v>
      </c>
      <c r="AK933" s="713" t="s">
        <v>58</v>
      </c>
      <c r="AL933" s="714">
        <v>0.94454345387965444</v>
      </c>
      <c r="AM933" s="713" t="s">
        <v>58</v>
      </c>
      <c r="AN933" s="713" t="s">
        <v>58</v>
      </c>
      <c r="AO933" s="713" t="s">
        <v>58</v>
      </c>
      <c r="AP933" s="747">
        <v>47</v>
      </c>
      <c r="AQ933" s="747">
        <v>1410</v>
      </c>
      <c r="AR933" s="709"/>
      <c r="AS933" s="763">
        <v>0</v>
      </c>
      <c r="AT933" s="763">
        <v>0</v>
      </c>
      <c r="AU933" s="763">
        <v>0</v>
      </c>
      <c r="AV933" s="763">
        <v>1.0112129756433137</v>
      </c>
      <c r="AW933" s="763">
        <v>1.0112129756433137</v>
      </c>
      <c r="AX933" s="763">
        <v>1.0112129756433137</v>
      </c>
      <c r="AY933" s="763">
        <v>1.0112129756433137</v>
      </c>
      <c r="AZ933" s="763">
        <v>1.0112129756433137</v>
      </c>
      <c r="BA933" s="763">
        <v>1.0112129756433137</v>
      </c>
      <c r="BB933" s="763">
        <v>1.0112129756433137</v>
      </c>
      <c r="BC933" s="763">
        <v>1.0112129756433137</v>
      </c>
      <c r="BD933" s="763">
        <v>1.0112129756433137</v>
      </c>
      <c r="BE933" s="763">
        <v>1.0112129756433137</v>
      </c>
      <c r="BF933" s="763">
        <v>1.0112129756433137</v>
      </c>
      <c r="BG933" s="763">
        <v>0</v>
      </c>
      <c r="BH933" s="763">
        <v>0</v>
      </c>
      <c r="BI933" s="763">
        <v>0</v>
      </c>
      <c r="BJ933" s="763">
        <v>0</v>
      </c>
      <c r="BK933" s="763">
        <v>0</v>
      </c>
      <c r="BL933" s="763">
        <v>0</v>
      </c>
      <c r="BM933" s="763">
        <v>0</v>
      </c>
      <c r="BN933" s="763">
        <v>0</v>
      </c>
      <c r="BO933" s="763">
        <v>0</v>
      </c>
      <c r="BP933" s="763">
        <v>0</v>
      </c>
      <c r="BQ933" s="763">
        <v>0</v>
      </c>
      <c r="BR933" s="763">
        <v>0</v>
      </c>
      <c r="BS933" s="762">
        <v>0</v>
      </c>
      <c r="BT933" s="762">
        <v>0</v>
      </c>
      <c r="BU933" s="762">
        <v>0</v>
      </c>
      <c r="BV933" s="762">
        <v>3960.752835871664</v>
      </c>
      <c r="BW933" s="762">
        <v>3960.752835871664</v>
      </c>
      <c r="BX933" s="762">
        <v>3960.752835871664</v>
      </c>
      <c r="BY933" s="762">
        <v>3960.752835871664</v>
      </c>
      <c r="BZ933" s="762">
        <v>3960.752835871664</v>
      </c>
      <c r="CA933" s="762">
        <v>3960.752835871664</v>
      </c>
      <c r="CB933" s="762">
        <v>3960.752835871664</v>
      </c>
      <c r="CC933" s="762">
        <v>3960.752835871664</v>
      </c>
      <c r="CD933" s="762">
        <v>3960.752835871664</v>
      </c>
      <c r="CE933" s="762">
        <v>3960.752835871664</v>
      </c>
      <c r="CF933" s="762">
        <v>3960.752835871664</v>
      </c>
      <c r="CG933" s="762">
        <v>0</v>
      </c>
      <c r="CH933" s="762">
        <v>0</v>
      </c>
      <c r="CI933" s="762">
        <v>0</v>
      </c>
      <c r="CJ933" s="762">
        <v>0</v>
      </c>
      <c r="CK933" s="762">
        <v>0</v>
      </c>
      <c r="CL933" s="762">
        <v>0</v>
      </c>
      <c r="CM933" s="762">
        <v>0</v>
      </c>
      <c r="CN933" s="762">
        <v>0</v>
      </c>
      <c r="CO933" s="762">
        <v>0</v>
      </c>
      <c r="CP933" s="762">
        <v>0</v>
      </c>
      <c r="CQ933" s="762">
        <v>0</v>
      </c>
      <c r="CR933" s="762">
        <v>0</v>
      </c>
    </row>
    <row r="934" spans="1:96" s="53" customFormat="1">
      <c r="A934" s="721" t="s">
        <v>3</v>
      </c>
      <c r="B934" s="723">
        <v>41767</v>
      </c>
      <c r="C934" s="721">
        <v>2014</v>
      </c>
      <c r="D934" s="713" t="s">
        <v>1</v>
      </c>
      <c r="E934" s="713" t="s">
        <v>674</v>
      </c>
      <c r="F934" s="723" t="s">
        <v>685</v>
      </c>
      <c r="G934" s="713" t="s">
        <v>58</v>
      </c>
      <c r="H934" s="723" t="s">
        <v>677</v>
      </c>
      <c r="I934" s="713" t="s">
        <v>5</v>
      </c>
      <c r="J934" s="713" t="s">
        <v>376</v>
      </c>
      <c r="K934" s="766">
        <v>1</v>
      </c>
      <c r="L934" s="766" t="s">
        <v>671</v>
      </c>
      <c r="M934" s="765" t="s">
        <v>726</v>
      </c>
      <c r="N934" s="765">
        <v>0</v>
      </c>
      <c r="O934" s="765">
        <v>0</v>
      </c>
      <c r="P934" s="735">
        <v>0</v>
      </c>
      <c r="Q934" s="713" t="s">
        <v>58</v>
      </c>
      <c r="R934" s="713" t="s">
        <v>58</v>
      </c>
      <c r="S934" s="713" t="s">
        <v>58</v>
      </c>
      <c r="T934" s="713" t="s">
        <v>58</v>
      </c>
      <c r="U934" s="764">
        <v>0</v>
      </c>
      <c r="V934" s="764">
        <v>0</v>
      </c>
      <c r="W934" s="764">
        <v>0</v>
      </c>
      <c r="X934" s="764">
        <v>0</v>
      </c>
      <c r="Y934" s="764">
        <v>0</v>
      </c>
      <c r="Z934" s="764">
        <v>0</v>
      </c>
      <c r="AA934" s="764">
        <v>0</v>
      </c>
      <c r="AB934" s="764">
        <v>0</v>
      </c>
      <c r="AC934" s="714">
        <v>0.82617698682369967</v>
      </c>
      <c r="AD934" s="714">
        <v>0.7843105192554185</v>
      </c>
      <c r="AE934" s="713" t="s">
        <v>58</v>
      </c>
      <c r="AF934" s="713" t="s">
        <v>58</v>
      </c>
      <c r="AG934" s="713" t="s">
        <v>58</v>
      </c>
      <c r="AH934" s="714">
        <v>0.94387031345969796</v>
      </c>
      <c r="AI934" s="713" t="s">
        <v>58</v>
      </c>
      <c r="AJ934" s="713" t="s">
        <v>58</v>
      </c>
      <c r="AK934" s="713" t="s">
        <v>58</v>
      </c>
      <c r="AL934" s="714">
        <v>0.94454345387965444</v>
      </c>
      <c r="AM934" s="713" t="s">
        <v>58</v>
      </c>
      <c r="AN934" s="713" t="s">
        <v>58</v>
      </c>
      <c r="AO934" s="713" t="s">
        <v>58</v>
      </c>
      <c r="AP934" s="747">
        <v>51</v>
      </c>
      <c r="AQ934" s="747">
        <v>51</v>
      </c>
      <c r="AR934" s="709"/>
      <c r="AS934" s="763">
        <v>0</v>
      </c>
      <c r="AT934" s="763">
        <v>0</v>
      </c>
      <c r="AU934" s="763">
        <v>0</v>
      </c>
      <c r="AV934" s="763">
        <v>0</v>
      </c>
      <c r="AW934" s="763">
        <v>0</v>
      </c>
      <c r="AX934" s="763">
        <v>0</v>
      </c>
      <c r="AY934" s="763">
        <v>0</v>
      </c>
      <c r="AZ934" s="763">
        <v>0</v>
      </c>
      <c r="BA934" s="763">
        <v>0</v>
      </c>
      <c r="BB934" s="763">
        <v>0</v>
      </c>
      <c r="BC934" s="763">
        <v>0</v>
      </c>
      <c r="BD934" s="763">
        <v>0</v>
      </c>
      <c r="BE934" s="763">
        <v>0</v>
      </c>
      <c r="BF934" s="763">
        <v>0</v>
      </c>
      <c r="BG934" s="763">
        <v>0</v>
      </c>
      <c r="BH934" s="763">
        <v>0</v>
      </c>
      <c r="BI934" s="763">
        <v>0</v>
      </c>
      <c r="BJ934" s="763">
        <v>0</v>
      </c>
      <c r="BK934" s="763">
        <v>0</v>
      </c>
      <c r="BL934" s="763">
        <v>0</v>
      </c>
      <c r="BM934" s="763">
        <v>0</v>
      </c>
      <c r="BN934" s="763">
        <v>0</v>
      </c>
      <c r="BO934" s="763">
        <v>0</v>
      </c>
      <c r="BP934" s="763">
        <v>0</v>
      </c>
      <c r="BQ934" s="763">
        <v>0</v>
      </c>
      <c r="BR934" s="763">
        <v>0</v>
      </c>
      <c r="BS934" s="762">
        <v>0</v>
      </c>
      <c r="BT934" s="762">
        <v>0</v>
      </c>
      <c r="BU934" s="762">
        <v>0</v>
      </c>
      <c r="BV934" s="762">
        <v>0</v>
      </c>
      <c r="BW934" s="762">
        <v>0</v>
      </c>
      <c r="BX934" s="762">
        <v>0</v>
      </c>
      <c r="BY934" s="762">
        <v>0</v>
      </c>
      <c r="BZ934" s="762">
        <v>0</v>
      </c>
      <c r="CA934" s="762">
        <v>0</v>
      </c>
      <c r="CB934" s="762">
        <v>0</v>
      </c>
      <c r="CC934" s="762">
        <v>0</v>
      </c>
      <c r="CD934" s="762">
        <v>0</v>
      </c>
      <c r="CE934" s="762">
        <v>0</v>
      </c>
      <c r="CF934" s="762">
        <v>0</v>
      </c>
      <c r="CG934" s="762">
        <v>0</v>
      </c>
      <c r="CH934" s="762">
        <v>0</v>
      </c>
      <c r="CI934" s="762">
        <v>0</v>
      </c>
      <c r="CJ934" s="762">
        <v>0</v>
      </c>
      <c r="CK934" s="762">
        <v>0</v>
      </c>
      <c r="CL934" s="762">
        <v>0</v>
      </c>
      <c r="CM934" s="762">
        <v>0</v>
      </c>
      <c r="CN934" s="762">
        <v>0</v>
      </c>
      <c r="CO934" s="762">
        <v>0</v>
      </c>
      <c r="CP934" s="762">
        <v>0</v>
      </c>
      <c r="CQ934" s="762">
        <v>0</v>
      </c>
      <c r="CR934" s="762">
        <v>0</v>
      </c>
    </row>
    <row r="935" spans="1:96" s="53" customFormat="1">
      <c r="A935" s="721" t="s">
        <v>3</v>
      </c>
      <c r="B935" s="723">
        <v>41767</v>
      </c>
      <c r="C935" s="721">
        <v>2014</v>
      </c>
      <c r="D935" s="713" t="s">
        <v>1</v>
      </c>
      <c r="E935" s="713" t="s">
        <v>674</v>
      </c>
      <c r="F935" s="723" t="s">
        <v>685</v>
      </c>
      <c r="G935" s="713" t="s">
        <v>58</v>
      </c>
      <c r="H935" s="723" t="s">
        <v>684</v>
      </c>
      <c r="I935" s="713" t="s">
        <v>5</v>
      </c>
      <c r="J935" s="713" t="s">
        <v>376</v>
      </c>
      <c r="K935" s="766">
        <v>22</v>
      </c>
      <c r="L935" s="766" t="s">
        <v>671</v>
      </c>
      <c r="M935" s="765" t="s">
        <v>726</v>
      </c>
      <c r="N935" s="765">
        <v>11</v>
      </c>
      <c r="O935" s="765">
        <v>2</v>
      </c>
      <c r="P935" s="735">
        <v>0.43976996379393668</v>
      </c>
      <c r="Q935" s="713" t="s">
        <v>58</v>
      </c>
      <c r="R935" s="713" t="s">
        <v>58</v>
      </c>
      <c r="S935" s="713" t="s">
        <v>58</v>
      </c>
      <c r="T935" s="713" t="s">
        <v>58</v>
      </c>
      <c r="U935" s="764">
        <v>1.496</v>
      </c>
      <c r="V935" s="764">
        <v>7218.2</v>
      </c>
      <c r="W935" s="764">
        <v>1.1733285368061064</v>
      </c>
      <c r="X935" s="764">
        <v>5963.5107262908286</v>
      </c>
      <c r="Y935" s="764">
        <v>35530.177518252691</v>
      </c>
      <c r="Z935" s="764">
        <v>33535.879791431878</v>
      </c>
      <c r="AA935" s="764">
        <v>5628.7807385443957</v>
      </c>
      <c r="AB935" s="764">
        <v>1.1082597886904009</v>
      </c>
      <c r="AC935" s="714">
        <v>0.82617698682369967</v>
      </c>
      <c r="AD935" s="714">
        <v>0.7843105192554185</v>
      </c>
      <c r="AE935" s="713" t="s">
        <v>58</v>
      </c>
      <c r="AF935" s="713" t="s">
        <v>58</v>
      </c>
      <c r="AG935" s="713" t="s">
        <v>58</v>
      </c>
      <c r="AH935" s="714">
        <v>0.94387031345969796</v>
      </c>
      <c r="AI935" s="713" t="s">
        <v>58</v>
      </c>
      <c r="AJ935" s="713" t="s">
        <v>58</v>
      </c>
      <c r="AK935" s="713" t="s">
        <v>58</v>
      </c>
      <c r="AL935" s="714">
        <v>0.94454345387965444</v>
      </c>
      <c r="AM935" s="713" t="s">
        <v>58</v>
      </c>
      <c r="AN935" s="713" t="s">
        <v>58</v>
      </c>
      <c r="AO935" s="713" t="s">
        <v>58</v>
      </c>
      <c r="AP935" s="747">
        <v>48</v>
      </c>
      <c r="AQ935" s="747">
        <v>1056</v>
      </c>
      <c r="AR935" s="709"/>
      <c r="AS935" s="763">
        <v>0</v>
      </c>
      <c r="AT935" s="763">
        <v>0</v>
      </c>
      <c r="AU935" s="763">
        <v>0</v>
      </c>
      <c r="AV935" s="763">
        <v>1.1082597886904009</v>
      </c>
      <c r="AW935" s="763">
        <v>1.1082597886904009</v>
      </c>
      <c r="AX935" s="763">
        <v>0.48737936714665353</v>
      </c>
      <c r="AY935" s="763">
        <v>0.48737936714665353</v>
      </c>
      <c r="AZ935" s="763">
        <v>0.48737936714665353</v>
      </c>
      <c r="BA935" s="763">
        <v>0.48737936714665353</v>
      </c>
      <c r="BB935" s="763">
        <v>0.48737936714665353</v>
      </c>
      <c r="BC935" s="763">
        <v>0.48737936714665353</v>
      </c>
      <c r="BD935" s="763">
        <v>0.48737936714665353</v>
      </c>
      <c r="BE935" s="763">
        <v>0.48737936714665353</v>
      </c>
      <c r="BF935" s="763">
        <v>0.48737936714665353</v>
      </c>
      <c r="BG935" s="763">
        <v>0</v>
      </c>
      <c r="BH935" s="763">
        <v>0</v>
      </c>
      <c r="BI935" s="763">
        <v>0</v>
      </c>
      <c r="BJ935" s="763">
        <v>0</v>
      </c>
      <c r="BK935" s="763">
        <v>0</v>
      </c>
      <c r="BL935" s="763">
        <v>0</v>
      </c>
      <c r="BM935" s="763">
        <v>0</v>
      </c>
      <c r="BN935" s="763">
        <v>0</v>
      </c>
      <c r="BO935" s="763">
        <v>0</v>
      </c>
      <c r="BP935" s="763">
        <v>0</v>
      </c>
      <c r="BQ935" s="763">
        <v>0</v>
      </c>
      <c r="BR935" s="763">
        <v>0</v>
      </c>
      <c r="BS935" s="762">
        <v>0</v>
      </c>
      <c r="BT935" s="762">
        <v>0</v>
      </c>
      <c r="BU935" s="762">
        <v>0</v>
      </c>
      <c r="BV935" s="762">
        <v>5628.7807385443957</v>
      </c>
      <c r="BW935" s="762">
        <v>5628.7807385443957</v>
      </c>
      <c r="BX935" s="762">
        <v>2475.3687015936771</v>
      </c>
      <c r="BY935" s="762">
        <v>2475.3687015936771</v>
      </c>
      <c r="BZ935" s="762">
        <v>2475.3687015936771</v>
      </c>
      <c r="CA935" s="762">
        <v>2475.3687015936771</v>
      </c>
      <c r="CB935" s="762">
        <v>2475.3687015936771</v>
      </c>
      <c r="CC935" s="762">
        <v>2475.3687015936771</v>
      </c>
      <c r="CD935" s="762">
        <v>2475.3687015936771</v>
      </c>
      <c r="CE935" s="762">
        <v>2475.3687015936771</v>
      </c>
      <c r="CF935" s="762">
        <v>2475.3687015936771</v>
      </c>
      <c r="CG935" s="762">
        <v>0</v>
      </c>
      <c r="CH935" s="762">
        <v>0</v>
      </c>
      <c r="CI935" s="762">
        <v>0</v>
      </c>
      <c r="CJ935" s="762">
        <v>0</v>
      </c>
      <c r="CK935" s="762">
        <v>0</v>
      </c>
      <c r="CL935" s="762">
        <v>0</v>
      </c>
      <c r="CM935" s="762">
        <v>0</v>
      </c>
      <c r="CN935" s="762">
        <v>0</v>
      </c>
      <c r="CO935" s="762">
        <v>0</v>
      </c>
      <c r="CP935" s="762">
        <v>0</v>
      </c>
      <c r="CQ935" s="762">
        <v>0</v>
      </c>
      <c r="CR935" s="762">
        <v>0</v>
      </c>
    </row>
    <row r="936" spans="1:96" s="53" customFormat="1">
      <c r="A936" s="721" t="s">
        <v>3</v>
      </c>
      <c r="B936" s="723">
        <v>41798</v>
      </c>
      <c r="C936" s="721">
        <v>2014</v>
      </c>
      <c r="D936" s="713" t="s">
        <v>1</v>
      </c>
      <c r="E936" s="713" t="s">
        <v>674</v>
      </c>
      <c r="F936" s="723" t="s">
        <v>689</v>
      </c>
      <c r="G936" s="713" t="s">
        <v>58</v>
      </c>
      <c r="H936" s="723" t="s">
        <v>677</v>
      </c>
      <c r="I936" s="713" t="s">
        <v>5</v>
      </c>
      <c r="J936" s="713" t="s">
        <v>376</v>
      </c>
      <c r="K936" s="766">
        <v>1</v>
      </c>
      <c r="L936" s="766" t="s">
        <v>671</v>
      </c>
      <c r="M936" s="765" t="s">
        <v>725</v>
      </c>
      <c r="N936" s="765">
        <v>0</v>
      </c>
      <c r="O936" s="765">
        <v>0</v>
      </c>
      <c r="P936" s="735">
        <v>0</v>
      </c>
      <c r="Q936" s="713" t="s">
        <v>58</v>
      </c>
      <c r="R936" s="713" t="s">
        <v>58</v>
      </c>
      <c r="S936" s="713" t="s">
        <v>58</v>
      </c>
      <c r="T936" s="713" t="s">
        <v>58</v>
      </c>
      <c r="U936" s="764">
        <v>0</v>
      </c>
      <c r="V936" s="764">
        <v>0</v>
      </c>
      <c r="W936" s="764">
        <v>0</v>
      </c>
      <c r="X936" s="764">
        <v>0</v>
      </c>
      <c r="Y936" s="764">
        <v>0</v>
      </c>
      <c r="Z936" s="764">
        <v>0</v>
      </c>
      <c r="AA936" s="764">
        <v>0</v>
      </c>
      <c r="AB936" s="764">
        <v>0</v>
      </c>
      <c r="AC936" s="714">
        <v>0.82617698682369967</v>
      </c>
      <c r="AD936" s="714">
        <v>0.7843105192554185</v>
      </c>
      <c r="AE936" s="713" t="s">
        <v>58</v>
      </c>
      <c r="AF936" s="713" t="s">
        <v>58</v>
      </c>
      <c r="AG936" s="713" t="s">
        <v>58</v>
      </c>
      <c r="AH936" s="714">
        <v>0.94387031345969796</v>
      </c>
      <c r="AI936" s="713" t="s">
        <v>58</v>
      </c>
      <c r="AJ936" s="713" t="s">
        <v>58</v>
      </c>
      <c r="AK936" s="713" t="s">
        <v>58</v>
      </c>
      <c r="AL936" s="714">
        <v>0.94454345387965444</v>
      </c>
      <c r="AM936" s="713" t="s">
        <v>58</v>
      </c>
      <c r="AN936" s="713" t="s">
        <v>58</v>
      </c>
      <c r="AO936" s="713" t="s">
        <v>58</v>
      </c>
      <c r="AP936" s="747">
        <v>51</v>
      </c>
      <c r="AQ936" s="747">
        <v>51</v>
      </c>
      <c r="AR936" s="709"/>
      <c r="AS936" s="763">
        <v>0</v>
      </c>
      <c r="AT936" s="763">
        <v>0</v>
      </c>
      <c r="AU936" s="763">
        <v>0</v>
      </c>
      <c r="AV936" s="763">
        <v>0</v>
      </c>
      <c r="AW936" s="763">
        <v>0</v>
      </c>
      <c r="AX936" s="763">
        <v>0</v>
      </c>
      <c r="AY936" s="763">
        <v>0</v>
      </c>
      <c r="AZ936" s="763">
        <v>0</v>
      </c>
      <c r="BA936" s="763">
        <v>0</v>
      </c>
      <c r="BB936" s="763">
        <v>0</v>
      </c>
      <c r="BC936" s="763">
        <v>0</v>
      </c>
      <c r="BD936" s="763">
        <v>0</v>
      </c>
      <c r="BE936" s="763">
        <v>0</v>
      </c>
      <c r="BF936" s="763">
        <v>0</v>
      </c>
      <c r="BG936" s="763">
        <v>0</v>
      </c>
      <c r="BH936" s="763">
        <v>0</v>
      </c>
      <c r="BI936" s="763">
        <v>0</v>
      </c>
      <c r="BJ936" s="763">
        <v>0</v>
      </c>
      <c r="BK936" s="763">
        <v>0</v>
      </c>
      <c r="BL936" s="763">
        <v>0</v>
      </c>
      <c r="BM936" s="763">
        <v>0</v>
      </c>
      <c r="BN936" s="763">
        <v>0</v>
      </c>
      <c r="BO936" s="763">
        <v>0</v>
      </c>
      <c r="BP936" s="763">
        <v>0</v>
      </c>
      <c r="BQ936" s="763">
        <v>0</v>
      </c>
      <c r="BR936" s="763">
        <v>0</v>
      </c>
      <c r="BS936" s="762">
        <v>0</v>
      </c>
      <c r="BT936" s="762">
        <v>0</v>
      </c>
      <c r="BU936" s="762">
        <v>0</v>
      </c>
      <c r="BV936" s="762">
        <v>0</v>
      </c>
      <c r="BW936" s="762">
        <v>0</v>
      </c>
      <c r="BX936" s="762">
        <v>0</v>
      </c>
      <c r="BY936" s="762">
        <v>0</v>
      </c>
      <c r="BZ936" s="762">
        <v>0</v>
      </c>
      <c r="CA936" s="762">
        <v>0</v>
      </c>
      <c r="CB936" s="762">
        <v>0</v>
      </c>
      <c r="CC936" s="762">
        <v>0</v>
      </c>
      <c r="CD936" s="762">
        <v>0</v>
      </c>
      <c r="CE936" s="762">
        <v>0</v>
      </c>
      <c r="CF936" s="762">
        <v>0</v>
      </c>
      <c r="CG936" s="762">
        <v>0</v>
      </c>
      <c r="CH936" s="762">
        <v>0</v>
      </c>
      <c r="CI936" s="762">
        <v>0</v>
      </c>
      <c r="CJ936" s="762">
        <v>0</v>
      </c>
      <c r="CK936" s="762">
        <v>0</v>
      </c>
      <c r="CL936" s="762">
        <v>0</v>
      </c>
      <c r="CM936" s="762">
        <v>0</v>
      </c>
      <c r="CN936" s="762">
        <v>0</v>
      </c>
      <c r="CO936" s="762">
        <v>0</v>
      </c>
      <c r="CP936" s="762">
        <v>0</v>
      </c>
      <c r="CQ936" s="762">
        <v>0</v>
      </c>
      <c r="CR936" s="762">
        <v>0</v>
      </c>
    </row>
    <row r="937" spans="1:96" s="53" customFormat="1">
      <c r="A937" s="721" t="s">
        <v>3</v>
      </c>
      <c r="B937" s="723">
        <v>41798</v>
      </c>
      <c r="C937" s="721">
        <v>2014</v>
      </c>
      <c r="D937" s="713" t="s">
        <v>1</v>
      </c>
      <c r="E937" s="713" t="s">
        <v>674</v>
      </c>
      <c r="F937" s="723" t="s">
        <v>689</v>
      </c>
      <c r="G937" s="713" t="s">
        <v>58</v>
      </c>
      <c r="H937" s="723" t="s">
        <v>676</v>
      </c>
      <c r="I937" s="713" t="s">
        <v>5</v>
      </c>
      <c r="J937" s="713" t="s">
        <v>376</v>
      </c>
      <c r="K937" s="766">
        <v>7</v>
      </c>
      <c r="L937" s="766" t="s">
        <v>671</v>
      </c>
      <c r="M937" s="765" t="s">
        <v>725</v>
      </c>
      <c r="N937" s="765">
        <v>12</v>
      </c>
      <c r="O937" s="765">
        <v>3</v>
      </c>
      <c r="P937" s="735">
        <v>0.31578947368421051</v>
      </c>
      <c r="Q937" s="713" t="s">
        <v>58</v>
      </c>
      <c r="R937" s="713" t="s">
        <v>58</v>
      </c>
      <c r="S937" s="713" t="s">
        <v>58</v>
      </c>
      <c r="T937" s="713" t="s">
        <v>58</v>
      </c>
      <c r="U937" s="764">
        <v>0.26600000000000001</v>
      </c>
      <c r="V937" s="764">
        <v>865.298</v>
      </c>
      <c r="W937" s="764">
        <v>0.20862659812194137</v>
      </c>
      <c r="X937" s="764">
        <v>714.88929434457373</v>
      </c>
      <c r="Y937" s="764">
        <v>4176.4585090656674</v>
      </c>
      <c r="Z937" s="764">
        <v>3942.0352021032345</v>
      </c>
      <c r="AA937" s="764">
        <v>674.76278234199503</v>
      </c>
      <c r="AB937" s="764">
        <v>0.19705688756126113</v>
      </c>
      <c r="AC937" s="714">
        <v>0.82617698682369967</v>
      </c>
      <c r="AD937" s="714">
        <v>0.7843105192554185</v>
      </c>
      <c r="AE937" s="713" t="s">
        <v>58</v>
      </c>
      <c r="AF937" s="713" t="s">
        <v>58</v>
      </c>
      <c r="AG937" s="713" t="s">
        <v>58</v>
      </c>
      <c r="AH937" s="714">
        <v>0.94387031345969796</v>
      </c>
      <c r="AI937" s="713" t="s">
        <v>58</v>
      </c>
      <c r="AJ937" s="713" t="s">
        <v>58</v>
      </c>
      <c r="AK937" s="713" t="s">
        <v>58</v>
      </c>
      <c r="AL937" s="714">
        <v>0.94454345387965444</v>
      </c>
      <c r="AM937" s="713" t="s">
        <v>58</v>
      </c>
      <c r="AN937" s="713" t="s">
        <v>58</v>
      </c>
      <c r="AO937" s="713" t="s">
        <v>58</v>
      </c>
      <c r="AP937" s="747">
        <v>57</v>
      </c>
      <c r="AQ937" s="747">
        <v>399</v>
      </c>
      <c r="AR937" s="709"/>
      <c r="AS937" s="763">
        <v>0</v>
      </c>
      <c r="AT937" s="763">
        <v>0</v>
      </c>
      <c r="AU937" s="763">
        <v>0</v>
      </c>
      <c r="AV937" s="763">
        <v>0.19705688756126113</v>
      </c>
      <c r="AW937" s="763">
        <v>0.19705688756126113</v>
      </c>
      <c r="AX937" s="763">
        <v>0.19705688756126113</v>
      </c>
      <c r="AY937" s="763">
        <v>6.2228490808819301E-2</v>
      </c>
      <c r="AZ937" s="763">
        <v>6.2228490808819301E-2</v>
      </c>
      <c r="BA937" s="763">
        <v>6.2228490808819301E-2</v>
      </c>
      <c r="BB937" s="763">
        <v>6.2228490808819301E-2</v>
      </c>
      <c r="BC937" s="763">
        <v>6.2228490808819301E-2</v>
      </c>
      <c r="BD937" s="763">
        <v>6.2228490808819301E-2</v>
      </c>
      <c r="BE937" s="763">
        <v>6.2228490808819301E-2</v>
      </c>
      <c r="BF937" s="763">
        <v>6.2228490808819301E-2</v>
      </c>
      <c r="BG937" s="763">
        <v>6.2228490808819301E-2</v>
      </c>
      <c r="BH937" s="763">
        <v>0</v>
      </c>
      <c r="BI937" s="763">
        <v>0</v>
      </c>
      <c r="BJ937" s="763">
        <v>0</v>
      </c>
      <c r="BK937" s="763">
        <v>0</v>
      </c>
      <c r="BL937" s="763">
        <v>0</v>
      </c>
      <c r="BM937" s="763">
        <v>0</v>
      </c>
      <c r="BN937" s="763">
        <v>0</v>
      </c>
      <c r="BO937" s="763">
        <v>0</v>
      </c>
      <c r="BP937" s="763">
        <v>0</v>
      </c>
      <c r="BQ937" s="763">
        <v>0</v>
      </c>
      <c r="BR937" s="763">
        <v>0</v>
      </c>
      <c r="BS937" s="762">
        <v>0</v>
      </c>
      <c r="BT937" s="762">
        <v>0</v>
      </c>
      <c r="BU937" s="762">
        <v>0</v>
      </c>
      <c r="BV937" s="762">
        <v>674.76278234199503</v>
      </c>
      <c r="BW937" s="762">
        <v>674.76278234199503</v>
      </c>
      <c r="BX937" s="762">
        <v>674.76278234199503</v>
      </c>
      <c r="BY937" s="762">
        <v>213.0829838974721</v>
      </c>
      <c r="BZ937" s="762">
        <v>213.0829838974721</v>
      </c>
      <c r="CA937" s="762">
        <v>213.0829838974721</v>
      </c>
      <c r="CB937" s="762">
        <v>213.0829838974721</v>
      </c>
      <c r="CC937" s="762">
        <v>213.0829838974721</v>
      </c>
      <c r="CD937" s="762">
        <v>213.0829838974721</v>
      </c>
      <c r="CE937" s="762">
        <v>213.0829838974721</v>
      </c>
      <c r="CF937" s="762">
        <v>213.0829838974721</v>
      </c>
      <c r="CG937" s="762">
        <v>213.0829838974721</v>
      </c>
      <c r="CH937" s="762">
        <v>0</v>
      </c>
      <c r="CI937" s="762">
        <v>0</v>
      </c>
      <c r="CJ937" s="762">
        <v>0</v>
      </c>
      <c r="CK937" s="762">
        <v>0</v>
      </c>
      <c r="CL937" s="762">
        <v>0</v>
      </c>
      <c r="CM937" s="762">
        <v>0</v>
      </c>
      <c r="CN937" s="762">
        <v>0</v>
      </c>
      <c r="CO937" s="762">
        <v>0</v>
      </c>
      <c r="CP937" s="762">
        <v>0</v>
      </c>
      <c r="CQ937" s="762">
        <v>0</v>
      </c>
      <c r="CR937" s="762">
        <v>0</v>
      </c>
    </row>
    <row r="938" spans="1:96" s="53" customFormat="1">
      <c r="A938" s="721" t="s">
        <v>3</v>
      </c>
      <c r="B938" s="723">
        <v>41798</v>
      </c>
      <c r="C938" s="721">
        <v>2014</v>
      </c>
      <c r="D938" s="713" t="s">
        <v>1</v>
      </c>
      <c r="E938" s="713" t="s">
        <v>674</v>
      </c>
      <c r="F938" s="723" t="s">
        <v>689</v>
      </c>
      <c r="G938" s="713" t="s">
        <v>58</v>
      </c>
      <c r="H938" s="723" t="s">
        <v>693</v>
      </c>
      <c r="I938" s="713" t="s">
        <v>5</v>
      </c>
      <c r="J938" s="713" t="s">
        <v>376</v>
      </c>
      <c r="K938" s="766">
        <v>2</v>
      </c>
      <c r="L938" s="766" t="s">
        <v>671</v>
      </c>
      <c r="M938" s="765" t="s">
        <v>725</v>
      </c>
      <c r="N938" s="765">
        <v>11</v>
      </c>
      <c r="O938" s="765" t="s">
        <v>7</v>
      </c>
      <c r="P938" s="735">
        <v>1</v>
      </c>
      <c r="Q938" s="713" t="s">
        <v>58</v>
      </c>
      <c r="R938" s="713" t="s">
        <v>58</v>
      </c>
      <c r="S938" s="713" t="s">
        <v>58</v>
      </c>
      <c r="T938" s="713" t="s">
        <v>58</v>
      </c>
      <c r="U938" s="764">
        <v>0.14299999999999999</v>
      </c>
      <c r="V938" s="764">
        <v>532.10299999999995</v>
      </c>
      <c r="W938" s="764">
        <v>0.11215640425352486</v>
      </c>
      <c r="X938" s="764">
        <v>439.61125321985099</v>
      </c>
      <c r="Y938" s="764">
        <v>4835.7237854183613</v>
      </c>
      <c r="Z938" s="764">
        <v>4564.2961251473462</v>
      </c>
      <c r="AA938" s="764">
        <v>414.93601137703143</v>
      </c>
      <c r="AB938" s="764">
        <v>0.10593659744834713</v>
      </c>
      <c r="AC938" s="714">
        <v>0.82617698682369967</v>
      </c>
      <c r="AD938" s="714">
        <v>0.7843105192554185</v>
      </c>
      <c r="AE938" s="713" t="s">
        <v>58</v>
      </c>
      <c r="AF938" s="713" t="s">
        <v>58</v>
      </c>
      <c r="AG938" s="713" t="s">
        <v>58</v>
      </c>
      <c r="AH938" s="714">
        <v>0.94387031345969796</v>
      </c>
      <c r="AI938" s="713" t="s">
        <v>58</v>
      </c>
      <c r="AJ938" s="713" t="s">
        <v>58</v>
      </c>
      <c r="AK938" s="713" t="s">
        <v>58</v>
      </c>
      <c r="AL938" s="714">
        <v>0.94454345387965444</v>
      </c>
      <c r="AM938" s="713" t="s">
        <v>58</v>
      </c>
      <c r="AN938" s="713" t="s">
        <v>58</v>
      </c>
      <c r="AO938" s="713" t="s">
        <v>58</v>
      </c>
      <c r="AP938" s="747">
        <v>52</v>
      </c>
      <c r="AQ938" s="747">
        <v>104</v>
      </c>
      <c r="AR938" s="709"/>
      <c r="AS938" s="763">
        <v>0</v>
      </c>
      <c r="AT938" s="763">
        <v>0</v>
      </c>
      <c r="AU938" s="763">
        <v>0</v>
      </c>
      <c r="AV938" s="763">
        <v>0.10593659744834713</v>
      </c>
      <c r="AW938" s="763">
        <v>0.10593659744834713</v>
      </c>
      <c r="AX938" s="763">
        <v>0.10593659744834713</v>
      </c>
      <c r="AY938" s="763">
        <v>0.10593659744834713</v>
      </c>
      <c r="AZ938" s="763">
        <v>0.10593659744834713</v>
      </c>
      <c r="BA938" s="763">
        <v>0.10593659744834713</v>
      </c>
      <c r="BB938" s="763">
        <v>0.10593659744834713</v>
      </c>
      <c r="BC938" s="763">
        <v>0.10593659744834713</v>
      </c>
      <c r="BD938" s="763">
        <v>0.10593659744834713</v>
      </c>
      <c r="BE938" s="763">
        <v>0.10593659744834713</v>
      </c>
      <c r="BF938" s="763">
        <v>0.10593659744834713</v>
      </c>
      <c r="BG938" s="763">
        <v>0</v>
      </c>
      <c r="BH938" s="763">
        <v>0</v>
      </c>
      <c r="BI938" s="763">
        <v>0</v>
      </c>
      <c r="BJ938" s="763">
        <v>0</v>
      </c>
      <c r="BK938" s="763">
        <v>0</v>
      </c>
      <c r="BL938" s="763">
        <v>0</v>
      </c>
      <c r="BM938" s="763">
        <v>0</v>
      </c>
      <c r="BN938" s="763">
        <v>0</v>
      </c>
      <c r="BO938" s="763">
        <v>0</v>
      </c>
      <c r="BP938" s="763">
        <v>0</v>
      </c>
      <c r="BQ938" s="763">
        <v>0</v>
      </c>
      <c r="BR938" s="763">
        <v>0</v>
      </c>
      <c r="BS938" s="762">
        <v>0</v>
      </c>
      <c r="BT938" s="762">
        <v>0</v>
      </c>
      <c r="BU938" s="762">
        <v>0</v>
      </c>
      <c r="BV938" s="762">
        <v>414.93601137703143</v>
      </c>
      <c r="BW938" s="762">
        <v>414.93601137703143</v>
      </c>
      <c r="BX938" s="762">
        <v>414.93601137703143</v>
      </c>
      <c r="BY938" s="762">
        <v>414.93601137703143</v>
      </c>
      <c r="BZ938" s="762">
        <v>414.93601137703143</v>
      </c>
      <c r="CA938" s="762">
        <v>414.93601137703143</v>
      </c>
      <c r="CB938" s="762">
        <v>414.93601137703143</v>
      </c>
      <c r="CC938" s="762">
        <v>414.93601137703143</v>
      </c>
      <c r="CD938" s="762">
        <v>414.93601137703143</v>
      </c>
      <c r="CE938" s="762">
        <v>414.93601137703143</v>
      </c>
      <c r="CF938" s="762">
        <v>414.93601137703143</v>
      </c>
      <c r="CG938" s="762">
        <v>0</v>
      </c>
      <c r="CH938" s="762">
        <v>0</v>
      </c>
      <c r="CI938" s="762">
        <v>0</v>
      </c>
      <c r="CJ938" s="762">
        <v>0</v>
      </c>
      <c r="CK938" s="762">
        <v>0</v>
      </c>
      <c r="CL938" s="762">
        <v>0</v>
      </c>
      <c r="CM938" s="762">
        <v>0</v>
      </c>
      <c r="CN938" s="762">
        <v>0</v>
      </c>
      <c r="CO938" s="762">
        <v>0</v>
      </c>
      <c r="CP938" s="762">
        <v>0</v>
      </c>
      <c r="CQ938" s="762">
        <v>0</v>
      </c>
      <c r="CR938" s="762">
        <v>0</v>
      </c>
    </row>
    <row r="939" spans="1:96" s="53" customFormat="1">
      <c r="A939" s="721" t="s">
        <v>3</v>
      </c>
      <c r="B939" s="723">
        <v>41798</v>
      </c>
      <c r="C939" s="721">
        <v>2014</v>
      </c>
      <c r="D939" s="713" t="s">
        <v>1</v>
      </c>
      <c r="E939" s="713" t="s">
        <v>674</v>
      </c>
      <c r="F939" s="723" t="s">
        <v>689</v>
      </c>
      <c r="G939" s="713" t="s">
        <v>58</v>
      </c>
      <c r="H939" s="723" t="s">
        <v>680</v>
      </c>
      <c r="I939" s="713" t="s">
        <v>5</v>
      </c>
      <c r="J939" s="713" t="s">
        <v>376</v>
      </c>
      <c r="K939" s="766">
        <v>3</v>
      </c>
      <c r="L939" s="766" t="s">
        <v>671</v>
      </c>
      <c r="M939" s="765" t="s">
        <v>725</v>
      </c>
      <c r="N939" s="765">
        <v>11</v>
      </c>
      <c r="O939" s="765" t="s">
        <v>7</v>
      </c>
      <c r="P939" s="735">
        <v>1</v>
      </c>
      <c r="Q939" s="713" t="s">
        <v>58</v>
      </c>
      <c r="R939" s="713" t="s">
        <v>58</v>
      </c>
      <c r="S939" s="713" t="s">
        <v>58</v>
      </c>
      <c r="T939" s="713" t="s">
        <v>58</v>
      </c>
      <c r="U939" s="764">
        <v>0.1545</v>
      </c>
      <c r="V939" s="764">
        <v>574.89449999999999</v>
      </c>
      <c r="W939" s="764">
        <v>0.12117597522496218</v>
      </c>
      <c r="X939" s="764">
        <v>474.96460575151741</v>
      </c>
      <c r="Y939" s="764">
        <v>5224.6106632666915</v>
      </c>
      <c r="Z939" s="764">
        <v>4931.3549044424126</v>
      </c>
      <c r="AA939" s="764">
        <v>448.30499131294658</v>
      </c>
      <c r="AB939" s="764">
        <v>0.11445597416622122</v>
      </c>
      <c r="AC939" s="714">
        <v>0.82617698682369967</v>
      </c>
      <c r="AD939" s="714">
        <v>0.7843105192554185</v>
      </c>
      <c r="AE939" s="713" t="s">
        <v>58</v>
      </c>
      <c r="AF939" s="713" t="s">
        <v>58</v>
      </c>
      <c r="AG939" s="713" t="s">
        <v>58</v>
      </c>
      <c r="AH939" s="714">
        <v>0.94387031345969796</v>
      </c>
      <c r="AI939" s="713" t="s">
        <v>58</v>
      </c>
      <c r="AJ939" s="713" t="s">
        <v>58</v>
      </c>
      <c r="AK939" s="713" t="s">
        <v>58</v>
      </c>
      <c r="AL939" s="714">
        <v>0.94454345387965444</v>
      </c>
      <c r="AM939" s="713" t="s">
        <v>58</v>
      </c>
      <c r="AN939" s="713" t="s">
        <v>58</v>
      </c>
      <c r="AO939" s="713" t="s">
        <v>58</v>
      </c>
      <c r="AP939" s="747">
        <v>52</v>
      </c>
      <c r="AQ939" s="747">
        <v>156</v>
      </c>
      <c r="AR939" s="709"/>
      <c r="AS939" s="763">
        <v>0</v>
      </c>
      <c r="AT939" s="763">
        <v>0</v>
      </c>
      <c r="AU939" s="763">
        <v>0</v>
      </c>
      <c r="AV939" s="763">
        <v>0.11445597416622122</v>
      </c>
      <c r="AW939" s="763">
        <v>0.11445597416622122</v>
      </c>
      <c r="AX939" s="763">
        <v>0.11445597416622122</v>
      </c>
      <c r="AY939" s="763">
        <v>0.11445597416622122</v>
      </c>
      <c r="AZ939" s="763">
        <v>0.11445597416622122</v>
      </c>
      <c r="BA939" s="763">
        <v>0.11445597416622122</v>
      </c>
      <c r="BB939" s="763">
        <v>0.11445597416622122</v>
      </c>
      <c r="BC939" s="763">
        <v>0.11445597416622122</v>
      </c>
      <c r="BD939" s="763">
        <v>0.11445597416622122</v>
      </c>
      <c r="BE939" s="763">
        <v>0.11445597416622122</v>
      </c>
      <c r="BF939" s="763">
        <v>0.11445597416622122</v>
      </c>
      <c r="BG939" s="763">
        <v>0</v>
      </c>
      <c r="BH939" s="763">
        <v>0</v>
      </c>
      <c r="BI939" s="763">
        <v>0</v>
      </c>
      <c r="BJ939" s="763">
        <v>0</v>
      </c>
      <c r="BK939" s="763">
        <v>0</v>
      </c>
      <c r="BL939" s="763">
        <v>0</v>
      </c>
      <c r="BM939" s="763">
        <v>0</v>
      </c>
      <c r="BN939" s="763">
        <v>0</v>
      </c>
      <c r="BO939" s="763">
        <v>0</v>
      </c>
      <c r="BP939" s="763">
        <v>0</v>
      </c>
      <c r="BQ939" s="763">
        <v>0</v>
      </c>
      <c r="BR939" s="763">
        <v>0</v>
      </c>
      <c r="BS939" s="762">
        <v>0</v>
      </c>
      <c r="BT939" s="762">
        <v>0</v>
      </c>
      <c r="BU939" s="762">
        <v>0</v>
      </c>
      <c r="BV939" s="762">
        <v>448.30499131294658</v>
      </c>
      <c r="BW939" s="762">
        <v>448.30499131294658</v>
      </c>
      <c r="BX939" s="762">
        <v>448.30499131294658</v>
      </c>
      <c r="BY939" s="762">
        <v>448.30499131294658</v>
      </c>
      <c r="BZ939" s="762">
        <v>448.30499131294658</v>
      </c>
      <c r="CA939" s="762">
        <v>448.30499131294658</v>
      </c>
      <c r="CB939" s="762">
        <v>448.30499131294658</v>
      </c>
      <c r="CC939" s="762">
        <v>448.30499131294658</v>
      </c>
      <c r="CD939" s="762">
        <v>448.30499131294658</v>
      </c>
      <c r="CE939" s="762">
        <v>448.30499131294658</v>
      </c>
      <c r="CF939" s="762">
        <v>448.30499131294658</v>
      </c>
      <c r="CG939" s="762">
        <v>0</v>
      </c>
      <c r="CH939" s="762">
        <v>0</v>
      </c>
      <c r="CI939" s="762">
        <v>0</v>
      </c>
      <c r="CJ939" s="762">
        <v>0</v>
      </c>
      <c r="CK939" s="762">
        <v>0</v>
      </c>
      <c r="CL939" s="762">
        <v>0</v>
      </c>
      <c r="CM939" s="762">
        <v>0</v>
      </c>
      <c r="CN939" s="762">
        <v>0</v>
      </c>
      <c r="CO939" s="762">
        <v>0</v>
      </c>
      <c r="CP939" s="762">
        <v>0</v>
      </c>
      <c r="CQ939" s="762">
        <v>0</v>
      </c>
      <c r="CR939" s="762">
        <v>0</v>
      </c>
    </row>
    <row r="940" spans="1:96" s="53" customFormat="1">
      <c r="A940" s="721" t="s">
        <v>3</v>
      </c>
      <c r="B940" s="723">
        <v>41798</v>
      </c>
      <c r="C940" s="721">
        <v>2014</v>
      </c>
      <c r="D940" s="713" t="s">
        <v>1</v>
      </c>
      <c r="E940" s="713" t="s">
        <v>674</v>
      </c>
      <c r="F940" s="723" t="s">
        <v>689</v>
      </c>
      <c r="G940" s="713" t="s">
        <v>58</v>
      </c>
      <c r="H940" s="723" t="s">
        <v>688</v>
      </c>
      <c r="I940" s="713" t="s">
        <v>5</v>
      </c>
      <c r="J940" s="713" t="s">
        <v>376</v>
      </c>
      <c r="K940" s="766">
        <v>3</v>
      </c>
      <c r="L940" s="766" t="s">
        <v>671</v>
      </c>
      <c r="M940" s="765" t="s">
        <v>725</v>
      </c>
      <c r="N940" s="765">
        <v>11</v>
      </c>
      <c r="O940" s="765" t="s">
        <v>7</v>
      </c>
      <c r="P940" s="735">
        <v>1</v>
      </c>
      <c r="Q940" s="713" t="s">
        <v>58</v>
      </c>
      <c r="R940" s="713" t="s">
        <v>58</v>
      </c>
      <c r="S940" s="713" t="s">
        <v>58</v>
      </c>
      <c r="T940" s="713" t="s">
        <v>58</v>
      </c>
      <c r="U940" s="764">
        <v>0.10199999999999999</v>
      </c>
      <c r="V940" s="764">
        <v>379.54199999999997</v>
      </c>
      <c r="W940" s="764">
        <v>7.9999672964052707E-2</v>
      </c>
      <c r="X940" s="764">
        <v>313.56886593304057</v>
      </c>
      <c r="Y940" s="764">
        <v>3449.257525263446</v>
      </c>
      <c r="Z940" s="764">
        <v>3255.6517815736311</v>
      </c>
      <c r="AA940" s="764">
        <v>295.96834377942099</v>
      </c>
      <c r="AB940" s="764">
        <v>7.5563167410709162E-2</v>
      </c>
      <c r="AC940" s="714">
        <v>0.82617698682369967</v>
      </c>
      <c r="AD940" s="714">
        <v>0.7843105192554185</v>
      </c>
      <c r="AE940" s="713" t="s">
        <v>58</v>
      </c>
      <c r="AF940" s="713" t="s">
        <v>58</v>
      </c>
      <c r="AG940" s="713" t="s">
        <v>58</v>
      </c>
      <c r="AH940" s="714">
        <v>0.94387031345969796</v>
      </c>
      <c r="AI940" s="713" t="s">
        <v>58</v>
      </c>
      <c r="AJ940" s="713" t="s">
        <v>58</v>
      </c>
      <c r="AK940" s="713" t="s">
        <v>58</v>
      </c>
      <c r="AL940" s="714">
        <v>0.94454345387965444</v>
      </c>
      <c r="AM940" s="713" t="s">
        <v>58</v>
      </c>
      <c r="AN940" s="713" t="s">
        <v>58</v>
      </c>
      <c r="AO940" s="713" t="s">
        <v>58</v>
      </c>
      <c r="AP940" s="747">
        <v>47</v>
      </c>
      <c r="AQ940" s="747">
        <v>141</v>
      </c>
      <c r="AR940" s="709"/>
      <c r="AS940" s="763">
        <v>0</v>
      </c>
      <c r="AT940" s="763">
        <v>0</v>
      </c>
      <c r="AU940" s="763">
        <v>0</v>
      </c>
      <c r="AV940" s="763">
        <v>7.5563167410709162E-2</v>
      </c>
      <c r="AW940" s="763">
        <v>7.5563167410709162E-2</v>
      </c>
      <c r="AX940" s="763">
        <v>7.5563167410709162E-2</v>
      </c>
      <c r="AY940" s="763">
        <v>7.5563167410709162E-2</v>
      </c>
      <c r="AZ940" s="763">
        <v>7.5563167410709162E-2</v>
      </c>
      <c r="BA940" s="763">
        <v>7.5563167410709162E-2</v>
      </c>
      <c r="BB940" s="763">
        <v>7.5563167410709162E-2</v>
      </c>
      <c r="BC940" s="763">
        <v>7.5563167410709162E-2</v>
      </c>
      <c r="BD940" s="763">
        <v>7.5563167410709162E-2</v>
      </c>
      <c r="BE940" s="763">
        <v>7.5563167410709162E-2</v>
      </c>
      <c r="BF940" s="763">
        <v>7.5563167410709162E-2</v>
      </c>
      <c r="BG940" s="763">
        <v>0</v>
      </c>
      <c r="BH940" s="763">
        <v>0</v>
      </c>
      <c r="BI940" s="763">
        <v>0</v>
      </c>
      <c r="BJ940" s="763">
        <v>0</v>
      </c>
      <c r="BK940" s="763">
        <v>0</v>
      </c>
      <c r="BL940" s="763">
        <v>0</v>
      </c>
      <c r="BM940" s="763">
        <v>0</v>
      </c>
      <c r="BN940" s="763">
        <v>0</v>
      </c>
      <c r="BO940" s="763">
        <v>0</v>
      </c>
      <c r="BP940" s="763">
        <v>0</v>
      </c>
      <c r="BQ940" s="763">
        <v>0</v>
      </c>
      <c r="BR940" s="763">
        <v>0</v>
      </c>
      <c r="BS940" s="762">
        <v>0</v>
      </c>
      <c r="BT940" s="762">
        <v>0</v>
      </c>
      <c r="BU940" s="762">
        <v>0</v>
      </c>
      <c r="BV940" s="762">
        <v>295.96834377942099</v>
      </c>
      <c r="BW940" s="762">
        <v>295.96834377942099</v>
      </c>
      <c r="BX940" s="762">
        <v>295.96834377942099</v>
      </c>
      <c r="BY940" s="762">
        <v>295.96834377942099</v>
      </c>
      <c r="BZ940" s="762">
        <v>295.96834377942099</v>
      </c>
      <c r="CA940" s="762">
        <v>295.96834377942099</v>
      </c>
      <c r="CB940" s="762">
        <v>295.96834377942099</v>
      </c>
      <c r="CC940" s="762">
        <v>295.96834377942099</v>
      </c>
      <c r="CD940" s="762">
        <v>295.96834377942099</v>
      </c>
      <c r="CE940" s="762">
        <v>295.96834377942099</v>
      </c>
      <c r="CF940" s="762">
        <v>295.96834377942099</v>
      </c>
      <c r="CG940" s="762">
        <v>0</v>
      </c>
      <c r="CH940" s="762">
        <v>0</v>
      </c>
      <c r="CI940" s="762">
        <v>0</v>
      </c>
      <c r="CJ940" s="762">
        <v>0</v>
      </c>
      <c r="CK940" s="762">
        <v>0</v>
      </c>
      <c r="CL940" s="762">
        <v>0</v>
      </c>
      <c r="CM940" s="762">
        <v>0</v>
      </c>
      <c r="CN940" s="762">
        <v>0</v>
      </c>
      <c r="CO940" s="762">
        <v>0</v>
      </c>
      <c r="CP940" s="762">
        <v>0</v>
      </c>
      <c r="CQ940" s="762">
        <v>0</v>
      </c>
      <c r="CR940" s="762">
        <v>0</v>
      </c>
    </row>
    <row r="941" spans="1:96" s="53" customFormat="1">
      <c r="A941" s="721" t="s">
        <v>3</v>
      </c>
      <c r="B941" s="723">
        <v>41981</v>
      </c>
      <c r="C941" s="721">
        <v>2014</v>
      </c>
      <c r="D941" s="713" t="s">
        <v>1</v>
      </c>
      <c r="E941" s="713" t="s">
        <v>674</v>
      </c>
      <c r="F941" s="723" t="s">
        <v>123</v>
      </c>
      <c r="G941" s="713" t="s">
        <v>58</v>
      </c>
      <c r="H941" s="723" t="s">
        <v>677</v>
      </c>
      <c r="I941" s="713" t="s">
        <v>5</v>
      </c>
      <c r="J941" s="713" t="s">
        <v>376</v>
      </c>
      <c r="K941" s="766">
        <v>1</v>
      </c>
      <c r="L941" s="766" t="s">
        <v>671</v>
      </c>
      <c r="M941" s="765" t="s">
        <v>724</v>
      </c>
      <c r="N941" s="765">
        <v>0</v>
      </c>
      <c r="O941" s="765">
        <v>0</v>
      </c>
      <c r="P941" s="735">
        <v>0</v>
      </c>
      <c r="Q941" s="713" t="s">
        <v>58</v>
      </c>
      <c r="R941" s="713" t="s">
        <v>58</v>
      </c>
      <c r="S941" s="713" t="s">
        <v>58</v>
      </c>
      <c r="T941" s="713" t="s">
        <v>58</v>
      </c>
      <c r="U941" s="764">
        <v>0</v>
      </c>
      <c r="V941" s="764">
        <v>0</v>
      </c>
      <c r="W941" s="764">
        <v>0</v>
      </c>
      <c r="X941" s="764">
        <v>0</v>
      </c>
      <c r="Y941" s="764">
        <v>0</v>
      </c>
      <c r="Z941" s="764">
        <v>0</v>
      </c>
      <c r="AA941" s="764">
        <v>0</v>
      </c>
      <c r="AB941" s="764">
        <v>0</v>
      </c>
      <c r="AC941" s="714">
        <v>0.82617698682369967</v>
      </c>
      <c r="AD941" s="714">
        <v>0.7843105192554185</v>
      </c>
      <c r="AE941" s="713" t="s">
        <v>58</v>
      </c>
      <c r="AF941" s="713" t="s">
        <v>58</v>
      </c>
      <c r="AG941" s="713" t="s">
        <v>58</v>
      </c>
      <c r="AH941" s="714">
        <v>0.94387031345969796</v>
      </c>
      <c r="AI941" s="713" t="s">
        <v>58</v>
      </c>
      <c r="AJ941" s="713" t="s">
        <v>58</v>
      </c>
      <c r="AK941" s="713" t="s">
        <v>58</v>
      </c>
      <c r="AL941" s="714">
        <v>0.94454345387965444</v>
      </c>
      <c r="AM941" s="713" t="s">
        <v>58</v>
      </c>
      <c r="AN941" s="713" t="s">
        <v>58</v>
      </c>
      <c r="AO941" s="713" t="s">
        <v>58</v>
      </c>
      <c r="AP941" s="747">
        <v>51</v>
      </c>
      <c r="AQ941" s="747">
        <v>51</v>
      </c>
      <c r="AR941" s="709"/>
      <c r="AS941" s="763">
        <v>0</v>
      </c>
      <c r="AT941" s="763">
        <v>0</v>
      </c>
      <c r="AU941" s="763">
        <v>0</v>
      </c>
      <c r="AV941" s="763">
        <v>0</v>
      </c>
      <c r="AW941" s="763">
        <v>0</v>
      </c>
      <c r="AX941" s="763">
        <v>0</v>
      </c>
      <c r="AY941" s="763">
        <v>0</v>
      </c>
      <c r="AZ941" s="763">
        <v>0</v>
      </c>
      <c r="BA941" s="763">
        <v>0</v>
      </c>
      <c r="BB941" s="763">
        <v>0</v>
      </c>
      <c r="BC941" s="763">
        <v>0</v>
      </c>
      <c r="BD941" s="763">
        <v>0</v>
      </c>
      <c r="BE941" s="763">
        <v>0</v>
      </c>
      <c r="BF941" s="763">
        <v>0</v>
      </c>
      <c r="BG941" s="763">
        <v>0</v>
      </c>
      <c r="BH941" s="763">
        <v>0</v>
      </c>
      <c r="BI941" s="763">
        <v>0</v>
      </c>
      <c r="BJ941" s="763">
        <v>0</v>
      </c>
      <c r="BK941" s="763">
        <v>0</v>
      </c>
      <c r="BL941" s="763">
        <v>0</v>
      </c>
      <c r="BM941" s="763">
        <v>0</v>
      </c>
      <c r="BN941" s="763">
        <v>0</v>
      </c>
      <c r="BO941" s="763">
        <v>0</v>
      </c>
      <c r="BP941" s="763">
        <v>0</v>
      </c>
      <c r="BQ941" s="763">
        <v>0</v>
      </c>
      <c r="BR941" s="763">
        <v>0</v>
      </c>
      <c r="BS941" s="762">
        <v>0</v>
      </c>
      <c r="BT941" s="762">
        <v>0</v>
      </c>
      <c r="BU941" s="762">
        <v>0</v>
      </c>
      <c r="BV941" s="762">
        <v>0</v>
      </c>
      <c r="BW941" s="762">
        <v>0</v>
      </c>
      <c r="BX941" s="762">
        <v>0</v>
      </c>
      <c r="BY941" s="762">
        <v>0</v>
      </c>
      <c r="BZ941" s="762">
        <v>0</v>
      </c>
      <c r="CA941" s="762">
        <v>0</v>
      </c>
      <c r="CB941" s="762">
        <v>0</v>
      </c>
      <c r="CC941" s="762">
        <v>0</v>
      </c>
      <c r="CD941" s="762">
        <v>0</v>
      </c>
      <c r="CE941" s="762">
        <v>0</v>
      </c>
      <c r="CF941" s="762">
        <v>0</v>
      </c>
      <c r="CG941" s="762">
        <v>0</v>
      </c>
      <c r="CH941" s="762">
        <v>0</v>
      </c>
      <c r="CI941" s="762">
        <v>0</v>
      </c>
      <c r="CJ941" s="762">
        <v>0</v>
      </c>
      <c r="CK941" s="762">
        <v>0</v>
      </c>
      <c r="CL941" s="762">
        <v>0</v>
      </c>
      <c r="CM941" s="762">
        <v>0</v>
      </c>
      <c r="CN941" s="762">
        <v>0</v>
      </c>
      <c r="CO941" s="762">
        <v>0</v>
      </c>
      <c r="CP941" s="762">
        <v>0</v>
      </c>
      <c r="CQ941" s="762">
        <v>0</v>
      </c>
      <c r="CR941" s="762">
        <v>0</v>
      </c>
    </row>
    <row r="942" spans="1:96" s="53" customFormat="1">
      <c r="A942" s="721" t="s">
        <v>3</v>
      </c>
      <c r="B942" s="723">
        <v>41981</v>
      </c>
      <c r="C942" s="721">
        <v>2014</v>
      </c>
      <c r="D942" s="713" t="s">
        <v>1</v>
      </c>
      <c r="E942" s="713" t="s">
        <v>674</v>
      </c>
      <c r="F942" s="723" t="s">
        <v>123</v>
      </c>
      <c r="G942" s="713" t="s">
        <v>58</v>
      </c>
      <c r="H942" s="723" t="s">
        <v>672</v>
      </c>
      <c r="I942" s="713" t="s">
        <v>5</v>
      </c>
      <c r="J942" s="713" t="s">
        <v>376</v>
      </c>
      <c r="K942" s="766">
        <v>28</v>
      </c>
      <c r="L942" s="766" t="s">
        <v>671</v>
      </c>
      <c r="M942" s="765" t="s">
        <v>724</v>
      </c>
      <c r="N942" s="765">
        <v>11</v>
      </c>
      <c r="O942" s="765" t="s">
        <v>7</v>
      </c>
      <c r="P942" s="735">
        <v>1</v>
      </c>
      <c r="Q942" s="713" t="s">
        <v>58</v>
      </c>
      <c r="R942" s="713" t="s">
        <v>58</v>
      </c>
      <c r="S942" s="713" t="s">
        <v>58</v>
      </c>
      <c r="T942" s="713" t="s">
        <v>58</v>
      </c>
      <c r="U942" s="764">
        <v>0.91</v>
      </c>
      <c r="V942" s="764">
        <v>2888.34</v>
      </c>
      <c r="W942" s="764">
        <v>0.71372257252243088</v>
      </c>
      <c r="X942" s="764">
        <v>2386.2800381223651</v>
      </c>
      <c r="Y942" s="764">
        <v>26249.080419346017</v>
      </c>
      <c r="Z942" s="764">
        <v>24775.727763436946</v>
      </c>
      <c r="AA942" s="764">
        <v>2252.338887585177</v>
      </c>
      <c r="AB942" s="764">
        <v>0.67414198376220902</v>
      </c>
      <c r="AC942" s="714">
        <v>0.82617698682369967</v>
      </c>
      <c r="AD942" s="714">
        <v>0.7843105192554185</v>
      </c>
      <c r="AE942" s="713" t="s">
        <v>58</v>
      </c>
      <c r="AF942" s="713" t="s">
        <v>58</v>
      </c>
      <c r="AG942" s="713" t="s">
        <v>58</v>
      </c>
      <c r="AH942" s="714">
        <v>0.94387031345969796</v>
      </c>
      <c r="AI942" s="713" t="s">
        <v>58</v>
      </c>
      <c r="AJ942" s="713" t="s">
        <v>58</v>
      </c>
      <c r="AK942" s="713" t="s">
        <v>58</v>
      </c>
      <c r="AL942" s="714">
        <v>0.94454345387965444</v>
      </c>
      <c r="AM942" s="713" t="s">
        <v>58</v>
      </c>
      <c r="AN942" s="713" t="s">
        <v>58</v>
      </c>
      <c r="AO942" s="713" t="s">
        <v>58</v>
      </c>
      <c r="AP942" s="747">
        <v>50</v>
      </c>
      <c r="AQ942" s="747">
        <v>1400</v>
      </c>
      <c r="AR942" s="709"/>
      <c r="AS942" s="763">
        <v>0</v>
      </c>
      <c r="AT942" s="763">
        <v>0</v>
      </c>
      <c r="AU942" s="763">
        <v>0</v>
      </c>
      <c r="AV942" s="763">
        <v>0.67414198376220902</v>
      </c>
      <c r="AW942" s="763">
        <v>0.67414198376220902</v>
      </c>
      <c r="AX942" s="763">
        <v>0.67414198376220902</v>
      </c>
      <c r="AY942" s="763">
        <v>0.67414198376220902</v>
      </c>
      <c r="AZ942" s="763">
        <v>0.67414198376220902</v>
      </c>
      <c r="BA942" s="763">
        <v>0.67414198376220902</v>
      </c>
      <c r="BB942" s="763">
        <v>0.67414198376220902</v>
      </c>
      <c r="BC942" s="763">
        <v>0.67414198376220902</v>
      </c>
      <c r="BD942" s="763">
        <v>0.67414198376220902</v>
      </c>
      <c r="BE942" s="763">
        <v>0.67414198376220902</v>
      </c>
      <c r="BF942" s="763">
        <v>0.67414198376220902</v>
      </c>
      <c r="BG942" s="763">
        <v>0</v>
      </c>
      <c r="BH942" s="763">
        <v>0</v>
      </c>
      <c r="BI942" s="763">
        <v>0</v>
      </c>
      <c r="BJ942" s="763">
        <v>0</v>
      </c>
      <c r="BK942" s="763">
        <v>0</v>
      </c>
      <c r="BL942" s="763">
        <v>0</v>
      </c>
      <c r="BM942" s="763">
        <v>0</v>
      </c>
      <c r="BN942" s="763">
        <v>0</v>
      </c>
      <c r="BO942" s="763">
        <v>0</v>
      </c>
      <c r="BP942" s="763">
        <v>0</v>
      </c>
      <c r="BQ942" s="763">
        <v>0</v>
      </c>
      <c r="BR942" s="763">
        <v>0</v>
      </c>
      <c r="BS942" s="762">
        <v>0</v>
      </c>
      <c r="BT942" s="762">
        <v>0</v>
      </c>
      <c r="BU942" s="762">
        <v>0</v>
      </c>
      <c r="BV942" s="762">
        <v>2252.338887585177</v>
      </c>
      <c r="BW942" s="762">
        <v>2252.338887585177</v>
      </c>
      <c r="BX942" s="762">
        <v>2252.338887585177</v>
      </c>
      <c r="BY942" s="762">
        <v>2252.338887585177</v>
      </c>
      <c r="BZ942" s="762">
        <v>2252.338887585177</v>
      </c>
      <c r="CA942" s="762">
        <v>2252.338887585177</v>
      </c>
      <c r="CB942" s="762">
        <v>2252.338887585177</v>
      </c>
      <c r="CC942" s="762">
        <v>2252.338887585177</v>
      </c>
      <c r="CD942" s="762">
        <v>2252.338887585177</v>
      </c>
      <c r="CE942" s="762">
        <v>2252.338887585177</v>
      </c>
      <c r="CF942" s="762">
        <v>2252.338887585177</v>
      </c>
      <c r="CG942" s="762">
        <v>0</v>
      </c>
      <c r="CH942" s="762">
        <v>0</v>
      </c>
      <c r="CI942" s="762">
        <v>0</v>
      </c>
      <c r="CJ942" s="762">
        <v>0</v>
      </c>
      <c r="CK942" s="762">
        <v>0</v>
      </c>
      <c r="CL942" s="762">
        <v>0</v>
      </c>
      <c r="CM942" s="762">
        <v>0</v>
      </c>
      <c r="CN942" s="762">
        <v>0</v>
      </c>
      <c r="CO942" s="762">
        <v>0</v>
      </c>
      <c r="CP942" s="762">
        <v>0</v>
      </c>
      <c r="CQ942" s="762">
        <v>0</v>
      </c>
      <c r="CR942" s="762">
        <v>0</v>
      </c>
    </row>
    <row r="943" spans="1:96" s="53" customFormat="1">
      <c r="A943" s="721" t="s">
        <v>3</v>
      </c>
      <c r="B943" s="723">
        <v>41981</v>
      </c>
      <c r="C943" s="721">
        <v>2014</v>
      </c>
      <c r="D943" s="713" t="s">
        <v>1</v>
      </c>
      <c r="E943" s="713" t="s">
        <v>674</v>
      </c>
      <c r="F943" s="723" t="s">
        <v>123</v>
      </c>
      <c r="G943" s="713" t="s">
        <v>58</v>
      </c>
      <c r="H943" s="723" t="s">
        <v>672</v>
      </c>
      <c r="I943" s="713" t="s">
        <v>5</v>
      </c>
      <c r="J943" s="713" t="s">
        <v>376</v>
      </c>
      <c r="K943" s="766">
        <v>3</v>
      </c>
      <c r="L943" s="766" t="s">
        <v>671</v>
      </c>
      <c r="M943" s="765" t="s">
        <v>724</v>
      </c>
      <c r="N943" s="765">
        <v>11</v>
      </c>
      <c r="O943" s="765" t="s">
        <v>7</v>
      </c>
      <c r="P943" s="735">
        <v>1</v>
      </c>
      <c r="Q943" s="713" t="s">
        <v>58</v>
      </c>
      <c r="R943" s="713" t="s">
        <v>58</v>
      </c>
      <c r="S943" s="713" t="s">
        <v>58</v>
      </c>
      <c r="T943" s="713" t="s">
        <v>58</v>
      </c>
      <c r="U943" s="764">
        <v>9.7500000000000003E-2</v>
      </c>
      <c r="V943" s="764">
        <v>309.46499999999997</v>
      </c>
      <c r="W943" s="764">
        <v>7.6470275627403314E-2</v>
      </c>
      <c r="X943" s="764">
        <v>255.6728612273962</v>
      </c>
      <c r="Y943" s="764">
        <v>2812.4014735013579</v>
      </c>
      <c r="Z943" s="764">
        <v>2654.5422603682432</v>
      </c>
      <c r="AA943" s="764">
        <v>241.32202366984032</v>
      </c>
      <c r="AB943" s="764">
        <v>7.2229498260236683E-2</v>
      </c>
      <c r="AC943" s="714">
        <v>0.82617698682369967</v>
      </c>
      <c r="AD943" s="714">
        <v>0.7843105192554185</v>
      </c>
      <c r="AE943" s="713" t="s">
        <v>58</v>
      </c>
      <c r="AF943" s="713" t="s">
        <v>58</v>
      </c>
      <c r="AG943" s="713" t="s">
        <v>58</v>
      </c>
      <c r="AH943" s="714">
        <v>0.94387031345969796</v>
      </c>
      <c r="AI943" s="713" t="s">
        <v>58</v>
      </c>
      <c r="AJ943" s="713" t="s">
        <v>58</v>
      </c>
      <c r="AK943" s="713" t="s">
        <v>58</v>
      </c>
      <c r="AL943" s="714">
        <v>0.94454345387965444</v>
      </c>
      <c r="AM943" s="713" t="s">
        <v>58</v>
      </c>
      <c r="AN943" s="713" t="s">
        <v>58</v>
      </c>
      <c r="AO943" s="713" t="s">
        <v>58</v>
      </c>
      <c r="AP943" s="747">
        <v>14</v>
      </c>
      <c r="AQ943" s="747">
        <v>42</v>
      </c>
      <c r="AR943" s="709"/>
      <c r="AS943" s="763">
        <v>0</v>
      </c>
      <c r="AT943" s="763">
        <v>0</v>
      </c>
      <c r="AU943" s="763">
        <v>0</v>
      </c>
      <c r="AV943" s="763">
        <v>7.2229498260236683E-2</v>
      </c>
      <c r="AW943" s="763">
        <v>7.2229498260236683E-2</v>
      </c>
      <c r="AX943" s="763">
        <v>7.2229498260236683E-2</v>
      </c>
      <c r="AY943" s="763">
        <v>7.2229498260236683E-2</v>
      </c>
      <c r="AZ943" s="763">
        <v>7.2229498260236683E-2</v>
      </c>
      <c r="BA943" s="763">
        <v>7.2229498260236683E-2</v>
      </c>
      <c r="BB943" s="763">
        <v>7.2229498260236683E-2</v>
      </c>
      <c r="BC943" s="763">
        <v>7.2229498260236683E-2</v>
      </c>
      <c r="BD943" s="763">
        <v>7.2229498260236683E-2</v>
      </c>
      <c r="BE943" s="763">
        <v>7.2229498260236683E-2</v>
      </c>
      <c r="BF943" s="763">
        <v>7.2229498260236683E-2</v>
      </c>
      <c r="BG943" s="763">
        <v>0</v>
      </c>
      <c r="BH943" s="763">
        <v>0</v>
      </c>
      <c r="BI943" s="763">
        <v>0</v>
      </c>
      <c r="BJ943" s="763">
        <v>0</v>
      </c>
      <c r="BK943" s="763">
        <v>0</v>
      </c>
      <c r="BL943" s="763">
        <v>0</v>
      </c>
      <c r="BM943" s="763">
        <v>0</v>
      </c>
      <c r="BN943" s="763">
        <v>0</v>
      </c>
      <c r="BO943" s="763">
        <v>0</v>
      </c>
      <c r="BP943" s="763">
        <v>0</v>
      </c>
      <c r="BQ943" s="763">
        <v>0</v>
      </c>
      <c r="BR943" s="763">
        <v>0</v>
      </c>
      <c r="BS943" s="762">
        <v>0</v>
      </c>
      <c r="BT943" s="762">
        <v>0</v>
      </c>
      <c r="BU943" s="762">
        <v>0</v>
      </c>
      <c r="BV943" s="762">
        <v>241.32202366984032</v>
      </c>
      <c r="BW943" s="762">
        <v>241.32202366984032</v>
      </c>
      <c r="BX943" s="762">
        <v>241.32202366984032</v>
      </c>
      <c r="BY943" s="762">
        <v>241.32202366984032</v>
      </c>
      <c r="BZ943" s="762">
        <v>241.32202366984032</v>
      </c>
      <c r="CA943" s="762">
        <v>241.32202366984032</v>
      </c>
      <c r="CB943" s="762">
        <v>241.32202366984032</v>
      </c>
      <c r="CC943" s="762">
        <v>241.32202366984032</v>
      </c>
      <c r="CD943" s="762">
        <v>241.32202366984032</v>
      </c>
      <c r="CE943" s="762">
        <v>241.32202366984032</v>
      </c>
      <c r="CF943" s="762">
        <v>241.32202366984032</v>
      </c>
      <c r="CG943" s="762">
        <v>0</v>
      </c>
      <c r="CH943" s="762">
        <v>0</v>
      </c>
      <c r="CI943" s="762">
        <v>0</v>
      </c>
      <c r="CJ943" s="762">
        <v>0</v>
      </c>
      <c r="CK943" s="762">
        <v>0</v>
      </c>
      <c r="CL943" s="762">
        <v>0</v>
      </c>
      <c r="CM943" s="762">
        <v>0</v>
      </c>
      <c r="CN943" s="762">
        <v>0</v>
      </c>
      <c r="CO943" s="762">
        <v>0</v>
      </c>
      <c r="CP943" s="762">
        <v>0</v>
      </c>
      <c r="CQ943" s="762">
        <v>0</v>
      </c>
      <c r="CR943" s="762">
        <v>0</v>
      </c>
    </row>
    <row r="944" spans="1:96" s="53" customFormat="1">
      <c r="A944" s="721" t="s">
        <v>3</v>
      </c>
      <c r="B944" s="723">
        <v>41798</v>
      </c>
      <c r="C944" s="721">
        <v>2014</v>
      </c>
      <c r="D944" s="713" t="s">
        <v>1</v>
      </c>
      <c r="E944" s="713" t="s">
        <v>674</v>
      </c>
      <c r="F944" s="723" t="s">
        <v>689</v>
      </c>
      <c r="G944" s="713" t="s">
        <v>58</v>
      </c>
      <c r="H944" s="723" t="s">
        <v>677</v>
      </c>
      <c r="I944" s="713" t="s">
        <v>5</v>
      </c>
      <c r="J944" s="713" t="s">
        <v>376</v>
      </c>
      <c r="K944" s="766">
        <v>1</v>
      </c>
      <c r="L944" s="766" t="s">
        <v>671</v>
      </c>
      <c r="M944" s="765" t="s">
        <v>723</v>
      </c>
      <c r="N944" s="765">
        <v>0</v>
      </c>
      <c r="O944" s="765">
        <v>0</v>
      </c>
      <c r="P944" s="735">
        <v>0</v>
      </c>
      <c r="Q944" s="713" t="s">
        <v>58</v>
      </c>
      <c r="R944" s="713" t="s">
        <v>58</v>
      </c>
      <c r="S944" s="713" t="s">
        <v>58</v>
      </c>
      <c r="T944" s="713" t="s">
        <v>58</v>
      </c>
      <c r="U944" s="764">
        <v>0</v>
      </c>
      <c r="V944" s="764">
        <v>0</v>
      </c>
      <c r="W944" s="764">
        <v>0</v>
      </c>
      <c r="X944" s="764">
        <v>0</v>
      </c>
      <c r="Y944" s="764">
        <v>0</v>
      </c>
      <c r="Z944" s="764">
        <v>0</v>
      </c>
      <c r="AA944" s="764">
        <v>0</v>
      </c>
      <c r="AB944" s="764">
        <v>0</v>
      </c>
      <c r="AC944" s="714">
        <v>0.82617698682369967</v>
      </c>
      <c r="AD944" s="714">
        <v>0.7843105192554185</v>
      </c>
      <c r="AE944" s="713" t="s">
        <v>58</v>
      </c>
      <c r="AF944" s="713" t="s">
        <v>58</v>
      </c>
      <c r="AG944" s="713" t="s">
        <v>58</v>
      </c>
      <c r="AH944" s="714">
        <v>0.94387031345969796</v>
      </c>
      <c r="AI944" s="713" t="s">
        <v>58</v>
      </c>
      <c r="AJ944" s="713" t="s">
        <v>58</v>
      </c>
      <c r="AK944" s="713" t="s">
        <v>58</v>
      </c>
      <c r="AL944" s="714">
        <v>0.94454345387965444</v>
      </c>
      <c r="AM944" s="713" t="s">
        <v>58</v>
      </c>
      <c r="AN944" s="713" t="s">
        <v>58</v>
      </c>
      <c r="AO944" s="713" t="s">
        <v>58</v>
      </c>
      <c r="AP944" s="747">
        <v>51</v>
      </c>
      <c r="AQ944" s="747">
        <v>51</v>
      </c>
      <c r="AR944" s="709"/>
      <c r="AS944" s="763">
        <v>0</v>
      </c>
      <c r="AT944" s="763">
        <v>0</v>
      </c>
      <c r="AU944" s="763">
        <v>0</v>
      </c>
      <c r="AV944" s="763">
        <v>0</v>
      </c>
      <c r="AW944" s="763">
        <v>0</v>
      </c>
      <c r="AX944" s="763">
        <v>0</v>
      </c>
      <c r="AY944" s="763">
        <v>0</v>
      </c>
      <c r="AZ944" s="763">
        <v>0</v>
      </c>
      <c r="BA944" s="763">
        <v>0</v>
      </c>
      <c r="BB944" s="763">
        <v>0</v>
      </c>
      <c r="BC944" s="763">
        <v>0</v>
      </c>
      <c r="BD944" s="763">
        <v>0</v>
      </c>
      <c r="BE944" s="763">
        <v>0</v>
      </c>
      <c r="BF944" s="763">
        <v>0</v>
      </c>
      <c r="BG944" s="763">
        <v>0</v>
      </c>
      <c r="BH944" s="763">
        <v>0</v>
      </c>
      <c r="BI944" s="763">
        <v>0</v>
      </c>
      <c r="BJ944" s="763">
        <v>0</v>
      </c>
      <c r="BK944" s="763">
        <v>0</v>
      </c>
      <c r="BL944" s="763">
        <v>0</v>
      </c>
      <c r="BM944" s="763">
        <v>0</v>
      </c>
      <c r="BN944" s="763">
        <v>0</v>
      </c>
      <c r="BO944" s="763">
        <v>0</v>
      </c>
      <c r="BP944" s="763">
        <v>0</v>
      </c>
      <c r="BQ944" s="763">
        <v>0</v>
      </c>
      <c r="BR944" s="763">
        <v>0</v>
      </c>
      <c r="BS944" s="762">
        <v>0</v>
      </c>
      <c r="BT944" s="762">
        <v>0</v>
      </c>
      <c r="BU944" s="762">
        <v>0</v>
      </c>
      <c r="BV944" s="762">
        <v>0</v>
      </c>
      <c r="BW944" s="762">
        <v>0</v>
      </c>
      <c r="BX944" s="762">
        <v>0</v>
      </c>
      <c r="BY944" s="762">
        <v>0</v>
      </c>
      <c r="BZ944" s="762">
        <v>0</v>
      </c>
      <c r="CA944" s="762">
        <v>0</v>
      </c>
      <c r="CB944" s="762">
        <v>0</v>
      </c>
      <c r="CC944" s="762">
        <v>0</v>
      </c>
      <c r="CD944" s="762">
        <v>0</v>
      </c>
      <c r="CE944" s="762">
        <v>0</v>
      </c>
      <c r="CF944" s="762">
        <v>0</v>
      </c>
      <c r="CG944" s="762">
        <v>0</v>
      </c>
      <c r="CH944" s="762">
        <v>0</v>
      </c>
      <c r="CI944" s="762">
        <v>0</v>
      </c>
      <c r="CJ944" s="762">
        <v>0</v>
      </c>
      <c r="CK944" s="762">
        <v>0</v>
      </c>
      <c r="CL944" s="762">
        <v>0</v>
      </c>
      <c r="CM944" s="762">
        <v>0</v>
      </c>
      <c r="CN944" s="762">
        <v>0</v>
      </c>
      <c r="CO944" s="762">
        <v>0</v>
      </c>
      <c r="CP944" s="762">
        <v>0</v>
      </c>
      <c r="CQ944" s="762">
        <v>0</v>
      </c>
      <c r="CR944" s="762">
        <v>0</v>
      </c>
    </row>
    <row r="945" spans="1:96" s="53" customFormat="1">
      <c r="A945" s="721" t="s">
        <v>3</v>
      </c>
      <c r="B945" s="723">
        <v>41798</v>
      </c>
      <c r="C945" s="721">
        <v>2014</v>
      </c>
      <c r="D945" s="713" t="s">
        <v>1</v>
      </c>
      <c r="E945" s="713" t="s">
        <v>674</v>
      </c>
      <c r="F945" s="723" t="s">
        <v>689</v>
      </c>
      <c r="G945" s="713" t="s">
        <v>58</v>
      </c>
      <c r="H945" s="723" t="s">
        <v>675</v>
      </c>
      <c r="I945" s="713" t="s">
        <v>5</v>
      </c>
      <c r="J945" s="713" t="s">
        <v>376</v>
      </c>
      <c r="K945" s="766">
        <v>19</v>
      </c>
      <c r="L945" s="766" t="s">
        <v>671</v>
      </c>
      <c r="M945" s="765" t="s">
        <v>723</v>
      </c>
      <c r="N945" s="765">
        <v>12</v>
      </c>
      <c r="O945" s="765">
        <v>3</v>
      </c>
      <c r="P945" s="735">
        <v>0.36842105263157893</v>
      </c>
      <c r="Q945" s="713" t="s">
        <v>58</v>
      </c>
      <c r="R945" s="713" t="s">
        <v>58</v>
      </c>
      <c r="S945" s="713" t="s">
        <v>58</v>
      </c>
      <c r="T945" s="713" t="s">
        <v>58</v>
      </c>
      <c r="U945" s="764">
        <v>1.083</v>
      </c>
      <c r="V945" s="764">
        <v>3522.9989999999998</v>
      </c>
      <c r="W945" s="764">
        <v>0.84940829235361825</v>
      </c>
      <c r="X945" s="764">
        <v>2910.6206984029072</v>
      </c>
      <c r="Y945" s="764">
        <v>18382.867568860467</v>
      </c>
      <c r="Z945" s="764">
        <v>17351.042974508444</v>
      </c>
      <c r="AA945" s="764">
        <v>2747.248470963837</v>
      </c>
      <c r="AB945" s="764">
        <v>0.80230304221370585</v>
      </c>
      <c r="AC945" s="714">
        <v>0.82617698682369967</v>
      </c>
      <c r="AD945" s="714">
        <v>0.7843105192554185</v>
      </c>
      <c r="AE945" s="713" t="s">
        <v>58</v>
      </c>
      <c r="AF945" s="713" t="s">
        <v>58</v>
      </c>
      <c r="AG945" s="713" t="s">
        <v>58</v>
      </c>
      <c r="AH945" s="714">
        <v>0.94387031345969796</v>
      </c>
      <c r="AI945" s="713" t="s">
        <v>58</v>
      </c>
      <c r="AJ945" s="713" t="s">
        <v>58</v>
      </c>
      <c r="AK945" s="713" t="s">
        <v>58</v>
      </c>
      <c r="AL945" s="714">
        <v>0.94454345387965444</v>
      </c>
      <c r="AM945" s="713" t="s">
        <v>58</v>
      </c>
      <c r="AN945" s="713" t="s">
        <v>58</v>
      </c>
      <c r="AO945" s="713" t="s">
        <v>58</v>
      </c>
      <c r="AP945" s="747">
        <v>73</v>
      </c>
      <c r="AQ945" s="747">
        <v>1387</v>
      </c>
      <c r="AR945" s="709"/>
      <c r="AS945" s="763">
        <v>0</v>
      </c>
      <c r="AT945" s="763">
        <v>0</v>
      </c>
      <c r="AU945" s="763">
        <v>0</v>
      </c>
      <c r="AV945" s="763">
        <v>0.80230304221370585</v>
      </c>
      <c r="AW945" s="763">
        <v>0.80230304221370585</v>
      </c>
      <c r="AX945" s="763">
        <v>0.80230304221370585</v>
      </c>
      <c r="AY945" s="763">
        <v>0.29558533134189163</v>
      </c>
      <c r="AZ945" s="763">
        <v>0.29558533134189163</v>
      </c>
      <c r="BA945" s="763">
        <v>0.29558533134189163</v>
      </c>
      <c r="BB945" s="763">
        <v>0.29558533134189163</v>
      </c>
      <c r="BC945" s="763">
        <v>0.29558533134189163</v>
      </c>
      <c r="BD945" s="763">
        <v>0.29558533134189163</v>
      </c>
      <c r="BE945" s="763">
        <v>0.29558533134189163</v>
      </c>
      <c r="BF945" s="763">
        <v>0.29558533134189163</v>
      </c>
      <c r="BG945" s="763">
        <v>0.29558533134189163</v>
      </c>
      <c r="BH945" s="763">
        <v>0</v>
      </c>
      <c r="BI945" s="763">
        <v>0</v>
      </c>
      <c r="BJ945" s="763">
        <v>0</v>
      </c>
      <c r="BK945" s="763">
        <v>0</v>
      </c>
      <c r="BL945" s="763">
        <v>0</v>
      </c>
      <c r="BM945" s="763">
        <v>0</v>
      </c>
      <c r="BN945" s="763">
        <v>0</v>
      </c>
      <c r="BO945" s="763">
        <v>0</v>
      </c>
      <c r="BP945" s="763">
        <v>0</v>
      </c>
      <c r="BQ945" s="763">
        <v>0</v>
      </c>
      <c r="BR945" s="763">
        <v>0</v>
      </c>
      <c r="BS945" s="762">
        <v>0</v>
      </c>
      <c r="BT945" s="762">
        <v>0</v>
      </c>
      <c r="BU945" s="762">
        <v>0</v>
      </c>
      <c r="BV945" s="762">
        <v>2747.248470963837</v>
      </c>
      <c r="BW945" s="762">
        <v>2747.248470963837</v>
      </c>
      <c r="BX945" s="762">
        <v>2747.248470963837</v>
      </c>
      <c r="BY945" s="762">
        <v>1012.1441735129926</v>
      </c>
      <c r="BZ945" s="762">
        <v>1012.1441735129926</v>
      </c>
      <c r="CA945" s="762">
        <v>1012.1441735129926</v>
      </c>
      <c r="CB945" s="762">
        <v>1012.1441735129926</v>
      </c>
      <c r="CC945" s="762">
        <v>1012.1441735129926</v>
      </c>
      <c r="CD945" s="762">
        <v>1012.1441735129926</v>
      </c>
      <c r="CE945" s="762">
        <v>1012.1441735129926</v>
      </c>
      <c r="CF945" s="762">
        <v>1012.1441735129926</v>
      </c>
      <c r="CG945" s="762">
        <v>1012.1441735129926</v>
      </c>
      <c r="CH945" s="762">
        <v>0</v>
      </c>
      <c r="CI945" s="762">
        <v>0</v>
      </c>
      <c r="CJ945" s="762">
        <v>0</v>
      </c>
      <c r="CK945" s="762">
        <v>0</v>
      </c>
      <c r="CL945" s="762">
        <v>0</v>
      </c>
      <c r="CM945" s="762">
        <v>0</v>
      </c>
      <c r="CN945" s="762">
        <v>0</v>
      </c>
      <c r="CO945" s="762">
        <v>0</v>
      </c>
      <c r="CP945" s="762">
        <v>0</v>
      </c>
      <c r="CQ945" s="762">
        <v>0</v>
      </c>
      <c r="CR945" s="762">
        <v>0</v>
      </c>
    </row>
    <row r="946" spans="1:96" s="53" customFormat="1">
      <c r="A946" s="721" t="s">
        <v>3</v>
      </c>
      <c r="B946" s="723">
        <v>41798</v>
      </c>
      <c r="C946" s="721">
        <v>2014</v>
      </c>
      <c r="D946" s="713" t="s">
        <v>1</v>
      </c>
      <c r="E946" s="713" t="s">
        <v>674</v>
      </c>
      <c r="F946" s="723" t="s">
        <v>689</v>
      </c>
      <c r="G946" s="713" t="s">
        <v>58</v>
      </c>
      <c r="H946" s="723" t="s">
        <v>675</v>
      </c>
      <c r="I946" s="713" t="s">
        <v>5</v>
      </c>
      <c r="J946" s="713" t="s">
        <v>376</v>
      </c>
      <c r="K946" s="766">
        <v>2</v>
      </c>
      <c r="L946" s="766" t="s">
        <v>671</v>
      </c>
      <c r="M946" s="765" t="s">
        <v>723</v>
      </c>
      <c r="N946" s="765">
        <v>12</v>
      </c>
      <c r="O946" s="765">
        <v>3</v>
      </c>
      <c r="P946" s="735">
        <v>0.36842105263157893</v>
      </c>
      <c r="Q946" s="713" t="s">
        <v>58</v>
      </c>
      <c r="R946" s="713" t="s">
        <v>58</v>
      </c>
      <c r="S946" s="713" t="s">
        <v>58</v>
      </c>
      <c r="T946" s="713" t="s">
        <v>58</v>
      </c>
      <c r="U946" s="764">
        <v>0.114</v>
      </c>
      <c r="V946" s="764">
        <v>370.84199999999998</v>
      </c>
      <c r="W946" s="764">
        <v>8.941139919511773E-2</v>
      </c>
      <c r="X946" s="764">
        <v>306.38112614767442</v>
      </c>
      <c r="Y946" s="764">
        <v>1935.0386914589963</v>
      </c>
      <c r="Z946" s="764">
        <v>1826.4255762640466</v>
      </c>
      <c r="AA946" s="764">
        <v>289.1840495751407</v>
      </c>
      <c r="AB946" s="764">
        <v>8.445295181196906E-2</v>
      </c>
      <c r="AC946" s="714">
        <v>0.82617698682369967</v>
      </c>
      <c r="AD946" s="714">
        <v>0.7843105192554185</v>
      </c>
      <c r="AE946" s="713" t="s">
        <v>58</v>
      </c>
      <c r="AF946" s="713" t="s">
        <v>58</v>
      </c>
      <c r="AG946" s="713" t="s">
        <v>58</v>
      </c>
      <c r="AH946" s="714">
        <v>0.94387031345969796</v>
      </c>
      <c r="AI946" s="713" t="s">
        <v>58</v>
      </c>
      <c r="AJ946" s="713" t="s">
        <v>58</v>
      </c>
      <c r="AK946" s="713" t="s">
        <v>58</v>
      </c>
      <c r="AL946" s="714">
        <v>0.94454345387965444</v>
      </c>
      <c r="AM946" s="713" t="s">
        <v>58</v>
      </c>
      <c r="AN946" s="713" t="s">
        <v>58</v>
      </c>
      <c r="AO946" s="713" t="s">
        <v>58</v>
      </c>
      <c r="AP946" s="747">
        <v>17</v>
      </c>
      <c r="AQ946" s="747">
        <v>34</v>
      </c>
      <c r="AR946" s="709"/>
      <c r="AS946" s="763">
        <v>0</v>
      </c>
      <c r="AT946" s="763">
        <v>0</v>
      </c>
      <c r="AU946" s="763">
        <v>0</v>
      </c>
      <c r="AV946" s="763">
        <v>8.445295181196906E-2</v>
      </c>
      <c r="AW946" s="763">
        <v>8.445295181196906E-2</v>
      </c>
      <c r="AX946" s="763">
        <v>8.445295181196906E-2</v>
      </c>
      <c r="AY946" s="763">
        <v>3.111424540440965E-2</v>
      </c>
      <c r="AZ946" s="763">
        <v>3.111424540440965E-2</v>
      </c>
      <c r="BA946" s="763">
        <v>3.111424540440965E-2</v>
      </c>
      <c r="BB946" s="763">
        <v>3.111424540440965E-2</v>
      </c>
      <c r="BC946" s="763">
        <v>3.111424540440965E-2</v>
      </c>
      <c r="BD946" s="763">
        <v>3.111424540440965E-2</v>
      </c>
      <c r="BE946" s="763">
        <v>3.111424540440965E-2</v>
      </c>
      <c r="BF946" s="763">
        <v>3.111424540440965E-2</v>
      </c>
      <c r="BG946" s="763">
        <v>3.111424540440965E-2</v>
      </c>
      <c r="BH946" s="763">
        <v>0</v>
      </c>
      <c r="BI946" s="763">
        <v>0</v>
      </c>
      <c r="BJ946" s="763">
        <v>0</v>
      </c>
      <c r="BK946" s="763">
        <v>0</v>
      </c>
      <c r="BL946" s="763">
        <v>0</v>
      </c>
      <c r="BM946" s="763">
        <v>0</v>
      </c>
      <c r="BN946" s="763">
        <v>0</v>
      </c>
      <c r="BO946" s="763">
        <v>0</v>
      </c>
      <c r="BP946" s="763">
        <v>0</v>
      </c>
      <c r="BQ946" s="763">
        <v>0</v>
      </c>
      <c r="BR946" s="763">
        <v>0</v>
      </c>
      <c r="BS946" s="762">
        <v>0</v>
      </c>
      <c r="BT946" s="762">
        <v>0</v>
      </c>
      <c r="BU946" s="762">
        <v>0</v>
      </c>
      <c r="BV946" s="762">
        <v>289.1840495751407</v>
      </c>
      <c r="BW946" s="762">
        <v>289.1840495751407</v>
      </c>
      <c r="BX946" s="762">
        <v>289.1840495751407</v>
      </c>
      <c r="BY946" s="762">
        <v>106.54149194873604</v>
      </c>
      <c r="BZ946" s="762">
        <v>106.54149194873604</v>
      </c>
      <c r="CA946" s="762">
        <v>106.54149194873604</v>
      </c>
      <c r="CB946" s="762">
        <v>106.54149194873604</v>
      </c>
      <c r="CC946" s="762">
        <v>106.54149194873604</v>
      </c>
      <c r="CD946" s="762">
        <v>106.54149194873604</v>
      </c>
      <c r="CE946" s="762">
        <v>106.54149194873604</v>
      </c>
      <c r="CF946" s="762">
        <v>106.54149194873604</v>
      </c>
      <c r="CG946" s="762">
        <v>106.54149194873604</v>
      </c>
      <c r="CH946" s="762">
        <v>0</v>
      </c>
      <c r="CI946" s="762">
        <v>0</v>
      </c>
      <c r="CJ946" s="762">
        <v>0</v>
      </c>
      <c r="CK946" s="762">
        <v>0</v>
      </c>
      <c r="CL946" s="762">
        <v>0</v>
      </c>
      <c r="CM946" s="762">
        <v>0</v>
      </c>
      <c r="CN946" s="762">
        <v>0</v>
      </c>
      <c r="CO946" s="762">
        <v>0</v>
      </c>
      <c r="CP946" s="762">
        <v>0</v>
      </c>
      <c r="CQ946" s="762">
        <v>0</v>
      </c>
      <c r="CR946" s="762">
        <v>0</v>
      </c>
    </row>
    <row r="947" spans="1:96" s="53" customFormat="1">
      <c r="A947" s="721" t="s">
        <v>3</v>
      </c>
      <c r="B947" s="723">
        <v>41908</v>
      </c>
      <c r="C947" s="721">
        <v>2014</v>
      </c>
      <c r="D947" s="713" t="s">
        <v>1</v>
      </c>
      <c r="E947" s="713" t="s">
        <v>674</v>
      </c>
      <c r="F947" s="723" t="s">
        <v>673</v>
      </c>
      <c r="G947" s="713" t="s">
        <v>58</v>
      </c>
      <c r="H947" s="723" t="s">
        <v>677</v>
      </c>
      <c r="I947" s="713" t="s">
        <v>5</v>
      </c>
      <c r="J947" s="713" t="s">
        <v>376</v>
      </c>
      <c r="K947" s="766">
        <v>1</v>
      </c>
      <c r="L947" s="766" t="s">
        <v>671</v>
      </c>
      <c r="M947" s="765" t="s">
        <v>722</v>
      </c>
      <c r="N947" s="765">
        <v>0</v>
      </c>
      <c r="O947" s="765">
        <v>0</v>
      </c>
      <c r="P947" s="735">
        <v>0</v>
      </c>
      <c r="Q947" s="713" t="s">
        <v>58</v>
      </c>
      <c r="R947" s="713" t="s">
        <v>58</v>
      </c>
      <c r="S947" s="713" t="s">
        <v>58</v>
      </c>
      <c r="T947" s="713" t="s">
        <v>58</v>
      </c>
      <c r="U947" s="764">
        <v>0</v>
      </c>
      <c r="V947" s="764">
        <v>0</v>
      </c>
      <c r="W947" s="764">
        <v>0</v>
      </c>
      <c r="X947" s="764">
        <v>0</v>
      </c>
      <c r="Y947" s="764">
        <v>0</v>
      </c>
      <c r="Z947" s="764">
        <v>0</v>
      </c>
      <c r="AA947" s="764">
        <v>0</v>
      </c>
      <c r="AB947" s="764">
        <v>0</v>
      </c>
      <c r="AC947" s="714">
        <v>0.82617698682369967</v>
      </c>
      <c r="AD947" s="714">
        <v>0.7843105192554185</v>
      </c>
      <c r="AE947" s="713" t="s">
        <v>58</v>
      </c>
      <c r="AF947" s="713" t="s">
        <v>58</v>
      </c>
      <c r="AG947" s="713" t="s">
        <v>58</v>
      </c>
      <c r="AH947" s="714">
        <v>0.94387031345969796</v>
      </c>
      <c r="AI947" s="713" t="s">
        <v>58</v>
      </c>
      <c r="AJ947" s="713" t="s">
        <v>58</v>
      </c>
      <c r="AK947" s="713" t="s">
        <v>58</v>
      </c>
      <c r="AL947" s="714">
        <v>0.94454345387965444</v>
      </c>
      <c r="AM947" s="713" t="s">
        <v>58</v>
      </c>
      <c r="AN947" s="713" t="s">
        <v>58</v>
      </c>
      <c r="AO947" s="713" t="s">
        <v>58</v>
      </c>
      <c r="AP947" s="747">
        <v>51</v>
      </c>
      <c r="AQ947" s="747">
        <v>51</v>
      </c>
      <c r="AR947" s="709"/>
      <c r="AS947" s="763">
        <v>0</v>
      </c>
      <c r="AT947" s="763">
        <v>0</v>
      </c>
      <c r="AU947" s="763">
        <v>0</v>
      </c>
      <c r="AV947" s="763">
        <v>0</v>
      </c>
      <c r="AW947" s="763">
        <v>0</v>
      </c>
      <c r="AX947" s="763">
        <v>0</v>
      </c>
      <c r="AY947" s="763">
        <v>0</v>
      </c>
      <c r="AZ947" s="763">
        <v>0</v>
      </c>
      <c r="BA947" s="763">
        <v>0</v>
      </c>
      <c r="BB947" s="763">
        <v>0</v>
      </c>
      <c r="BC947" s="763">
        <v>0</v>
      </c>
      <c r="BD947" s="763">
        <v>0</v>
      </c>
      <c r="BE947" s="763">
        <v>0</v>
      </c>
      <c r="BF947" s="763">
        <v>0</v>
      </c>
      <c r="BG947" s="763">
        <v>0</v>
      </c>
      <c r="BH947" s="763">
        <v>0</v>
      </c>
      <c r="BI947" s="763">
        <v>0</v>
      </c>
      <c r="BJ947" s="763">
        <v>0</v>
      </c>
      <c r="BK947" s="763">
        <v>0</v>
      </c>
      <c r="BL947" s="763">
        <v>0</v>
      </c>
      <c r="BM947" s="763">
        <v>0</v>
      </c>
      <c r="BN947" s="763">
        <v>0</v>
      </c>
      <c r="BO947" s="763">
        <v>0</v>
      </c>
      <c r="BP947" s="763">
        <v>0</v>
      </c>
      <c r="BQ947" s="763">
        <v>0</v>
      </c>
      <c r="BR947" s="763">
        <v>0</v>
      </c>
      <c r="BS947" s="762">
        <v>0</v>
      </c>
      <c r="BT947" s="762">
        <v>0</v>
      </c>
      <c r="BU947" s="762">
        <v>0</v>
      </c>
      <c r="BV947" s="762">
        <v>0</v>
      </c>
      <c r="BW947" s="762">
        <v>0</v>
      </c>
      <c r="BX947" s="762">
        <v>0</v>
      </c>
      <c r="BY947" s="762">
        <v>0</v>
      </c>
      <c r="BZ947" s="762">
        <v>0</v>
      </c>
      <c r="CA947" s="762">
        <v>0</v>
      </c>
      <c r="CB947" s="762">
        <v>0</v>
      </c>
      <c r="CC947" s="762">
        <v>0</v>
      </c>
      <c r="CD947" s="762">
        <v>0</v>
      </c>
      <c r="CE947" s="762">
        <v>0</v>
      </c>
      <c r="CF947" s="762">
        <v>0</v>
      </c>
      <c r="CG947" s="762">
        <v>0</v>
      </c>
      <c r="CH947" s="762">
        <v>0</v>
      </c>
      <c r="CI947" s="762">
        <v>0</v>
      </c>
      <c r="CJ947" s="762">
        <v>0</v>
      </c>
      <c r="CK947" s="762">
        <v>0</v>
      </c>
      <c r="CL947" s="762">
        <v>0</v>
      </c>
      <c r="CM947" s="762">
        <v>0</v>
      </c>
      <c r="CN947" s="762">
        <v>0</v>
      </c>
      <c r="CO947" s="762">
        <v>0</v>
      </c>
      <c r="CP947" s="762">
        <v>0</v>
      </c>
      <c r="CQ947" s="762">
        <v>0</v>
      </c>
      <c r="CR947" s="762">
        <v>0</v>
      </c>
    </row>
    <row r="948" spans="1:96" s="53" customFormat="1">
      <c r="A948" s="721" t="s">
        <v>3</v>
      </c>
      <c r="B948" s="723">
        <v>41908</v>
      </c>
      <c r="C948" s="721">
        <v>2014</v>
      </c>
      <c r="D948" s="713" t="s">
        <v>1</v>
      </c>
      <c r="E948" s="713" t="s">
        <v>674</v>
      </c>
      <c r="F948" s="723" t="s">
        <v>673</v>
      </c>
      <c r="G948" s="713" t="s">
        <v>58</v>
      </c>
      <c r="H948" s="723" t="s">
        <v>682</v>
      </c>
      <c r="I948" s="713" t="s">
        <v>5</v>
      </c>
      <c r="J948" s="713" t="s">
        <v>376</v>
      </c>
      <c r="K948" s="766">
        <v>1</v>
      </c>
      <c r="L948" s="766" t="s">
        <v>671</v>
      </c>
      <c r="M948" s="765" t="s">
        <v>722</v>
      </c>
      <c r="N948" s="765">
        <v>12</v>
      </c>
      <c r="O948" s="765">
        <v>3</v>
      </c>
      <c r="P948" s="735">
        <v>0.4</v>
      </c>
      <c r="Q948" s="713" t="s">
        <v>58</v>
      </c>
      <c r="R948" s="713" t="s">
        <v>58</v>
      </c>
      <c r="S948" s="713" t="s">
        <v>58</v>
      </c>
      <c r="T948" s="713" t="s">
        <v>58</v>
      </c>
      <c r="U948" s="764">
        <v>2.5000000000000001E-2</v>
      </c>
      <c r="V948" s="764">
        <v>64.849999999999994</v>
      </c>
      <c r="W948" s="764">
        <v>1.9607762981385463E-2</v>
      </c>
      <c r="X948" s="764">
        <v>53.577577595516914</v>
      </c>
      <c r="Y948" s="764">
        <v>353.61201213041164</v>
      </c>
      <c r="Z948" s="764">
        <v>333.76388073264616</v>
      </c>
      <c r="AA948" s="764">
        <v>50.570284959491843</v>
      </c>
      <c r="AB948" s="764">
        <v>1.8520384169291457E-2</v>
      </c>
      <c r="AC948" s="714">
        <v>0.82617698682369967</v>
      </c>
      <c r="AD948" s="714">
        <v>0.7843105192554185</v>
      </c>
      <c r="AE948" s="713" t="s">
        <v>58</v>
      </c>
      <c r="AF948" s="713" t="s">
        <v>58</v>
      </c>
      <c r="AG948" s="713" t="s">
        <v>58</v>
      </c>
      <c r="AH948" s="714">
        <v>0.94387031345969796</v>
      </c>
      <c r="AI948" s="713" t="s">
        <v>58</v>
      </c>
      <c r="AJ948" s="713" t="s">
        <v>58</v>
      </c>
      <c r="AK948" s="713" t="s">
        <v>58</v>
      </c>
      <c r="AL948" s="714">
        <v>0.94454345387965444</v>
      </c>
      <c r="AM948" s="713" t="s">
        <v>58</v>
      </c>
      <c r="AN948" s="713" t="s">
        <v>58</v>
      </c>
      <c r="AO948" s="713" t="s">
        <v>58</v>
      </c>
      <c r="AP948" s="747">
        <v>47</v>
      </c>
      <c r="AQ948" s="747">
        <v>47</v>
      </c>
      <c r="AR948" s="709"/>
      <c r="AS948" s="763">
        <v>0</v>
      </c>
      <c r="AT948" s="763">
        <v>0</v>
      </c>
      <c r="AU948" s="763">
        <v>0</v>
      </c>
      <c r="AV948" s="763">
        <v>1.8520384169291457E-2</v>
      </c>
      <c r="AW948" s="763">
        <v>1.8520384169291457E-2</v>
      </c>
      <c r="AX948" s="763">
        <v>1.8520384169291457E-2</v>
      </c>
      <c r="AY948" s="763">
        <v>7.4081536677165832E-3</v>
      </c>
      <c r="AZ948" s="763">
        <v>7.4081536677165832E-3</v>
      </c>
      <c r="BA948" s="763">
        <v>7.4081536677165832E-3</v>
      </c>
      <c r="BB948" s="763">
        <v>7.4081536677165832E-3</v>
      </c>
      <c r="BC948" s="763">
        <v>7.4081536677165832E-3</v>
      </c>
      <c r="BD948" s="763">
        <v>7.4081536677165832E-3</v>
      </c>
      <c r="BE948" s="763">
        <v>7.4081536677165832E-3</v>
      </c>
      <c r="BF948" s="763">
        <v>7.4081536677165832E-3</v>
      </c>
      <c r="BG948" s="763">
        <v>7.4081536677165832E-3</v>
      </c>
      <c r="BH948" s="763">
        <v>0</v>
      </c>
      <c r="BI948" s="763">
        <v>0</v>
      </c>
      <c r="BJ948" s="763">
        <v>0</v>
      </c>
      <c r="BK948" s="763">
        <v>0</v>
      </c>
      <c r="BL948" s="763">
        <v>0</v>
      </c>
      <c r="BM948" s="763">
        <v>0</v>
      </c>
      <c r="BN948" s="763">
        <v>0</v>
      </c>
      <c r="BO948" s="763">
        <v>0</v>
      </c>
      <c r="BP948" s="763">
        <v>0</v>
      </c>
      <c r="BQ948" s="763">
        <v>0</v>
      </c>
      <c r="BR948" s="763">
        <v>0</v>
      </c>
      <c r="BS948" s="762">
        <v>0</v>
      </c>
      <c r="BT948" s="762">
        <v>0</v>
      </c>
      <c r="BU948" s="762">
        <v>0</v>
      </c>
      <c r="BV948" s="762">
        <v>50.570284959491843</v>
      </c>
      <c r="BW948" s="762">
        <v>50.570284959491843</v>
      </c>
      <c r="BX948" s="762">
        <v>50.570284959491843</v>
      </c>
      <c r="BY948" s="762">
        <v>20.228113983796739</v>
      </c>
      <c r="BZ948" s="762">
        <v>20.228113983796739</v>
      </c>
      <c r="CA948" s="762">
        <v>20.228113983796739</v>
      </c>
      <c r="CB948" s="762">
        <v>20.228113983796739</v>
      </c>
      <c r="CC948" s="762">
        <v>20.228113983796739</v>
      </c>
      <c r="CD948" s="762">
        <v>20.228113983796739</v>
      </c>
      <c r="CE948" s="762">
        <v>20.228113983796739</v>
      </c>
      <c r="CF948" s="762">
        <v>20.228113983796739</v>
      </c>
      <c r="CG948" s="762">
        <v>20.228113983796739</v>
      </c>
      <c r="CH948" s="762">
        <v>0</v>
      </c>
      <c r="CI948" s="762">
        <v>0</v>
      </c>
      <c r="CJ948" s="762">
        <v>0</v>
      </c>
      <c r="CK948" s="762">
        <v>0</v>
      </c>
      <c r="CL948" s="762">
        <v>0</v>
      </c>
      <c r="CM948" s="762">
        <v>0</v>
      </c>
      <c r="CN948" s="762">
        <v>0</v>
      </c>
      <c r="CO948" s="762">
        <v>0</v>
      </c>
      <c r="CP948" s="762">
        <v>0</v>
      </c>
      <c r="CQ948" s="762">
        <v>0</v>
      </c>
      <c r="CR948" s="762">
        <v>0</v>
      </c>
    </row>
    <row r="949" spans="1:96" s="53" customFormat="1">
      <c r="A949" s="721" t="s">
        <v>3</v>
      </c>
      <c r="B949" s="723">
        <v>41908</v>
      </c>
      <c r="C949" s="721">
        <v>2014</v>
      </c>
      <c r="D949" s="713" t="s">
        <v>1</v>
      </c>
      <c r="E949" s="713" t="s">
        <v>674</v>
      </c>
      <c r="F949" s="723" t="s">
        <v>673</v>
      </c>
      <c r="G949" s="713" t="s">
        <v>58</v>
      </c>
      <c r="H949" s="723" t="s">
        <v>676</v>
      </c>
      <c r="I949" s="713" t="s">
        <v>5</v>
      </c>
      <c r="J949" s="713" t="s">
        <v>376</v>
      </c>
      <c r="K949" s="766">
        <v>6</v>
      </c>
      <c r="L949" s="766" t="s">
        <v>671</v>
      </c>
      <c r="M949" s="765" t="s">
        <v>722</v>
      </c>
      <c r="N949" s="765">
        <v>12</v>
      </c>
      <c r="O949" s="765">
        <v>3</v>
      </c>
      <c r="P949" s="735">
        <v>0.31578947368421051</v>
      </c>
      <c r="Q949" s="713" t="s">
        <v>58</v>
      </c>
      <c r="R949" s="713" t="s">
        <v>58</v>
      </c>
      <c r="S949" s="713" t="s">
        <v>58</v>
      </c>
      <c r="T949" s="713" t="s">
        <v>58</v>
      </c>
      <c r="U949" s="764">
        <v>0.22800000000000001</v>
      </c>
      <c r="V949" s="764">
        <v>591.43200000000002</v>
      </c>
      <c r="W949" s="764">
        <v>0.17882279839023546</v>
      </c>
      <c r="X949" s="764">
        <v>488.62750767111436</v>
      </c>
      <c r="Y949" s="764">
        <v>2854.6133342891417</v>
      </c>
      <c r="Z949" s="764">
        <v>2694.3847826417259</v>
      </c>
      <c r="AA949" s="764">
        <v>461.20099883056565</v>
      </c>
      <c r="AB949" s="764">
        <v>0.16890590362393812</v>
      </c>
      <c r="AC949" s="714">
        <v>0.82617698682369967</v>
      </c>
      <c r="AD949" s="714">
        <v>0.7843105192554185</v>
      </c>
      <c r="AE949" s="713" t="s">
        <v>58</v>
      </c>
      <c r="AF949" s="713" t="s">
        <v>58</v>
      </c>
      <c r="AG949" s="713" t="s">
        <v>58</v>
      </c>
      <c r="AH949" s="714">
        <v>0.94387031345969796</v>
      </c>
      <c r="AI949" s="713" t="s">
        <v>58</v>
      </c>
      <c r="AJ949" s="713" t="s">
        <v>58</v>
      </c>
      <c r="AK949" s="713" t="s">
        <v>58</v>
      </c>
      <c r="AL949" s="714">
        <v>0.94454345387965444</v>
      </c>
      <c r="AM949" s="713" t="s">
        <v>58</v>
      </c>
      <c r="AN949" s="713" t="s">
        <v>58</v>
      </c>
      <c r="AO949" s="713" t="s">
        <v>58</v>
      </c>
      <c r="AP949" s="747">
        <v>57</v>
      </c>
      <c r="AQ949" s="747">
        <v>342</v>
      </c>
      <c r="AR949" s="709"/>
      <c r="AS949" s="763">
        <v>0</v>
      </c>
      <c r="AT949" s="763">
        <v>0</v>
      </c>
      <c r="AU949" s="763">
        <v>0</v>
      </c>
      <c r="AV949" s="763">
        <v>0.16890590362393812</v>
      </c>
      <c r="AW949" s="763">
        <v>0.16890590362393812</v>
      </c>
      <c r="AX949" s="763">
        <v>0.16890590362393812</v>
      </c>
      <c r="AY949" s="763">
        <v>5.3338706407559403E-2</v>
      </c>
      <c r="AZ949" s="763">
        <v>5.3338706407559403E-2</v>
      </c>
      <c r="BA949" s="763">
        <v>5.3338706407559403E-2</v>
      </c>
      <c r="BB949" s="763">
        <v>5.3338706407559403E-2</v>
      </c>
      <c r="BC949" s="763">
        <v>5.3338706407559403E-2</v>
      </c>
      <c r="BD949" s="763">
        <v>5.3338706407559403E-2</v>
      </c>
      <c r="BE949" s="763">
        <v>5.3338706407559403E-2</v>
      </c>
      <c r="BF949" s="763">
        <v>5.3338706407559403E-2</v>
      </c>
      <c r="BG949" s="763">
        <v>5.3338706407559403E-2</v>
      </c>
      <c r="BH949" s="763">
        <v>0</v>
      </c>
      <c r="BI949" s="763">
        <v>0</v>
      </c>
      <c r="BJ949" s="763">
        <v>0</v>
      </c>
      <c r="BK949" s="763">
        <v>0</v>
      </c>
      <c r="BL949" s="763">
        <v>0</v>
      </c>
      <c r="BM949" s="763">
        <v>0</v>
      </c>
      <c r="BN949" s="763">
        <v>0</v>
      </c>
      <c r="BO949" s="763">
        <v>0</v>
      </c>
      <c r="BP949" s="763">
        <v>0</v>
      </c>
      <c r="BQ949" s="763">
        <v>0</v>
      </c>
      <c r="BR949" s="763">
        <v>0</v>
      </c>
      <c r="BS949" s="762">
        <v>0</v>
      </c>
      <c r="BT949" s="762">
        <v>0</v>
      </c>
      <c r="BU949" s="762">
        <v>0</v>
      </c>
      <c r="BV949" s="762">
        <v>461.20099883056565</v>
      </c>
      <c r="BW949" s="762">
        <v>461.20099883056565</v>
      </c>
      <c r="BX949" s="762">
        <v>461.20099883056565</v>
      </c>
      <c r="BY949" s="762">
        <v>145.64242068333652</v>
      </c>
      <c r="BZ949" s="762">
        <v>145.64242068333652</v>
      </c>
      <c r="CA949" s="762">
        <v>145.64242068333652</v>
      </c>
      <c r="CB949" s="762">
        <v>145.64242068333652</v>
      </c>
      <c r="CC949" s="762">
        <v>145.64242068333652</v>
      </c>
      <c r="CD949" s="762">
        <v>145.64242068333652</v>
      </c>
      <c r="CE949" s="762">
        <v>145.64242068333652</v>
      </c>
      <c r="CF949" s="762">
        <v>145.64242068333652</v>
      </c>
      <c r="CG949" s="762">
        <v>145.64242068333652</v>
      </c>
      <c r="CH949" s="762">
        <v>0</v>
      </c>
      <c r="CI949" s="762">
        <v>0</v>
      </c>
      <c r="CJ949" s="762">
        <v>0</v>
      </c>
      <c r="CK949" s="762">
        <v>0</v>
      </c>
      <c r="CL949" s="762">
        <v>0</v>
      </c>
      <c r="CM949" s="762">
        <v>0</v>
      </c>
      <c r="CN949" s="762">
        <v>0</v>
      </c>
      <c r="CO949" s="762">
        <v>0</v>
      </c>
      <c r="CP949" s="762">
        <v>0</v>
      </c>
      <c r="CQ949" s="762">
        <v>0</v>
      </c>
      <c r="CR949" s="762">
        <v>0</v>
      </c>
    </row>
    <row r="950" spans="1:96" s="53" customFormat="1">
      <c r="A950" s="721" t="s">
        <v>3</v>
      </c>
      <c r="B950" s="723">
        <v>41908</v>
      </c>
      <c r="C950" s="721">
        <v>2014</v>
      </c>
      <c r="D950" s="713" t="s">
        <v>1</v>
      </c>
      <c r="E950" s="713" t="s">
        <v>674</v>
      </c>
      <c r="F950" s="723" t="s">
        <v>673</v>
      </c>
      <c r="G950" s="713" t="s">
        <v>58</v>
      </c>
      <c r="H950" s="723" t="s">
        <v>675</v>
      </c>
      <c r="I950" s="713" t="s">
        <v>5</v>
      </c>
      <c r="J950" s="713" t="s">
        <v>376</v>
      </c>
      <c r="K950" s="766">
        <v>1</v>
      </c>
      <c r="L950" s="766" t="s">
        <v>671</v>
      </c>
      <c r="M950" s="765" t="s">
        <v>722</v>
      </c>
      <c r="N950" s="765">
        <v>12</v>
      </c>
      <c r="O950" s="765">
        <v>3</v>
      </c>
      <c r="P950" s="735">
        <v>0.36842105263157893</v>
      </c>
      <c r="Q950" s="713" t="s">
        <v>58</v>
      </c>
      <c r="R950" s="713" t="s">
        <v>58</v>
      </c>
      <c r="S950" s="713" t="s">
        <v>58</v>
      </c>
      <c r="T950" s="713" t="s">
        <v>58</v>
      </c>
      <c r="U950" s="764">
        <v>5.7000000000000002E-2</v>
      </c>
      <c r="V950" s="764">
        <v>147.858</v>
      </c>
      <c r="W950" s="764">
        <v>4.4705699597558865E-2</v>
      </c>
      <c r="X950" s="764">
        <v>122.15687691777859</v>
      </c>
      <c r="Y950" s="764">
        <v>771.5171173754436</v>
      </c>
      <c r="Z950" s="764">
        <v>728.21210341668257</v>
      </c>
      <c r="AA950" s="764">
        <v>115.30024970764141</v>
      </c>
      <c r="AB950" s="764">
        <v>4.222647590598453E-2</v>
      </c>
      <c r="AC950" s="714">
        <v>0.82617698682369967</v>
      </c>
      <c r="AD950" s="714">
        <v>0.7843105192554185</v>
      </c>
      <c r="AE950" s="713" t="s">
        <v>58</v>
      </c>
      <c r="AF950" s="713" t="s">
        <v>58</v>
      </c>
      <c r="AG950" s="713" t="s">
        <v>58</v>
      </c>
      <c r="AH950" s="714">
        <v>0.94387031345969796</v>
      </c>
      <c r="AI950" s="713" t="s">
        <v>58</v>
      </c>
      <c r="AJ950" s="713" t="s">
        <v>58</v>
      </c>
      <c r="AK950" s="713" t="s">
        <v>58</v>
      </c>
      <c r="AL950" s="714">
        <v>0.94454345387965444</v>
      </c>
      <c r="AM950" s="713" t="s">
        <v>58</v>
      </c>
      <c r="AN950" s="713" t="s">
        <v>58</v>
      </c>
      <c r="AO950" s="713" t="s">
        <v>58</v>
      </c>
      <c r="AP950" s="747">
        <v>73</v>
      </c>
      <c r="AQ950" s="747">
        <v>73</v>
      </c>
      <c r="AR950" s="709"/>
      <c r="AS950" s="763">
        <v>0</v>
      </c>
      <c r="AT950" s="763">
        <v>0</v>
      </c>
      <c r="AU950" s="763">
        <v>0</v>
      </c>
      <c r="AV950" s="763">
        <v>4.222647590598453E-2</v>
      </c>
      <c r="AW950" s="763">
        <v>4.222647590598453E-2</v>
      </c>
      <c r="AX950" s="763">
        <v>4.222647590598453E-2</v>
      </c>
      <c r="AY950" s="763">
        <v>1.5557122702204825E-2</v>
      </c>
      <c r="AZ950" s="763">
        <v>1.5557122702204825E-2</v>
      </c>
      <c r="BA950" s="763">
        <v>1.5557122702204825E-2</v>
      </c>
      <c r="BB950" s="763">
        <v>1.5557122702204825E-2</v>
      </c>
      <c r="BC950" s="763">
        <v>1.5557122702204825E-2</v>
      </c>
      <c r="BD950" s="763">
        <v>1.5557122702204825E-2</v>
      </c>
      <c r="BE950" s="763">
        <v>1.5557122702204825E-2</v>
      </c>
      <c r="BF950" s="763">
        <v>1.5557122702204825E-2</v>
      </c>
      <c r="BG950" s="763">
        <v>1.5557122702204825E-2</v>
      </c>
      <c r="BH950" s="763">
        <v>0</v>
      </c>
      <c r="BI950" s="763">
        <v>0</v>
      </c>
      <c r="BJ950" s="763">
        <v>0</v>
      </c>
      <c r="BK950" s="763">
        <v>0</v>
      </c>
      <c r="BL950" s="763">
        <v>0</v>
      </c>
      <c r="BM950" s="763">
        <v>0</v>
      </c>
      <c r="BN950" s="763">
        <v>0</v>
      </c>
      <c r="BO950" s="763">
        <v>0</v>
      </c>
      <c r="BP950" s="763">
        <v>0</v>
      </c>
      <c r="BQ950" s="763">
        <v>0</v>
      </c>
      <c r="BR950" s="763">
        <v>0</v>
      </c>
      <c r="BS950" s="762">
        <v>0</v>
      </c>
      <c r="BT950" s="762">
        <v>0</v>
      </c>
      <c r="BU950" s="762">
        <v>0</v>
      </c>
      <c r="BV950" s="762">
        <v>115.30024970764141</v>
      </c>
      <c r="BW950" s="762">
        <v>115.30024970764141</v>
      </c>
      <c r="BX950" s="762">
        <v>115.30024970764141</v>
      </c>
      <c r="BY950" s="762">
        <v>42.479039365973151</v>
      </c>
      <c r="BZ950" s="762">
        <v>42.479039365973151</v>
      </c>
      <c r="CA950" s="762">
        <v>42.479039365973151</v>
      </c>
      <c r="CB950" s="762">
        <v>42.479039365973151</v>
      </c>
      <c r="CC950" s="762">
        <v>42.479039365973151</v>
      </c>
      <c r="CD950" s="762">
        <v>42.479039365973151</v>
      </c>
      <c r="CE950" s="762">
        <v>42.479039365973151</v>
      </c>
      <c r="CF950" s="762">
        <v>42.479039365973151</v>
      </c>
      <c r="CG950" s="762">
        <v>42.479039365973151</v>
      </c>
      <c r="CH950" s="762">
        <v>0</v>
      </c>
      <c r="CI950" s="762">
        <v>0</v>
      </c>
      <c r="CJ950" s="762">
        <v>0</v>
      </c>
      <c r="CK950" s="762">
        <v>0</v>
      </c>
      <c r="CL950" s="762">
        <v>0</v>
      </c>
      <c r="CM950" s="762">
        <v>0</v>
      </c>
      <c r="CN950" s="762">
        <v>0</v>
      </c>
      <c r="CO950" s="762">
        <v>0</v>
      </c>
      <c r="CP950" s="762">
        <v>0</v>
      </c>
      <c r="CQ950" s="762">
        <v>0</v>
      </c>
      <c r="CR950" s="762">
        <v>0</v>
      </c>
    </row>
    <row r="951" spans="1:96" s="53" customFormat="1">
      <c r="A951" s="721" t="s">
        <v>3</v>
      </c>
      <c r="B951" s="723">
        <v>41908</v>
      </c>
      <c r="C951" s="721">
        <v>2014</v>
      </c>
      <c r="D951" s="713" t="s">
        <v>1</v>
      </c>
      <c r="E951" s="713" t="s">
        <v>674</v>
      </c>
      <c r="F951" s="723" t="s">
        <v>673</v>
      </c>
      <c r="G951" s="713" t="s">
        <v>58</v>
      </c>
      <c r="H951" s="723" t="s">
        <v>675</v>
      </c>
      <c r="I951" s="713" t="s">
        <v>5</v>
      </c>
      <c r="J951" s="713" t="s">
        <v>376</v>
      </c>
      <c r="K951" s="766">
        <v>2</v>
      </c>
      <c r="L951" s="766" t="s">
        <v>671</v>
      </c>
      <c r="M951" s="765" t="s">
        <v>722</v>
      </c>
      <c r="N951" s="765">
        <v>12</v>
      </c>
      <c r="O951" s="765">
        <v>3</v>
      </c>
      <c r="P951" s="735">
        <v>0.36842105263157893</v>
      </c>
      <c r="Q951" s="713" t="s">
        <v>58</v>
      </c>
      <c r="R951" s="713" t="s">
        <v>58</v>
      </c>
      <c r="S951" s="713" t="s">
        <v>58</v>
      </c>
      <c r="T951" s="713" t="s">
        <v>58</v>
      </c>
      <c r="U951" s="764">
        <v>0.114</v>
      </c>
      <c r="V951" s="764">
        <v>295.71600000000001</v>
      </c>
      <c r="W951" s="764">
        <v>8.941139919511773E-2</v>
      </c>
      <c r="X951" s="764">
        <v>244.31375383555718</v>
      </c>
      <c r="Y951" s="764">
        <v>1543.0342347508872</v>
      </c>
      <c r="Z951" s="764">
        <v>1456.4242068333651</v>
      </c>
      <c r="AA951" s="764">
        <v>230.60049941528283</v>
      </c>
      <c r="AB951" s="764">
        <v>8.445295181196906E-2</v>
      </c>
      <c r="AC951" s="714">
        <v>0.82617698682369967</v>
      </c>
      <c r="AD951" s="714">
        <v>0.7843105192554185</v>
      </c>
      <c r="AE951" s="713" t="s">
        <v>58</v>
      </c>
      <c r="AF951" s="713" t="s">
        <v>58</v>
      </c>
      <c r="AG951" s="713" t="s">
        <v>58</v>
      </c>
      <c r="AH951" s="714">
        <v>0.94387031345969796</v>
      </c>
      <c r="AI951" s="713" t="s">
        <v>58</v>
      </c>
      <c r="AJ951" s="713" t="s">
        <v>58</v>
      </c>
      <c r="AK951" s="713" t="s">
        <v>58</v>
      </c>
      <c r="AL951" s="714">
        <v>0.94454345387965444</v>
      </c>
      <c r="AM951" s="713" t="s">
        <v>58</v>
      </c>
      <c r="AN951" s="713" t="s">
        <v>58</v>
      </c>
      <c r="AO951" s="713" t="s">
        <v>58</v>
      </c>
      <c r="AP951" s="747">
        <v>73</v>
      </c>
      <c r="AQ951" s="747">
        <v>146</v>
      </c>
      <c r="AR951" s="709"/>
      <c r="AS951" s="763">
        <v>0</v>
      </c>
      <c r="AT951" s="763">
        <v>0</v>
      </c>
      <c r="AU951" s="763">
        <v>0</v>
      </c>
      <c r="AV951" s="763">
        <v>8.445295181196906E-2</v>
      </c>
      <c r="AW951" s="763">
        <v>8.445295181196906E-2</v>
      </c>
      <c r="AX951" s="763">
        <v>8.445295181196906E-2</v>
      </c>
      <c r="AY951" s="763">
        <v>3.111424540440965E-2</v>
      </c>
      <c r="AZ951" s="763">
        <v>3.111424540440965E-2</v>
      </c>
      <c r="BA951" s="763">
        <v>3.111424540440965E-2</v>
      </c>
      <c r="BB951" s="763">
        <v>3.111424540440965E-2</v>
      </c>
      <c r="BC951" s="763">
        <v>3.111424540440965E-2</v>
      </c>
      <c r="BD951" s="763">
        <v>3.111424540440965E-2</v>
      </c>
      <c r="BE951" s="763">
        <v>3.111424540440965E-2</v>
      </c>
      <c r="BF951" s="763">
        <v>3.111424540440965E-2</v>
      </c>
      <c r="BG951" s="763">
        <v>3.111424540440965E-2</v>
      </c>
      <c r="BH951" s="763">
        <v>0</v>
      </c>
      <c r="BI951" s="763">
        <v>0</v>
      </c>
      <c r="BJ951" s="763">
        <v>0</v>
      </c>
      <c r="BK951" s="763">
        <v>0</v>
      </c>
      <c r="BL951" s="763">
        <v>0</v>
      </c>
      <c r="BM951" s="763">
        <v>0</v>
      </c>
      <c r="BN951" s="763">
        <v>0</v>
      </c>
      <c r="BO951" s="763">
        <v>0</v>
      </c>
      <c r="BP951" s="763">
        <v>0</v>
      </c>
      <c r="BQ951" s="763">
        <v>0</v>
      </c>
      <c r="BR951" s="763">
        <v>0</v>
      </c>
      <c r="BS951" s="762">
        <v>0</v>
      </c>
      <c r="BT951" s="762">
        <v>0</v>
      </c>
      <c r="BU951" s="762">
        <v>0</v>
      </c>
      <c r="BV951" s="762">
        <v>230.60049941528283</v>
      </c>
      <c r="BW951" s="762">
        <v>230.60049941528283</v>
      </c>
      <c r="BX951" s="762">
        <v>230.60049941528283</v>
      </c>
      <c r="BY951" s="762">
        <v>84.958078731946301</v>
      </c>
      <c r="BZ951" s="762">
        <v>84.958078731946301</v>
      </c>
      <c r="CA951" s="762">
        <v>84.958078731946301</v>
      </c>
      <c r="CB951" s="762">
        <v>84.958078731946301</v>
      </c>
      <c r="CC951" s="762">
        <v>84.958078731946301</v>
      </c>
      <c r="CD951" s="762">
        <v>84.958078731946301</v>
      </c>
      <c r="CE951" s="762">
        <v>84.958078731946301</v>
      </c>
      <c r="CF951" s="762">
        <v>84.958078731946301</v>
      </c>
      <c r="CG951" s="762">
        <v>84.958078731946301</v>
      </c>
      <c r="CH951" s="762">
        <v>0</v>
      </c>
      <c r="CI951" s="762">
        <v>0</v>
      </c>
      <c r="CJ951" s="762">
        <v>0</v>
      </c>
      <c r="CK951" s="762">
        <v>0</v>
      </c>
      <c r="CL951" s="762">
        <v>0</v>
      </c>
      <c r="CM951" s="762">
        <v>0</v>
      </c>
      <c r="CN951" s="762">
        <v>0</v>
      </c>
      <c r="CO951" s="762">
        <v>0</v>
      </c>
      <c r="CP951" s="762">
        <v>0</v>
      </c>
      <c r="CQ951" s="762">
        <v>0</v>
      </c>
      <c r="CR951" s="762">
        <v>0</v>
      </c>
    </row>
    <row r="952" spans="1:96" s="53" customFormat="1">
      <c r="A952" s="721" t="s">
        <v>3</v>
      </c>
      <c r="B952" s="723">
        <v>41908</v>
      </c>
      <c r="C952" s="721">
        <v>2014</v>
      </c>
      <c r="D952" s="713" t="s">
        <v>1</v>
      </c>
      <c r="E952" s="713" t="s">
        <v>674</v>
      </c>
      <c r="F952" s="723" t="s">
        <v>673</v>
      </c>
      <c r="G952" s="713" t="s">
        <v>58</v>
      </c>
      <c r="H952" s="723" t="s">
        <v>684</v>
      </c>
      <c r="I952" s="713" t="s">
        <v>5</v>
      </c>
      <c r="J952" s="713" t="s">
        <v>376</v>
      </c>
      <c r="K952" s="766">
        <v>2</v>
      </c>
      <c r="L952" s="766" t="s">
        <v>671</v>
      </c>
      <c r="M952" s="765" t="s">
        <v>722</v>
      </c>
      <c r="N952" s="765">
        <v>11</v>
      </c>
      <c r="O952" s="765">
        <v>2</v>
      </c>
      <c r="P952" s="735">
        <v>0.43976996379393668</v>
      </c>
      <c r="Q952" s="713" t="s">
        <v>58</v>
      </c>
      <c r="R952" s="713" t="s">
        <v>58</v>
      </c>
      <c r="S952" s="713" t="s">
        <v>58</v>
      </c>
      <c r="T952" s="713" t="s">
        <v>58</v>
      </c>
      <c r="U952" s="764">
        <v>0.13600000000000001</v>
      </c>
      <c r="V952" s="764">
        <v>419.15199999999999</v>
      </c>
      <c r="W952" s="764">
        <v>0.10666623061873694</v>
      </c>
      <c r="X952" s="764">
        <v>346.2937363811273</v>
      </c>
      <c r="Y952" s="764">
        <v>2063.1937279558133</v>
      </c>
      <c r="Z952" s="764">
        <v>1947.3873107337363</v>
      </c>
      <c r="AA952" s="764">
        <v>326.85637750718462</v>
      </c>
      <c r="AB952" s="764">
        <v>0.10075088988094553</v>
      </c>
      <c r="AC952" s="714">
        <v>0.82617698682369967</v>
      </c>
      <c r="AD952" s="714">
        <v>0.7843105192554185</v>
      </c>
      <c r="AE952" s="713" t="s">
        <v>58</v>
      </c>
      <c r="AF952" s="713" t="s">
        <v>58</v>
      </c>
      <c r="AG952" s="713" t="s">
        <v>58</v>
      </c>
      <c r="AH952" s="714">
        <v>0.94387031345969796</v>
      </c>
      <c r="AI952" s="713" t="s">
        <v>58</v>
      </c>
      <c r="AJ952" s="713" t="s">
        <v>58</v>
      </c>
      <c r="AK952" s="713" t="s">
        <v>58</v>
      </c>
      <c r="AL952" s="714">
        <v>0.94454345387965444</v>
      </c>
      <c r="AM952" s="713" t="s">
        <v>58</v>
      </c>
      <c r="AN952" s="713" t="s">
        <v>58</v>
      </c>
      <c r="AO952" s="713" t="s">
        <v>58</v>
      </c>
      <c r="AP952" s="747">
        <v>48</v>
      </c>
      <c r="AQ952" s="747">
        <v>96</v>
      </c>
      <c r="AR952" s="709"/>
      <c r="AS952" s="763">
        <v>0</v>
      </c>
      <c r="AT952" s="763">
        <v>0</v>
      </c>
      <c r="AU952" s="763">
        <v>0</v>
      </c>
      <c r="AV952" s="763">
        <v>0.10075088988094553</v>
      </c>
      <c r="AW952" s="763">
        <v>0.10075088988094553</v>
      </c>
      <c r="AX952" s="763">
        <v>4.4307215195150317E-2</v>
      </c>
      <c r="AY952" s="763">
        <v>4.4307215195150317E-2</v>
      </c>
      <c r="AZ952" s="763">
        <v>4.4307215195150317E-2</v>
      </c>
      <c r="BA952" s="763">
        <v>4.4307215195150317E-2</v>
      </c>
      <c r="BB952" s="763">
        <v>4.4307215195150317E-2</v>
      </c>
      <c r="BC952" s="763">
        <v>4.4307215195150317E-2</v>
      </c>
      <c r="BD952" s="763">
        <v>4.4307215195150317E-2</v>
      </c>
      <c r="BE952" s="763">
        <v>4.4307215195150317E-2</v>
      </c>
      <c r="BF952" s="763">
        <v>4.4307215195150317E-2</v>
      </c>
      <c r="BG952" s="763">
        <v>0</v>
      </c>
      <c r="BH952" s="763">
        <v>0</v>
      </c>
      <c r="BI952" s="763">
        <v>0</v>
      </c>
      <c r="BJ952" s="763">
        <v>0</v>
      </c>
      <c r="BK952" s="763">
        <v>0</v>
      </c>
      <c r="BL952" s="763">
        <v>0</v>
      </c>
      <c r="BM952" s="763">
        <v>0</v>
      </c>
      <c r="BN952" s="763">
        <v>0</v>
      </c>
      <c r="BO952" s="763">
        <v>0</v>
      </c>
      <c r="BP952" s="763">
        <v>0</v>
      </c>
      <c r="BQ952" s="763">
        <v>0</v>
      </c>
      <c r="BR952" s="763">
        <v>0</v>
      </c>
      <c r="BS952" s="762">
        <v>0</v>
      </c>
      <c r="BT952" s="762">
        <v>0</v>
      </c>
      <c r="BU952" s="762">
        <v>0</v>
      </c>
      <c r="BV952" s="762">
        <v>326.85637750718462</v>
      </c>
      <c r="BW952" s="762">
        <v>326.85637750718462</v>
      </c>
      <c r="BX952" s="762">
        <v>143.74161730215187</v>
      </c>
      <c r="BY952" s="762">
        <v>143.74161730215187</v>
      </c>
      <c r="BZ952" s="762">
        <v>143.74161730215187</v>
      </c>
      <c r="CA952" s="762">
        <v>143.74161730215187</v>
      </c>
      <c r="CB952" s="762">
        <v>143.74161730215187</v>
      </c>
      <c r="CC952" s="762">
        <v>143.74161730215187</v>
      </c>
      <c r="CD952" s="762">
        <v>143.74161730215187</v>
      </c>
      <c r="CE952" s="762">
        <v>143.74161730215187</v>
      </c>
      <c r="CF952" s="762">
        <v>143.74161730215187</v>
      </c>
      <c r="CG952" s="762">
        <v>0</v>
      </c>
      <c r="CH952" s="762">
        <v>0</v>
      </c>
      <c r="CI952" s="762">
        <v>0</v>
      </c>
      <c r="CJ952" s="762">
        <v>0</v>
      </c>
      <c r="CK952" s="762">
        <v>0</v>
      </c>
      <c r="CL952" s="762">
        <v>0</v>
      </c>
      <c r="CM952" s="762">
        <v>0</v>
      </c>
      <c r="CN952" s="762">
        <v>0</v>
      </c>
      <c r="CO952" s="762">
        <v>0</v>
      </c>
      <c r="CP952" s="762">
        <v>0</v>
      </c>
      <c r="CQ952" s="762">
        <v>0</v>
      </c>
      <c r="CR952" s="762">
        <v>0</v>
      </c>
    </row>
    <row r="953" spans="1:96" s="53" customFormat="1">
      <c r="A953" s="721" t="s">
        <v>3</v>
      </c>
      <c r="B953" s="723">
        <v>41908</v>
      </c>
      <c r="C953" s="721">
        <v>2014</v>
      </c>
      <c r="D953" s="713" t="s">
        <v>1</v>
      </c>
      <c r="E953" s="713" t="s">
        <v>674</v>
      </c>
      <c r="F953" s="723" t="s">
        <v>673</v>
      </c>
      <c r="G953" s="713" t="s">
        <v>58</v>
      </c>
      <c r="H953" s="723" t="s">
        <v>684</v>
      </c>
      <c r="I953" s="713" t="s">
        <v>5</v>
      </c>
      <c r="J953" s="713" t="s">
        <v>376</v>
      </c>
      <c r="K953" s="766">
        <v>1</v>
      </c>
      <c r="L953" s="766" t="s">
        <v>671</v>
      </c>
      <c r="M953" s="765" t="s">
        <v>722</v>
      </c>
      <c r="N953" s="765">
        <v>11</v>
      </c>
      <c r="O953" s="765">
        <v>2</v>
      </c>
      <c r="P953" s="735">
        <v>0.43976996379393668</v>
      </c>
      <c r="Q953" s="713" t="s">
        <v>58</v>
      </c>
      <c r="R953" s="713" t="s">
        <v>58</v>
      </c>
      <c r="S953" s="713" t="s">
        <v>58</v>
      </c>
      <c r="T953" s="713" t="s">
        <v>58</v>
      </c>
      <c r="U953" s="764">
        <v>6.8000000000000005E-2</v>
      </c>
      <c r="V953" s="764">
        <v>209.57599999999999</v>
      </c>
      <c r="W953" s="764">
        <v>5.3333115309368469E-2</v>
      </c>
      <c r="X953" s="764">
        <v>173.14686819056365</v>
      </c>
      <c r="Y953" s="764">
        <v>1031.5968639779067</v>
      </c>
      <c r="Z953" s="764">
        <v>973.69365536686814</v>
      </c>
      <c r="AA953" s="764">
        <v>163.42818875359231</v>
      </c>
      <c r="AB953" s="764">
        <v>5.0375444940472767E-2</v>
      </c>
      <c r="AC953" s="714">
        <v>0.82617698682369967</v>
      </c>
      <c r="AD953" s="714">
        <v>0.7843105192554185</v>
      </c>
      <c r="AE953" s="713" t="s">
        <v>58</v>
      </c>
      <c r="AF953" s="713" t="s">
        <v>58</v>
      </c>
      <c r="AG953" s="713" t="s">
        <v>58</v>
      </c>
      <c r="AH953" s="714">
        <v>0.94387031345969796</v>
      </c>
      <c r="AI953" s="713" t="s">
        <v>58</v>
      </c>
      <c r="AJ953" s="713" t="s">
        <v>58</v>
      </c>
      <c r="AK953" s="713" t="s">
        <v>58</v>
      </c>
      <c r="AL953" s="714">
        <v>0.94454345387965444</v>
      </c>
      <c r="AM953" s="713" t="s">
        <v>58</v>
      </c>
      <c r="AN953" s="713" t="s">
        <v>58</v>
      </c>
      <c r="AO953" s="713" t="s">
        <v>58</v>
      </c>
      <c r="AP953" s="747">
        <v>48</v>
      </c>
      <c r="AQ953" s="747">
        <v>48</v>
      </c>
      <c r="AR953" s="709"/>
      <c r="AS953" s="763">
        <v>0</v>
      </c>
      <c r="AT953" s="763">
        <v>0</v>
      </c>
      <c r="AU953" s="763">
        <v>0</v>
      </c>
      <c r="AV953" s="763">
        <v>5.0375444940472767E-2</v>
      </c>
      <c r="AW953" s="763">
        <v>5.0375444940472767E-2</v>
      </c>
      <c r="AX953" s="763">
        <v>2.2153607597575158E-2</v>
      </c>
      <c r="AY953" s="763">
        <v>2.2153607597575158E-2</v>
      </c>
      <c r="AZ953" s="763">
        <v>2.2153607597575158E-2</v>
      </c>
      <c r="BA953" s="763">
        <v>2.2153607597575158E-2</v>
      </c>
      <c r="BB953" s="763">
        <v>2.2153607597575158E-2</v>
      </c>
      <c r="BC953" s="763">
        <v>2.2153607597575158E-2</v>
      </c>
      <c r="BD953" s="763">
        <v>2.2153607597575158E-2</v>
      </c>
      <c r="BE953" s="763">
        <v>2.2153607597575158E-2</v>
      </c>
      <c r="BF953" s="763">
        <v>2.2153607597575158E-2</v>
      </c>
      <c r="BG953" s="763">
        <v>0</v>
      </c>
      <c r="BH953" s="763">
        <v>0</v>
      </c>
      <c r="BI953" s="763">
        <v>0</v>
      </c>
      <c r="BJ953" s="763">
        <v>0</v>
      </c>
      <c r="BK953" s="763">
        <v>0</v>
      </c>
      <c r="BL953" s="763">
        <v>0</v>
      </c>
      <c r="BM953" s="763">
        <v>0</v>
      </c>
      <c r="BN953" s="763">
        <v>0</v>
      </c>
      <c r="BO953" s="763">
        <v>0</v>
      </c>
      <c r="BP953" s="763">
        <v>0</v>
      </c>
      <c r="BQ953" s="763">
        <v>0</v>
      </c>
      <c r="BR953" s="763">
        <v>0</v>
      </c>
      <c r="BS953" s="762">
        <v>0</v>
      </c>
      <c r="BT953" s="762">
        <v>0</v>
      </c>
      <c r="BU953" s="762">
        <v>0</v>
      </c>
      <c r="BV953" s="762">
        <v>163.42818875359231</v>
      </c>
      <c r="BW953" s="762">
        <v>163.42818875359231</v>
      </c>
      <c r="BX953" s="762">
        <v>71.870808651075933</v>
      </c>
      <c r="BY953" s="762">
        <v>71.870808651075933</v>
      </c>
      <c r="BZ953" s="762">
        <v>71.870808651075933</v>
      </c>
      <c r="CA953" s="762">
        <v>71.870808651075933</v>
      </c>
      <c r="CB953" s="762">
        <v>71.870808651075933</v>
      </c>
      <c r="CC953" s="762">
        <v>71.870808651075933</v>
      </c>
      <c r="CD953" s="762">
        <v>71.870808651075933</v>
      </c>
      <c r="CE953" s="762">
        <v>71.870808651075933</v>
      </c>
      <c r="CF953" s="762">
        <v>71.870808651075933</v>
      </c>
      <c r="CG953" s="762">
        <v>0</v>
      </c>
      <c r="CH953" s="762">
        <v>0</v>
      </c>
      <c r="CI953" s="762">
        <v>0</v>
      </c>
      <c r="CJ953" s="762">
        <v>0</v>
      </c>
      <c r="CK953" s="762">
        <v>0</v>
      </c>
      <c r="CL953" s="762">
        <v>0</v>
      </c>
      <c r="CM953" s="762">
        <v>0</v>
      </c>
      <c r="CN953" s="762">
        <v>0</v>
      </c>
      <c r="CO953" s="762">
        <v>0</v>
      </c>
      <c r="CP953" s="762">
        <v>0</v>
      </c>
      <c r="CQ953" s="762">
        <v>0</v>
      </c>
      <c r="CR953" s="762">
        <v>0</v>
      </c>
    </row>
    <row r="954" spans="1:96" s="53" customFormat="1">
      <c r="A954" s="721" t="s">
        <v>3</v>
      </c>
      <c r="B954" s="723">
        <v>41908</v>
      </c>
      <c r="C954" s="721">
        <v>2014</v>
      </c>
      <c r="D954" s="713" t="s">
        <v>1</v>
      </c>
      <c r="E954" s="713" t="s">
        <v>674</v>
      </c>
      <c r="F954" s="723" t="s">
        <v>673</v>
      </c>
      <c r="G954" s="713" t="s">
        <v>58</v>
      </c>
      <c r="H954" s="723" t="s">
        <v>672</v>
      </c>
      <c r="I954" s="713" t="s">
        <v>5</v>
      </c>
      <c r="J954" s="713" t="s">
        <v>376</v>
      </c>
      <c r="K954" s="766">
        <v>1</v>
      </c>
      <c r="L954" s="766" t="s">
        <v>671</v>
      </c>
      <c r="M954" s="765" t="s">
        <v>722</v>
      </c>
      <c r="N954" s="765">
        <v>11</v>
      </c>
      <c r="O954" s="765" t="s">
        <v>7</v>
      </c>
      <c r="P954" s="735">
        <v>1</v>
      </c>
      <c r="Q954" s="713" t="s">
        <v>58</v>
      </c>
      <c r="R954" s="713" t="s">
        <v>58</v>
      </c>
      <c r="S954" s="713" t="s">
        <v>58</v>
      </c>
      <c r="T954" s="713" t="s">
        <v>58</v>
      </c>
      <c r="U954" s="764">
        <v>3.2500000000000001E-2</v>
      </c>
      <c r="V954" s="764">
        <v>100.16500000000001</v>
      </c>
      <c r="W954" s="764">
        <v>2.5490091875801108E-2</v>
      </c>
      <c r="X954" s="764">
        <v>82.754017885195879</v>
      </c>
      <c r="Y954" s="764">
        <v>910.29419673715461</v>
      </c>
      <c r="Z954" s="764">
        <v>859.19966881484208</v>
      </c>
      <c r="AA954" s="764">
        <v>78.109060801349287</v>
      </c>
      <c r="AB954" s="764">
        <v>2.40764994200789E-2</v>
      </c>
      <c r="AC954" s="714">
        <v>0.82617698682369967</v>
      </c>
      <c r="AD954" s="714">
        <v>0.7843105192554185</v>
      </c>
      <c r="AE954" s="713" t="s">
        <v>58</v>
      </c>
      <c r="AF954" s="713" t="s">
        <v>58</v>
      </c>
      <c r="AG954" s="713" t="s">
        <v>58</v>
      </c>
      <c r="AH954" s="714">
        <v>0.94387031345969796</v>
      </c>
      <c r="AI954" s="713" t="s">
        <v>58</v>
      </c>
      <c r="AJ954" s="713" t="s">
        <v>58</v>
      </c>
      <c r="AK954" s="713" t="s">
        <v>58</v>
      </c>
      <c r="AL954" s="714">
        <v>0.94454345387965444</v>
      </c>
      <c r="AM954" s="713" t="s">
        <v>58</v>
      </c>
      <c r="AN954" s="713" t="s">
        <v>58</v>
      </c>
      <c r="AO954" s="713" t="s">
        <v>58</v>
      </c>
      <c r="AP954" s="747">
        <v>50</v>
      </c>
      <c r="AQ954" s="747">
        <v>50</v>
      </c>
      <c r="AR954" s="709"/>
      <c r="AS954" s="763">
        <v>0</v>
      </c>
      <c r="AT954" s="763">
        <v>0</v>
      </c>
      <c r="AU954" s="763">
        <v>0</v>
      </c>
      <c r="AV954" s="763">
        <v>2.40764994200789E-2</v>
      </c>
      <c r="AW954" s="763">
        <v>2.40764994200789E-2</v>
      </c>
      <c r="AX954" s="763">
        <v>2.40764994200789E-2</v>
      </c>
      <c r="AY954" s="763">
        <v>2.40764994200789E-2</v>
      </c>
      <c r="AZ954" s="763">
        <v>2.40764994200789E-2</v>
      </c>
      <c r="BA954" s="763">
        <v>2.40764994200789E-2</v>
      </c>
      <c r="BB954" s="763">
        <v>2.40764994200789E-2</v>
      </c>
      <c r="BC954" s="763">
        <v>2.40764994200789E-2</v>
      </c>
      <c r="BD954" s="763">
        <v>2.40764994200789E-2</v>
      </c>
      <c r="BE954" s="763">
        <v>2.40764994200789E-2</v>
      </c>
      <c r="BF954" s="763">
        <v>2.40764994200789E-2</v>
      </c>
      <c r="BG954" s="763">
        <v>0</v>
      </c>
      <c r="BH954" s="763">
        <v>0</v>
      </c>
      <c r="BI954" s="763">
        <v>0</v>
      </c>
      <c r="BJ954" s="763">
        <v>0</v>
      </c>
      <c r="BK954" s="763">
        <v>0</v>
      </c>
      <c r="BL954" s="763">
        <v>0</v>
      </c>
      <c r="BM954" s="763">
        <v>0</v>
      </c>
      <c r="BN954" s="763">
        <v>0</v>
      </c>
      <c r="BO954" s="763">
        <v>0</v>
      </c>
      <c r="BP954" s="763">
        <v>0</v>
      </c>
      <c r="BQ954" s="763">
        <v>0</v>
      </c>
      <c r="BR954" s="763">
        <v>0</v>
      </c>
      <c r="BS954" s="762">
        <v>0</v>
      </c>
      <c r="BT954" s="762">
        <v>0</v>
      </c>
      <c r="BU954" s="762">
        <v>0</v>
      </c>
      <c r="BV954" s="762">
        <v>78.109060801349287</v>
      </c>
      <c r="BW954" s="762">
        <v>78.109060801349287</v>
      </c>
      <c r="BX954" s="762">
        <v>78.109060801349287</v>
      </c>
      <c r="BY954" s="762">
        <v>78.109060801349287</v>
      </c>
      <c r="BZ954" s="762">
        <v>78.109060801349287</v>
      </c>
      <c r="CA954" s="762">
        <v>78.109060801349287</v>
      </c>
      <c r="CB954" s="762">
        <v>78.109060801349287</v>
      </c>
      <c r="CC954" s="762">
        <v>78.109060801349287</v>
      </c>
      <c r="CD954" s="762">
        <v>78.109060801349287</v>
      </c>
      <c r="CE954" s="762">
        <v>78.109060801349287</v>
      </c>
      <c r="CF954" s="762">
        <v>78.109060801349287</v>
      </c>
      <c r="CG954" s="762">
        <v>0</v>
      </c>
      <c r="CH954" s="762">
        <v>0</v>
      </c>
      <c r="CI954" s="762">
        <v>0</v>
      </c>
      <c r="CJ954" s="762">
        <v>0</v>
      </c>
      <c r="CK954" s="762">
        <v>0</v>
      </c>
      <c r="CL954" s="762">
        <v>0</v>
      </c>
      <c r="CM954" s="762">
        <v>0</v>
      </c>
      <c r="CN954" s="762">
        <v>0</v>
      </c>
      <c r="CO954" s="762">
        <v>0</v>
      </c>
      <c r="CP954" s="762">
        <v>0</v>
      </c>
      <c r="CQ954" s="762">
        <v>0</v>
      </c>
      <c r="CR954" s="762">
        <v>0</v>
      </c>
    </row>
    <row r="955" spans="1:96" s="53" customFormat="1">
      <c r="A955" s="721" t="s">
        <v>3</v>
      </c>
      <c r="B955" s="723">
        <v>41908</v>
      </c>
      <c r="C955" s="721">
        <v>2014</v>
      </c>
      <c r="D955" s="713" t="s">
        <v>1</v>
      </c>
      <c r="E955" s="713" t="s">
        <v>674</v>
      </c>
      <c r="F955" s="723" t="s">
        <v>673</v>
      </c>
      <c r="G955" s="713" t="s">
        <v>58</v>
      </c>
      <c r="H955" s="723" t="s">
        <v>695</v>
      </c>
      <c r="I955" s="713" t="s">
        <v>5</v>
      </c>
      <c r="J955" s="713" t="s">
        <v>376</v>
      </c>
      <c r="K955" s="766">
        <v>12</v>
      </c>
      <c r="L955" s="766" t="s">
        <v>671</v>
      </c>
      <c r="M955" s="765" t="s">
        <v>722</v>
      </c>
      <c r="N955" s="765">
        <v>11</v>
      </c>
      <c r="O955" s="765" t="s">
        <v>7</v>
      </c>
      <c r="P955" s="735">
        <v>1</v>
      </c>
      <c r="Q955" s="713" t="s">
        <v>58</v>
      </c>
      <c r="R955" s="713" t="s">
        <v>58</v>
      </c>
      <c r="S955" s="713" t="s">
        <v>58</v>
      </c>
      <c r="T955" s="713" t="s">
        <v>58</v>
      </c>
      <c r="U955" s="764">
        <v>0.63</v>
      </c>
      <c r="V955" s="764">
        <v>1941.66</v>
      </c>
      <c r="W955" s="764">
        <v>0.49411562713091373</v>
      </c>
      <c r="X955" s="764">
        <v>1604.1548082361046</v>
      </c>
      <c r="Y955" s="764">
        <v>17645.702890597149</v>
      </c>
      <c r="Z955" s="764">
        <v>16655.25511856463</v>
      </c>
      <c r="AA955" s="764">
        <v>1514.1141016876936</v>
      </c>
      <c r="AB955" s="764">
        <v>0.46671368106614475</v>
      </c>
      <c r="AC955" s="714">
        <v>0.82617698682369967</v>
      </c>
      <c r="AD955" s="714">
        <v>0.7843105192554185</v>
      </c>
      <c r="AE955" s="713" t="s">
        <v>58</v>
      </c>
      <c r="AF955" s="713" t="s">
        <v>58</v>
      </c>
      <c r="AG955" s="713" t="s">
        <v>58</v>
      </c>
      <c r="AH955" s="714">
        <v>0.94387031345969796</v>
      </c>
      <c r="AI955" s="713" t="s">
        <v>58</v>
      </c>
      <c r="AJ955" s="713" t="s">
        <v>58</v>
      </c>
      <c r="AK955" s="713" t="s">
        <v>58</v>
      </c>
      <c r="AL955" s="714">
        <v>0.94454345387965444</v>
      </c>
      <c r="AM955" s="713" t="s">
        <v>58</v>
      </c>
      <c r="AN955" s="713" t="s">
        <v>58</v>
      </c>
      <c r="AO955" s="713" t="s">
        <v>58</v>
      </c>
      <c r="AP955" s="747">
        <v>47</v>
      </c>
      <c r="AQ955" s="747">
        <v>564</v>
      </c>
      <c r="AR955" s="709"/>
      <c r="AS955" s="763">
        <v>0</v>
      </c>
      <c r="AT955" s="763">
        <v>0</v>
      </c>
      <c r="AU955" s="763">
        <v>0</v>
      </c>
      <c r="AV955" s="763">
        <v>0.46671368106614475</v>
      </c>
      <c r="AW955" s="763">
        <v>0.46671368106614475</v>
      </c>
      <c r="AX955" s="763">
        <v>0.46671368106614475</v>
      </c>
      <c r="AY955" s="763">
        <v>0.46671368106614475</v>
      </c>
      <c r="AZ955" s="763">
        <v>0.46671368106614475</v>
      </c>
      <c r="BA955" s="763">
        <v>0.46671368106614475</v>
      </c>
      <c r="BB955" s="763">
        <v>0.46671368106614475</v>
      </c>
      <c r="BC955" s="763">
        <v>0.46671368106614475</v>
      </c>
      <c r="BD955" s="763">
        <v>0.46671368106614475</v>
      </c>
      <c r="BE955" s="763">
        <v>0.46671368106614475</v>
      </c>
      <c r="BF955" s="763">
        <v>0.46671368106614475</v>
      </c>
      <c r="BG955" s="763">
        <v>0</v>
      </c>
      <c r="BH955" s="763">
        <v>0</v>
      </c>
      <c r="BI955" s="763">
        <v>0</v>
      </c>
      <c r="BJ955" s="763">
        <v>0</v>
      </c>
      <c r="BK955" s="763">
        <v>0</v>
      </c>
      <c r="BL955" s="763">
        <v>0</v>
      </c>
      <c r="BM955" s="763">
        <v>0</v>
      </c>
      <c r="BN955" s="763">
        <v>0</v>
      </c>
      <c r="BO955" s="763">
        <v>0</v>
      </c>
      <c r="BP955" s="763">
        <v>0</v>
      </c>
      <c r="BQ955" s="763">
        <v>0</v>
      </c>
      <c r="BR955" s="763">
        <v>0</v>
      </c>
      <c r="BS955" s="762">
        <v>0</v>
      </c>
      <c r="BT955" s="762">
        <v>0</v>
      </c>
      <c r="BU955" s="762">
        <v>0</v>
      </c>
      <c r="BV955" s="762">
        <v>1514.1141016876936</v>
      </c>
      <c r="BW955" s="762">
        <v>1514.1141016876936</v>
      </c>
      <c r="BX955" s="762">
        <v>1514.1141016876936</v>
      </c>
      <c r="BY955" s="762">
        <v>1514.1141016876936</v>
      </c>
      <c r="BZ955" s="762">
        <v>1514.1141016876936</v>
      </c>
      <c r="CA955" s="762">
        <v>1514.1141016876936</v>
      </c>
      <c r="CB955" s="762">
        <v>1514.1141016876936</v>
      </c>
      <c r="CC955" s="762">
        <v>1514.1141016876936</v>
      </c>
      <c r="CD955" s="762">
        <v>1514.1141016876936</v>
      </c>
      <c r="CE955" s="762">
        <v>1514.1141016876936</v>
      </c>
      <c r="CF955" s="762">
        <v>1514.1141016876936</v>
      </c>
      <c r="CG955" s="762">
        <v>0</v>
      </c>
      <c r="CH955" s="762">
        <v>0</v>
      </c>
      <c r="CI955" s="762">
        <v>0</v>
      </c>
      <c r="CJ955" s="762">
        <v>0</v>
      </c>
      <c r="CK955" s="762">
        <v>0</v>
      </c>
      <c r="CL955" s="762">
        <v>0</v>
      </c>
      <c r="CM955" s="762">
        <v>0</v>
      </c>
      <c r="CN955" s="762">
        <v>0</v>
      </c>
      <c r="CO955" s="762">
        <v>0</v>
      </c>
      <c r="CP955" s="762">
        <v>0</v>
      </c>
      <c r="CQ955" s="762">
        <v>0</v>
      </c>
      <c r="CR955" s="762">
        <v>0</v>
      </c>
    </row>
    <row r="956" spans="1:96" s="53" customFormat="1">
      <c r="A956" s="721" t="s">
        <v>3</v>
      </c>
      <c r="B956" s="723">
        <v>41830</v>
      </c>
      <c r="C956" s="721">
        <v>2014</v>
      </c>
      <c r="D956" s="713" t="s">
        <v>1</v>
      </c>
      <c r="E956" s="713" t="s">
        <v>674</v>
      </c>
      <c r="F956" s="723" t="s">
        <v>673</v>
      </c>
      <c r="G956" s="713" t="s">
        <v>58</v>
      </c>
      <c r="H956" s="723" t="s">
        <v>677</v>
      </c>
      <c r="I956" s="713" t="s">
        <v>5</v>
      </c>
      <c r="J956" s="713" t="s">
        <v>376</v>
      </c>
      <c r="K956" s="766">
        <v>1</v>
      </c>
      <c r="L956" s="766" t="s">
        <v>671</v>
      </c>
      <c r="M956" s="765" t="s">
        <v>720</v>
      </c>
      <c r="N956" s="765">
        <v>0</v>
      </c>
      <c r="O956" s="765">
        <v>0</v>
      </c>
      <c r="P956" s="735">
        <v>0</v>
      </c>
      <c r="Q956" s="713" t="s">
        <v>58</v>
      </c>
      <c r="R956" s="713" t="s">
        <v>58</v>
      </c>
      <c r="S956" s="713" t="s">
        <v>58</v>
      </c>
      <c r="T956" s="713" t="s">
        <v>58</v>
      </c>
      <c r="U956" s="764">
        <v>0</v>
      </c>
      <c r="V956" s="764">
        <v>0</v>
      </c>
      <c r="W956" s="764">
        <v>0</v>
      </c>
      <c r="X956" s="764">
        <v>0</v>
      </c>
      <c r="Y956" s="764">
        <v>0</v>
      </c>
      <c r="Z956" s="764">
        <v>0</v>
      </c>
      <c r="AA956" s="764">
        <v>0</v>
      </c>
      <c r="AB956" s="764">
        <v>0</v>
      </c>
      <c r="AC956" s="714">
        <v>0.82617698682369967</v>
      </c>
      <c r="AD956" s="714">
        <v>0.7843105192554185</v>
      </c>
      <c r="AE956" s="713" t="s">
        <v>58</v>
      </c>
      <c r="AF956" s="713" t="s">
        <v>58</v>
      </c>
      <c r="AG956" s="713" t="s">
        <v>58</v>
      </c>
      <c r="AH956" s="714">
        <v>0.94387031345969796</v>
      </c>
      <c r="AI956" s="713" t="s">
        <v>58</v>
      </c>
      <c r="AJ956" s="713" t="s">
        <v>58</v>
      </c>
      <c r="AK956" s="713" t="s">
        <v>58</v>
      </c>
      <c r="AL956" s="714">
        <v>0.94454345387965444</v>
      </c>
      <c r="AM956" s="713" t="s">
        <v>58</v>
      </c>
      <c r="AN956" s="713" t="s">
        <v>58</v>
      </c>
      <c r="AO956" s="713" t="s">
        <v>58</v>
      </c>
      <c r="AP956" s="747">
        <v>51</v>
      </c>
      <c r="AQ956" s="747">
        <v>51</v>
      </c>
      <c r="AR956" s="709"/>
      <c r="AS956" s="763">
        <v>0</v>
      </c>
      <c r="AT956" s="763">
        <v>0</v>
      </c>
      <c r="AU956" s="763">
        <v>0</v>
      </c>
      <c r="AV956" s="763">
        <v>0</v>
      </c>
      <c r="AW956" s="763">
        <v>0</v>
      </c>
      <c r="AX956" s="763">
        <v>0</v>
      </c>
      <c r="AY956" s="763">
        <v>0</v>
      </c>
      <c r="AZ956" s="763">
        <v>0</v>
      </c>
      <c r="BA956" s="763">
        <v>0</v>
      </c>
      <c r="BB956" s="763">
        <v>0</v>
      </c>
      <c r="BC956" s="763">
        <v>0</v>
      </c>
      <c r="BD956" s="763">
        <v>0</v>
      </c>
      <c r="BE956" s="763">
        <v>0</v>
      </c>
      <c r="BF956" s="763">
        <v>0</v>
      </c>
      <c r="BG956" s="763">
        <v>0</v>
      </c>
      <c r="BH956" s="763">
        <v>0</v>
      </c>
      <c r="BI956" s="763">
        <v>0</v>
      </c>
      <c r="BJ956" s="763">
        <v>0</v>
      </c>
      <c r="BK956" s="763">
        <v>0</v>
      </c>
      <c r="BL956" s="763">
        <v>0</v>
      </c>
      <c r="BM956" s="763">
        <v>0</v>
      </c>
      <c r="BN956" s="763">
        <v>0</v>
      </c>
      <c r="BO956" s="763">
        <v>0</v>
      </c>
      <c r="BP956" s="763">
        <v>0</v>
      </c>
      <c r="BQ956" s="763">
        <v>0</v>
      </c>
      <c r="BR956" s="763">
        <v>0</v>
      </c>
      <c r="BS956" s="762">
        <v>0</v>
      </c>
      <c r="BT956" s="762">
        <v>0</v>
      </c>
      <c r="BU956" s="762">
        <v>0</v>
      </c>
      <c r="BV956" s="762">
        <v>0</v>
      </c>
      <c r="BW956" s="762">
        <v>0</v>
      </c>
      <c r="BX956" s="762">
        <v>0</v>
      </c>
      <c r="BY956" s="762">
        <v>0</v>
      </c>
      <c r="BZ956" s="762">
        <v>0</v>
      </c>
      <c r="CA956" s="762">
        <v>0</v>
      </c>
      <c r="CB956" s="762">
        <v>0</v>
      </c>
      <c r="CC956" s="762">
        <v>0</v>
      </c>
      <c r="CD956" s="762">
        <v>0</v>
      </c>
      <c r="CE956" s="762">
        <v>0</v>
      </c>
      <c r="CF956" s="762">
        <v>0</v>
      </c>
      <c r="CG956" s="762">
        <v>0</v>
      </c>
      <c r="CH956" s="762">
        <v>0</v>
      </c>
      <c r="CI956" s="762">
        <v>0</v>
      </c>
      <c r="CJ956" s="762">
        <v>0</v>
      </c>
      <c r="CK956" s="762">
        <v>0</v>
      </c>
      <c r="CL956" s="762">
        <v>0</v>
      </c>
      <c r="CM956" s="762">
        <v>0</v>
      </c>
      <c r="CN956" s="762">
        <v>0</v>
      </c>
      <c r="CO956" s="762">
        <v>0</v>
      </c>
      <c r="CP956" s="762">
        <v>0</v>
      </c>
      <c r="CQ956" s="762">
        <v>0</v>
      </c>
      <c r="CR956" s="762">
        <v>0</v>
      </c>
    </row>
    <row r="957" spans="1:96" s="53" customFormat="1">
      <c r="A957" s="721" t="s">
        <v>3</v>
      </c>
      <c r="B957" s="723">
        <v>41830</v>
      </c>
      <c r="C957" s="721">
        <v>2014</v>
      </c>
      <c r="D957" s="713" t="s">
        <v>1</v>
      </c>
      <c r="E957" s="713" t="s">
        <v>674</v>
      </c>
      <c r="F957" s="723" t="s">
        <v>673</v>
      </c>
      <c r="G957" s="713" t="s">
        <v>58</v>
      </c>
      <c r="H957" s="723" t="s">
        <v>676</v>
      </c>
      <c r="I957" s="713" t="s">
        <v>5</v>
      </c>
      <c r="J957" s="713" t="s">
        <v>376</v>
      </c>
      <c r="K957" s="766">
        <v>1</v>
      </c>
      <c r="L957" s="766" t="s">
        <v>671</v>
      </c>
      <c r="M957" s="765" t="s">
        <v>720</v>
      </c>
      <c r="N957" s="765">
        <v>12</v>
      </c>
      <c r="O957" s="765">
        <v>3</v>
      </c>
      <c r="P957" s="735">
        <v>0.31578947368421051</v>
      </c>
      <c r="Q957" s="713" t="s">
        <v>58</v>
      </c>
      <c r="R957" s="713" t="s">
        <v>58</v>
      </c>
      <c r="S957" s="713" t="s">
        <v>58</v>
      </c>
      <c r="T957" s="713" t="s">
        <v>58</v>
      </c>
      <c r="U957" s="764">
        <v>3.7999999999999999E-2</v>
      </c>
      <c r="V957" s="764">
        <v>98.572000000000003</v>
      </c>
      <c r="W957" s="764">
        <v>2.9803799731705907E-2</v>
      </c>
      <c r="X957" s="764">
        <v>81.437917945185717</v>
      </c>
      <c r="Y957" s="764">
        <v>475.7688890481902</v>
      </c>
      <c r="Z957" s="764">
        <v>449.06413044028756</v>
      </c>
      <c r="AA957" s="764">
        <v>76.866833138427609</v>
      </c>
      <c r="AB957" s="764">
        <v>2.8150983937323015E-2</v>
      </c>
      <c r="AC957" s="714">
        <v>0.82617698682369967</v>
      </c>
      <c r="AD957" s="714">
        <v>0.7843105192554185</v>
      </c>
      <c r="AE957" s="713" t="s">
        <v>58</v>
      </c>
      <c r="AF957" s="713" t="s">
        <v>58</v>
      </c>
      <c r="AG957" s="713" t="s">
        <v>58</v>
      </c>
      <c r="AH957" s="714">
        <v>0.94387031345969796</v>
      </c>
      <c r="AI957" s="713" t="s">
        <v>58</v>
      </c>
      <c r="AJ957" s="713" t="s">
        <v>58</v>
      </c>
      <c r="AK957" s="713" t="s">
        <v>58</v>
      </c>
      <c r="AL957" s="714">
        <v>0.94454345387965444</v>
      </c>
      <c r="AM957" s="713" t="s">
        <v>58</v>
      </c>
      <c r="AN957" s="713" t="s">
        <v>58</v>
      </c>
      <c r="AO957" s="713" t="s">
        <v>58</v>
      </c>
      <c r="AP957" s="747">
        <v>57</v>
      </c>
      <c r="AQ957" s="747">
        <v>57</v>
      </c>
      <c r="AR957" s="709"/>
      <c r="AS957" s="763">
        <v>0</v>
      </c>
      <c r="AT957" s="763">
        <v>0</v>
      </c>
      <c r="AU957" s="763">
        <v>0</v>
      </c>
      <c r="AV957" s="763">
        <v>2.8150983937323015E-2</v>
      </c>
      <c r="AW957" s="763">
        <v>2.8150983937323015E-2</v>
      </c>
      <c r="AX957" s="763">
        <v>2.8150983937323015E-2</v>
      </c>
      <c r="AY957" s="763">
        <v>8.8897844012598998E-3</v>
      </c>
      <c r="AZ957" s="763">
        <v>8.8897844012598998E-3</v>
      </c>
      <c r="BA957" s="763">
        <v>8.8897844012598998E-3</v>
      </c>
      <c r="BB957" s="763">
        <v>8.8897844012598998E-3</v>
      </c>
      <c r="BC957" s="763">
        <v>8.8897844012598998E-3</v>
      </c>
      <c r="BD957" s="763">
        <v>8.8897844012598998E-3</v>
      </c>
      <c r="BE957" s="763">
        <v>8.8897844012598998E-3</v>
      </c>
      <c r="BF957" s="763">
        <v>8.8897844012598998E-3</v>
      </c>
      <c r="BG957" s="763">
        <v>8.8897844012598998E-3</v>
      </c>
      <c r="BH957" s="763">
        <v>0</v>
      </c>
      <c r="BI957" s="763">
        <v>0</v>
      </c>
      <c r="BJ957" s="763">
        <v>0</v>
      </c>
      <c r="BK957" s="763">
        <v>0</v>
      </c>
      <c r="BL957" s="763">
        <v>0</v>
      </c>
      <c r="BM957" s="763">
        <v>0</v>
      </c>
      <c r="BN957" s="763">
        <v>0</v>
      </c>
      <c r="BO957" s="763">
        <v>0</v>
      </c>
      <c r="BP957" s="763">
        <v>0</v>
      </c>
      <c r="BQ957" s="763">
        <v>0</v>
      </c>
      <c r="BR957" s="763">
        <v>0</v>
      </c>
      <c r="BS957" s="762">
        <v>0</v>
      </c>
      <c r="BT957" s="762">
        <v>0</v>
      </c>
      <c r="BU957" s="762">
        <v>0</v>
      </c>
      <c r="BV957" s="762">
        <v>76.866833138427609</v>
      </c>
      <c r="BW957" s="762">
        <v>76.866833138427609</v>
      </c>
      <c r="BX957" s="762">
        <v>76.866833138427609</v>
      </c>
      <c r="BY957" s="762">
        <v>24.273736780556085</v>
      </c>
      <c r="BZ957" s="762">
        <v>24.273736780556085</v>
      </c>
      <c r="CA957" s="762">
        <v>24.273736780556085</v>
      </c>
      <c r="CB957" s="762">
        <v>24.273736780556085</v>
      </c>
      <c r="CC957" s="762">
        <v>24.273736780556085</v>
      </c>
      <c r="CD957" s="762">
        <v>24.273736780556085</v>
      </c>
      <c r="CE957" s="762">
        <v>24.273736780556085</v>
      </c>
      <c r="CF957" s="762">
        <v>24.273736780556085</v>
      </c>
      <c r="CG957" s="762">
        <v>24.273736780556085</v>
      </c>
      <c r="CH957" s="762">
        <v>0</v>
      </c>
      <c r="CI957" s="762">
        <v>0</v>
      </c>
      <c r="CJ957" s="762">
        <v>0</v>
      </c>
      <c r="CK957" s="762">
        <v>0</v>
      </c>
      <c r="CL957" s="762">
        <v>0</v>
      </c>
      <c r="CM957" s="762">
        <v>0</v>
      </c>
      <c r="CN957" s="762">
        <v>0</v>
      </c>
      <c r="CO957" s="762">
        <v>0</v>
      </c>
      <c r="CP957" s="762">
        <v>0</v>
      </c>
      <c r="CQ957" s="762">
        <v>0</v>
      </c>
      <c r="CR957" s="762">
        <v>0</v>
      </c>
    </row>
    <row r="958" spans="1:96" s="53" customFormat="1">
      <c r="A958" s="721" t="s">
        <v>3</v>
      </c>
      <c r="B958" s="723">
        <v>41830</v>
      </c>
      <c r="C958" s="721">
        <v>2014</v>
      </c>
      <c r="D958" s="713" t="s">
        <v>1</v>
      </c>
      <c r="E958" s="713" t="s">
        <v>674</v>
      </c>
      <c r="F958" s="723" t="s">
        <v>673</v>
      </c>
      <c r="G958" s="713" t="s">
        <v>58</v>
      </c>
      <c r="H958" s="723" t="s">
        <v>675</v>
      </c>
      <c r="I958" s="713" t="s">
        <v>5</v>
      </c>
      <c r="J958" s="713" t="s">
        <v>376</v>
      </c>
      <c r="K958" s="766">
        <v>18</v>
      </c>
      <c r="L958" s="766" t="s">
        <v>671</v>
      </c>
      <c r="M958" s="765" t="s">
        <v>720</v>
      </c>
      <c r="N958" s="765">
        <v>12</v>
      </c>
      <c r="O958" s="765">
        <v>3</v>
      </c>
      <c r="P958" s="735">
        <v>0.36842105263157893</v>
      </c>
      <c r="Q958" s="713" t="s">
        <v>58</v>
      </c>
      <c r="R958" s="713" t="s">
        <v>58</v>
      </c>
      <c r="S958" s="713" t="s">
        <v>58</v>
      </c>
      <c r="T958" s="713" t="s">
        <v>58</v>
      </c>
      <c r="U958" s="764">
        <v>1.026</v>
      </c>
      <c r="V958" s="764">
        <v>2661.444</v>
      </c>
      <c r="W958" s="764">
        <v>0.80470259275605949</v>
      </c>
      <c r="X958" s="764">
        <v>2198.8237845200147</v>
      </c>
      <c r="Y958" s="764">
        <v>13887.308112757986</v>
      </c>
      <c r="Z958" s="764">
        <v>13107.817861500287</v>
      </c>
      <c r="AA958" s="764">
        <v>2075.4044947375455</v>
      </c>
      <c r="AB958" s="764">
        <v>0.76007656630772147</v>
      </c>
      <c r="AC958" s="714">
        <v>0.82617698682369967</v>
      </c>
      <c r="AD958" s="714">
        <v>0.7843105192554185</v>
      </c>
      <c r="AE958" s="713" t="s">
        <v>58</v>
      </c>
      <c r="AF958" s="713" t="s">
        <v>58</v>
      </c>
      <c r="AG958" s="713" t="s">
        <v>58</v>
      </c>
      <c r="AH958" s="714">
        <v>0.94387031345969796</v>
      </c>
      <c r="AI958" s="713" t="s">
        <v>58</v>
      </c>
      <c r="AJ958" s="713" t="s">
        <v>58</v>
      </c>
      <c r="AK958" s="713" t="s">
        <v>58</v>
      </c>
      <c r="AL958" s="714">
        <v>0.94454345387965444</v>
      </c>
      <c r="AM958" s="713" t="s">
        <v>58</v>
      </c>
      <c r="AN958" s="713" t="s">
        <v>58</v>
      </c>
      <c r="AO958" s="713" t="s">
        <v>58</v>
      </c>
      <c r="AP958" s="747">
        <v>73</v>
      </c>
      <c r="AQ958" s="747">
        <v>1314</v>
      </c>
      <c r="AR958" s="709"/>
      <c r="AS958" s="763">
        <v>0</v>
      </c>
      <c r="AT958" s="763">
        <v>0</v>
      </c>
      <c r="AU958" s="763">
        <v>0</v>
      </c>
      <c r="AV958" s="763">
        <v>0.76007656630772147</v>
      </c>
      <c r="AW958" s="763">
        <v>0.76007656630772147</v>
      </c>
      <c r="AX958" s="763">
        <v>0.76007656630772147</v>
      </c>
      <c r="AY958" s="763">
        <v>0.28002820863968686</v>
      </c>
      <c r="AZ958" s="763">
        <v>0.28002820863968686</v>
      </c>
      <c r="BA958" s="763">
        <v>0.28002820863968686</v>
      </c>
      <c r="BB958" s="763">
        <v>0.28002820863968686</v>
      </c>
      <c r="BC958" s="763">
        <v>0.28002820863968686</v>
      </c>
      <c r="BD958" s="763">
        <v>0.28002820863968686</v>
      </c>
      <c r="BE958" s="763">
        <v>0.28002820863968686</v>
      </c>
      <c r="BF958" s="763">
        <v>0.28002820863968686</v>
      </c>
      <c r="BG958" s="763">
        <v>0.28002820863968686</v>
      </c>
      <c r="BH958" s="763">
        <v>0</v>
      </c>
      <c r="BI958" s="763">
        <v>0</v>
      </c>
      <c r="BJ958" s="763">
        <v>0</v>
      </c>
      <c r="BK958" s="763">
        <v>0</v>
      </c>
      <c r="BL958" s="763">
        <v>0</v>
      </c>
      <c r="BM958" s="763">
        <v>0</v>
      </c>
      <c r="BN958" s="763">
        <v>0</v>
      </c>
      <c r="BO958" s="763">
        <v>0</v>
      </c>
      <c r="BP958" s="763">
        <v>0</v>
      </c>
      <c r="BQ958" s="763">
        <v>0</v>
      </c>
      <c r="BR958" s="763">
        <v>0</v>
      </c>
      <c r="BS958" s="762">
        <v>0</v>
      </c>
      <c r="BT958" s="762">
        <v>0</v>
      </c>
      <c r="BU958" s="762">
        <v>0</v>
      </c>
      <c r="BV958" s="762">
        <v>2075.4044947375455</v>
      </c>
      <c r="BW958" s="762">
        <v>2075.4044947375455</v>
      </c>
      <c r="BX958" s="762">
        <v>2075.4044947375455</v>
      </c>
      <c r="BY958" s="762">
        <v>764.62270858751674</v>
      </c>
      <c r="BZ958" s="762">
        <v>764.62270858751674</v>
      </c>
      <c r="CA958" s="762">
        <v>764.62270858751674</v>
      </c>
      <c r="CB958" s="762">
        <v>764.62270858751674</v>
      </c>
      <c r="CC958" s="762">
        <v>764.62270858751674</v>
      </c>
      <c r="CD958" s="762">
        <v>764.62270858751674</v>
      </c>
      <c r="CE958" s="762">
        <v>764.62270858751674</v>
      </c>
      <c r="CF958" s="762">
        <v>764.62270858751674</v>
      </c>
      <c r="CG958" s="762">
        <v>764.62270858751674</v>
      </c>
      <c r="CH958" s="762">
        <v>0</v>
      </c>
      <c r="CI958" s="762">
        <v>0</v>
      </c>
      <c r="CJ958" s="762">
        <v>0</v>
      </c>
      <c r="CK958" s="762">
        <v>0</v>
      </c>
      <c r="CL958" s="762">
        <v>0</v>
      </c>
      <c r="CM958" s="762">
        <v>0</v>
      </c>
      <c r="CN958" s="762">
        <v>0</v>
      </c>
      <c r="CO958" s="762">
        <v>0</v>
      </c>
      <c r="CP958" s="762">
        <v>0</v>
      </c>
      <c r="CQ958" s="762">
        <v>0</v>
      </c>
      <c r="CR958" s="762">
        <v>0</v>
      </c>
    </row>
    <row r="959" spans="1:96" s="53" customFormat="1">
      <c r="A959" s="721" t="s">
        <v>3</v>
      </c>
      <c r="B959" s="723">
        <v>41830</v>
      </c>
      <c r="C959" s="721">
        <v>2014</v>
      </c>
      <c r="D959" s="713" t="s">
        <v>1</v>
      </c>
      <c r="E959" s="713" t="s">
        <v>674</v>
      </c>
      <c r="F959" s="723" t="s">
        <v>673</v>
      </c>
      <c r="G959" s="713" t="s">
        <v>58</v>
      </c>
      <c r="H959" s="723" t="s">
        <v>715</v>
      </c>
      <c r="I959" s="713" t="s">
        <v>5</v>
      </c>
      <c r="J959" s="713" t="s">
        <v>376</v>
      </c>
      <c r="K959" s="766">
        <v>1</v>
      </c>
      <c r="L959" s="766" t="s">
        <v>671</v>
      </c>
      <c r="M959" s="765" t="s">
        <v>720</v>
      </c>
      <c r="N959" s="765">
        <v>3</v>
      </c>
      <c r="O959" s="765">
        <v>1</v>
      </c>
      <c r="P959" s="735">
        <v>0.66511083856317055</v>
      </c>
      <c r="Q959" s="713" t="s">
        <v>58</v>
      </c>
      <c r="R959" s="713" t="s">
        <v>58</v>
      </c>
      <c r="S959" s="713" t="s">
        <v>58</v>
      </c>
      <c r="T959" s="713" t="s">
        <v>58</v>
      </c>
      <c r="U959" s="764">
        <v>6.2E-2</v>
      </c>
      <c r="V959" s="764">
        <v>191.084</v>
      </c>
      <c r="W959" s="764">
        <v>4.8627252193835957E-2</v>
      </c>
      <c r="X959" s="764">
        <v>157.86920335021983</v>
      </c>
      <c r="Y959" s="764">
        <v>367.87023979734863</v>
      </c>
      <c r="Z959" s="764">
        <v>347.2217985500177</v>
      </c>
      <c r="AA959" s="764">
        <v>149.00805445180478</v>
      </c>
      <c r="AB959" s="764">
        <v>4.5930552739842818E-2</v>
      </c>
      <c r="AC959" s="714">
        <v>0.82617698682369967</v>
      </c>
      <c r="AD959" s="714">
        <v>0.7843105192554185</v>
      </c>
      <c r="AE959" s="713" t="s">
        <v>58</v>
      </c>
      <c r="AF959" s="713" t="s">
        <v>58</v>
      </c>
      <c r="AG959" s="713" t="s">
        <v>58</v>
      </c>
      <c r="AH959" s="714">
        <v>0.94387031345969796</v>
      </c>
      <c r="AI959" s="713" t="s">
        <v>58</v>
      </c>
      <c r="AJ959" s="713" t="s">
        <v>58</v>
      </c>
      <c r="AK959" s="713" t="s">
        <v>58</v>
      </c>
      <c r="AL959" s="714">
        <v>0.94454345387965444</v>
      </c>
      <c r="AM959" s="713" t="s">
        <v>58</v>
      </c>
      <c r="AN959" s="713" t="s">
        <v>58</v>
      </c>
      <c r="AO959" s="713" t="s">
        <v>58</v>
      </c>
      <c r="AP959" s="747">
        <v>9</v>
      </c>
      <c r="AQ959" s="747">
        <v>9</v>
      </c>
      <c r="AR959" s="709"/>
      <c r="AS959" s="763">
        <v>0</v>
      </c>
      <c r="AT959" s="763">
        <v>0</v>
      </c>
      <c r="AU959" s="763">
        <v>0</v>
      </c>
      <c r="AV959" s="763">
        <v>4.5930552739842818E-2</v>
      </c>
      <c r="AW959" s="763">
        <v>3.0548908448466788E-2</v>
      </c>
      <c r="AX959" s="763">
        <v>3.0548908448466788E-2</v>
      </c>
      <c r="AY959" s="763">
        <v>0</v>
      </c>
      <c r="AZ959" s="763">
        <v>0</v>
      </c>
      <c r="BA959" s="763">
        <v>0</v>
      </c>
      <c r="BB959" s="763">
        <v>0</v>
      </c>
      <c r="BC959" s="763">
        <v>0</v>
      </c>
      <c r="BD959" s="763">
        <v>0</v>
      </c>
      <c r="BE959" s="763">
        <v>0</v>
      </c>
      <c r="BF959" s="763">
        <v>0</v>
      </c>
      <c r="BG959" s="763">
        <v>0</v>
      </c>
      <c r="BH959" s="763">
        <v>0</v>
      </c>
      <c r="BI959" s="763">
        <v>0</v>
      </c>
      <c r="BJ959" s="763">
        <v>0</v>
      </c>
      <c r="BK959" s="763">
        <v>0</v>
      </c>
      <c r="BL959" s="763">
        <v>0</v>
      </c>
      <c r="BM959" s="763">
        <v>0</v>
      </c>
      <c r="BN959" s="763">
        <v>0</v>
      </c>
      <c r="BO959" s="763">
        <v>0</v>
      </c>
      <c r="BP959" s="763">
        <v>0</v>
      </c>
      <c r="BQ959" s="763">
        <v>0</v>
      </c>
      <c r="BR959" s="763">
        <v>0</v>
      </c>
      <c r="BS959" s="762">
        <v>0</v>
      </c>
      <c r="BT959" s="762">
        <v>0</v>
      </c>
      <c r="BU959" s="762">
        <v>0</v>
      </c>
      <c r="BV959" s="762">
        <v>149.00805445180478</v>
      </c>
      <c r="BW959" s="762">
        <v>99.106872049106457</v>
      </c>
      <c r="BX959" s="762">
        <v>99.106872049106457</v>
      </c>
      <c r="BY959" s="762">
        <v>0</v>
      </c>
      <c r="BZ959" s="762">
        <v>0</v>
      </c>
      <c r="CA959" s="762">
        <v>0</v>
      </c>
      <c r="CB959" s="762">
        <v>0</v>
      </c>
      <c r="CC959" s="762">
        <v>0</v>
      </c>
      <c r="CD959" s="762">
        <v>0</v>
      </c>
      <c r="CE959" s="762">
        <v>0</v>
      </c>
      <c r="CF959" s="762">
        <v>0</v>
      </c>
      <c r="CG959" s="762">
        <v>0</v>
      </c>
      <c r="CH959" s="762">
        <v>0</v>
      </c>
      <c r="CI959" s="762">
        <v>0</v>
      </c>
      <c r="CJ959" s="762">
        <v>0</v>
      </c>
      <c r="CK959" s="762">
        <v>0</v>
      </c>
      <c r="CL959" s="762">
        <v>0</v>
      </c>
      <c r="CM959" s="762">
        <v>0</v>
      </c>
      <c r="CN959" s="762">
        <v>0</v>
      </c>
      <c r="CO959" s="762">
        <v>0</v>
      </c>
      <c r="CP959" s="762">
        <v>0</v>
      </c>
      <c r="CQ959" s="762">
        <v>0</v>
      </c>
      <c r="CR959" s="762">
        <v>0</v>
      </c>
    </row>
    <row r="960" spans="1:96" s="53" customFormat="1">
      <c r="A960" s="721" t="s">
        <v>3</v>
      </c>
      <c r="B960" s="723">
        <v>41892</v>
      </c>
      <c r="C960" s="721">
        <v>2014</v>
      </c>
      <c r="D960" s="713" t="s">
        <v>1</v>
      </c>
      <c r="E960" s="713" t="s">
        <v>674</v>
      </c>
      <c r="F960" s="723" t="s">
        <v>123</v>
      </c>
      <c r="G960" s="713" t="s">
        <v>58</v>
      </c>
      <c r="H960" s="723" t="s">
        <v>697</v>
      </c>
      <c r="I960" s="713" t="s">
        <v>5</v>
      </c>
      <c r="J960" s="713" t="s">
        <v>376</v>
      </c>
      <c r="K960" s="766">
        <v>1</v>
      </c>
      <c r="L960" s="766" t="s">
        <v>671</v>
      </c>
      <c r="M960" s="765" t="s">
        <v>721</v>
      </c>
      <c r="N960" s="765">
        <v>0</v>
      </c>
      <c r="O960" s="765">
        <v>0</v>
      </c>
      <c r="P960" s="735">
        <v>0</v>
      </c>
      <c r="Q960" s="713" t="s">
        <v>58</v>
      </c>
      <c r="R960" s="713" t="s">
        <v>58</v>
      </c>
      <c r="S960" s="713" t="s">
        <v>58</v>
      </c>
      <c r="T960" s="713" t="s">
        <v>58</v>
      </c>
      <c r="U960" s="764">
        <v>0</v>
      </c>
      <c r="V960" s="764">
        <v>0</v>
      </c>
      <c r="W960" s="764">
        <v>0</v>
      </c>
      <c r="X960" s="764">
        <v>0</v>
      </c>
      <c r="Y960" s="764">
        <v>0</v>
      </c>
      <c r="Z960" s="764">
        <v>0</v>
      </c>
      <c r="AA960" s="764">
        <v>0</v>
      </c>
      <c r="AB960" s="764">
        <v>0</v>
      </c>
      <c r="AC960" s="714">
        <v>0.82617698682369967</v>
      </c>
      <c r="AD960" s="714">
        <v>0.7843105192554185</v>
      </c>
      <c r="AE960" s="713" t="s">
        <v>58</v>
      </c>
      <c r="AF960" s="713" t="s">
        <v>58</v>
      </c>
      <c r="AG960" s="713" t="s">
        <v>58</v>
      </c>
      <c r="AH960" s="714">
        <v>0.94387031345969796</v>
      </c>
      <c r="AI960" s="713" t="s">
        <v>58</v>
      </c>
      <c r="AJ960" s="713" t="s">
        <v>58</v>
      </c>
      <c r="AK960" s="713" t="s">
        <v>58</v>
      </c>
      <c r="AL960" s="714">
        <v>0.94454345387965444</v>
      </c>
      <c r="AM960" s="713" t="s">
        <v>58</v>
      </c>
      <c r="AN960" s="713" t="s">
        <v>58</v>
      </c>
      <c r="AO960" s="713" t="s">
        <v>58</v>
      </c>
      <c r="AP960" s="747">
        <v>26</v>
      </c>
      <c r="AQ960" s="747">
        <v>26</v>
      </c>
      <c r="AR960" s="709"/>
      <c r="AS960" s="763">
        <v>0</v>
      </c>
      <c r="AT960" s="763">
        <v>0</v>
      </c>
      <c r="AU960" s="763">
        <v>0</v>
      </c>
      <c r="AV960" s="763">
        <v>0</v>
      </c>
      <c r="AW960" s="763">
        <v>0</v>
      </c>
      <c r="AX960" s="763">
        <v>0</v>
      </c>
      <c r="AY960" s="763">
        <v>0</v>
      </c>
      <c r="AZ960" s="763">
        <v>0</v>
      </c>
      <c r="BA960" s="763">
        <v>0</v>
      </c>
      <c r="BB960" s="763">
        <v>0</v>
      </c>
      <c r="BC960" s="763">
        <v>0</v>
      </c>
      <c r="BD960" s="763">
        <v>0</v>
      </c>
      <c r="BE960" s="763">
        <v>0</v>
      </c>
      <c r="BF960" s="763">
        <v>0</v>
      </c>
      <c r="BG960" s="763">
        <v>0</v>
      </c>
      <c r="BH960" s="763">
        <v>0</v>
      </c>
      <c r="BI960" s="763">
        <v>0</v>
      </c>
      <c r="BJ960" s="763">
        <v>0</v>
      </c>
      <c r="BK960" s="763">
        <v>0</v>
      </c>
      <c r="BL960" s="763">
        <v>0</v>
      </c>
      <c r="BM960" s="763">
        <v>0</v>
      </c>
      <c r="BN960" s="763">
        <v>0</v>
      </c>
      <c r="BO960" s="763">
        <v>0</v>
      </c>
      <c r="BP960" s="763">
        <v>0</v>
      </c>
      <c r="BQ960" s="763">
        <v>0</v>
      </c>
      <c r="BR960" s="763">
        <v>0</v>
      </c>
      <c r="BS960" s="762">
        <v>0</v>
      </c>
      <c r="BT960" s="762">
        <v>0</v>
      </c>
      <c r="BU960" s="762">
        <v>0</v>
      </c>
      <c r="BV960" s="762">
        <v>0</v>
      </c>
      <c r="BW960" s="762">
        <v>0</v>
      </c>
      <c r="BX960" s="762">
        <v>0</v>
      </c>
      <c r="BY960" s="762">
        <v>0</v>
      </c>
      <c r="BZ960" s="762">
        <v>0</v>
      </c>
      <c r="CA960" s="762">
        <v>0</v>
      </c>
      <c r="CB960" s="762">
        <v>0</v>
      </c>
      <c r="CC960" s="762">
        <v>0</v>
      </c>
      <c r="CD960" s="762">
        <v>0</v>
      </c>
      <c r="CE960" s="762">
        <v>0</v>
      </c>
      <c r="CF960" s="762">
        <v>0</v>
      </c>
      <c r="CG960" s="762">
        <v>0</v>
      </c>
      <c r="CH960" s="762">
        <v>0</v>
      </c>
      <c r="CI960" s="762">
        <v>0</v>
      </c>
      <c r="CJ960" s="762">
        <v>0</v>
      </c>
      <c r="CK960" s="762">
        <v>0</v>
      </c>
      <c r="CL960" s="762">
        <v>0</v>
      </c>
      <c r="CM960" s="762">
        <v>0</v>
      </c>
      <c r="CN960" s="762">
        <v>0</v>
      </c>
      <c r="CO960" s="762">
        <v>0</v>
      </c>
      <c r="CP960" s="762">
        <v>0</v>
      </c>
      <c r="CQ960" s="762">
        <v>0</v>
      </c>
      <c r="CR960" s="762">
        <v>0</v>
      </c>
    </row>
    <row r="961" spans="1:96" s="53" customFormat="1">
      <c r="A961" s="721" t="s">
        <v>3</v>
      </c>
      <c r="B961" s="723">
        <v>41892</v>
      </c>
      <c r="C961" s="721">
        <v>2014</v>
      </c>
      <c r="D961" s="713" t="s">
        <v>1</v>
      </c>
      <c r="E961" s="713" t="s">
        <v>674</v>
      </c>
      <c r="F961" s="723" t="s">
        <v>123</v>
      </c>
      <c r="G961" s="713" t="s">
        <v>58</v>
      </c>
      <c r="H961" s="723" t="s">
        <v>676</v>
      </c>
      <c r="I961" s="713" t="s">
        <v>5</v>
      </c>
      <c r="J961" s="713" t="s">
        <v>376</v>
      </c>
      <c r="K961" s="766">
        <v>1</v>
      </c>
      <c r="L961" s="766" t="s">
        <v>671</v>
      </c>
      <c r="M961" s="765" t="s">
        <v>721</v>
      </c>
      <c r="N961" s="765">
        <v>12</v>
      </c>
      <c r="O961" s="765">
        <v>3</v>
      </c>
      <c r="P961" s="735">
        <v>0.31578947368421051</v>
      </c>
      <c r="Q961" s="713" t="s">
        <v>58</v>
      </c>
      <c r="R961" s="713" t="s">
        <v>58</v>
      </c>
      <c r="S961" s="713" t="s">
        <v>58</v>
      </c>
      <c r="T961" s="713" t="s">
        <v>58</v>
      </c>
      <c r="U961" s="764">
        <v>3.7999999999999999E-2</v>
      </c>
      <c r="V961" s="764">
        <v>129.58000000000001</v>
      </c>
      <c r="W961" s="764">
        <v>2.9803799731705907E-2</v>
      </c>
      <c r="X961" s="764">
        <v>107.05601395261502</v>
      </c>
      <c r="Y961" s="764">
        <v>625.43250256527722</v>
      </c>
      <c r="Z961" s="764">
        <v>590.32717224417161</v>
      </c>
      <c r="AA961" s="764">
        <v>101.04699344720053</v>
      </c>
      <c r="AB961" s="764">
        <v>2.8150983937323015E-2</v>
      </c>
      <c r="AC961" s="714">
        <v>0.82617698682369967</v>
      </c>
      <c r="AD961" s="714">
        <v>0.7843105192554185</v>
      </c>
      <c r="AE961" s="713" t="s">
        <v>58</v>
      </c>
      <c r="AF961" s="713" t="s">
        <v>58</v>
      </c>
      <c r="AG961" s="713" t="s">
        <v>58</v>
      </c>
      <c r="AH961" s="714">
        <v>0.94387031345969796</v>
      </c>
      <c r="AI961" s="713" t="s">
        <v>58</v>
      </c>
      <c r="AJ961" s="713" t="s">
        <v>58</v>
      </c>
      <c r="AK961" s="713" t="s">
        <v>58</v>
      </c>
      <c r="AL961" s="714">
        <v>0.94454345387965444</v>
      </c>
      <c r="AM961" s="713" t="s">
        <v>58</v>
      </c>
      <c r="AN961" s="713" t="s">
        <v>58</v>
      </c>
      <c r="AO961" s="713" t="s">
        <v>58</v>
      </c>
      <c r="AP961" s="747">
        <v>57</v>
      </c>
      <c r="AQ961" s="747">
        <v>57</v>
      </c>
      <c r="AR961" s="709"/>
      <c r="AS961" s="763">
        <v>0</v>
      </c>
      <c r="AT961" s="763">
        <v>0</v>
      </c>
      <c r="AU961" s="763">
        <v>0</v>
      </c>
      <c r="AV961" s="763">
        <v>2.8150983937323015E-2</v>
      </c>
      <c r="AW961" s="763">
        <v>2.8150983937323015E-2</v>
      </c>
      <c r="AX961" s="763">
        <v>2.8150983937323015E-2</v>
      </c>
      <c r="AY961" s="763">
        <v>8.8897844012598998E-3</v>
      </c>
      <c r="AZ961" s="763">
        <v>8.8897844012598998E-3</v>
      </c>
      <c r="BA961" s="763">
        <v>8.8897844012598998E-3</v>
      </c>
      <c r="BB961" s="763">
        <v>8.8897844012598998E-3</v>
      </c>
      <c r="BC961" s="763">
        <v>8.8897844012598998E-3</v>
      </c>
      <c r="BD961" s="763">
        <v>8.8897844012598998E-3</v>
      </c>
      <c r="BE961" s="763">
        <v>8.8897844012598998E-3</v>
      </c>
      <c r="BF961" s="763">
        <v>8.8897844012598998E-3</v>
      </c>
      <c r="BG961" s="763">
        <v>8.8897844012598998E-3</v>
      </c>
      <c r="BH961" s="763">
        <v>0</v>
      </c>
      <c r="BI961" s="763">
        <v>0</v>
      </c>
      <c r="BJ961" s="763">
        <v>0</v>
      </c>
      <c r="BK961" s="763">
        <v>0</v>
      </c>
      <c r="BL961" s="763">
        <v>0</v>
      </c>
      <c r="BM961" s="763">
        <v>0</v>
      </c>
      <c r="BN961" s="763">
        <v>0</v>
      </c>
      <c r="BO961" s="763">
        <v>0</v>
      </c>
      <c r="BP961" s="763">
        <v>0</v>
      </c>
      <c r="BQ961" s="763">
        <v>0</v>
      </c>
      <c r="BR961" s="763">
        <v>0</v>
      </c>
      <c r="BS961" s="762">
        <v>0</v>
      </c>
      <c r="BT961" s="762">
        <v>0</v>
      </c>
      <c r="BU961" s="762">
        <v>0</v>
      </c>
      <c r="BV961" s="762">
        <v>101.04699344720053</v>
      </c>
      <c r="BW961" s="762">
        <v>101.04699344720053</v>
      </c>
      <c r="BX961" s="762">
        <v>101.04699344720053</v>
      </c>
      <c r="BY961" s="762">
        <v>31.909576878063326</v>
      </c>
      <c r="BZ961" s="762">
        <v>31.909576878063326</v>
      </c>
      <c r="CA961" s="762">
        <v>31.909576878063326</v>
      </c>
      <c r="CB961" s="762">
        <v>31.909576878063326</v>
      </c>
      <c r="CC961" s="762">
        <v>31.909576878063326</v>
      </c>
      <c r="CD961" s="762">
        <v>31.909576878063326</v>
      </c>
      <c r="CE961" s="762">
        <v>31.909576878063326</v>
      </c>
      <c r="CF961" s="762">
        <v>31.909576878063326</v>
      </c>
      <c r="CG961" s="762">
        <v>31.909576878063326</v>
      </c>
      <c r="CH961" s="762">
        <v>0</v>
      </c>
      <c r="CI961" s="762">
        <v>0</v>
      </c>
      <c r="CJ961" s="762">
        <v>0</v>
      </c>
      <c r="CK961" s="762">
        <v>0</v>
      </c>
      <c r="CL961" s="762">
        <v>0</v>
      </c>
      <c r="CM961" s="762">
        <v>0</v>
      </c>
      <c r="CN961" s="762">
        <v>0</v>
      </c>
      <c r="CO961" s="762">
        <v>0</v>
      </c>
      <c r="CP961" s="762">
        <v>0</v>
      </c>
      <c r="CQ961" s="762">
        <v>0</v>
      </c>
      <c r="CR961" s="762">
        <v>0</v>
      </c>
    </row>
    <row r="962" spans="1:96" s="53" customFormat="1">
      <c r="A962" s="721" t="s">
        <v>3</v>
      </c>
      <c r="B962" s="723">
        <v>41892</v>
      </c>
      <c r="C962" s="721">
        <v>2014</v>
      </c>
      <c r="D962" s="713" t="s">
        <v>1</v>
      </c>
      <c r="E962" s="713" t="s">
        <v>674</v>
      </c>
      <c r="F962" s="723" t="s">
        <v>123</v>
      </c>
      <c r="G962" s="713" t="s">
        <v>58</v>
      </c>
      <c r="H962" s="723" t="s">
        <v>684</v>
      </c>
      <c r="I962" s="713" t="s">
        <v>5</v>
      </c>
      <c r="J962" s="713" t="s">
        <v>376</v>
      </c>
      <c r="K962" s="766">
        <v>9</v>
      </c>
      <c r="L962" s="766" t="s">
        <v>671</v>
      </c>
      <c r="M962" s="765" t="s">
        <v>721</v>
      </c>
      <c r="N962" s="765">
        <v>11</v>
      </c>
      <c r="O962" s="765">
        <v>2</v>
      </c>
      <c r="P962" s="735">
        <v>0.43976996379393668</v>
      </c>
      <c r="Q962" s="713" t="s">
        <v>58</v>
      </c>
      <c r="R962" s="713" t="s">
        <v>58</v>
      </c>
      <c r="S962" s="713" t="s">
        <v>58</v>
      </c>
      <c r="T962" s="713" t="s">
        <v>58</v>
      </c>
      <c r="U962" s="764">
        <v>0.61199999999999999</v>
      </c>
      <c r="V962" s="764">
        <v>1942.4880000000001</v>
      </c>
      <c r="W962" s="764">
        <v>0.47999803778431621</v>
      </c>
      <c r="X962" s="764">
        <v>1604.8388827811948</v>
      </c>
      <c r="Y962" s="764">
        <v>9561.5172019444799</v>
      </c>
      <c r="Z962" s="764">
        <v>9024.8322385496303</v>
      </c>
      <c r="AA962" s="764">
        <v>1514.7597793429977</v>
      </c>
      <c r="AB962" s="764">
        <v>0.45337900446425489</v>
      </c>
      <c r="AC962" s="714">
        <v>0.82617698682369967</v>
      </c>
      <c r="AD962" s="714">
        <v>0.7843105192554185</v>
      </c>
      <c r="AE962" s="713" t="s">
        <v>58</v>
      </c>
      <c r="AF962" s="713" t="s">
        <v>58</v>
      </c>
      <c r="AG962" s="713" t="s">
        <v>58</v>
      </c>
      <c r="AH962" s="714">
        <v>0.94387031345969796</v>
      </c>
      <c r="AI962" s="713" t="s">
        <v>58</v>
      </c>
      <c r="AJ962" s="713" t="s">
        <v>58</v>
      </c>
      <c r="AK962" s="713" t="s">
        <v>58</v>
      </c>
      <c r="AL962" s="714">
        <v>0.94454345387965444</v>
      </c>
      <c r="AM962" s="713" t="s">
        <v>58</v>
      </c>
      <c r="AN962" s="713" t="s">
        <v>58</v>
      </c>
      <c r="AO962" s="713" t="s">
        <v>58</v>
      </c>
      <c r="AP962" s="747">
        <v>48</v>
      </c>
      <c r="AQ962" s="747">
        <v>432</v>
      </c>
      <c r="AR962" s="709"/>
      <c r="AS962" s="763">
        <v>0</v>
      </c>
      <c r="AT962" s="763">
        <v>0</v>
      </c>
      <c r="AU962" s="763">
        <v>0</v>
      </c>
      <c r="AV962" s="763">
        <v>0.45337900446425489</v>
      </c>
      <c r="AW962" s="763">
        <v>0.45337900446425489</v>
      </c>
      <c r="AX962" s="763">
        <v>0.19938246837817644</v>
      </c>
      <c r="AY962" s="763">
        <v>0.19938246837817644</v>
      </c>
      <c r="AZ962" s="763">
        <v>0.19938246837817644</v>
      </c>
      <c r="BA962" s="763">
        <v>0.19938246837817644</v>
      </c>
      <c r="BB962" s="763">
        <v>0.19938246837817644</v>
      </c>
      <c r="BC962" s="763">
        <v>0.19938246837817644</v>
      </c>
      <c r="BD962" s="763">
        <v>0.19938246837817644</v>
      </c>
      <c r="BE962" s="763">
        <v>0.19938246837817644</v>
      </c>
      <c r="BF962" s="763">
        <v>0.19938246837817644</v>
      </c>
      <c r="BG962" s="763">
        <v>0</v>
      </c>
      <c r="BH962" s="763">
        <v>0</v>
      </c>
      <c r="BI962" s="763">
        <v>0</v>
      </c>
      <c r="BJ962" s="763">
        <v>0</v>
      </c>
      <c r="BK962" s="763">
        <v>0</v>
      </c>
      <c r="BL962" s="763">
        <v>0</v>
      </c>
      <c r="BM962" s="763">
        <v>0</v>
      </c>
      <c r="BN962" s="763">
        <v>0</v>
      </c>
      <c r="BO962" s="763">
        <v>0</v>
      </c>
      <c r="BP962" s="763">
        <v>0</v>
      </c>
      <c r="BQ962" s="763">
        <v>0</v>
      </c>
      <c r="BR962" s="763">
        <v>0</v>
      </c>
      <c r="BS962" s="762">
        <v>0</v>
      </c>
      <c r="BT962" s="762">
        <v>0</v>
      </c>
      <c r="BU962" s="762">
        <v>0</v>
      </c>
      <c r="BV962" s="762">
        <v>1514.7597793429977</v>
      </c>
      <c r="BW962" s="762">
        <v>1514.7597793429977</v>
      </c>
      <c r="BX962" s="762">
        <v>666.14585331818159</v>
      </c>
      <c r="BY962" s="762">
        <v>666.14585331818159</v>
      </c>
      <c r="BZ962" s="762">
        <v>666.14585331818159</v>
      </c>
      <c r="CA962" s="762">
        <v>666.14585331818159</v>
      </c>
      <c r="CB962" s="762">
        <v>666.14585331818159</v>
      </c>
      <c r="CC962" s="762">
        <v>666.14585331818159</v>
      </c>
      <c r="CD962" s="762">
        <v>666.14585331818159</v>
      </c>
      <c r="CE962" s="762">
        <v>666.14585331818159</v>
      </c>
      <c r="CF962" s="762">
        <v>666.14585331818159</v>
      </c>
      <c r="CG962" s="762">
        <v>0</v>
      </c>
      <c r="CH962" s="762">
        <v>0</v>
      </c>
      <c r="CI962" s="762">
        <v>0</v>
      </c>
      <c r="CJ962" s="762">
        <v>0</v>
      </c>
      <c r="CK962" s="762">
        <v>0</v>
      </c>
      <c r="CL962" s="762">
        <v>0</v>
      </c>
      <c r="CM962" s="762">
        <v>0</v>
      </c>
      <c r="CN962" s="762">
        <v>0</v>
      </c>
      <c r="CO962" s="762">
        <v>0</v>
      </c>
      <c r="CP962" s="762">
        <v>0</v>
      </c>
      <c r="CQ962" s="762">
        <v>0</v>
      </c>
      <c r="CR962" s="762">
        <v>0</v>
      </c>
    </row>
    <row r="963" spans="1:96" s="53" customFormat="1">
      <c r="A963" s="721" t="s">
        <v>3</v>
      </c>
      <c r="B963" s="723">
        <v>41830</v>
      </c>
      <c r="C963" s="721">
        <v>2014</v>
      </c>
      <c r="D963" s="713" t="s">
        <v>1</v>
      </c>
      <c r="E963" s="713" t="s">
        <v>674</v>
      </c>
      <c r="F963" s="723" t="s">
        <v>673</v>
      </c>
      <c r="G963" s="713" t="s">
        <v>58</v>
      </c>
      <c r="H963" s="723" t="s">
        <v>697</v>
      </c>
      <c r="I963" s="713" t="s">
        <v>5</v>
      </c>
      <c r="J963" s="713" t="s">
        <v>376</v>
      </c>
      <c r="K963" s="766">
        <v>1</v>
      </c>
      <c r="L963" s="766" t="s">
        <v>671</v>
      </c>
      <c r="M963" s="765" t="s">
        <v>720</v>
      </c>
      <c r="N963" s="765">
        <v>0</v>
      </c>
      <c r="O963" s="765">
        <v>0</v>
      </c>
      <c r="P963" s="735">
        <v>0</v>
      </c>
      <c r="Q963" s="713" t="s">
        <v>58</v>
      </c>
      <c r="R963" s="713" t="s">
        <v>58</v>
      </c>
      <c r="S963" s="713" t="s">
        <v>58</v>
      </c>
      <c r="T963" s="713" t="s">
        <v>58</v>
      </c>
      <c r="U963" s="764">
        <v>0</v>
      </c>
      <c r="V963" s="764">
        <v>0</v>
      </c>
      <c r="W963" s="764">
        <v>0</v>
      </c>
      <c r="X963" s="764">
        <v>0</v>
      </c>
      <c r="Y963" s="764">
        <v>0</v>
      </c>
      <c r="Z963" s="764">
        <v>0</v>
      </c>
      <c r="AA963" s="764">
        <v>0</v>
      </c>
      <c r="AB963" s="764">
        <v>0</v>
      </c>
      <c r="AC963" s="714">
        <v>0.82617698682369967</v>
      </c>
      <c r="AD963" s="714">
        <v>0.7843105192554185</v>
      </c>
      <c r="AE963" s="713" t="s">
        <v>58</v>
      </c>
      <c r="AF963" s="713" t="s">
        <v>58</v>
      </c>
      <c r="AG963" s="713" t="s">
        <v>58</v>
      </c>
      <c r="AH963" s="714">
        <v>0.94387031345969796</v>
      </c>
      <c r="AI963" s="713" t="s">
        <v>58</v>
      </c>
      <c r="AJ963" s="713" t="s">
        <v>58</v>
      </c>
      <c r="AK963" s="713" t="s">
        <v>58</v>
      </c>
      <c r="AL963" s="714">
        <v>0.94454345387965444</v>
      </c>
      <c r="AM963" s="713" t="s">
        <v>58</v>
      </c>
      <c r="AN963" s="713" t="s">
        <v>58</v>
      </c>
      <c r="AO963" s="713" t="s">
        <v>58</v>
      </c>
      <c r="AP963" s="747">
        <v>26</v>
      </c>
      <c r="AQ963" s="747">
        <v>26</v>
      </c>
      <c r="AR963" s="709"/>
      <c r="AS963" s="763">
        <v>0</v>
      </c>
      <c r="AT963" s="763">
        <v>0</v>
      </c>
      <c r="AU963" s="763">
        <v>0</v>
      </c>
      <c r="AV963" s="763">
        <v>0</v>
      </c>
      <c r="AW963" s="763">
        <v>0</v>
      </c>
      <c r="AX963" s="763">
        <v>0</v>
      </c>
      <c r="AY963" s="763">
        <v>0</v>
      </c>
      <c r="AZ963" s="763">
        <v>0</v>
      </c>
      <c r="BA963" s="763">
        <v>0</v>
      </c>
      <c r="BB963" s="763">
        <v>0</v>
      </c>
      <c r="BC963" s="763">
        <v>0</v>
      </c>
      <c r="BD963" s="763">
        <v>0</v>
      </c>
      <c r="BE963" s="763">
        <v>0</v>
      </c>
      <c r="BF963" s="763">
        <v>0</v>
      </c>
      <c r="BG963" s="763">
        <v>0</v>
      </c>
      <c r="BH963" s="763">
        <v>0</v>
      </c>
      <c r="BI963" s="763">
        <v>0</v>
      </c>
      <c r="BJ963" s="763">
        <v>0</v>
      </c>
      <c r="BK963" s="763">
        <v>0</v>
      </c>
      <c r="BL963" s="763">
        <v>0</v>
      </c>
      <c r="BM963" s="763">
        <v>0</v>
      </c>
      <c r="BN963" s="763">
        <v>0</v>
      </c>
      <c r="BO963" s="763">
        <v>0</v>
      </c>
      <c r="BP963" s="763">
        <v>0</v>
      </c>
      <c r="BQ963" s="763">
        <v>0</v>
      </c>
      <c r="BR963" s="763">
        <v>0</v>
      </c>
      <c r="BS963" s="762">
        <v>0</v>
      </c>
      <c r="BT963" s="762">
        <v>0</v>
      </c>
      <c r="BU963" s="762">
        <v>0</v>
      </c>
      <c r="BV963" s="762">
        <v>0</v>
      </c>
      <c r="BW963" s="762">
        <v>0</v>
      </c>
      <c r="BX963" s="762">
        <v>0</v>
      </c>
      <c r="BY963" s="762">
        <v>0</v>
      </c>
      <c r="BZ963" s="762">
        <v>0</v>
      </c>
      <c r="CA963" s="762">
        <v>0</v>
      </c>
      <c r="CB963" s="762">
        <v>0</v>
      </c>
      <c r="CC963" s="762">
        <v>0</v>
      </c>
      <c r="CD963" s="762">
        <v>0</v>
      </c>
      <c r="CE963" s="762">
        <v>0</v>
      </c>
      <c r="CF963" s="762">
        <v>0</v>
      </c>
      <c r="CG963" s="762">
        <v>0</v>
      </c>
      <c r="CH963" s="762">
        <v>0</v>
      </c>
      <c r="CI963" s="762">
        <v>0</v>
      </c>
      <c r="CJ963" s="762">
        <v>0</v>
      </c>
      <c r="CK963" s="762">
        <v>0</v>
      </c>
      <c r="CL963" s="762">
        <v>0</v>
      </c>
      <c r="CM963" s="762">
        <v>0</v>
      </c>
      <c r="CN963" s="762">
        <v>0</v>
      </c>
      <c r="CO963" s="762">
        <v>0</v>
      </c>
      <c r="CP963" s="762">
        <v>0</v>
      </c>
      <c r="CQ963" s="762">
        <v>0</v>
      </c>
      <c r="CR963" s="762">
        <v>0</v>
      </c>
    </row>
    <row r="964" spans="1:96" s="53" customFormat="1">
      <c r="A964" s="721" t="s">
        <v>3</v>
      </c>
      <c r="B964" s="723">
        <v>41830</v>
      </c>
      <c r="C964" s="721">
        <v>2014</v>
      </c>
      <c r="D964" s="713" t="s">
        <v>1</v>
      </c>
      <c r="E964" s="713" t="s">
        <v>674</v>
      </c>
      <c r="F964" s="723" t="s">
        <v>673</v>
      </c>
      <c r="G964" s="713" t="s">
        <v>58</v>
      </c>
      <c r="H964" s="723" t="s">
        <v>676</v>
      </c>
      <c r="I964" s="713" t="s">
        <v>5</v>
      </c>
      <c r="J964" s="713" t="s">
        <v>376</v>
      </c>
      <c r="K964" s="766">
        <v>2</v>
      </c>
      <c r="L964" s="766" t="s">
        <v>671</v>
      </c>
      <c r="M964" s="765" t="s">
        <v>720</v>
      </c>
      <c r="N964" s="765">
        <v>12</v>
      </c>
      <c r="O964" s="765">
        <v>3</v>
      </c>
      <c r="P964" s="735">
        <v>0.31578947368421051</v>
      </c>
      <c r="Q964" s="713" t="s">
        <v>58</v>
      </c>
      <c r="R964" s="713" t="s">
        <v>58</v>
      </c>
      <c r="S964" s="713" t="s">
        <v>58</v>
      </c>
      <c r="T964" s="713" t="s">
        <v>58</v>
      </c>
      <c r="U964" s="764">
        <v>7.5999999999999998E-2</v>
      </c>
      <c r="V964" s="764">
        <v>197.14400000000001</v>
      </c>
      <c r="W964" s="764">
        <v>5.9607599463411813E-2</v>
      </c>
      <c r="X964" s="764">
        <v>162.87583589037143</v>
      </c>
      <c r="Y964" s="764">
        <v>951.53777809638041</v>
      </c>
      <c r="Z964" s="764">
        <v>898.12826088057511</v>
      </c>
      <c r="AA964" s="764">
        <v>153.73366627685522</v>
      </c>
      <c r="AB964" s="764">
        <v>5.6301967874646031E-2</v>
      </c>
      <c r="AC964" s="714">
        <v>0.82617698682369967</v>
      </c>
      <c r="AD964" s="714">
        <v>0.7843105192554185</v>
      </c>
      <c r="AE964" s="713" t="s">
        <v>58</v>
      </c>
      <c r="AF964" s="713" t="s">
        <v>58</v>
      </c>
      <c r="AG964" s="713" t="s">
        <v>58</v>
      </c>
      <c r="AH964" s="714">
        <v>0.94387031345969796</v>
      </c>
      <c r="AI964" s="713" t="s">
        <v>58</v>
      </c>
      <c r="AJ964" s="713" t="s">
        <v>58</v>
      </c>
      <c r="AK964" s="713" t="s">
        <v>58</v>
      </c>
      <c r="AL964" s="714">
        <v>0.94454345387965444</v>
      </c>
      <c r="AM964" s="713" t="s">
        <v>58</v>
      </c>
      <c r="AN964" s="713" t="s">
        <v>58</v>
      </c>
      <c r="AO964" s="713" t="s">
        <v>58</v>
      </c>
      <c r="AP964" s="747">
        <v>57</v>
      </c>
      <c r="AQ964" s="747">
        <v>114</v>
      </c>
      <c r="AR964" s="709"/>
      <c r="AS964" s="763">
        <v>0</v>
      </c>
      <c r="AT964" s="763">
        <v>0</v>
      </c>
      <c r="AU964" s="763">
        <v>0</v>
      </c>
      <c r="AV964" s="763">
        <v>5.6301967874646031E-2</v>
      </c>
      <c r="AW964" s="763">
        <v>5.6301967874646031E-2</v>
      </c>
      <c r="AX964" s="763">
        <v>5.6301967874646031E-2</v>
      </c>
      <c r="AY964" s="763">
        <v>1.77795688025198E-2</v>
      </c>
      <c r="AZ964" s="763">
        <v>1.77795688025198E-2</v>
      </c>
      <c r="BA964" s="763">
        <v>1.77795688025198E-2</v>
      </c>
      <c r="BB964" s="763">
        <v>1.77795688025198E-2</v>
      </c>
      <c r="BC964" s="763">
        <v>1.77795688025198E-2</v>
      </c>
      <c r="BD964" s="763">
        <v>1.77795688025198E-2</v>
      </c>
      <c r="BE964" s="763">
        <v>1.77795688025198E-2</v>
      </c>
      <c r="BF964" s="763">
        <v>1.77795688025198E-2</v>
      </c>
      <c r="BG964" s="763">
        <v>1.77795688025198E-2</v>
      </c>
      <c r="BH964" s="763">
        <v>0</v>
      </c>
      <c r="BI964" s="763">
        <v>0</v>
      </c>
      <c r="BJ964" s="763">
        <v>0</v>
      </c>
      <c r="BK964" s="763">
        <v>0</v>
      </c>
      <c r="BL964" s="763">
        <v>0</v>
      </c>
      <c r="BM964" s="763">
        <v>0</v>
      </c>
      <c r="BN964" s="763">
        <v>0</v>
      </c>
      <c r="BO964" s="763">
        <v>0</v>
      </c>
      <c r="BP964" s="763">
        <v>0</v>
      </c>
      <c r="BQ964" s="763">
        <v>0</v>
      </c>
      <c r="BR964" s="763">
        <v>0</v>
      </c>
      <c r="BS964" s="762">
        <v>0</v>
      </c>
      <c r="BT964" s="762">
        <v>0</v>
      </c>
      <c r="BU964" s="762">
        <v>0</v>
      </c>
      <c r="BV964" s="762">
        <v>153.73366627685522</v>
      </c>
      <c r="BW964" s="762">
        <v>153.73366627685522</v>
      </c>
      <c r="BX964" s="762">
        <v>153.73366627685522</v>
      </c>
      <c r="BY964" s="762">
        <v>48.54747356111217</v>
      </c>
      <c r="BZ964" s="762">
        <v>48.54747356111217</v>
      </c>
      <c r="CA964" s="762">
        <v>48.54747356111217</v>
      </c>
      <c r="CB964" s="762">
        <v>48.54747356111217</v>
      </c>
      <c r="CC964" s="762">
        <v>48.54747356111217</v>
      </c>
      <c r="CD964" s="762">
        <v>48.54747356111217</v>
      </c>
      <c r="CE964" s="762">
        <v>48.54747356111217</v>
      </c>
      <c r="CF964" s="762">
        <v>48.54747356111217</v>
      </c>
      <c r="CG964" s="762">
        <v>48.54747356111217</v>
      </c>
      <c r="CH964" s="762">
        <v>0</v>
      </c>
      <c r="CI964" s="762">
        <v>0</v>
      </c>
      <c r="CJ964" s="762">
        <v>0</v>
      </c>
      <c r="CK964" s="762">
        <v>0</v>
      </c>
      <c r="CL964" s="762">
        <v>0</v>
      </c>
      <c r="CM964" s="762">
        <v>0</v>
      </c>
      <c r="CN964" s="762">
        <v>0</v>
      </c>
      <c r="CO964" s="762">
        <v>0</v>
      </c>
      <c r="CP964" s="762">
        <v>0</v>
      </c>
      <c r="CQ964" s="762">
        <v>0</v>
      </c>
      <c r="CR964" s="762">
        <v>0</v>
      </c>
    </row>
    <row r="965" spans="1:96" s="53" customFormat="1">
      <c r="A965" s="721" t="s">
        <v>3</v>
      </c>
      <c r="B965" s="723">
        <v>41830</v>
      </c>
      <c r="C965" s="721">
        <v>2014</v>
      </c>
      <c r="D965" s="713" t="s">
        <v>1</v>
      </c>
      <c r="E965" s="713" t="s">
        <v>674</v>
      </c>
      <c r="F965" s="723" t="s">
        <v>673</v>
      </c>
      <c r="G965" s="713" t="s">
        <v>58</v>
      </c>
      <c r="H965" s="723" t="s">
        <v>675</v>
      </c>
      <c r="I965" s="713" t="s">
        <v>5</v>
      </c>
      <c r="J965" s="713" t="s">
        <v>376</v>
      </c>
      <c r="K965" s="766">
        <v>3</v>
      </c>
      <c r="L965" s="766" t="s">
        <v>671</v>
      </c>
      <c r="M965" s="765" t="s">
        <v>720</v>
      </c>
      <c r="N965" s="765">
        <v>12</v>
      </c>
      <c r="O965" s="765">
        <v>3</v>
      </c>
      <c r="P965" s="735">
        <v>0.36842105263157893</v>
      </c>
      <c r="Q965" s="713" t="s">
        <v>58</v>
      </c>
      <c r="R965" s="713" t="s">
        <v>58</v>
      </c>
      <c r="S965" s="713" t="s">
        <v>58</v>
      </c>
      <c r="T965" s="713" t="s">
        <v>58</v>
      </c>
      <c r="U965" s="764">
        <v>0.17100000000000001</v>
      </c>
      <c r="V965" s="764">
        <v>443.57400000000001</v>
      </c>
      <c r="W965" s="764">
        <v>0.13411709879267658</v>
      </c>
      <c r="X965" s="764">
        <v>366.47063075333574</v>
      </c>
      <c r="Y965" s="764">
        <v>2314.551352126331</v>
      </c>
      <c r="Z965" s="764">
        <v>2184.6363102500477</v>
      </c>
      <c r="AA965" s="764">
        <v>345.90074912292425</v>
      </c>
      <c r="AB965" s="764">
        <v>0.12667942771795357</v>
      </c>
      <c r="AC965" s="714">
        <v>0.82617698682369967</v>
      </c>
      <c r="AD965" s="714">
        <v>0.7843105192554185</v>
      </c>
      <c r="AE965" s="713" t="s">
        <v>58</v>
      </c>
      <c r="AF965" s="713" t="s">
        <v>58</v>
      </c>
      <c r="AG965" s="713" t="s">
        <v>58</v>
      </c>
      <c r="AH965" s="714">
        <v>0.94387031345969796</v>
      </c>
      <c r="AI965" s="713" t="s">
        <v>58</v>
      </c>
      <c r="AJ965" s="713" t="s">
        <v>58</v>
      </c>
      <c r="AK965" s="713" t="s">
        <v>58</v>
      </c>
      <c r="AL965" s="714">
        <v>0.94454345387965444</v>
      </c>
      <c r="AM965" s="713" t="s">
        <v>58</v>
      </c>
      <c r="AN965" s="713" t="s">
        <v>58</v>
      </c>
      <c r="AO965" s="713" t="s">
        <v>58</v>
      </c>
      <c r="AP965" s="747">
        <v>73</v>
      </c>
      <c r="AQ965" s="747">
        <v>219</v>
      </c>
      <c r="AR965" s="709"/>
      <c r="AS965" s="763">
        <v>0</v>
      </c>
      <c r="AT965" s="763">
        <v>0</v>
      </c>
      <c r="AU965" s="763">
        <v>0</v>
      </c>
      <c r="AV965" s="763">
        <v>0.12667942771795357</v>
      </c>
      <c r="AW965" s="763">
        <v>0.12667942771795357</v>
      </c>
      <c r="AX965" s="763">
        <v>0.12667942771795357</v>
      </c>
      <c r="AY965" s="763">
        <v>4.6671368106614472E-2</v>
      </c>
      <c r="AZ965" s="763">
        <v>4.6671368106614472E-2</v>
      </c>
      <c r="BA965" s="763">
        <v>4.6671368106614472E-2</v>
      </c>
      <c r="BB965" s="763">
        <v>4.6671368106614472E-2</v>
      </c>
      <c r="BC965" s="763">
        <v>4.6671368106614472E-2</v>
      </c>
      <c r="BD965" s="763">
        <v>4.6671368106614472E-2</v>
      </c>
      <c r="BE965" s="763">
        <v>4.6671368106614472E-2</v>
      </c>
      <c r="BF965" s="763">
        <v>4.6671368106614472E-2</v>
      </c>
      <c r="BG965" s="763">
        <v>4.6671368106614472E-2</v>
      </c>
      <c r="BH965" s="763">
        <v>0</v>
      </c>
      <c r="BI965" s="763">
        <v>0</v>
      </c>
      <c r="BJ965" s="763">
        <v>0</v>
      </c>
      <c r="BK965" s="763">
        <v>0</v>
      </c>
      <c r="BL965" s="763">
        <v>0</v>
      </c>
      <c r="BM965" s="763">
        <v>0</v>
      </c>
      <c r="BN965" s="763">
        <v>0</v>
      </c>
      <c r="BO965" s="763">
        <v>0</v>
      </c>
      <c r="BP965" s="763">
        <v>0</v>
      </c>
      <c r="BQ965" s="763">
        <v>0</v>
      </c>
      <c r="BR965" s="763">
        <v>0</v>
      </c>
      <c r="BS965" s="762">
        <v>0</v>
      </c>
      <c r="BT965" s="762">
        <v>0</v>
      </c>
      <c r="BU965" s="762">
        <v>0</v>
      </c>
      <c r="BV965" s="762">
        <v>345.90074912292425</v>
      </c>
      <c r="BW965" s="762">
        <v>345.90074912292425</v>
      </c>
      <c r="BX965" s="762">
        <v>345.90074912292425</v>
      </c>
      <c r="BY965" s="762">
        <v>127.43711809791945</v>
      </c>
      <c r="BZ965" s="762">
        <v>127.43711809791945</v>
      </c>
      <c r="CA965" s="762">
        <v>127.43711809791945</v>
      </c>
      <c r="CB965" s="762">
        <v>127.43711809791945</v>
      </c>
      <c r="CC965" s="762">
        <v>127.43711809791945</v>
      </c>
      <c r="CD965" s="762">
        <v>127.43711809791945</v>
      </c>
      <c r="CE965" s="762">
        <v>127.43711809791945</v>
      </c>
      <c r="CF965" s="762">
        <v>127.43711809791945</v>
      </c>
      <c r="CG965" s="762">
        <v>127.43711809791945</v>
      </c>
      <c r="CH965" s="762">
        <v>0</v>
      </c>
      <c r="CI965" s="762">
        <v>0</v>
      </c>
      <c r="CJ965" s="762">
        <v>0</v>
      </c>
      <c r="CK965" s="762">
        <v>0</v>
      </c>
      <c r="CL965" s="762">
        <v>0</v>
      </c>
      <c r="CM965" s="762">
        <v>0</v>
      </c>
      <c r="CN965" s="762">
        <v>0</v>
      </c>
      <c r="CO965" s="762">
        <v>0</v>
      </c>
      <c r="CP965" s="762">
        <v>0</v>
      </c>
      <c r="CQ965" s="762">
        <v>0</v>
      </c>
      <c r="CR965" s="762">
        <v>0</v>
      </c>
    </row>
    <row r="966" spans="1:96" s="53" customFormat="1">
      <c r="A966" s="721" t="s">
        <v>3</v>
      </c>
      <c r="B966" s="723">
        <v>41830</v>
      </c>
      <c r="C966" s="721">
        <v>2014</v>
      </c>
      <c r="D966" s="713" t="s">
        <v>1</v>
      </c>
      <c r="E966" s="713" t="s">
        <v>674</v>
      </c>
      <c r="F966" s="723" t="s">
        <v>673</v>
      </c>
      <c r="G966" s="713" t="s">
        <v>58</v>
      </c>
      <c r="H966" s="723" t="s">
        <v>684</v>
      </c>
      <c r="I966" s="713" t="s">
        <v>5</v>
      </c>
      <c r="J966" s="713" t="s">
        <v>376</v>
      </c>
      <c r="K966" s="766">
        <v>1</v>
      </c>
      <c r="L966" s="766" t="s">
        <v>671</v>
      </c>
      <c r="M966" s="765" t="s">
        <v>720</v>
      </c>
      <c r="N966" s="765">
        <v>11</v>
      </c>
      <c r="O966" s="765">
        <v>2</v>
      </c>
      <c r="P966" s="735">
        <v>0.43976996379393668</v>
      </c>
      <c r="Q966" s="713" t="s">
        <v>58</v>
      </c>
      <c r="R966" s="713" t="s">
        <v>58</v>
      </c>
      <c r="S966" s="713" t="s">
        <v>58</v>
      </c>
      <c r="T966" s="713" t="s">
        <v>58</v>
      </c>
      <c r="U966" s="764">
        <v>6.8000000000000005E-2</v>
      </c>
      <c r="V966" s="764">
        <v>209.57599999999999</v>
      </c>
      <c r="W966" s="764">
        <v>5.3333115309368469E-2</v>
      </c>
      <c r="X966" s="764">
        <v>173.14686819056365</v>
      </c>
      <c r="Y966" s="764">
        <v>1031.5968639779067</v>
      </c>
      <c r="Z966" s="764">
        <v>973.69365536686814</v>
      </c>
      <c r="AA966" s="764">
        <v>163.42818875359231</v>
      </c>
      <c r="AB966" s="764">
        <v>5.0375444940472767E-2</v>
      </c>
      <c r="AC966" s="714">
        <v>0.82617698682369967</v>
      </c>
      <c r="AD966" s="714">
        <v>0.7843105192554185</v>
      </c>
      <c r="AE966" s="713" t="s">
        <v>58</v>
      </c>
      <c r="AF966" s="713" t="s">
        <v>58</v>
      </c>
      <c r="AG966" s="713" t="s">
        <v>58</v>
      </c>
      <c r="AH966" s="714">
        <v>0.94387031345969796</v>
      </c>
      <c r="AI966" s="713" t="s">
        <v>58</v>
      </c>
      <c r="AJ966" s="713" t="s">
        <v>58</v>
      </c>
      <c r="AK966" s="713" t="s">
        <v>58</v>
      </c>
      <c r="AL966" s="714">
        <v>0.94454345387965444</v>
      </c>
      <c r="AM966" s="713" t="s">
        <v>58</v>
      </c>
      <c r="AN966" s="713" t="s">
        <v>58</v>
      </c>
      <c r="AO966" s="713" t="s">
        <v>58</v>
      </c>
      <c r="AP966" s="747">
        <v>48</v>
      </c>
      <c r="AQ966" s="747">
        <v>48</v>
      </c>
      <c r="AR966" s="709"/>
      <c r="AS966" s="763">
        <v>0</v>
      </c>
      <c r="AT966" s="763">
        <v>0</v>
      </c>
      <c r="AU966" s="763">
        <v>0</v>
      </c>
      <c r="AV966" s="763">
        <v>5.0375444940472767E-2</v>
      </c>
      <c r="AW966" s="763">
        <v>5.0375444940472767E-2</v>
      </c>
      <c r="AX966" s="763">
        <v>2.2153607597575158E-2</v>
      </c>
      <c r="AY966" s="763">
        <v>2.2153607597575158E-2</v>
      </c>
      <c r="AZ966" s="763">
        <v>2.2153607597575158E-2</v>
      </c>
      <c r="BA966" s="763">
        <v>2.2153607597575158E-2</v>
      </c>
      <c r="BB966" s="763">
        <v>2.2153607597575158E-2</v>
      </c>
      <c r="BC966" s="763">
        <v>2.2153607597575158E-2</v>
      </c>
      <c r="BD966" s="763">
        <v>2.2153607597575158E-2</v>
      </c>
      <c r="BE966" s="763">
        <v>2.2153607597575158E-2</v>
      </c>
      <c r="BF966" s="763">
        <v>2.2153607597575158E-2</v>
      </c>
      <c r="BG966" s="763">
        <v>0</v>
      </c>
      <c r="BH966" s="763">
        <v>0</v>
      </c>
      <c r="BI966" s="763">
        <v>0</v>
      </c>
      <c r="BJ966" s="763">
        <v>0</v>
      </c>
      <c r="BK966" s="763">
        <v>0</v>
      </c>
      <c r="BL966" s="763">
        <v>0</v>
      </c>
      <c r="BM966" s="763">
        <v>0</v>
      </c>
      <c r="BN966" s="763">
        <v>0</v>
      </c>
      <c r="BO966" s="763">
        <v>0</v>
      </c>
      <c r="BP966" s="763">
        <v>0</v>
      </c>
      <c r="BQ966" s="763">
        <v>0</v>
      </c>
      <c r="BR966" s="763">
        <v>0</v>
      </c>
      <c r="BS966" s="762">
        <v>0</v>
      </c>
      <c r="BT966" s="762">
        <v>0</v>
      </c>
      <c r="BU966" s="762">
        <v>0</v>
      </c>
      <c r="BV966" s="762">
        <v>163.42818875359231</v>
      </c>
      <c r="BW966" s="762">
        <v>163.42818875359231</v>
      </c>
      <c r="BX966" s="762">
        <v>71.870808651075933</v>
      </c>
      <c r="BY966" s="762">
        <v>71.870808651075933</v>
      </c>
      <c r="BZ966" s="762">
        <v>71.870808651075933</v>
      </c>
      <c r="CA966" s="762">
        <v>71.870808651075933</v>
      </c>
      <c r="CB966" s="762">
        <v>71.870808651075933</v>
      </c>
      <c r="CC966" s="762">
        <v>71.870808651075933</v>
      </c>
      <c r="CD966" s="762">
        <v>71.870808651075933</v>
      </c>
      <c r="CE966" s="762">
        <v>71.870808651075933</v>
      </c>
      <c r="CF966" s="762">
        <v>71.870808651075933</v>
      </c>
      <c r="CG966" s="762">
        <v>0</v>
      </c>
      <c r="CH966" s="762">
        <v>0</v>
      </c>
      <c r="CI966" s="762">
        <v>0</v>
      </c>
      <c r="CJ966" s="762">
        <v>0</v>
      </c>
      <c r="CK966" s="762">
        <v>0</v>
      </c>
      <c r="CL966" s="762">
        <v>0</v>
      </c>
      <c r="CM966" s="762">
        <v>0</v>
      </c>
      <c r="CN966" s="762">
        <v>0</v>
      </c>
      <c r="CO966" s="762">
        <v>0</v>
      </c>
      <c r="CP966" s="762">
        <v>0</v>
      </c>
      <c r="CQ966" s="762">
        <v>0</v>
      </c>
      <c r="CR966" s="762">
        <v>0</v>
      </c>
    </row>
    <row r="967" spans="1:96" s="53" customFormat="1">
      <c r="A967" s="721" t="s">
        <v>3</v>
      </c>
      <c r="B967" s="723">
        <v>41708</v>
      </c>
      <c r="C967" s="721">
        <v>2014</v>
      </c>
      <c r="D967" s="713" t="s">
        <v>1</v>
      </c>
      <c r="E967" s="713" t="s">
        <v>674</v>
      </c>
      <c r="F967" s="723" t="s">
        <v>685</v>
      </c>
      <c r="G967" s="713" t="s">
        <v>58</v>
      </c>
      <c r="H967" s="723" t="s">
        <v>677</v>
      </c>
      <c r="I967" s="713" t="s">
        <v>5</v>
      </c>
      <c r="J967" s="713" t="s">
        <v>376</v>
      </c>
      <c r="K967" s="766">
        <v>1</v>
      </c>
      <c r="L967" s="766" t="s">
        <v>671</v>
      </c>
      <c r="M967" s="765" t="s">
        <v>719</v>
      </c>
      <c r="N967" s="765">
        <v>0</v>
      </c>
      <c r="O967" s="765">
        <v>0</v>
      </c>
      <c r="P967" s="735">
        <v>0</v>
      </c>
      <c r="Q967" s="713" t="s">
        <v>58</v>
      </c>
      <c r="R967" s="713" t="s">
        <v>58</v>
      </c>
      <c r="S967" s="713" t="s">
        <v>58</v>
      </c>
      <c r="T967" s="713" t="s">
        <v>58</v>
      </c>
      <c r="U967" s="764">
        <v>0</v>
      </c>
      <c r="V967" s="764">
        <v>0</v>
      </c>
      <c r="W967" s="764">
        <v>0</v>
      </c>
      <c r="X967" s="764">
        <v>0</v>
      </c>
      <c r="Y967" s="764">
        <v>0</v>
      </c>
      <c r="Z967" s="764">
        <v>0</v>
      </c>
      <c r="AA967" s="764">
        <v>0</v>
      </c>
      <c r="AB967" s="764">
        <v>0</v>
      </c>
      <c r="AC967" s="714">
        <v>0.82617698682369967</v>
      </c>
      <c r="AD967" s="714">
        <v>0.7843105192554185</v>
      </c>
      <c r="AE967" s="713" t="s">
        <v>58</v>
      </c>
      <c r="AF967" s="713" t="s">
        <v>58</v>
      </c>
      <c r="AG967" s="713" t="s">
        <v>58</v>
      </c>
      <c r="AH967" s="714">
        <v>0.94387031345969796</v>
      </c>
      <c r="AI967" s="713" t="s">
        <v>58</v>
      </c>
      <c r="AJ967" s="713" t="s">
        <v>58</v>
      </c>
      <c r="AK967" s="713" t="s">
        <v>58</v>
      </c>
      <c r="AL967" s="714">
        <v>0.94454345387965444</v>
      </c>
      <c r="AM967" s="713" t="s">
        <v>58</v>
      </c>
      <c r="AN967" s="713" t="s">
        <v>58</v>
      </c>
      <c r="AO967" s="713" t="s">
        <v>58</v>
      </c>
      <c r="AP967" s="747">
        <v>51</v>
      </c>
      <c r="AQ967" s="747">
        <v>51</v>
      </c>
      <c r="AR967" s="709"/>
      <c r="AS967" s="763">
        <v>0</v>
      </c>
      <c r="AT967" s="763">
        <v>0</v>
      </c>
      <c r="AU967" s="763">
        <v>0</v>
      </c>
      <c r="AV967" s="763">
        <v>0</v>
      </c>
      <c r="AW967" s="763">
        <v>0</v>
      </c>
      <c r="AX967" s="763">
        <v>0</v>
      </c>
      <c r="AY967" s="763">
        <v>0</v>
      </c>
      <c r="AZ967" s="763">
        <v>0</v>
      </c>
      <c r="BA967" s="763">
        <v>0</v>
      </c>
      <c r="BB967" s="763">
        <v>0</v>
      </c>
      <c r="BC967" s="763">
        <v>0</v>
      </c>
      <c r="BD967" s="763">
        <v>0</v>
      </c>
      <c r="BE967" s="763">
        <v>0</v>
      </c>
      <c r="BF967" s="763">
        <v>0</v>
      </c>
      <c r="BG967" s="763">
        <v>0</v>
      </c>
      <c r="BH967" s="763">
        <v>0</v>
      </c>
      <c r="BI967" s="763">
        <v>0</v>
      </c>
      <c r="BJ967" s="763">
        <v>0</v>
      </c>
      <c r="BK967" s="763">
        <v>0</v>
      </c>
      <c r="BL967" s="763">
        <v>0</v>
      </c>
      <c r="BM967" s="763">
        <v>0</v>
      </c>
      <c r="BN967" s="763">
        <v>0</v>
      </c>
      <c r="BO967" s="763">
        <v>0</v>
      </c>
      <c r="BP967" s="763">
        <v>0</v>
      </c>
      <c r="BQ967" s="763">
        <v>0</v>
      </c>
      <c r="BR967" s="763">
        <v>0</v>
      </c>
      <c r="BS967" s="762">
        <v>0</v>
      </c>
      <c r="BT967" s="762">
        <v>0</v>
      </c>
      <c r="BU967" s="762">
        <v>0</v>
      </c>
      <c r="BV967" s="762">
        <v>0</v>
      </c>
      <c r="BW967" s="762">
        <v>0</v>
      </c>
      <c r="BX967" s="762">
        <v>0</v>
      </c>
      <c r="BY967" s="762">
        <v>0</v>
      </c>
      <c r="BZ967" s="762">
        <v>0</v>
      </c>
      <c r="CA967" s="762">
        <v>0</v>
      </c>
      <c r="CB967" s="762">
        <v>0</v>
      </c>
      <c r="CC967" s="762">
        <v>0</v>
      </c>
      <c r="CD967" s="762">
        <v>0</v>
      </c>
      <c r="CE967" s="762">
        <v>0</v>
      </c>
      <c r="CF967" s="762">
        <v>0</v>
      </c>
      <c r="CG967" s="762">
        <v>0</v>
      </c>
      <c r="CH967" s="762">
        <v>0</v>
      </c>
      <c r="CI967" s="762">
        <v>0</v>
      </c>
      <c r="CJ967" s="762">
        <v>0</v>
      </c>
      <c r="CK967" s="762">
        <v>0</v>
      </c>
      <c r="CL967" s="762">
        <v>0</v>
      </c>
      <c r="CM967" s="762">
        <v>0</v>
      </c>
      <c r="CN967" s="762">
        <v>0</v>
      </c>
      <c r="CO967" s="762">
        <v>0</v>
      </c>
      <c r="CP967" s="762">
        <v>0</v>
      </c>
      <c r="CQ967" s="762">
        <v>0</v>
      </c>
      <c r="CR967" s="762">
        <v>0</v>
      </c>
    </row>
    <row r="968" spans="1:96" s="53" customFormat="1">
      <c r="A968" s="721" t="s">
        <v>3</v>
      </c>
      <c r="B968" s="723">
        <v>41708</v>
      </c>
      <c r="C968" s="721">
        <v>2014</v>
      </c>
      <c r="D968" s="713" t="s">
        <v>1</v>
      </c>
      <c r="E968" s="713" t="s">
        <v>674</v>
      </c>
      <c r="F968" s="723" t="s">
        <v>685</v>
      </c>
      <c r="G968" s="713" t="s">
        <v>58</v>
      </c>
      <c r="H968" s="723" t="s">
        <v>676</v>
      </c>
      <c r="I968" s="713" t="s">
        <v>5</v>
      </c>
      <c r="J968" s="713" t="s">
        <v>376</v>
      </c>
      <c r="K968" s="766">
        <v>5</v>
      </c>
      <c r="L968" s="766" t="s">
        <v>671</v>
      </c>
      <c r="M968" s="765" t="s">
        <v>719</v>
      </c>
      <c r="N968" s="765">
        <v>12</v>
      </c>
      <c r="O968" s="765">
        <v>3</v>
      </c>
      <c r="P968" s="735">
        <v>0.31578947368421051</v>
      </c>
      <c r="Q968" s="713" t="s">
        <v>58</v>
      </c>
      <c r="R968" s="713" t="s">
        <v>58</v>
      </c>
      <c r="S968" s="713" t="s">
        <v>58</v>
      </c>
      <c r="T968" s="713" t="s">
        <v>58</v>
      </c>
      <c r="U968" s="764">
        <v>0.19</v>
      </c>
      <c r="V968" s="764">
        <v>916.75</v>
      </c>
      <c r="W968" s="764">
        <v>0.14901899865852955</v>
      </c>
      <c r="X968" s="764">
        <v>757.39775267062669</v>
      </c>
      <c r="Y968" s="764">
        <v>4424.7973971810297</v>
      </c>
      <c r="Z968" s="764">
        <v>4176.4349062729143</v>
      </c>
      <c r="AA968" s="764">
        <v>714.8852542268952</v>
      </c>
      <c r="AB968" s="764">
        <v>0.1407549196866151</v>
      </c>
      <c r="AC968" s="714">
        <v>0.82617698682369967</v>
      </c>
      <c r="AD968" s="714">
        <v>0.7843105192554185</v>
      </c>
      <c r="AE968" s="713" t="s">
        <v>58</v>
      </c>
      <c r="AF968" s="713" t="s">
        <v>58</v>
      </c>
      <c r="AG968" s="713" t="s">
        <v>58</v>
      </c>
      <c r="AH968" s="714">
        <v>0.94387031345969796</v>
      </c>
      <c r="AI968" s="713" t="s">
        <v>58</v>
      </c>
      <c r="AJ968" s="713" t="s">
        <v>58</v>
      </c>
      <c r="AK968" s="713" t="s">
        <v>58</v>
      </c>
      <c r="AL968" s="714">
        <v>0.94454345387965444</v>
      </c>
      <c r="AM968" s="713" t="s">
        <v>58</v>
      </c>
      <c r="AN968" s="713" t="s">
        <v>58</v>
      </c>
      <c r="AO968" s="713" t="s">
        <v>58</v>
      </c>
      <c r="AP968" s="747">
        <v>57</v>
      </c>
      <c r="AQ968" s="747">
        <v>285</v>
      </c>
      <c r="AR968" s="709"/>
      <c r="AS968" s="763">
        <v>0</v>
      </c>
      <c r="AT968" s="763">
        <v>0</v>
      </c>
      <c r="AU968" s="763">
        <v>0</v>
      </c>
      <c r="AV968" s="763">
        <v>0.1407549196866151</v>
      </c>
      <c r="AW968" s="763">
        <v>0.1407549196866151</v>
      </c>
      <c r="AX968" s="763">
        <v>0.1407549196866151</v>
      </c>
      <c r="AY968" s="763">
        <v>4.4448922006299504E-2</v>
      </c>
      <c r="AZ968" s="763">
        <v>4.4448922006299504E-2</v>
      </c>
      <c r="BA968" s="763">
        <v>4.4448922006299504E-2</v>
      </c>
      <c r="BB968" s="763">
        <v>4.4448922006299504E-2</v>
      </c>
      <c r="BC968" s="763">
        <v>4.4448922006299504E-2</v>
      </c>
      <c r="BD968" s="763">
        <v>4.4448922006299504E-2</v>
      </c>
      <c r="BE968" s="763">
        <v>4.4448922006299504E-2</v>
      </c>
      <c r="BF968" s="763">
        <v>4.4448922006299504E-2</v>
      </c>
      <c r="BG968" s="763">
        <v>4.4448922006299504E-2</v>
      </c>
      <c r="BH968" s="763">
        <v>0</v>
      </c>
      <c r="BI968" s="763">
        <v>0</v>
      </c>
      <c r="BJ968" s="763">
        <v>0</v>
      </c>
      <c r="BK968" s="763">
        <v>0</v>
      </c>
      <c r="BL968" s="763">
        <v>0</v>
      </c>
      <c r="BM968" s="763">
        <v>0</v>
      </c>
      <c r="BN968" s="763">
        <v>0</v>
      </c>
      <c r="BO968" s="763">
        <v>0</v>
      </c>
      <c r="BP968" s="763">
        <v>0</v>
      </c>
      <c r="BQ968" s="763">
        <v>0</v>
      </c>
      <c r="BR968" s="763">
        <v>0</v>
      </c>
      <c r="BS968" s="762">
        <v>0</v>
      </c>
      <c r="BT968" s="762">
        <v>0</v>
      </c>
      <c r="BU968" s="762">
        <v>0</v>
      </c>
      <c r="BV968" s="762">
        <v>714.8852542268952</v>
      </c>
      <c r="BW968" s="762">
        <v>714.8852542268952</v>
      </c>
      <c r="BX968" s="762">
        <v>714.8852542268952</v>
      </c>
      <c r="BY968" s="762">
        <v>225.75323817691427</v>
      </c>
      <c r="BZ968" s="762">
        <v>225.75323817691427</v>
      </c>
      <c r="CA968" s="762">
        <v>225.75323817691427</v>
      </c>
      <c r="CB968" s="762">
        <v>225.75323817691427</v>
      </c>
      <c r="CC968" s="762">
        <v>225.75323817691427</v>
      </c>
      <c r="CD968" s="762">
        <v>225.75323817691427</v>
      </c>
      <c r="CE968" s="762">
        <v>225.75323817691427</v>
      </c>
      <c r="CF968" s="762">
        <v>225.75323817691427</v>
      </c>
      <c r="CG968" s="762">
        <v>225.75323817691427</v>
      </c>
      <c r="CH968" s="762">
        <v>0</v>
      </c>
      <c r="CI968" s="762">
        <v>0</v>
      </c>
      <c r="CJ968" s="762">
        <v>0</v>
      </c>
      <c r="CK968" s="762">
        <v>0</v>
      </c>
      <c r="CL968" s="762">
        <v>0</v>
      </c>
      <c r="CM968" s="762">
        <v>0</v>
      </c>
      <c r="CN968" s="762">
        <v>0</v>
      </c>
      <c r="CO968" s="762">
        <v>0</v>
      </c>
      <c r="CP968" s="762">
        <v>0</v>
      </c>
      <c r="CQ968" s="762">
        <v>0</v>
      </c>
      <c r="CR968" s="762">
        <v>0</v>
      </c>
    </row>
    <row r="969" spans="1:96" s="53" customFormat="1">
      <c r="A969" s="721" t="s">
        <v>3</v>
      </c>
      <c r="B969" s="723">
        <v>41708</v>
      </c>
      <c r="C969" s="721">
        <v>2014</v>
      </c>
      <c r="D969" s="713" t="s">
        <v>1</v>
      </c>
      <c r="E969" s="713" t="s">
        <v>674</v>
      </c>
      <c r="F969" s="723" t="s">
        <v>685</v>
      </c>
      <c r="G969" s="713" t="s">
        <v>58</v>
      </c>
      <c r="H969" s="723" t="s">
        <v>684</v>
      </c>
      <c r="I969" s="713" t="s">
        <v>5</v>
      </c>
      <c r="J969" s="713" t="s">
        <v>376</v>
      </c>
      <c r="K969" s="766">
        <v>5</v>
      </c>
      <c r="L969" s="766" t="s">
        <v>671</v>
      </c>
      <c r="M969" s="765" t="s">
        <v>719</v>
      </c>
      <c r="N969" s="765">
        <v>11</v>
      </c>
      <c r="O969" s="765">
        <v>2</v>
      </c>
      <c r="P969" s="735">
        <v>0.43976996379393668</v>
      </c>
      <c r="Q969" s="713" t="s">
        <v>58</v>
      </c>
      <c r="R969" s="713" t="s">
        <v>58</v>
      </c>
      <c r="S969" s="713" t="s">
        <v>58</v>
      </c>
      <c r="T969" s="713" t="s">
        <v>58</v>
      </c>
      <c r="U969" s="764">
        <v>0.34</v>
      </c>
      <c r="V969" s="764">
        <v>1640.5</v>
      </c>
      <c r="W969" s="764">
        <v>0.26666557654684236</v>
      </c>
      <c r="X969" s="764">
        <v>1355.3433468842793</v>
      </c>
      <c r="Y969" s="764">
        <v>8075.0403450574304</v>
      </c>
      <c r="Z969" s="764">
        <v>7621.7908616890645</v>
      </c>
      <c r="AA969" s="764">
        <v>1279.2683496691809</v>
      </c>
      <c r="AB969" s="764">
        <v>0.25187722470236384</v>
      </c>
      <c r="AC969" s="714">
        <v>0.82617698682369967</v>
      </c>
      <c r="AD969" s="714">
        <v>0.7843105192554185</v>
      </c>
      <c r="AE969" s="713" t="s">
        <v>58</v>
      </c>
      <c r="AF969" s="713" t="s">
        <v>58</v>
      </c>
      <c r="AG969" s="713" t="s">
        <v>58</v>
      </c>
      <c r="AH969" s="714">
        <v>0.94387031345969796</v>
      </c>
      <c r="AI969" s="713" t="s">
        <v>58</v>
      </c>
      <c r="AJ969" s="713" t="s">
        <v>58</v>
      </c>
      <c r="AK969" s="713" t="s">
        <v>58</v>
      </c>
      <c r="AL969" s="714">
        <v>0.94454345387965444</v>
      </c>
      <c r="AM969" s="713" t="s">
        <v>58</v>
      </c>
      <c r="AN969" s="713" t="s">
        <v>58</v>
      </c>
      <c r="AO969" s="713" t="s">
        <v>58</v>
      </c>
      <c r="AP969" s="747">
        <v>48</v>
      </c>
      <c r="AQ969" s="747">
        <v>240</v>
      </c>
      <c r="AR969" s="709"/>
      <c r="AS969" s="763">
        <v>0</v>
      </c>
      <c r="AT969" s="763">
        <v>0</v>
      </c>
      <c r="AU969" s="763">
        <v>0</v>
      </c>
      <c r="AV969" s="763">
        <v>0.25187722470236384</v>
      </c>
      <c r="AW969" s="763">
        <v>0.25187722470236384</v>
      </c>
      <c r="AX969" s="763">
        <v>0.11076803798787579</v>
      </c>
      <c r="AY969" s="763">
        <v>0.11076803798787579</v>
      </c>
      <c r="AZ969" s="763">
        <v>0.11076803798787579</v>
      </c>
      <c r="BA969" s="763">
        <v>0.11076803798787579</v>
      </c>
      <c r="BB969" s="763">
        <v>0.11076803798787579</v>
      </c>
      <c r="BC969" s="763">
        <v>0.11076803798787579</v>
      </c>
      <c r="BD969" s="763">
        <v>0.11076803798787579</v>
      </c>
      <c r="BE969" s="763">
        <v>0.11076803798787579</v>
      </c>
      <c r="BF969" s="763">
        <v>0.11076803798787579</v>
      </c>
      <c r="BG969" s="763">
        <v>0</v>
      </c>
      <c r="BH969" s="763">
        <v>0</v>
      </c>
      <c r="BI969" s="763">
        <v>0</v>
      </c>
      <c r="BJ969" s="763">
        <v>0</v>
      </c>
      <c r="BK969" s="763">
        <v>0</v>
      </c>
      <c r="BL969" s="763">
        <v>0</v>
      </c>
      <c r="BM969" s="763">
        <v>0</v>
      </c>
      <c r="BN969" s="763">
        <v>0</v>
      </c>
      <c r="BO969" s="763">
        <v>0</v>
      </c>
      <c r="BP969" s="763">
        <v>0</v>
      </c>
      <c r="BQ969" s="763">
        <v>0</v>
      </c>
      <c r="BR969" s="763">
        <v>0</v>
      </c>
      <c r="BS969" s="762">
        <v>0</v>
      </c>
      <c r="BT969" s="762">
        <v>0</v>
      </c>
      <c r="BU969" s="762">
        <v>0</v>
      </c>
      <c r="BV969" s="762">
        <v>1279.2683496691809</v>
      </c>
      <c r="BW969" s="762">
        <v>1279.2683496691809</v>
      </c>
      <c r="BX969" s="762">
        <v>562.58379581674478</v>
      </c>
      <c r="BY969" s="762">
        <v>562.58379581674478</v>
      </c>
      <c r="BZ969" s="762">
        <v>562.58379581674478</v>
      </c>
      <c r="CA969" s="762">
        <v>562.58379581674478</v>
      </c>
      <c r="CB969" s="762">
        <v>562.58379581674478</v>
      </c>
      <c r="CC969" s="762">
        <v>562.58379581674478</v>
      </c>
      <c r="CD969" s="762">
        <v>562.58379581674478</v>
      </c>
      <c r="CE969" s="762">
        <v>562.58379581674478</v>
      </c>
      <c r="CF969" s="762">
        <v>562.58379581674478</v>
      </c>
      <c r="CG969" s="762">
        <v>0</v>
      </c>
      <c r="CH969" s="762">
        <v>0</v>
      </c>
      <c r="CI969" s="762">
        <v>0</v>
      </c>
      <c r="CJ969" s="762">
        <v>0</v>
      </c>
      <c r="CK969" s="762">
        <v>0</v>
      </c>
      <c r="CL969" s="762">
        <v>0</v>
      </c>
      <c r="CM969" s="762">
        <v>0</v>
      </c>
      <c r="CN969" s="762">
        <v>0</v>
      </c>
      <c r="CO969" s="762">
        <v>0</v>
      </c>
      <c r="CP969" s="762">
        <v>0</v>
      </c>
      <c r="CQ969" s="762">
        <v>0</v>
      </c>
      <c r="CR969" s="762">
        <v>0</v>
      </c>
    </row>
    <row r="970" spans="1:96" s="53" customFormat="1">
      <c r="A970" s="721" t="s">
        <v>3</v>
      </c>
      <c r="B970" s="723">
        <v>41800</v>
      </c>
      <c r="C970" s="721">
        <v>2014</v>
      </c>
      <c r="D970" s="713" t="s">
        <v>1</v>
      </c>
      <c r="E970" s="713" t="s">
        <v>674</v>
      </c>
      <c r="F970" s="723" t="s">
        <v>673</v>
      </c>
      <c r="G970" s="713" t="s">
        <v>58</v>
      </c>
      <c r="H970" s="723" t="s">
        <v>677</v>
      </c>
      <c r="I970" s="713" t="s">
        <v>5</v>
      </c>
      <c r="J970" s="713" t="s">
        <v>376</v>
      </c>
      <c r="K970" s="766">
        <v>1</v>
      </c>
      <c r="L970" s="766" t="s">
        <v>671</v>
      </c>
      <c r="M970" s="765" t="s">
        <v>718</v>
      </c>
      <c r="N970" s="765">
        <v>0</v>
      </c>
      <c r="O970" s="765">
        <v>0</v>
      </c>
      <c r="P970" s="735">
        <v>0</v>
      </c>
      <c r="Q970" s="713" t="s">
        <v>58</v>
      </c>
      <c r="R970" s="713" t="s">
        <v>58</v>
      </c>
      <c r="S970" s="713" t="s">
        <v>58</v>
      </c>
      <c r="T970" s="713" t="s">
        <v>58</v>
      </c>
      <c r="U970" s="764">
        <v>0</v>
      </c>
      <c r="V970" s="764">
        <v>0</v>
      </c>
      <c r="W970" s="764">
        <v>0</v>
      </c>
      <c r="X970" s="764">
        <v>0</v>
      </c>
      <c r="Y970" s="764">
        <v>0</v>
      </c>
      <c r="Z970" s="764">
        <v>0</v>
      </c>
      <c r="AA970" s="764">
        <v>0</v>
      </c>
      <c r="AB970" s="764">
        <v>0</v>
      </c>
      <c r="AC970" s="714">
        <v>0.82617698682369967</v>
      </c>
      <c r="AD970" s="714">
        <v>0.7843105192554185</v>
      </c>
      <c r="AE970" s="713" t="s">
        <v>58</v>
      </c>
      <c r="AF970" s="713" t="s">
        <v>58</v>
      </c>
      <c r="AG970" s="713" t="s">
        <v>58</v>
      </c>
      <c r="AH970" s="714">
        <v>0.94387031345969796</v>
      </c>
      <c r="AI970" s="713" t="s">
        <v>58</v>
      </c>
      <c r="AJ970" s="713" t="s">
        <v>58</v>
      </c>
      <c r="AK970" s="713" t="s">
        <v>58</v>
      </c>
      <c r="AL970" s="714">
        <v>0.94454345387965444</v>
      </c>
      <c r="AM970" s="713" t="s">
        <v>58</v>
      </c>
      <c r="AN970" s="713" t="s">
        <v>58</v>
      </c>
      <c r="AO970" s="713" t="s">
        <v>58</v>
      </c>
      <c r="AP970" s="747">
        <v>51</v>
      </c>
      <c r="AQ970" s="747">
        <v>51</v>
      </c>
      <c r="AR970" s="709"/>
      <c r="AS970" s="763">
        <v>0</v>
      </c>
      <c r="AT970" s="763">
        <v>0</v>
      </c>
      <c r="AU970" s="763">
        <v>0</v>
      </c>
      <c r="AV970" s="763">
        <v>0</v>
      </c>
      <c r="AW970" s="763">
        <v>0</v>
      </c>
      <c r="AX970" s="763">
        <v>0</v>
      </c>
      <c r="AY970" s="763">
        <v>0</v>
      </c>
      <c r="AZ970" s="763">
        <v>0</v>
      </c>
      <c r="BA970" s="763">
        <v>0</v>
      </c>
      <c r="BB970" s="763">
        <v>0</v>
      </c>
      <c r="BC970" s="763">
        <v>0</v>
      </c>
      <c r="BD970" s="763">
        <v>0</v>
      </c>
      <c r="BE970" s="763">
        <v>0</v>
      </c>
      <c r="BF970" s="763">
        <v>0</v>
      </c>
      <c r="BG970" s="763">
        <v>0</v>
      </c>
      <c r="BH970" s="763">
        <v>0</v>
      </c>
      <c r="BI970" s="763">
        <v>0</v>
      </c>
      <c r="BJ970" s="763">
        <v>0</v>
      </c>
      <c r="BK970" s="763">
        <v>0</v>
      </c>
      <c r="BL970" s="763">
        <v>0</v>
      </c>
      <c r="BM970" s="763">
        <v>0</v>
      </c>
      <c r="BN970" s="763">
        <v>0</v>
      </c>
      <c r="BO970" s="763">
        <v>0</v>
      </c>
      <c r="BP970" s="763">
        <v>0</v>
      </c>
      <c r="BQ970" s="763">
        <v>0</v>
      </c>
      <c r="BR970" s="763">
        <v>0</v>
      </c>
      <c r="BS970" s="762">
        <v>0</v>
      </c>
      <c r="BT970" s="762">
        <v>0</v>
      </c>
      <c r="BU970" s="762">
        <v>0</v>
      </c>
      <c r="BV970" s="762">
        <v>0</v>
      </c>
      <c r="BW970" s="762">
        <v>0</v>
      </c>
      <c r="BX970" s="762">
        <v>0</v>
      </c>
      <c r="BY970" s="762">
        <v>0</v>
      </c>
      <c r="BZ970" s="762">
        <v>0</v>
      </c>
      <c r="CA970" s="762">
        <v>0</v>
      </c>
      <c r="CB970" s="762">
        <v>0</v>
      </c>
      <c r="CC970" s="762">
        <v>0</v>
      </c>
      <c r="CD970" s="762">
        <v>0</v>
      </c>
      <c r="CE970" s="762">
        <v>0</v>
      </c>
      <c r="CF970" s="762">
        <v>0</v>
      </c>
      <c r="CG970" s="762">
        <v>0</v>
      </c>
      <c r="CH970" s="762">
        <v>0</v>
      </c>
      <c r="CI970" s="762">
        <v>0</v>
      </c>
      <c r="CJ970" s="762">
        <v>0</v>
      </c>
      <c r="CK970" s="762">
        <v>0</v>
      </c>
      <c r="CL970" s="762">
        <v>0</v>
      </c>
      <c r="CM970" s="762">
        <v>0</v>
      </c>
      <c r="CN970" s="762">
        <v>0</v>
      </c>
      <c r="CO970" s="762">
        <v>0</v>
      </c>
      <c r="CP970" s="762">
        <v>0</v>
      </c>
      <c r="CQ970" s="762">
        <v>0</v>
      </c>
      <c r="CR970" s="762">
        <v>0</v>
      </c>
    </row>
    <row r="971" spans="1:96" s="53" customFormat="1">
      <c r="A971" s="721" t="s">
        <v>3</v>
      </c>
      <c r="B971" s="723">
        <v>41800</v>
      </c>
      <c r="C971" s="721">
        <v>2014</v>
      </c>
      <c r="D971" s="713" t="s">
        <v>1</v>
      </c>
      <c r="E971" s="713" t="s">
        <v>674</v>
      </c>
      <c r="F971" s="723" t="s">
        <v>673</v>
      </c>
      <c r="G971" s="713" t="s">
        <v>58</v>
      </c>
      <c r="H971" s="723" t="s">
        <v>675</v>
      </c>
      <c r="I971" s="713" t="s">
        <v>5</v>
      </c>
      <c r="J971" s="713" t="s">
        <v>376</v>
      </c>
      <c r="K971" s="766">
        <v>19</v>
      </c>
      <c r="L971" s="766" t="s">
        <v>671</v>
      </c>
      <c r="M971" s="765" t="s">
        <v>718</v>
      </c>
      <c r="N971" s="765">
        <v>12</v>
      </c>
      <c r="O971" s="765">
        <v>3</v>
      </c>
      <c r="P971" s="735">
        <v>0.36842105263157893</v>
      </c>
      <c r="Q971" s="713" t="s">
        <v>58</v>
      </c>
      <c r="R971" s="713" t="s">
        <v>58</v>
      </c>
      <c r="S971" s="713" t="s">
        <v>58</v>
      </c>
      <c r="T971" s="713" t="s">
        <v>58</v>
      </c>
      <c r="U971" s="764">
        <v>1.083</v>
      </c>
      <c r="V971" s="764">
        <v>2809.3020000000001</v>
      </c>
      <c r="W971" s="764">
        <v>0.84940829235361825</v>
      </c>
      <c r="X971" s="764">
        <v>2320.9806614377931</v>
      </c>
      <c r="Y971" s="764">
        <v>14658.825230133429</v>
      </c>
      <c r="Z971" s="764">
        <v>13836.029964916968</v>
      </c>
      <c r="AA971" s="764">
        <v>2190.7047444451869</v>
      </c>
      <c r="AB971" s="764">
        <v>0.80230304221370585</v>
      </c>
      <c r="AC971" s="714">
        <v>0.82617698682369967</v>
      </c>
      <c r="AD971" s="714">
        <v>0.7843105192554185</v>
      </c>
      <c r="AE971" s="713" t="s">
        <v>58</v>
      </c>
      <c r="AF971" s="713" t="s">
        <v>58</v>
      </c>
      <c r="AG971" s="713" t="s">
        <v>58</v>
      </c>
      <c r="AH971" s="714">
        <v>0.94387031345969796</v>
      </c>
      <c r="AI971" s="713" t="s">
        <v>58</v>
      </c>
      <c r="AJ971" s="713" t="s">
        <v>58</v>
      </c>
      <c r="AK971" s="713" t="s">
        <v>58</v>
      </c>
      <c r="AL971" s="714">
        <v>0.94454345387965444</v>
      </c>
      <c r="AM971" s="713" t="s">
        <v>58</v>
      </c>
      <c r="AN971" s="713" t="s">
        <v>58</v>
      </c>
      <c r="AO971" s="713" t="s">
        <v>58</v>
      </c>
      <c r="AP971" s="747">
        <v>73</v>
      </c>
      <c r="AQ971" s="747">
        <v>1387</v>
      </c>
      <c r="AR971" s="709"/>
      <c r="AS971" s="763">
        <v>0</v>
      </c>
      <c r="AT971" s="763">
        <v>0</v>
      </c>
      <c r="AU971" s="763">
        <v>0</v>
      </c>
      <c r="AV971" s="763">
        <v>0.80230304221370585</v>
      </c>
      <c r="AW971" s="763">
        <v>0.80230304221370585</v>
      </c>
      <c r="AX971" s="763">
        <v>0.80230304221370585</v>
      </c>
      <c r="AY971" s="763">
        <v>0.29558533134189163</v>
      </c>
      <c r="AZ971" s="763">
        <v>0.29558533134189163</v>
      </c>
      <c r="BA971" s="763">
        <v>0.29558533134189163</v>
      </c>
      <c r="BB971" s="763">
        <v>0.29558533134189163</v>
      </c>
      <c r="BC971" s="763">
        <v>0.29558533134189163</v>
      </c>
      <c r="BD971" s="763">
        <v>0.29558533134189163</v>
      </c>
      <c r="BE971" s="763">
        <v>0.29558533134189163</v>
      </c>
      <c r="BF971" s="763">
        <v>0.29558533134189163</v>
      </c>
      <c r="BG971" s="763">
        <v>0.29558533134189163</v>
      </c>
      <c r="BH971" s="763">
        <v>0</v>
      </c>
      <c r="BI971" s="763">
        <v>0</v>
      </c>
      <c r="BJ971" s="763">
        <v>0</v>
      </c>
      <c r="BK971" s="763">
        <v>0</v>
      </c>
      <c r="BL971" s="763">
        <v>0</v>
      </c>
      <c r="BM971" s="763">
        <v>0</v>
      </c>
      <c r="BN971" s="763">
        <v>0</v>
      </c>
      <c r="BO971" s="763">
        <v>0</v>
      </c>
      <c r="BP971" s="763">
        <v>0</v>
      </c>
      <c r="BQ971" s="763">
        <v>0</v>
      </c>
      <c r="BR971" s="763">
        <v>0</v>
      </c>
      <c r="BS971" s="762">
        <v>0</v>
      </c>
      <c r="BT971" s="762">
        <v>0</v>
      </c>
      <c r="BU971" s="762">
        <v>0</v>
      </c>
      <c r="BV971" s="762">
        <v>2190.7047444451869</v>
      </c>
      <c r="BW971" s="762">
        <v>2190.7047444451869</v>
      </c>
      <c r="BX971" s="762">
        <v>2190.7047444451869</v>
      </c>
      <c r="BY971" s="762">
        <v>807.10174795348985</v>
      </c>
      <c r="BZ971" s="762">
        <v>807.10174795348985</v>
      </c>
      <c r="CA971" s="762">
        <v>807.10174795348985</v>
      </c>
      <c r="CB971" s="762">
        <v>807.10174795348985</v>
      </c>
      <c r="CC971" s="762">
        <v>807.10174795348985</v>
      </c>
      <c r="CD971" s="762">
        <v>807.10174795348985</v>
      </c>
      <c r="CE971" s="762">
        <v>807.10174795348985</v>
      </c>
      <c r="CF971" s="762">
        <v>807.10174795348985</v>
      </c>
      <c r="CG971" s="762">
        <v>807.10174795348985</v>
      </c>
      <c r="CH971" s="762">
        <v>0</v>
      </c>
      <c r="CI971" s="762">
        <v>0</v>
      </c>
      <c r="CJ971" s="762">
        <v>0</v>
      </c>
      <c r="CK971" s="762">
        <v>0</v>
      </c>
      <c r="CL971" s="762">
        <v>0</v>
      </c>
      <c r="CM971" s="762">
        <v>0</v>
      </c>
      <c r="CN971" s="762">
        <v>0</v>
      </c>
      <c r="CO971" s="762">
        <v>0</v>
      </c>
      <c r="CP971" s="762">
        <v>0</v>
      </c>
      <c r="CQ971" s="762">
        <v>0</v>
      </c>
      <c r="CR971" s="762">
        <v>0</v>
      </c>
    </row>
    <row r="972" spans="1:96" s="53" customFormat="1">
      <c r="A972" s="721" t="s">
        <v>3</v>
      </c>
      <c r="B972" s="723">
        <v>41800</v>
      </c>
      <c r="C972" s="721">
        <v>2014</v>
      </c>
      <c r="D972" s="713" t="s">
        <v>1</v>
      </c>
      <c r="E972" s="713" t="s">
        <v>674</v>
      </c>
      <c r="F972" s="723" t="s">
        <v>673</v>
      </c>
      <c r="G972" s="713" t="s">
        <v>58</v>
      </c>
      <c r="H972" s="723" t="s">
        <v>704</v>
      </c>
      <c r="I972" s="713" t="s">
        <v>5</v>
      </c>
      <c r="J972" s="713" t="s">
        <v>376</v>
      </c>
      <c r="K972" s="766">
        <v>1</v>
      </c>
      <c r="L972" s="766" t="s">
        <v>671</v>
      </c>
      <c r="M972" s="765" t="s">
        <v>718</v>
      </c>
      <c r="N972" s="765">
        <v>12</v>
      </c>
      <c r="O972" s="765">
        <v>3</v>
      </c>
      <c r="P972" s="735">
        <v>4.5454545454545456E-2</v>
      </c>
      <c r="Q972" s="713" t="s">
        <v>58</v>
      </c>
      <c r="R972" s="713" t="s">
        <v>58</v>
      </c>
      <c r="S972" s="713" t="s">
        <v>58</v>
      </c>
      <c r="T972" s="713" t="s">
        <v>58</v>
      </c>
      <c r="U972" s="764">
        <v>2.1999999999999999E-2</v>
      </c>
      <c r="V972" s="764">
        <v>57.067999999999998</v>
      </c>
      <c r="W972" s="764">
        <v>1.7254831423619207E-2</v>
      </c>
      <c r="X972" s="764">
        <v>47.148268284054886</v>
      </c>
      <c r="Y972" s="764">
        <v>160.73273278655074</v>
      </c>
      <c r="Z972" s="764">
        <v>151.71085487847552</v>
      </c>
      <c r="AA972" s="764">
        <v>44.501850764352824</v>
      </c>
      <c r="AB972" s="764">
        <v>1.6297938068976482E-2</v>
      </c>
      <c r="AC972" s="714">
        <v>0.82617698682369967</v>
      </c>
      <c r="AD972" s="714">
        <v>0.7843105192554185</v>
      </c>
      <c r="AE972" s="713" t="s">
        <v>58</v>
      </c>
      <c r="AF972" s="713" t="s">
        <v>58</v>
      </c>
      <c r="AG972" s="713" t="s">
        <v>58</v>
      </c>
      <c r="AH972" s="714">
        <v>0.94387031345969796</v>
      </c>
      <c r="AI972" s="713" t="s">
        <v>58</v>
      </c>
      <c r="AJ972" s="713" t="s">
        <v>58</v>
      </c>
      <c r="AK972" s="713" t="s">
        <v>58</v>
      </c>
      <c r="AL972" s="714">
        <v>0.94454345387965444</v>
      </c>
      <c r="AM972" s="713" t="s">
        <v>58</v>
      </c>
      <c r="AN972" s="713" t="s">
        <v>58</v>
      </c>
      <c r="AO972" s="713" t="s">
        <v>58</v>
      </c>
      <c r="AP972" s="747">
        <v>75</v>
      </c>
      <c r="AQ972" s="747">
        <v>75</v>
      </c>
      <c r="AR972" s="709"/>
      <c r="AS972" s="763">
        <v>0</v>
      </c>
      <c r="AT972" s="763">
        <v>0</v>
      </c>
      <c r="AU972" s="763">
        <v>0</v>
      </c>
      <c r="AV972" s="763">
        <v>1.6297938068976482E-2</v>
      </c>
      <c r="AW972" s="763">
        <v>1.6297938068976482E-2</v>
      </c>
      <c r="AX972" s="763">
        <v>1.6297938068976482E-2</v>
      </c>
      <c r="AY972" s="763">
        <v>7.4081536677165832E-4</v>
      </c>
      <c r="AZ972" s="763">
        <v>7.4081536677165832E-4</v>
      </c>
      <c r="BA972" s="763">
        <v>7.4081536677165832E-4</v>
      </c>
      <c r="BB972" s="763">
        <v>7.4081536677165832E-4</v>
      </c>
      <c r="BC972" s="763">
        <v>7.4081536677165832E-4</v>
      </c>
      <c r="BD972" s="763">
        <v>7.4081536677165832E-4</v>
      </c>
      <c r="BE972" s="763">
        <v>7.4081536677165832E-4</v>
      </c>
      <c r="BF972" s="763">
        <v>7.4081536677165832E-4</v>
      </c>
      <c r="BG972" s="763">
        <v>7.4081536677165832E-4</v>
      </c>
      <c r="BH972" s="763">
        <v>0</v>
      </c>
      <c r="BI972" s="763">
        <v>0</v>
      </c>
      <c r="BJ972" s="763">
        <v>0</v>
      </c>
      <c r="BK972" s="763">
        <v>0</v>
      </c>
      <c r="BL972" s="763">
        <v>0</v>
      </c>
      <c r="BM972" s="763">
        <v>0</v>
      </c>
      <c r="BN972" s="763">
        <v>0</v>
      </c>
      <c r="BO972" s="763">
        <v>0</v>
      </c>
      <c r="BP972" s="763">
        <v>0</v>
      </c>
      <c r="BQ972" s="763">
        <v>0</v>
      </c>
      <c r="BR972" s="763">
        <v>0</v>
      </c>
      <c r="BS972" s="762">
        <v>0</v>
      </c>
      <c r="BT972" s="762">
        <v>0</v>
      </c>
      <c r="BU972" s="762">
        <v>0</v>
      </c>
      <c r="BV972" s="762">
        <v>44.501850764352824</v>
      </c>
      <c r="BW972" s="762">
        <v>44.501850764352824</v>
      </c>
      <c r="BX972" s="762">
        <v>44.501850764352824</v>
      </c>
      <c r="BY972" s="762">
        <v>2.0228113983796741</v>
      </c>
      <c r="BZ972" s="762">
        <v>2.0228113983796741</v>
      </c>
      <c r="CA972" s="762">
        <v>2.0228113983796741</v>
      </c>
      <c r="CB972" s="762">
        <v>2.0228113983796741</v>
      </c>
      <c r="CC972" s="762">
        <v>2.0228113983796741</v>
      </c>
      <c r="CD972" s="762">
        <v>2.0228113983796741</v>
      </c>
      <c r="CE972" s="762">
        <v>2.0228113983796741</v>
      </c>
      <c r="CF972" s="762">
        <v>2.0228113983796741</v>
      </c>
      <c r="CG972" s="762">
        <v>2.0228113983796741</v>
      </c>
      <c r="CH972" s="762">
        <v>0</v>
      </c>
      <c r="CI972" s="762">
        <v>0</v>
      </c>
      <c r="CJ972" s="762">
        <v>0</v>
      </c>
      <c r="CK972" s="762">
        <v>0</v>
      </c>
      <c r="CL972" s="762">
        <v>0</v>
      </c>
      <c r="CM972" s="762">
        <v>0</v>
      </c>
      <c r="CN972" s="762">
        <v>0</v>
      </c>
      <c r="CO972" s="762">
        <v>0</v>
      </c>
      <c r="CP972" s="762">
        <v>0</v>
      </c>
      <c r="CQ972" s="762">
        <v>0</v>
      </c>
      <c r="CR972" s="762">
        <v>0</v>
      </c>
    </row>
    <row r="973" spans="1:96" s="53" customFormat="1">
      <c r="A973" s="721" t="s">
        <v>3</v>
      </c>
      <c r="B973" s="723">
        <v>41800</v>
      </c>
      <c r="C973" s="721">
        <v>2014</v>
      </c>
      <c r="D973" s="713" t="s">
        <v>1</v>
      </c>
      <c r="E973" s="713" t="s">
        <v>674</v>
      </c>
      <c r="F973" s="723" t="s">
        <v>673</v>
      </c>
      <c r="G973" s="713" t="s">
        <v>58</v>
      </c>
      <c r="H973" s="723" t="s">
        <v>677</v>
      </c>
      <c r="I973" s="713" t="s">
        <v>5</v>
      </c>
      <c r="J973" s="713" t="s">
        <v>376</v>
      </c>
      <c r="K973" s="766">
        <v>1</v>
      </c>
      <c r="L973" s="766" t="s">
        <v>671</v>
      </c>
      <c r="M973" s="765" t="s">
        <v>718</v>
      </c>
      <c r="N973" s="765">
        <v>0</v>
      </c>
      <c r="O973" s="765">
        <v>0</v>
      </c>
      <c r="P973" s="735">
        <v>0</v>
      </c>
      <c r="Q973" s="713" t="s">
        <v>58</v>
      </c>
      <c r="R973" s="713" t="s">
        <v>58</v>
      </c>
      <c r="S973" s="713" t="s">
        <v>58</v>
      </c>
      <c r="T973" s="713" t="s">
        <v>58</v>
      </c>
      <c r="U973" s="764">
        <v>0</v>
      </c>
      <c r="V973" s="764">
        <v>0</v>
      </c>
      <c r="W973" s="764">
        <v>0</v>
      </c>
      <c r="X973" s="764">
        <v>0</v>
      </c>
      <c r="Y973" s="764">
        <v>0</v>
      </c>
      <c r="Z973" s="764">
        <v>0</v>
      </c>
      <c r="AA973" s="764">
        <v>0</v>
      </c>
      <c r="AB973" s="764">
        <v>0</v>
      </c>
      <c r="AC973" s="714">
        <v>0.82617698682369967</v>
      </c>
      <c r="AD973" s="714">
        <v>0.7843105192554185</v>
      </c>
      <c r="AE973" s="713" t="s">
        <v>58</v>
      </c>
      <c r="AF973" s="713" t="s">
        <v>58</v>
      </c>
      <c r="AG973" s="713" t="s">
        <v>58</v>
      </c>
      <c r="AH973" s="714">
        <v>0.94387031345969796</v>
      </c>
      <c r="AI973" s="713" t="s">
        <v>58</v>
      </c>
      <c r="AJ973" s="713" t="s">
        <v>58</v>
      </c>
      <c r="AK973" s="713" t="s">
        <v>58</v>
      </c>
      <c r="AL973" s="714">
        <v>0.94454345387965444</v>
      </c>
      <c r="AM973" s="713" t="s">
        <v>58</v>
      </c>
      <c r="AN973" s="713" t="s">
        <v>58</v>
      </c>
      <c r="AO973" s="713" t="s">
        <v>58</v>
      </c>
      <c r="AP973" s="747">
        <v>51</v>
      </c>
      <c r="AQ973" s="747">
        <v>51</v>
      </c>
      <c r="AR973" s="709"/>
      <c r="AS973" s="763">
        <v>0</v>
      </c>
      <c r="AT973" s="763">
        <v>0</v>
      </c>
      <c r="AU973" s="763">
        <v>0</v>
      </c>
      <c r="AV973" s="763">
        <v>0</v>
      </c>
      <c r="AW973" s="763">
        <v>0</v>
      </c>
      <c r="AX973" s="763">
        <v>0</v>
      </c>
      <c r="AY973" s="763">
        <v>0</v>
      </c>
      <c r="AZ973" s="763">
        <v>0</v>
      </c>
      <c r="BA973" s="763">
        <v>0</v>
      </c>
      <c r="BB973" s="763">
        <v>0</v>
      </c>
      <c r="BC973" s="763">
        <v>0</v>
      </c>
      <c r="BD973" s="763">
        <v>0</v>
      </c>
      <c r="BE973" s="763">
        <v>0</v>
      </c>
      <c r="BF973" s="763">
        <v>0</v>
      </c>
      <c r="BG973" s="763">
        <v>0</v>
      </c>
      <c r="BH973" s="763">
        <v>0</v>
      </c>
      <c r="BI973" s="763">
        <v>0</v>
      </c>
      <c r="BJ973" s="763">
        <v>0</v>
      </c>
      <c r="BK973" s="763">
        <v>0</v>
      </c>
      <c r="BL973" s="763">
        <v>0</v>
      </c>
      <c r="BM973" s="763">
        <v>0</v>
      </c>
      <c r="BN973" s="763">
        <v>0</v>
      </c>
      <c r="BO973" s="763">
        <v>0</v>
      </c>
      <c r="BP973" s="763">
        <v>0</v>
      </c>
      <c r="BQ973" s="763">
        <v>0</v>
      </c>
      <c r="BR973" s="763">
        <v>0</v>
      </c>
      <c r="BS973" s="762">
        <v>0</v>
      </c>
      <c r="BT973" s="762">
        <v>0</v>
      </c>
      <c r="BU973" s="762">
        <v>0</v>
      </c>
      <c r="BV973" s="762">
        <v>0</v>
      </c>
      <c r="BW973" s="762">
        <v>0</v>
      </c>
      <c r="BX973" s="762">
        <v>0</v>
      </c>
      <c r="BY973" s="762">
        <v>0</v>
      </c>
      <c r="BZ973" s="762">
        <v>0</v>
      </c>
      <c r="CA973" s="762">
        <v>0</v>
      </c>
      <c r="CB973" s="762">
        <v>0</v>
      </c>
      <c r="CC973" s="762">
        <v>0</v>
      </c>
      <c r="CD973" s="762">
        <v>0</v>
      </c>
      <c r="CE973" s="762">
        <v>0</v>
      </c>
      <c r="CF973" s="762">
        <v>0</v>
      </c>
      <c r="CG973" s="762">
        <v>0</v>
      </c>
      <c r="CH973" s="762">
        <v>0</v>
      </c>
      <c r="CI973" s="762">
        <v>0</v>
      </c>
      <c r="CJ973" s="762">
        <v>0</v>
      </c>
      <c r="CK973" s="762">
        <v>0</v>
      </c>
      <c r="CL973" s="762">
        <v>0</v>
      </c>
      <c r="CM973" s="762">
        <v>0</v>
      </c>
      <c r="CN973" s="762">
        <v>0</v>
      </c>
      <c r="CO973" s="762">
        <v>0</v>
      </c>
      <c r="CP973" s="762">
        <v>0</v>
      </c>
      <c r="CQ973" s="762">
        <v>0</v>
      </c>
      <c r="CR973" s="762">
        <v>0</v>
      </c>
    </row>
    <row r="974" spans="1:96" s="53" customFormat="1">
      <c r="A974" s="721" t="s">
        <v>3</v>
      </c>
      <c r="B974" s="723">
        <v>41800</v>
      </c>
      <c r="C974" s="721">
        <v>2014</v>
      </c>
      <c r="D974" s="713" t="s">
        <v>1</v>
      </c>
      <c r="E974" s="713" t="s">
        <v>674</v>
      </c>
      <c r="F974" s="723" t="s">
        <v>673</v>
      </c>
      <c r="G974" s="713" t="s">
        <v>58</v>
      </c>
      <c r="H974" s="723" t="s">
        <v>686</v>
      </c>
      <c r="I974" s="713" t="s">
        <v>5</v>
      </c>
      <c r="J974" s="713" t="s">
        <v>376</v>
      </c>
      <c r="K974" s="766">
        <v>1</v>
      </c>
      <c r="L974" s="766" t="s">
        <v>671</v>
      </c>
      <c r="M974" s="765" t="s">
        <v>718</v>
      </c>
      <c r="N974" s="765">
        <v>12</v>
      </c>
      <c r="O974" s="765">
        <v>3</v>
      </c>
      <c r="P974" s="735">
        <v>1.6393442622950821E-2</v>
      </c>
      <c r="Q974" s="713" t="s">
        <v>58</v>
      </c>
      <c r="R974" s="713" t="s">
        <v>58</v>
      </c>
      <c r="S974" s="713" t="s">
        <v>58</v>
      </c>
      <c r="T974" s="713" t="s">
        <v>58</v>
      </c>
      <c r="U974" s="764">
        <v>6.0999999999999999E-2</v>
      </c>
      <c r="V974" s="764">
        <v>158.23400000000001</v>
      </c>
      <c r="W974" s="764">
        <v>4.7842941674580537E-2</v>
      </c>
      <c r="X974" s="764">
        <v>130.7292893330613</v>
      </c>
      <c r="Y974" s="764">
        <v>411.47579593357005</v>
      </c>
      <c r="Z974" s="764">
        <v>388.37978848889747</v>
      </c>
      <c r="AA974" s="764">
        <v>123.39149530116012</v>
      </c>
      <c r="AB974" s="764">
        <v>4.5189737373071158E-2</v>
      </c>
      <c r="AC974" s="714">
        <v>0.82617698682369967</v>
      </c>
      <c r="AD974" s="714">
        <v>0.7843105192554185</v>
      </c>
      <c r="AE974" s="713" t="s">
        <v>58</v>
      </c>
      <c r="AF974" s="713" t="s">
        <v>58</v>
      </c>
      <c r="AG974" s="713" t="s">
        <v>58</v>
      </c>
      <c r="AH974" s="714">
        <v>0.94387031345969796</v>
      </c>
      <c r="AI974" s="713" t="s">
        <v>58</v>
      </c>
      <c r="AJ974" s="713" t="s">
        <v>58</v>
      </c>
      <c r="AK974" s="713" t="s">
        <v>58</v>
      </c>
      <c r="AL974" s="714">
        <v>0.94454345387965444</v>
      </c>
      <c r="AM974" s="713" t="s">
        <v>58</v>
      </c>
      <c r="AN974" s="713" t="s">
        <v>58</v>
      </c>
      <c r="AO974" s="713" t="s">
        <v>58</v>
      </c>
      <c r="AP974" s="747">
        <v>119</v>
      </c>
      <c r="AQ974" s="747">
        <v>119</v>
      </c>
      <c r="AR974" s="709"/>
      <c r="AS974" s="763">
        <v>0</v>
      </c>
      <c r="AT974" s="763">
        <v>0</v>
      </c>
      <c r="AU974" s="763">
        <v>0</v>
      </c>
      <c r="AV974" s="763">
        <v>4.5189737373071158E-2</v>
      </c>
      <c r="AW974" s="763">
        <v>4.5189737373071158E-2</v>
      </c>
      <c r="AX974" s="763">
        <v>4.5189737373071158E-2</v>
      </c>
      <c r="AY974" s="763">
        <v>7.4081536677165832E-4</v>
      </c>
      <c r="AZ974" s="763">
        <v>7.4081536677165832E-4</v>
      </c>
      <c r="BA974" s="763">
        <v>7.4081536677165832E-4</v>
      </c>
      <c r="BB974" s="763">
        <v>7.4081536677165832E-4</v>
      </c>
      <c r="BC974" s="763">
        <v>7.4081536677165832E-4</v>
      </c>
      <c r="BD974" s="763">
        <v>7.4081536677165832E-4</v>
      </c>
      <c r="BE974" s="763">
        <v>7.4081536677165832E-4</v>
      </c>
      <c r="BF974" s="763">
        <v>7.4081536677165832E-4</v>
      </c>
      <c r="BG974" s="763">
        <v>7.4081536677165832E-4</v>
      </c>
      <c r="BH974" s="763">
        <v>0</v>
      </c>
      <c r="BI974" s="763">
        <v>0</v>
      </c>
      <c r="BJ974" s="763">
        <v>0</v>
      </c>
      <c r="BK974" s="763">
        <v>0</v>
      </c>
      <c r="BL974" s="763">
        <v>0</v>
      </c>
      <c r="BM974" s="763">
        <v>0</v>
      </c>
      <c r="BN974" s="763">
        <v>0</v>
      </c>
      <c r="BO974" s="763">
        <v>0</v>
      </c>
      <c r="BP974" s="763">
        <v>0</v>
      </c>
      <c r="BQ974" s="763">
        <v>0</v>
      </c>
      <c r="BR974" s="763">
        <v>0</v>
      </c>
      <c r="BS974" s="762">
        <v>0</v>
      </c>
      <c r="BT974" s="762">
        <v>0</v>
      </c>
      <c r="BU974" s="762">
        <v>0</v>
      </c>
      <c r="BV974" s="762">
        <v>123.39149530116012</v>
      </c>
      <c r="BW974" s="762">
        <v>123.39149530116012</v>
      </c>
      <c r="BX974" s="762">
        <v>123.39149530116012</v>
      </c>
      <c r="BY974" s="762">
        <v>2.0228113983796741</v>
      </c>
      <c r="BZ974" s="762">
        <v>2.0228113983796741</v>
      </c>
      <c r="CA974" s="762">
        <v>2.0228113983796741</v>
      </c>
      <c r="CB974" s="762">
        <v>2.0228113983796741</v>
      </c>
      <c r="CC974" s="762">
        <v>2.0228113983796741</v>
      </c>
      <c r="CD974" s="762">
        <v>2.0228113983796741</v>
      </c>
      <c r="CE974" s="762">
        <v>2.0228113983796741</v>
      </c>
      <c r="CF974" s="762">
        <v>2.0228113983796741</v>
      </c>
      <c r="CG974" s="762">
        <v>2.0228113983796741</v>
      </c>
      <c r="CH974" s="762">
        <v>0</v>
      </c>
      <c r="CI974" s="762">
        <v>0</v>
      </c>
      <c r="CJ974" s="762">
        <v>0</v>
      </c>
      <c r="CK974" s="762">
        <v>0</v>
      </c>
      <c r="CL974" s="762">
        <v>0</v>
      </c>
      <c r="CM974" s="762">
        <v>0</v>
      </c>
      <c r="CN974" s="762">
        <v>0</v>
      </c>
      <c r="CO974" s="762">
        <v>0</v>
      </c>
      <c r="CP974" s="762">
        <v>0</v>
      </c>
      <c r="CQ974" s="762">
        <v>0</v>
      </c>
      <c r="CR974" s="762">
        <v>0</v>
      </c>
    </row>
    <row r="975" spans="1:96" s="53" customFormat="1">
      <c r="A975" s="721" t="s">
        <v>3</v>
      </c>
      <c r="B975" s="723">
        <v>41800</v>
      </c>
      <c r="C975" s="721">
        <v>2014</v>
      </c>
      <c r="D975" s="713" t="s">
        <v>1</v>
      </c>
      <c r="E975" s="713" t="s">
        <v>674</v>
      </c>
      <c r="F975" s="723" t="s">
        <v>673</v>
      </c>
      <c r="G975" s="713" t="s">
        <v>58</v>
      </c>
      <c r="H975" s="723" t="s">
        <v>675</v>
      </c>
      <c r="I975" s="713" t="s">
        <v>5</v>
      </c>
      <c r="J975" s="713" t="s">
        <v>376</v>
      </c>
      <c r="K975" s="766">
        <v>4</v>
      </c>
      <c r="L975" s="766" t="s">
        <v>671</v>
      </c>
      <c r="M975" s="765" t="s">
        <v>718</v>
      </c>
      <c r="N975" s="765">
        <v>12</v>
      </c>
      <c r="O975" s="765">
        <v>3</v>
      </c>
      <c r="P975" s="735">
        <v>0.36842105263157893</v>
      </c>
      <c r="Q975" s="713" t="s">
        <v>58</v>
      </c>
      <c r="R975" s="713" t="s">
        <v>58</v>
      </c>
      <c r="S975" s="713" t="s">
        <v>58</v>
      </c>
      <c r="T975" s="713" t="s">
        <v>58</v>
      </c>
      <c r="U975" s="764">
        <v>0.22800000000000001</v>
      </c>
      <c r="V975" s="764">
        <v>591.43200000000002</v>
      </c>
      <c r="W975" s="764">
        <v>0.17882279839023546</v>
      </c>
      <c r="X975" s="764">
        <v>488.62750767111436</v>
      </c>
      <c r="Y975" s="764">
        <v>3086.0684695017744</v>
      </c>
      <c r="Z975" s="764">
        <v>2912.8484136667303</v>
      </c>
      <c r="AA975" s="764">
        <v>461.20099883056565</v>
      </c>
      <c r="AB975" s="764">
        <v>0.16890590362393812</v>
      </c>
      <c r="AC975" s="714">
        <v>0.82617698682369967</v>
      </c>
      <c r="AD975" s="714">
        <v>0.7843105192554185</v>
      </c>
      <c r="AE975" s="713" t="s">
        <v>58</v>
      </c>
      <c r="AF975" s="713" t="s">
        <v>58</v>
      </c>
      <c r="AG975" s="713" t="s">
        <v>58</v>
      </c>
      <c r="AH975" s="714">
        <v>0.94387031345969796</v>
      </c>
      <c r="AI975" s="713" t="s">
        <v>58</v>
      </c>
      <c r="AJ975" s="713" t="s">
        <v>58</v>
      </c>
      <c r="AK975" s="713" t="s">
        <v>58</v>
      </c>
      <c r="AL975" s="714">
        <v>0.94454345387965444</v>
      </c>
      <c r="AM975" s="713" t="s">
        <v>58</v>
      </c>
      <c r="AN975" s="713" t="s">
        <v>58</v>
      </c>
      <c r="AO975" s="713" t="s">
        <v>58</v>
      </c>
      <c r="AP975" s="747">
        <v>73</v>
      </c>
      <c r="AQ975" s="747">
        <v>292</v>
      </c>
      <c r="AR975" s="709"/>
      <c r="AS975" s="763">
        <v>0</v>
      </c>
      <c r="AT975" s="763">
        <v>0</v>
      </c>
      <c r="AU975" s="763">
        <v>0</v>
      </c>
      <c r="AV975" s="763">
        <v>0.16890590362393812</v>
      </c>
      <c r="AW975" s="763">
        <v>0.16890590362393812</v>
      </c>
      <c r="AX975" s="763">
        <v>0.16890590362393812</v>
      </c>
      <c r="AY975" s="763">
        <v>6.2228490808819301E-2</v>
      </c>
      <c r="AZ975" s="763">
        <v>6.2228490808819301E-2</v>
      </c>
      <c r="BA975" s="763">
        <v>6.2228490808819301E-2</v>
      </c>
      <c r="BB975" s="763">
        <v>6.2228490808819301E-2</v>
      </c>
      <c r="BC975" s="763">
        <v>6.2228490808819301E-2</v>
      </c>
      <c r="BD975" s="763">
        <v>6.2228490808819301E-2</v>
      </c>
      <c r="BE975" s="763">
        <v>6.2228490808819301E-2</v>
      </c>
      <c r="BF975" s="763">
        <v>6.2228490808819301E-2</v>
      </c>
      <c r="BG975" s="763">
        <v>6.2228490808819301E-2</v>
      </c>
      <c r="BH975" s="763">
        <v>0</v>
      </c>
      <c r="BI975" s="763">
        <v>0</v>
      </c>
      <c r="BJ975" s="763">
        <v>0</v>
      </c>
      <c r="BK975" s="763">
        <v>0</v>
      </c>
      <c r="BL975" s="763">
        <v>0</v>
      </c>
      <c r="BM975" s="763">
        <v>0</v>
      </c>
      <c r="BN975" s="763">
        <v>0</v>
      </c>
      <c r="BO975" s="763">
        <v>0</v>
      </c>
      <c r="BP975" s="763">
        <v>0</v>
      </c>
      <c r="BQ975" s="763">
        <v>0</v>
      </c>
      <c r="BR975" s="763">
        <v>0</v>
      </c>
      <c r="BS975" s="762">
        <v>0</v>
      </c>
      <c r="BT975" s="762">
        <v>0</v>
      </c>
      <c r="BU975" s="762">
        <v>0</v>
      </c>
      <c r="BV975" s="762">
        <v>461.20099883056565</v>
      </c>
      <c r="BW975" s="762">
        <v>461.20099883056565</v>
      </c>
      <c r="BX975" s="762">
        <v>461.20099883056565</v>
      </c>
      <c r="BY975" s="762">
        <v>169.9161574638926</v>
      </c>
      <c r="BZ975" s="762">
        <v>169.9161574638926</v>
      </c>
      <c r="CA975" s="762">
        <v>169.9161574638926</v>
      </c>
      <c r="CB975" s="762">
        <v>169.9161574638926</v>
      </c>
      <c r="CC975" s="762">
        <v>169.9161574638926</v>
      </c>
      <c r="CD975" s="762">
        <v>169.9161574638926</v>
      </c>
      <c r="CE975" s="762">
        <v>169.9161574638926</v>
      </c>
      <c r="CF975" s="762">
        <v>169.9161574638926</v>
      </c>
      <c r="CG975" s="762">
        <v>169.9161574638926</v>
      </c>
      <c r="CH975" s="762">
        <v>0</v>
      </c>
      <c r="CI975" s="762">
        <v>0</v>
      </c>
      <c r="CJ975" s="762">
        <v>0</v>
      </c>
      <c r="CK975" s="762">
        <v>0</v>
      </c>
      <c r="CL975" s="762">
        <v>0</v>
      </c>
      <c r="CM975" s="762">
        <v>0</v>
      </c>
      <c r="CN975" s="762">
        <v>0</v>
      </c>
      <c r="CO975" s="762">
        <v>0</v>
      </c>
      <c r="CP975" s="762">
        <v>0</v>
      </c>
      <c r="CQ975" s="762">
        <v>0</v>
      </c>
      <c r="CR975" s="762">
        <v>0</v>
      </c>
    </row>
    <row r="976" spans="1:96" s="53" customFormat="1">
      <c r="A976" s="721" t="s">
        <v>3</v>
      </c>
      <c r="B976" s="723">
        <v>41800</v>
      </c>
      <c r="C976" s="721">
        <v>2014</v>
      </c>
      <c r="D976" s="713" t="s">
        <v>1</v>
      </c>
      <c r="E976" s="713" t="s">
        <v>674</v>
      </c>
      <c r="F976" s="723" t="s">
        <v>673</v>
      </c>
      <c r="G976" s="713" t="s">
        <v>58</v>
      </c>
      <c r="H976" s="723" t="s">
        <v>684</v>
      </c>
      <c r="I976" s="713" t="s">
        <v>5</v>
      </c>
      <c r="J976" s="713" t="s">
        <v>376</v>
      </c>
      <c r="K976" s="766">
        <v>1</v>
      </c>
      <c r="L976" s="766" t="s">
        <v>671</v>
      </c>
      <c r="M976" s="765" t="s">
        <v>718</v>
      </c>
      <c r="N976" s="765">
        <v>11</v>
      </c>
      <c r="O976" s="765">
        <v>2</v>
      </c>
      <c r="P976" s="735">
        <v>0.43976996379393668</v>
      </c>
      <c r="Q976" s="713" t="s">
        <v>58</v>
      </c>
      <c r="R976" s="713" t="s">
        <v>58</v>
      </c>
      <c r="S976" s="713" t="s">
        <v>58</v>
      </c>
      <c r="T976" s="713" t="s">
        <v>58</v>
      </c>
      <c r="U976" s="764">
        <v>6.8000000000000005E-2</v>
      </c>
      <c r="V976" s="764">
        <v>209.57599999999999</v>
      </c>
      <c r="W976" s="764">
        <v>5.3333115309368469E-2</v>
      </c>
      <c r="X976" s="764">
        <v>173.14686819056365</v>
      </c>
      <c r="Y976" s="764">
        <v>1031.5968639779067</v>
      </c>
      <c r="Z976" s="764">
        <v>973.69365536686814</v>
      </c>
      <c r="AA976" s="764">
        <v>163.42818875359231</v>
      </c>
      <c r="AB976" s="764">
        <v>5.0375444940472767E-2</v>
      </c>
      <c r="AC976" s="714">
        <v>0.82617698682369967</v>
      </c>
      <c r="AD976" s="714">
        <v>0.7843105192554185</v>
      </c>
      <c r="AE976" s="713" t="s">
        <v>58</v>
      </c>
      <c r="AF976" s="713" t="s">
        <v>58</v>
      </c>
      <c r="AG976" s="713" t="s">
        <v>58</v>
      </c>
      <c r="AH976" s="714">
        <v>0.94387031345969796</v>
      </c>
      <c r="AI976" s="713" t="s">
        <v>58</v>
      </c>
      <c r="AJ976" s="713" t="s">
        <v>58</v>
      </c>
      <c r="AK976" s="713" t="s">
        <v>58</v>
      </c>
      <c r="AL976" s="714">
        <v>0.94454345387965444</v>
      </c>
      <c r="AM976" s="713" t="s">
        <v>58</v>
      </c>
      <c r="AN976" s="713" t="s">
        <v>58</v>
      </c>
      <c r="AO976" s="713" t="s">
        <v>58</v>
      </c>
      <c r="AP976" s="747">
        <v>48</v>
      </c>
      <c r="AQ976" s="747">
        <v>48</v>
      </c>
      <c r="AR976" s="709"/>
      <c r="AS976" s="763">
        <v>0</v>
      </c>
      <c r="AT976" s="763">
        <v>0</v>
      </c>
      <c r="AU976" s="763">
        <v>0</v>
      </c>
      <c r="AV976" s="763">
        <v>5.0375444940472767E-2</v>
      </c>
      <c r="AW976" s="763">
        <v>5.0375444940472767E-2</v>
      </c>
      <c r="AX976" s="763">
        <v>2.2153607597575158E-2</v>
      </c>
      <c r="AY976" s="763">
        <v>2.2153607597575158E-2</v>
      </c>
      <c r="AZ976" s="763">
        <v>2.2153607597575158E-2</v>
      </c>
      <c r="BA976" s="763">
        <v>2.2153607597575158E-2</v>
      </c>
      <c r="BB976" s="763">
        <v>2.2153607597575158E-2</v>
      </c>
      <c r="BC976" s="763">
        <v>2.2153607597575158E-2</v>
      </c>
      <c r="BD976" s="763">
        <v>2.2153607597575158E-2</v>
      </c>
      <c r="BE976" s="763">
        <v>2.2153607597575158E-2</v>
      </c>
      <c r="BF976" s="763">
        <v>2.2153607597575158E-2</v>
      </c>
      <c r="BG976" s="763">
        <v>0</v>
      </c>
      <c r="BH976" s="763">
        <v>0</v>
      </c>
      <c r="BI976" s="763">
        <v>0</v>
      </c>
      <c r="BJ976" s="763">
        <v>0</v>
      </c>
      <c r="BK976" s="763">
        <v>0</v>
      </c>
      <c r="BL976" s="763">
        <v>0</v>
      </c>
      <c r="BM976" s="763">
        <v>0</v>
      </c>
      <c r="BN976" s="763">
        <v>0</v>
      </c>
      <c r="BO976" s="763">
        <v>0</v>
      </c>
      <c r="BP976" s="763">
        <v>0</v>
      </c>
      <c r="BQ976" s="763">
        <v>0</v>
      </c>
      <c r="BR976" s="763">
        <v>0</v>
      </c>
      <c r="BS976" s="762">
        <v>0</v>
      </c>
      <c r="BT976" s="762">
        <v>0</v>
      </c>
      <c r="BU976" s="762">
        <v>0</v>
      </c>
      <c r="BV976" s="762">
        <v>163.42818875359231</v>
      </c>
      <c r="BW976" s="762">
        <v>163.42818875359231</v>
      </c>
      <c r="BX976" s="762">
        <v>71.870808651075933</v>
      </c>
      <c r="BY976" s="762">
        <v>71.870808651075933</v>
      </c>
      <c r="BZ976" s="762">
        <v>71.870808651075933</v>
      </c>
      <c r="CA976" s="762">
        <v>71.870808651075933</v>
      </c>
      <c r="CB976" s="762">
        <v>71.870808651075933</v>
      </c>
      <c r="CC976" s="762">
        <v>71.870808651075933</v>
      </c>
      <c r="CD976" s="762">
        <v>71.870808651075933</v>
      </c>
      <c r="CE976" s="762">
        <v>71.870808651075933</v>
      </c>
      <c r="CF976" s="762">
        <v>71.870808651075933</v>
      </c>
      <c r="CG976" s="762">
        <v>0</v>
      </c>
      <c r="CH976" s="762">
        <v>0</v>
      </c>
      <c r="CI976" s="762">
        <v>0</v>
      </c>
      <c r="CJ976" s="762">
        <v>0</v>
      </c>
      <c r="CK976" s="762">
        <v>0</v>
      </c>
      <c r="CL976" s="762">
        <v>0</v>
      </c>
      <c r="CM976" s="762">
        <v>0</v>
      </c>
      <c r="CN976" s="762">
        <v>0</v>
      </c>
      <c r="CO976" s="762">
        <v>0</v>
      </c>
      <c r="CP976" s="762">
        <v>0</v>
      </c>
      <c r="CQ976" s="762">
        <v>0</v>
      </c>
      <c r="CR976" s="762">
        <v>0</v>
      </c>
    </row>
    <row r="977" spans="1:96" s="53" customFormat="1">
      <c r="A977" s="721" t="s">
        <v>3</v>
      </c>
      <c r="B977" s="723">
        <v>41926</v>
      </c>
      <c r="C977" s="721">
        <v>2014</v>
      </c>
      <c r="D977" s="713" t="s">
        <v>1</v>
      </c>
      <c r="E977" s="713" t="s">
        <v>674</v>
      </c>
      <c r="F977" s="723" t="s">
        <v>689</v>
      </c>
      <c r="G977" s="713" t="s">
        <v>58</v>
      </c>
      <c r="H977" s="723" t="s">
        <v>697</v>
      </c>
      <c r="I977" s="713" t="s">
        <v>5</v>
      </c>
      <c r="J977" s="713" t="s">
        <v>376</v>
      </c>
      <c r="K977" s="766">
        <v>1</v>
      </c>
      <c r="L977" s="766" t="s">
        <v>671</v>
      </c>
      <c r="M977" s="765" t="s">
        <v>717</v>
      </c>
      <c r="N977" s="765">
        <v>0</v>
      </c>
      <c r="O977" s="765">
        <v>0</v>
      </c>
      <c r="P977" s="735">
        <v>0</v>
      </c>
      <c r="Q977" s="713" t="s">
        <v>58</v>
      </c>
      <c r="R977" s="713" t="s">
        <v>58</v>
      </c>
      <c r="S977" s="713" t="s">
        <v>58</v>
      </c>
      <c r="T977" s="713" t="s">
        <v>58</v>
      </c>
      <c r="U977" s="764">
        <v>0</v>
      </c>
      <c r="V977" s="764">
        <v>0</v>
      </c>
      <c r="W977" s="764">
        <v>0</v>
      </c>
      <c r="X977" s="764">
        <v>0</v>
      </c>
      <c r="Y977" s="764">
        <v>0</v>
      </c>
      <c r="Z977" s="764">
        <v>0</v>
      </c>
      <c r="AA977" s="764">
        <v>0</v>
      </c>
      <c r="AB977" s="764">
        <v>0</v>
      </c>
      <c r="AC977" s="714">
        <v>0.82617698682369967</v>
      </c>
      <c r="AD977" s="714">
        <v>0.7843105192554185</v>
      </c>
      <c r="AE977" s="713" t="s">
        <v>58</v>
      </c>
      <c r="AF977" s="713" t="s">
        <v>58</v>
      </c>
      <c r="AG977" s="713" t="s">
        <v>58</v>
      </c>
      <c r="AH977" s="714">
        <v>0.94387031345969796</v>
      </c>
      <c r="AI977" s="713" t="s">
        <v>58</v>
      </c>
      <c r="AJ977" s="713" t="s">
        <v>58</v>
      </c>
      <c r="AK977" s="713" t="s">
        <v>58</v>
      </c>
      <c r="AL977" s="714">
        <v>0.94454345387965444</v>
      </c>
      <c r="AM977" s="713" t="s">
        <v>58</v>
      </c>
      <c r="AN977" s="713" t="s">
        <v>58</v>
      </c>
      <c r="AO977" s="713" t="s">
        <v>58</v>
      </c>
      <c r="AP977" s="747">
        <v>26</v>
      </c>
      <c r="AQ977" s="747">
        <v>26</v>
      </c>
      <c r="AR977" s="709"/>
      <c r="AS977" s="763">
        <v>0</v>
      </c>
      <c r="AT977" s="763">
        <v>0</v>
      </c>
      <c r="AU977" s="763">
        <v>0</v>
      </c>
      <c r="AV977" s="763">
        <v>0</v>
      </c>
      <c r="AW977" s="763">
        <v>0</v>
      </c>
      <c r="AX977" s="763">
        <v>0</v>
      </c>
      <c r="AY977" s="763">
        <v>0</v>
      </c>
      <c r="AZ977" s="763">
        <v>0</v>
      </c>
      <c r="BA977" s="763">
        <v>0</v>
      </c>
      <c r="BB977" s="763">
        <v>0</v>
      </c>
      <c r="BC977" s="763">
        <v>0</v>
      </c>
      <c r="BD977" s="763">
        <v>0</v>
      </c>
      <c r="BE977" s="763">
        <v>0</v>
      </c>
      <c r="BF977" s="763">
        <v>0</v>
      </c>
      <c r="BG977" s="763">
        <v>0</v>
      </c>
      <c r="BH977" s="763">
        <v>0</v>
      </c>
      <c r="BI977" s="763">
        <v>0</v>
      </c>
      <c r="BJ977" s="763">
        <v>0</v>
      </c>
      <c r="BK977" s="763">
        <v>0</v>
      </c>
      <c r="BL977" s="763">
        <v>0</v>
      </c>
      <c r="BM977" s="763">
        <v>0</v>
      </c>
      <c r="BN977" s="763">
        <v>0</v>
      </c>
      <c r="BO977" s="763">
        <v>0</v>
      </c>
      <c r="BP977" s="763">
        <v>0</v>
      </c>
      <c r="BQ977" s="763">
        <v>0</v>
      </c>
      <c r="BR977" s="763">
        <v>0</v>
      </c>
      <c r="BS977" s="762">
        <v>0</v>
      </c>
      <c r="BT977" s="762">
        <v>0</v>
      </c>
      <c r="BU977" s="762">
        <v>0</v>
      </c>
      <c r="BV977" s="762">
        <v>0</v>
      </c>
      <c r="BW977" s="762">
        <v>0</v>
      </c>
      <c r="BX977" s="762">
        <v>0</v>
      </c>
      <c r="BY977" s="762">
        <v>0</v>
      </c>
      <c r="BZ977" s="762">
        <v>0</v>
      </c>
      <c r="CA977" s="762">
        <v>0</v>
      </c>
      <c r="CB977" s="762">
        <v>0</v>
      </c>
      <c r="CC977" s="762">
        <v>0</v>
      </c>
      <c r="CD977" s="762">
        <v>0</v>
      </c>
      <c r="CE977" s="762">
        <v>0</v>
      </c>
      <c r="CF977" s="762">
        <v>0</v>
      </c>
      <c r="CG977" s="762">
        <v>0</v>
      </c>
      <c r="CH977" s="762">
        <v>0</v>
      </c>
      <c r="CI977" s="762">
        <v>0</v>
      </c>
      <c r="CJ977" s="762">
        <v>0</v>
      </c>
      <c r="CK977" s="762">
        <v>0</v>
      </c>
      <c r="CL977" s="762">
        <v>0</v>
      </c>
      <c r="CM977" s="762">
        <v>0</v>
      </c>
      <c r="CN977" s="762">
        <v>0</v>
      </c>
      <c r="CO977" s="762">
        <v>0</v>
      </c>
      <c r="CP977" s="762">
        <v>0</v>
      </c>
      <c r="CQ977" s="762">
        <v>0</v>
      </c>
      <c r="CR977" s="762">
        <v>0</v>
      </c>
    </row>
    <row r="978" spans="1:96" s="53" customFormat="1">
      <c r="A978" s="721" t="s">
        <v>3</v>
      </c>
      <c r="B978" s="723">
        <v>41926</v>
      </c>
      <c r="C978" s="721">
        <v>2014</v>
      </c>
      <c r="D978" s="713" t="s">
        <v>1</v>
      </c>
      <c r="E978" s="713" t="s">
        <v>674</v>
      </c>
      <c r="F978" s="723" t="s">
        <v>689</v>
      </c>
      <c r="G978" s="713" t="s">
        <v>58</v>
      </c>
      <c r="H978" s="723" t="s">
        <v>684</v>
      </c>
      <c r="I978" s="713" t="s">
        <v>5</v>
      </c>
      <c r="J978" s="713" t="s">
        <v>376</v>
      </c>
      <c r="K978" s="766">
        <v>7</v>
      </c>
      <c r="L978" s="766" t="s">
        <v>671</v>
      </c>
      <c r="M978" s="765" t="s">
        <v>717</v>
      </c>
      <c r="N978" s="765">
        <v>11</v>
      </c>
      <c r="O978" s="765">
        <v>2</v>
      </c>
      <c r="P978" s="735">
        <v>0.43976996379393668</v>
      </c>
      <c r="Q978" s="713" t="s">
        <v>58</v>
      </c>
      <c r="R978" s="713" t="s">
        <v>58</v>
      </c>
      <c r="S978" s="713" t="s">
        <v>58</v>
      </c>
      <c r="T978" s="713" t="s">
        <v>58</v>
      </c>
      <c r="U978" s="764">
        <v>0.47599999999999998</v>
      </c>
      <c r="V978" s="764">
        <v>1771.1959999999999</v>
      </c>
      <c r="W978" s="764">
        <v>0.37333180716557923</v>
      </c>
      <c r="X978" s="764">
        <v>1463.3213743541894</v>
      </c>
      <c r="Y978" s="764">
        <v>8718.3658390760993</v>
      </c>
      <c r="Z978" s="764">
        <v>8229.0066973850808</v>
      </c>
      <c r="AA978" s="764">
        <v>1381.1856043039647</v>
      </c>
      <c r="AB978" s="764">
        <v>0.35262811458330934</v>
      </c>
      <c r="AC978" s="714">
        <v>0.82617698682369967</v>
      </c>
      <c r="AD978" s="714">
        <v>0.7843105192554185</v>
      </c>
      <c r="AE978" s="713" t="s">
        <v>58</v>
      </c>
      <c r="AF978" s="713" t="s">
        <v>58</v>
      </c>
      <c r="AG978" s="713" t="s">
        <v>58</v>
      </c>
      <c r="AH978" s="714">
        <v>0.94387031345969796</v>
      </c>
      <c r="AI978" s="713" t="s">
        <v>58</v>
      </c>
      <c r="AJ978" s="713" t="s">
        <v>58</v>
      </c>
      <c r="AK978" s="713" t="s">
        <v>58</v>
      </c>
      <c r="AL978" s="714">
        <v>0.94454345387965444</v>
      </c>
      <c r="AM978" s="713" t="s">
        <v>58</v>
      </c>
      <c r="AN978" s="713" t="s">
        <v>58</v>
      </c>
      <c r="AO978" s="713" t="s">
        <v>58</v>
      </c>
      <c r="AP978" s="747">
        <v>48</v>
      </c>
      <c r="AQ978" s="747">
        <v>336</v>
      </c>
      <c r="AR978" s="709"/>
      <c r="AS978" s="763">
        <v>0</v>
      </c>
      <c r="AT978" s="763">
        <v>0</v>
      </c>
      <c r="AU978" s="763">
        <v>0</v>
      </c>
      <c r="AV978" s="763">
        <v>0.35262811458330934</v>
      </c>
      <c r="AW978" s="763">
        <v>0.35262811458330934</v>
      </c>
      <c r="AX978" s="763">
        <v>0.15507525318302609</v>
      </c>
      <c r="AY978" s="763">
        <v>0.15507525318302609</v>
      </c>
      <c r="AZ978" s="763">
        <v>0.15507525318302609</v>
      </c>
      <c r="BA978" s="763">
        <v>0.15507525318302609</v>
      </c>
      <c r="BB978" s="763">
        <v>0.15507525318302609</v>
      </c>
      <c r="BC978" s="763">
        <v>0.15507525318302609</v>
      </c>
      <c r="BD978" s="763">
        <v>0.15507525318302609</v>
      </c>
      <c r="BE978" s="763">
        <v>0.15507525318302609</v>
      </c>
      <c r="BF978" s="763">
        <v>0.15507525318302609</v>
      </c>
      <c r="BG978" s="763">
        <v>0</v>
      </c>
      <c r="BH978" s="763">
        <v>0</v>
      </c>
      <c r="BI978" s="763">
        <v>0</v>
      </c>
      <c r="BJ978" s="763">
        <v>0</v>
      </c>
      <c r="BK978" s="763">
        <v>0</v>
      </c>
      <c r="BL978" s="763">
        <v>0</v>
      </c>
      <c r="BM978" s="763">
        <v>0</v>
      </c>
      <c r="BN978" s="763">
        <v>0</v>
      </c>
      <c r="BO978" s="763">
        <v>0</v>
      </c>
      <c r="BP978" s="763">
        <v>0</v>
      </c>
      <c r="BQ978" s="763">
        <v>0</v>
      </c>
      <c r="BR978" s="763">
        <v>0</v>
      </c>
      <c r="BS978" s="762">
        <v>0</v>
      </c>
      <c r="BT978" s="762">
        <v>0</v>
      </c>
      <c r="BU978" s="762">
        <v>0</v>
      </c>
      <c r="BV978" s="762">
        <v>1381.1856043039647</v>
      </c>
      <c r="BW978" s="762">
        <v>1381.1856043039647</v>
      </c>
      <c r="BX978" s="762">
        <v>607.4039431974611</v>
      </c>
      <c r="BY978" s="762">
        <v>607.4039431974611</v>
      </c>
      <c r="BZ978" s="762">
        <v>607.4039431974611</v>
      </c>
      <c r="CA978" s="762">
        <v>607.4039431974611</v>
      </c>
      <c r="CB978" s="762">
        <v>607.4039431974611</v>
      </c>
      <c r="CC978" s="762">
        <v>607.4039431974611</v>
      </c>
      <c r="CD978" s="762">
        <v>607.4039431974611</v>
      </c>
      <c r="CE978" s="762">
        <v>607.4039431974611</v>
      </c>
      <c r="CF978" s="762">
        <v>607.4039431974611</v>
      </c>
      <c r="CG978" s="762">
        <v>0</v>
      </c>
      <c r="CH978" s="762">
        <v>0</v>
      </c>
      <c r="CI978" s="762">
        <v>0</v>
      </c>
      <c r="CJ978" s="762">
        <v>0</v>
      </c>
      <c r="CK978" s="762">
        <v>0</v>
      </c>
      <c r="CL978" s="762">
        <v>0</v>
      </c>
      <c r="CM978" s="762">
        <v>0</v>
      </c>
      <c r="CN978" s="762">
        <v>0</v>
      </c>
      <c r="CO978" s="762">
        <v>0</v>
      </c>
      <c r="CP978" s="762">
        <v>0</v>
      </c>
      <c r="CQ978" s="762">
        <v>0</v>
      </c>
      <c r="CR978" s="762">
        <v>0</v>
      </c>
    </row>
    <row r="979" spans="1:96" s="53" customFormat="1">
      <c r="A979" s="721" t="s">
        <v>3</v>
      </c>
      <c r="B979" s="723">
        <v>41891</v>
      </c>
      <c r="C979" s="721">
        <v>2014</v>
      </c>
      <c r="D979" s="713" t="s">
        <v>1</v>
      </c>
      <c r="E979" s="713" t="s">
        <v>674</v>
      </c>
      <c r="F979" s="723" t="s">
        <v>689</v>
      </c>
      <c r="G979" s="713" t="s">
        <v>58</v>
      </c>
      <c r="H979" s="723" t="s">
        <v>716</v>
      </c>
      <c r="I979" s="713" t="s">
        <v>5</v>
      </c>
      <c r="J979" s="713" t="s">
        <v>376</v>
      </c>
      <c r="K979" s="766">
        <v>2</v>
      </c>
      <c r="L979" s="766" t="s">
        <v>671</v>
      </c>
      <c r="M979" s="765" t="s">
        <v>709</v>
      </c>
      <c r="N979" s="765">
        <v>12</v>
      </c>
      <c r="O979" s="765">
        <v>3</v>
      </c>
      <c r="P979" s="735">
        <v>0.23529411764705882</v>
      </c>
      <c r="Q979" s="713" t="s">
        <v>58</v>
      </c>
      <c r="R979" s="713" t="s">
        <v>58</v>
      </c>
      <c r="S979" s="713" t="s">
        <v>58</v>
      </c>
      <c r="T979" s="713" t="s">
        <v>58</v>
      </c>
      <c r="U979" s="764">
        <v>6.2E-2</v>
      </c>
      <c r="V979" s="764">
        <v>201.68600000000001</v>
      </c>
      <c r="W979" s="764">
        <v>4.8627252193835957E-2</v>
      </c>
      <c r="X979" s="764">
        <v>166.62833176452469</v>
      </c>
      <c r="Y979" s="764">
        <v>852.74499197139107</v>
      </c>
      <c r="Z979" s="764">
        <v>804.88068287322449</v>
      </c>
      <c r="AA979" s="764">
        <v>157.27553573384847</v>
      </c>
      <c r="AB979" s="764">
        <v>4.5930552739842818E-2</v>
      </c>
      <c r="AC979" s="714">
        <v>0.82617698682369967</v>
      </c>
      <c r="AD979" s="714">
        <v>0.7843105192554185</v>
      </c>
      <c r="AE979" s="713" t="s">
        <v>58</v>
      </c>
      <c r="AF979" s="713" t="s">
        <v>58</v>
      </c>
      <c r="AG979" s="713" t="s">
        <v>58</v>
      </c>
      <c r="AH979" s="714">
        <v>0.94387031345969796</v>
      </c>
      <c r="AI979" s="713" t="s">
        <v>58</v>
      </c>
      <c r="AJ979" s="713" t="s">
        <v>58</v>
      </c>
      <c r="AK979" s="713" t="s">
        <v>58</v>
      </c>
      <c r="AL979" s="714">
        <v>0.94454345387965444</v>
      </c>
      <c r="AM979" s="713" t="s">
        <v>58</v>
      </c>
      <c r="AN979" s="713" t="s">
        <v>58</v>
      </c>
      <c r="AO979" s="713" t="s">
        <v>58</v>
      </c>
      <c r="AP979" s="747">
        <v>57</v>
      </c>
      <c r="AQ979" s="747">
        <v>114</v>
      </c>
      <c r="AR979" s="709"/>
      <c r="AS979" s="763">
        <v>0</v>
      </c>
      <c r="AT979" s="763">
        <v>0</v>
      </c>
      <c r="AU979" s="763">
        <v>0</v>
      </c>
      <c r="AV979" s="763">
        <v>4.5930552739842818E-2</v>
      </c>
      <c r="AW979" s="763">
        <v>4.5930552739842818E-2</v>
      </c>
      <c r="AX979" s="763">
        <v>4.5930552739842818E-2</v>
      </c>
      <c r="AY979" s="763">
        <v>1.0807188879963016E-2</v>
      </c>
      <c r="AZ979" s="763">
        <v>1.0807188879963016E-2</v>
      </c>
      <c r="BA979" s="763">
        <v>1.0807188879963016E-2</v>
      </c>
      <c r="BB979" s="763">
        <v>1.0807188879963016E-2</v>
      </c>
      <c r="BC979" s="763">
        <v>1.0807188879963016E-2</v>
      </c>
      <c r="BD979" s="763">
        <v>1.0807188879963016E-2</v>
      </c>
      <c r="BE979" s="763">
        <v>1.0807188879963016E-2</v>
      </c>
      <c r="BF979" s="763">
        <v>1.0807188879963016E-2</v>
      </c>
      <c r="BG979" s="763">
        <v>1.0807188879963016E-2</v>
      </c>
      <c r="BH979" s="763">
        <v>0</v>
      </c>
      <c r="BI979" s="763">
        <v>0</v>
      </c>
      <c r="BJ979" s="763">
        <v>0</v>
      </c>
      <c r="BK979" s="763">
        <v>0</v>
      </c>
      <c r="BL979" s="763">
        <v>0</v>
      </c>
      <c r="BM979" s="763">
        <v>0</v>
      </c>
      <c r="BN979" s="763">
        <v>0</v>
      </c>
      <c r="BO979" s="763">
        <v>0</v>
      </c>
      <c r="BP979" s="763">
        <v>0</v>
      </c>
      <c r="BQ979" s="763">
        <v>0</v>
      </c>
      <c r="BR979" s="763">
        <v>0</v>
      </c>
      <c r="BS979" s="762">
        <v>0</v>
      </c>
      <c r="BT979" s="762">
        <v>0</v>
      </c>
      <c r="BU979" s="762">
        <v>0</v>
      </c>
      <c r="BV979" s="762">
        <v>157.27553573384847</v>
      </c>
      <c r="BW979" s="762">
        <v>157.27553573384847</v>
      </c>
      <c r="BX979" s="762">
        <v>157.27553573384847</v>
      </c>
      <c r="BY979" s="762">
        <v>37.006008407964345</v>
      </c>
      <c r="BZ979" s="762">
        <v>37.006008407964345</v>
      </c>
      <c r="CA979" s="762">
        <v>37.006008407964345</v>
      </c>
      <c r="CB979" s="762">
        <v>37.006008407964345</v>
      </c>
      <c r="CC979" s="762">
        <v>37.006008407964345</v>
      </c>
      <c r="CD979" s="762">
        <v>37.006008407964345</v>
      </c>
      <c r="CE979" s="762">
        <v>37.006008407964345</v>
      </c>
      <c r="CF979" s="762">
        <v>37.006008407964345</v>
      </c>
      <c r="CG979" s="762">
        <v>37.006008407964345</v>
      </c>
      <c r="CH979" s="762">
        <v>0</v>
      </c>
      <c r="CI979" s="762">
        <v>0</v>
      </c>
      <c r="CJ979" s="762">
        <v>0</v>
      </c>
      <c r="CK979" s="762">
        <v>0</v>
      </c>
      <c r="CL979" s="762">
        <v>0</v>
      </c>
      <c r="CM979" s="762">
        <v>0</v>
      </c>
      <c r="CN979" s="762">
        <v>0</v>
      </c>
      <c r="CO979" s="762">
        <v>0</v>
      </c>
      <c r="CP979" s="762">
        <v>0</v>
      </c>
      <c r="CQ979" s="762">
        <v>0</v>
      </c>
      <c r="CR979" s="762">
        <v>0</v>
      </c>
    </row>
    <row r="980" spans="1:96" s="53" customFormat="1">
      <c r="A980" s="721" t="s">
        <v>3</v>
      </c>
      <c r="B980" s="723">
        <v>41891</v>
      </c>
      <c r="C980" s="721">
        <v>2014</v>
      </c>
      <c r="D980" s="713" t="s">
        <v>1</v>
      </c>
      <c r="E980" s="713" t="s">
        <v>674</v>
      </c>
      <c r="F980" s="723" t="s">
        <v>689</v>
      </c>
      <c r="G980" s="713" t="s">
        <v>58</v>
      </c>
      <c r="H980" s="723" t="s">
        <v>713</v>
      </c>
      <c r="I980" s="713" t="s">
        <v>5</v>
      </c>
      <c r="J980" s="713" t="s">
        <v>376</v>
      </c>
      <c r="K980" s="766">
        <v>18</v>
      </c>
      <c r="L980" s="766" t="s">
        <v>671</v>
      </c>
      <c r="M980" s="765" t="s">
        <v>709</v>
      </c>
      <c r="N980" s="765">
        <v>12</v>
      </c>
      <c r="O980" s="765">
        <v>3</v>
      </c>
      <c r="P980" s="735">
        <v>0.25</v>
      </c>
      <c r="Q980" s="713" t="s">
        <v>58</v>
      </c>
      <c r="R980" s="713" t="s">
        <v>58</v>
      </c>
      <c r="S980" s="713" t="s">
        <v>58</v>
      </c>
      <c r="T980" s="713" t="s">
        <v>58</v>
      </c>
      <c r="U980" s="764">
        <v>0.86399999999999999</v>
      </c>
      <c r="V980" s="764">
        <v>2810.5920000000001</v>
      </c>
      <c r="W980" s="764">
        <v>0.67764428863668169</v>
      </c>
      <c r="X980" s="764">
        <v>2322.0464297507956</v>
      </c>
      <c r="Y980" s="764">
        <v>12190.743756191678</v>
      </c>
      <c r="Z980" s="764">
        <v>11506.481130463495</v>
      </c>
      <c r="AA980" s="764">
        <v>2191.7106915168561</v>
      </c>
      <c r="AB980" s="764">
        <v>0.64006447689071277</v>
      </c>
      <c r="AC980" s="714">
        <v>0.82617698682369967</v>
      </c>
      <c r="AD980" s="714">
        <v>0.7843105192554185</v>
      </c>
      <c r="AE980" s="713" t="s">
        <v>58</v>
      </c>
      <c r="AF980" s="713" t="s">
        <v>58</v>
      </c>
      <c r="AG980" s="713" t="s">
        <v>58</v>
      </c>
      <c r="AH980" s="714">
        <v>0.94387031345969796</v>
      </c>
      <c r="AI980" s="713" t="s">
        <v>58</v>
      </c>
      <c r="AJ980" s="713" t="s">
        <v>58</v>
      </c>
      <c r="AK980" s="713" t="s">
        <v>58</v>
      </c>
      <c r="AL980" s="714">
        <v>0.94454345387965444</v>
      </c>
      <c r="AM980" s="713" t="s">
        <v>58</v>
      </c>
      <c r="AN980" s="713" t="s">
        <v>58</v>
      </c>
      <c r="AO980" s="713" t="s">
        <v>58</v>
      </c>
      <c r="AP980" s="747">
        <v>74</v>
      </c>
      <c r="AQ980" s="747">
        <v>1332</v>
      </c>
      <c r="AR980" s="709"/>
      <c r="AS980" s="763">
        <v>0</v>
      </c>
      <c r="AT980" s="763">
        <v>0</v>
      </c>
      <c r="AU980" s="763">
        <v>0</v>
      </c>
      <c r="AV980" s="763">
        <v>0.64006447689071277</v>
      </c>
      <c r="AW980" s="763">
        <v>0.64006447689071277</v>
      </c>
      <c r="AX980" s="763">
        <v>0.64006447689071277</v>
      </c>
      <c r="AY980" s="763">
        <v>0.16001611922267819</v>
      </c>
      <c r="AZ980" s="763">
        <v>0.16001611922267819</v>
      </c>
      <c r="BA980" s="763">
        <v>0.16001611922267819</v>
      </c>
      <c r="BB980" s="763">
        <v>0.16001611922267819</v>
      </c>
      <c r="BC980" s="763">
        <v>0.16001611922267819</v>
      </c>
      <c r="BD980" s="763">
        <v>0.16001611922267819</v>
      </c>
      <c r="BE980" s="763">
        <v>0.16001611922267819</v>
      </c>
      <c r="BF980" s="763">
        <v>0.16001611922267819</v>
      </c>
      <c r="BG980" s="763">
        <v>0.16001611922267819</v>
      </c>
      <c r="BH980" s="763">
        <v>0</v>
      </c>
      <c r="BI980" s="763">
        <v>0</v>
      </c>
      <c r="BJ980" s="763">
        <v>0</v>
      </c>
      <c r="BK980" s="763">
        <v>0</v>
      </c>
      <c r="BL980" s="763">
        <v>0</v>
      </c>
      <c r="BM980" s="763">
        <v>0</v>
      </c>
      <c r="BN980" s="763">
        <v>0</v>
      </c>
      <c r="BO980" s="763">
        <v>0</v>
      </c>
      <c r="BP980" s="763">
        <v>0</v>
      </c>
      <c r="BQ980" s="763">
        <v>0</v>
      </c>
      <c r="BR980" s="763">
        <v>0</v>
      </c>
      <c r="BS980" s="762">
        <v>0</v>
      </c>
      <c r="BT980" s="762">
        <v>0</v>
      </c>
      <c r="BU980" s="762">
        <v>0</v>
      </c>
      <c r="BV980" s="762">
        <v>2191.7106915168561</v>
      </c>
      <c r="BW980" s="762">
        <v>2191.7106915168561</v>
      </c>
      <c r="BX980" s="762">
        <v>2191.7106915168561</v>
      </c>
      <c r="BY980" s="762">
        <v>547.92767287921401</v>
      </c>
      <c r="BZ980" s="762">
        <v>547.92767287921401</v>
      </c>
      <c r="CA980" s="762">
        <v>547.92767287921401</v>
      </c>
      <c r="CB980" s="762">
        <v>547.92767287921401</v>
      </c>
      <c r="CC980" s="762">
        <v>547.92767287921401</v>
      </c>
      <c r="CD980" s="762">
        <v>547.92767287921401</v>
      </c>
      <c r="CE980" s="762">
        <v>547.92767287921401</v>
      </c>
      <c r="CF980" s="762">
        <v>547.92767287921401</v>
      </c>
      <c r="CG980" s="762">
        <v>547.92767287921401</v>
      </c>
      <c r="CH980" s="762">
        <v>0</v>
      </c>
      <c r="CI980" s="762">
        <v>0</v>
      </c>
      <c r="CJ980" s="762">
        <v>0</v>
      </c>
      <c r="CK980" s="762">
        <v>0</v>
      </c>
      <c r="CL980" s="762">
        <v>0</v>
      </c>
      <c r="CM980" s="762">
        <v>0</v>
      </c>
      <c r="CN980" s="762">
        <v>0</v>
      </c>
      <c r="CO980" s="762">
        <v>0</v>
      </c>
      <c r="CP980" s="762">
        <v>0</v>
      </c>
      <c r="CQ980" s="762">
        <v>0</v>
      </c>
      <c r="CR980" s="762">
        <v>0</v>
      </c>
    </row>
    <row r="981" spans="1:96" s="53" customFormat="1">
      <c r="A981" s="721" t="s">
        <v>3</v>
      </c>
      <c r="B981" s="723">
        <v>41891</v>
      </c>
      <c r="C981" s="721">
        <v>2014</v>
      </c>
      <c r="D981" s="713" t="s">
        <v>1</v>
      </c>
      <c r="E981" s="713" t="s">
        <v>674</v>
      </c>
      <c r="F981" s="723" t="s">
        <v>689</v>
      </c>
      <c r="G981" s="713" t="s">
        <v>58</v>
      </c>
      <c r="H981" s="723" t="s">
        <v>677</v>
      </c>
      <c r="I981" s="713" t="s">
        <v>5</v>
      </c>
      <c r="J981" s="713" t="s">
        <v>376</v>
      </c>
      <c r="K981" s="766">
        <v>1</v>
      </c>
      <c r="L981" s="766" t="s">
        <v>671</v>
      </c>
      <c r="M981" s="765" t="s">
        <v>709</v>
      </c>
      <c r="N981" s="765">
        <v>0</v>
      </c>
      <c r="O981" s="765">
        <v>0</v>
      </c>
      <c r="P981" s="735">
        <v>0</v>
      </c>
      <c r="Q981" s="713" t="s">
        <v>58</v>
      </c>
      <c r="R981" s="713" t="s">
        <v>58</v>
      </c>
      <c r="S981" s="713" t="s">
        <v>58</v>
      </c>
      <c r="T981" s="713" t="s">
        <v>58</v>
      </c>
      <c r="U981" s="764">
        <v>0</v>
      </c>
      <c r="V981" s="764">
        <v>0</v>
      </c>
      <c r="W981" s="764">
        <v>0</v>
      </c>
      <c r="X981" s="764">
        <v>0</v>
      </c>
      <c r="Y981" s="764">
        <v>0</v>
      </c>
      <c r="Z981" s="764">
        <v>0</v>
      </c>
      <c r="AA981" s="764">
        <v>0</v>
      </c>
      <c r="AB981" s="764">
        <v>0</v>
      </c>
      <c r="AC981" s="714">
        <v>0.82617698682369967</v>
      </c>
      <c r="AD981" s="714">
        <v>0.7843105192554185</v>
      </c>
      <c r="AE981" s="713" t="s">
        <v>58</v>
      </c>
      <c r="AF981" s="713" t="s">
        <v>58</v>
      </c>
      <c r="AG981" s="713" t="s">
        <v>58</v>
      </c>
      <c r="AH981" s="714">
        <v>0.94387031345969796</v>
      </c>
      <c r="AI981" s="713" t="s">
        <v>58</v>
      </c>
      <c r="AJ981" s="713" t="s">
        <v>58</v>
      </c>
      <c r="AK981" s="713" t="s">
        <v>58</v>
      </c>
      <c r="AL981" s="714">
        <v>0.94454345387965444</v>
      </c>
      <c r="AM981" s="713" t="s">
        <v>58</v>
      </c>
      <c r="AN981" s="713" t="s">
        <v>58</v>
      </c>
      <c r="AO981" s="713" t="s">
        <v>58</v>
      </c>
      <c r="AP981" s="747">
        <v>51</v>
      </c>
      <c r="AQ981" s="747">
        <v>51</v>
      </c>
      <c r="AR981" s="709"/>
      <c r="AS981" s="763">
        <v>0</v>
      </c>
      <c r="AT981" s="763">
        <v>0</v>
      </c>
      <c r="AU981" s="763">
        <v>0</v>
      </c>
      <c r="AV981" s="763">
        <v>0</v>
      </c>
      <c r="AW981" s="763">
        <v>0</v>
      </c>
      <c r="AX981" s="763">
        <v>0</v>
      </c>
      <c r="AY981" s="763">
        <v>0</v>
      </c>
      <c r="AZ981" s="763">
        <v>0</v>
      </c>
      <c r="BA981" s="763">
        <v>0</v>
      </c>
      <c r="BB981" s="763">
        <v>0</v>
      </c>
      <c r="BC981" s="763">
        <v>0</v>
      </c>
      <c r="BD981" s="763">
        <v>0</v>
      </c>
      <c r="BE981" s="763">
        <v>0</v>
      </c>
      <c r="BF981" s="763">
        <v>0</v>
      </c>
      <c r="BG981" s="763">
        <v>0</v>
      </c>
      <c r="BH981" s="763">
        <v>0</v>
      </c>
      <c r="BI981" s="763">
        <v>0</v>
      </c>
      <c r="BJ981" s="763">
        <v>0</v>
      </c>
      <c r="BK981" s="763">
        <v>0</v>
      </c>
      <c r="BL981" s="763">
        <v>0</v>
      </c>
      <c r="BM981" s="763">
        <v>0</v>
      </c>
      <c r="BN981" s="763">
        <v>0</v>
      </c>
      <c r="BO981" s="763">
        <v>0</v>
      </c>
      <c r="BP981" s="763">
        <v>0</v>
      </c>
      <c r="BQ981" s="763">
        <v>0</v>
      </c>
      <c r="BR981" s="763">
        <v>0</v>
      </c>
      <c r="BS981" s="762">
        <v>0</v>
      </c>
      <c r="BT981" s="762">
        <v>0</v>
      </c>
      <c r="BU981" s="762">
        <v>0</v>
      </c>
      <c r="BV981" s="762">
        <v>0</v>
      </c>
      <c r="BW981" s="762">
        <v>0</v>
      </c>
      <c r="BX981" s="762">
        <v>0</v>
      </c>
      <c r="BY981" s="762">
        <v>0</v>
      </c>
      <c r="BZ981" s="762">
        <v>0</v>
      </c>
      <c r="CA981" s="762">
        <v>0</v>
      </c>
      <c r="CB981" s="762">
        <v>0</v>
      </c>
      <c r="CC981" s="762">
        <v>0</v>
      </c>
      <c r="CD981" s="762">
        <v>0</v>
      </c>
      <c r="CE981" s="762">
        <v>0</v>
      </c>
      <c r="CF981" s="762">
        <v>0</v>
      </c>
      <c r="CG981" s="762">
        <v>0</v>
      </c>
      <c r="CH981" s="762">
        <v>0</v>
      </c>
      <c r="CI981" s="762">
        <v>0</v>
      </c>
      <c r="CJ981" s="762">
        <v>0</v>
      </c>
      <c r="CK981" s="762">
        <v>0</v>
      </c>
      <c r="CL981" s="762">
        <v>0</v>
      </c>
      <c r="CM981" s="762">
        <v>0</v>
      </c>
      <c r="CN981" s="762">
        <v>0</v>
      </c>
      <c r="CO981" s="762">
        <v>0</v>
      </c>
      <c r="CP981" s="762">
        <v>0</v>
      </c>
      <c r="CQ981" s="762">
        <v>0</v>
      </c>
      <c r="CR981" s="762">
        <v>0</v>
      </c>
    </row>
    <row r="982" spans="1:96" s="53" customFormat="1">
      <c r="A982" s="721" t="s">
        <v>3</v>
      </c>
      <c r="B982" s="723">
        <v>41891</v>
      </c>
      <c r="C982" s="721">
        <v>2014</v>
      </c>
      <c r="D982" s="713" t="s">
        <v>1</v>
      </c>
      <c r="E982" s="713" t="s">
        <v>674</v>
      </c>
      <c r="F982" s="723" t="s">
        <v>689</v>
      </c>
      <c r="G982" s="713" t="s">
        <v>58</v>
      </c>
      <c r="H982" s="723" t="s">
        <v>711</v>
      </c>
      <c r="I982" s="713" t="s">
        <v>5</v>
      </c>
      <c r="J982" s="713" t="s">
        <v>376</v>
      </c>
      <c r="K982" s="766">
        <v>2</v>
      </c>
      <c r="L982" s="766" t="s">
        <v>671</v>
      </c>
      <c r="M982" s="765" t="s">
        <v>709</v>
      </c>
      <c r="N982" s="765">
        <v>12</v>
      </c>
      <c r="O982" s="765">
        <v>3</v>
      </c>
      <c r="P982" s="735">
        <v>0</v>
      </c>
      <c r="Q982" s="713" t="s">
        <v>58</v>
      </c>
      <c r="R982" s="713" t="s">
        <v>58</v>
      </c>
      <c r="S982" s="713" t="s">
        <v>58</v>
      </c>
      <c r="T982" s="713" t="s">
        <v>58</v>
      </c>
      <c r="U982" s="764">
        <v>0.06</v>
      </c>
      <c r="V982" s="764">
        <v>195.18</v>
      </c>
      <c r="W982" s="764">
        <v>4.705863115532511E-2</v>
      </c>
      <c r="X982" s="764">
        <v>161.2532242882497</v>
      </c>
      <c r="Y982" s="764">
        <v>483.75967286474906</v>
      </c>
      <c r="Z982" s="764">
        <v>456.60639406601166</v>
      </c>
      <c r="AA982" s="764">
        <v>152.20213135533723</v>
      </c>
      <c r="AB982" s="764">
        <v>4.4448922006299491E-2</v>
      </c>
      <c r="AC982" s="714">
        <v>0.82617698682369967</v>
      </c>
      <c r="AD982" s="714">
        <v>0.7843105192554185</v>
      </c>
      <c r="AE982" s="713" t="s">
        <v>58</v>
      </c>
      <c r="AF982" s="713" t="s">
        <v>58</v>
      </c>
      <c r="AG982" s="713" t="s">
        <v>58</v>
      </c>
      <c r="AH982" s="714">
        <v>0.94387031345969796</v>
      </c>
      <c r="AI982" s="713" t="s">
        <v>58</v>
      </c>
      <c r="AJ982" s="713" t="s">
        <v>58</v>
      </c>
      <c r="AK982" s="713" t="s">
        <v>58</v>
      </c>
      <c r="AL982" s="714">
        <v>0.94454345387965444</v>
      </c>
      <c r="AM982" s="713" t="s">
        <v>58</v>
      </c>
      <c r="AN982" s="713" t="s">
        <v>58</v>
      </c>
      <c r="AO982" s="713" t="s">
        <v>58</v>
      </c>
      <c r="AP982" s="747">
        <v>93.5</v>
      </c>
      <c r="AQ982" s="747">
        <v>187</v>
      </c>
      <c r="AR982" s="709"/>
      <c r="AS982" s="763">
        <v>0</v>
      </c>
      <c r="AT982" s="763">
        <v>0</v>
      </c>
      <c r="AU982" s="763">
        <v>0</v>
      </c>
      <c r="AV982" s="763">
        <v>4.4448922006299491E-2</v>
      </c>
      <c r="AW982" s="763">
        <v>4.4448922006299491E-2</v>
      </c>
      <c r="AX982" s="763">
        <v>4.4448922006299491E-2</v>
      </c>
      <c r="AY982" s="763">
        <v>0</v>
      </c>
      <c r="AZ982" s="763">
        <v>0</v>
      </c>
      <c r="BA982" s="763">
        <v>0</v>
      </c>
      <c r="BB982" s="763">
        <v>0</v>
      </c>
      <c r="BC982" s="763">
        <v>0</v>
      </c>
      <c r="BD982" s="763">
        <v>0</v>
      </c>
      <c r="BE982" s="763">
        <v>0</v>
      </c>
      <c r="BF982" s="763">
        <v>0</v>
      </c>
      <c r="BG982" s="763">
        <v>0</v>
      </c>
      <c r="BH982" s="763">
        <v>0</v>
      </c>
      <c r="BI982" s="763">
        <v>0</v>
      </c>
      <c r="BJ982" s="763">
        <v>0</v>
      </c>
      <c r="BK982" s="763">
        <v>0</v>
      </c>
      <c r="BL982" s="763">
        <v>0</v>
      </c>
      <c r="BM982" s="763">
        <v>0</v>
      </c>
      <c r="BN982" s="763">
        <v>0</v>
      </c>
      <c r="BO982" s="763">
        <v>0</v>
      </c>
      <c r="BP982" s="763">
        <v>0</v>
      </c>
      <c r="BQ982" s="763">
        <v>0</v>
      </c>
      <c r="BR982" s="763">
        <v>0</v>
      </c>
      <c r="BS982" s="762">
        <v>0</v>
      </c>
      <c r="BT982" s="762">
        <v>0</v>
      </c>
      <c r="BU982" s="762">
        <v>0</v>
      </c>
      <c r="BV982" s="762">
        <v>152.20213135533723</v>
      </c>
      <c r="BW982" s="762">
        <v>152.20213135533723</v>
      </c>
      <c r="BX982" s="762">
        <v>152.20213135533723</v>
      </c>
      <c r="BY982" s="762">
        <v>0</v>
      </c>
      <c r="BZ982" s="762">
        <v>0</v>
      </c>
      <c r="CA982" s="762">
        <v>0</v>
      </c>
      <c r="CB982" s="762">
        <v>0</v>
      </c>
      <c r="CC982" s="762">
        <v>0</v>
      </c>
      <c r="CD982" s="762">
        <v>0</v>
      </c>
      <c r="CE982" s="762">
        <v>0</v>
      </c>
      <c r="CF982" s="762">
        <v>0</v>
      </c>
      <c r="CG982" s="762">
        <v>0</v>
      </c>
      <c r="CH982" s="762">
        <v>0</v>
      </c>
      <c r="CI982" s="762">
        <v>0</v>
      </c>
      <c r="CJ982" s="762">
        <v>0</v>
      </c>
      <c r="CK982" s="762">
        <v>0</v>
      </c>
      <c r="CL982" s="762">
        <v>0</v>
      </c>
      <c r="CM982" s="762">
        <v>0</v>
      </c>
      <c r="CN982" s="762">
        <v>0</v>
      </c>
      <c r="CO982" s="762">
        <v>0</v>
      </c>
      <c r="CP982" s="762">
        <v>0</v>
      </c>
      <c r="CQ982" s="762">
        <v>0</v>
      </c>
      <c r="CR982" s="762">
        <v>0</v>
      </c>
    </row>
    <row r="983" spans="1:96" s="53" customFormat="1">
      <c r="A983" s="721" t="s">
        <v>3</v>
      </c>
      <c r="B983" s="723">
        <v>41891</v>
      </c>
      <c r="C983" s="721">
        <v>2014</v>
      </c>
      <c r="D983" s="713" t="s">
        <v>1</v>
      </c>
      <c r="E983" s="713" t="s">
        <v>674</v>
      </c>
      <c r="F983" s="723" t="s">
        <v>689</v>
      </c>
      <c r="G983" s="713" t="s">
        <v>58</v>
      </c>
      <c r="H983" s="723" t="s">
        <v>716</v>
      </c>
      <c r="I983" s="713" t="s">
        <v>5</v>
      </c>
      <c r="J983" s="713" t="s">
        <v>376</v>
      </c>
      <c r="K983" s="766">
        <v>8</v>
      </c>
      <c r="L983" s="766" t="s">
        <v>671</v>
      </c>
      <c r="M983" s="765" t="s">
        <v>709</v>
      </c>
      <c r="N983" s="765">
        <v>12</v>
      </c>
      <c r="O983" s="765">
        <v>3</v>
      </c>
      <c r="P983" s="735">
        <v>0.23529411764705882</v>
      </c>
      <c r="Q983" s="713" t="s">
        <v>58</v>
      </c>
      <c r="R983" s="713" t="s">
        <v>58</v>
      </c>
      <c r="S983" s="713" t="s">
        <v>58</v>
      </c>
      <c r="T983" s="713" t="s">
        <v>58</v>
      </c>
      <c r="U983" s="764">
        <v>0.248</v>
      </c>
      <c r="V983" s="764">
        <v>806.74400000000003</v>
      </c>
      <c r="W983" s="764">
        <v>0.19450900877534383</v>
      </c>
      <c r="X983" s="764">
        <v>666.51332705809875</v>
      </c>
      <c r="Y983" s="764">
        <v>3410.9799678855643</v>
      </c>
      <c r="Z983" s="764">
        <v>3219.5227314928979</v>
      </c>
      <c r="AA983" s="764">
        <v>629.10214293539389</v>
      </c>
      <c r="AB983" s="764">
        <v>0.18372221095937127</v>
      </c>
      <c r="AC983" s="714">
        <v>0.82617698682369967</v>
      </c>
      <c r="AD983" s="714">
        <v>0.7843105192554185</v>
      </c>
      <c r="AE983" s="713" t="s">
        <v>58</v>
      </c>
      <c r="AF983" s="713" t="s">
        <v>58</v>
      </c>
      <c r="AG983" s="713" t="s">
        <v>58</v>
      </c>
      <c r="AH983" s="714">
        <v>0.94387031345969796</v>
      </c>
      <c r="AI983" s="713" t="s">
        <v>58</v>
      </c>
      <c r="AJ983" s="713" t="s">
        <v>58</v>
      </c>
      <c r="AK983" s="713" t="s">
        <v>58</v>
      </c>
      <c r="AL983" s="714">
        <v>0.94454345387965444</v>
      </c>
      <c r="AM983" s="713" t="s">
        <v>58</v>
      </c>
      <c r="AN983" s="713" t="s">
        <v>58</v>
      </c>
      <c r="AO983" s="713" t="s">
        <v>58</v>
      </c>
      <c r="AP983" s="747">
        <v>57</v>
      </c>
      <c r="AQ983" s="747">
        <v>456</v>
      </c>
      <c r="AR983" s="709"/>
      <c r="AS983" s="763">
        <v>0</v>
      </c>
      <c r="AT983" s="763">
        <v>0</v>
      </c>
      <c r="AU983" s="763">
        <v>0</v>
      </c>
      <c r="AV983" s="763">
        <v>0.18372221095937127</v>
      </c>
      <c r="AW983" s="763">
        <v>0.18372221095937127</v>
      </c>
      <c r="AX983" s="763">
        <v>0.18372221095937127</v>
      </c>
      <c r="AY983" s="763">
        <v>4.3228755519852065E-2</v>
      </c>
      <c r="AZ983" s="763">
        <v>4.3228755519852065E-2</v>
      </c>
      <c r="BA983" s="763">
        <v>4.3228755519852065E-2</v>
      </c>
      <c r="BB983" s="763">
        <v>4.3228755519852065E-2</v>
      </c>
      <c r="BC983" s="763">
        <v>4.3228755519852065E-2</v>
      </c>
      <c r="BD983" s="763">
        <v>4.3228755519852065E-2</v>
      </c>
      <c r="BE983" s="763">
        <v>4.3228755519852065E-2</v>
      </c>
      <c r="BF983" s="763">
        <v>4.3228755519852065E-2</v>
      </c>
      <c r="BG983" s="763">
        <v>4.3228755519852065E-2</v>
      </c>
      <c r="BH983" s="763">
        <v>0</v>
      </c>
      <c r="BI983" s="763">
        <v>0</v>
      </c>
      <c r="BJ983" s="763">
        <v>0</v>
      </c>
      <c r="BK983" s="763">
        <v>0</v>
      </c>
      <c r="BL983" s="763">
        <v>0</v>
      </c>
      <c r="BM983" s="763">
        <v>0</v>
      </c>
      <c r="BN983" s="763">
        <v>0</v>
      </c>
      <c r="BO983" s="763">
        <v>0</v>
      </c>
      <c r="BP983" s="763">
        <v>0</v>
      </c>
      <c r="BQ983" s="763">
        <v>0</v>
      </c>
      <c r="BR983" s="763">
        <v>0</v>
      </c>
      <c r="BS983" s="762">
        <v>0</v>
      </c>
      <c r="BT983" s="762">
        <v>0</v>
      </c>
      <c r="BU983" s="762">
        <v>0</v>
      </c>
      <c r="BV983" s="762">
        <v>629.10214293539389</v>
      </c>
      <c r="BW983" s="762">
        <v>629.10214293539389</v>
      </c>
      <c r="BX983" s="762">
        <v>629.10214293539389</v>
      </c>
      <c r="BY983" s="762">
        <v>148.02403363185738</v>
      </c>
      <c r="BZ983" s="762">
        <v>148.02403363185738</v>
      </c>
      <c r="CA983" s="762">
        <v>148.02403363185738</v>
      </c>
      <c r="CB983" s="762">
        <v>148.02403363185738</v>
      </c>
      <c r="CC983" s="762">
        <v>148.02403363185738</v>
      </c>
      <c r="CD983" s="762">
        <v>148.02403363185738</v>
      </c>
      <c r="CE983" s="762">
        <v>148.02403363185738</v>
      </c>
      <c r="CF983" s="762">
        <v>148.02403363185738</v>
      </c>
      <c r="CG983" s="762">
        <v>148.02403363185738</v>
      </c>
      <c r="CH983" s="762">
        <v>0</v>
      </c>
      <c r="CI983" s="762">
        <v>0</v>
      </c>
      <c r="CJ983" s="762">
        <v>0</v>
      </c>
      <c r="CK983" s="762">
        <v>0</v>
      </c>
      <c r="CL983" s="762">
        <v>0</v>
      </c>
      <c r="CM983" s="762">
        <v>0</v>
      </c>
      <c r="CN983" s="762">
        <v>0</v>
      </c>
      <c r="CO983" s="762">
        <v>0</v>
      </c>
      <c r="CP983" s="762">
        <v>0</v>
      </c>
      <c r="CQ983" s="762">
        <v>0</v>
      </c>
      <c r="CR983" s="762">
        <v>0</v>
      </c>
    </row>
    <row r="984" spans="1:96" s="53" customFormat="1">
      <c r="A984" s="721" t="s">
        <v>3</v>
      </c>
      <c r="B984" s="723">
        <v>41891</v>
      </c>
      <c r="C984" s="721">
        <v>2014</v>
      </c>
      <c r="D984" s="713" t="s">
        <v>1</v>
      </c>
      <c r="E984" s="713" t="s">
        <v>674</v>
      </c>
      <c r="F984" s="723" t="s">
        <v>689</v>
      </c>
      <c r="G984" s="713" t="s">
        <v>58</v>
      </c>
      <c r="H984" s="723" t="s">
        <v>713</v>
      </c>
      <c r="I984" s="713" t="s">
        <v>5</v>
      </c>
      <c r="J984" s="713" t="s">
        <v>376</v>
      </c>
      <c r="K984" s="766">
        <v>14</v>
      </c>
      <c r="L984" s="766" t="s">
        <v>671</v>
      </c>
      <c r="M984" s="765" t="s">
        <v>709</v>
      </c>
      <c r="N984" s="765">
        <v>12</v>
      </c>
      <c r="O984" s="765">
        <v>3</v>
      </c>
      <c r="P984" s="735">
        <v>0.25</v>
      </c>
      <c r="Q984" s="713" t="s">
        <v>58</v>
      </c>
      <c r="R984" s="713" t="s">
        <v>58</v>
      </c>
      <c r="S984" s="713" t="s">
        <v>58</v>
      </c>
      <c r="T984" s="713" t="s">
        <v>58</v>
      </c>
      <c r="U984" s="764">
        <v>0.67200000000000004</v>
      </c>
      <c r="V984" s="764">
        <v>2186.0160000000001</v>
      </c>
      <c r="W984" s="764">
        <v>0.52705666893964132</v>
      </c>
      <c r="X984" s="764">
        <v>1806.0361120283965</v>
      </c>
      <c r="Y984" s="764">
        <v>9481.6895881490818</v>
      </c>
      <c r="Z984" s="764">
        <v>8949.4853236938288</v>
      </c>
      <c r="AA984" s="764">
        <v>1704.6638711797768</v>
      </c>
      <c r="AB984" s="764">
        <v>0.4978279264705544</v>
      </c>
      <c r="AC984" s="714">
        <v>0.82617698682369967</v>
      </c>
      <c r="AD984" s="714">
        <v>0.7843105192554185</v>
      </c>
      <c r="AE984" s="713" t="s">
        <v>58</v>
      </c>
      <c r="AF984" s="713" t="s">
        <v>58</v>
      </c>
      <c r="AG984" s="713" t="s">
        <v>58</v>
      </c>
      <c r="AH984" s="714">
        <v>0.94387031345969796</v>
      </c>
      <c r="AI984" s="713" t="s">
        <v>58</v>
      </c>
      <c r="AJ984" s="713" t="s">
        <v>58</v>
      </c>
      <c r="AK984" s="713" t="s">
        <v>58</v>
      </c>
      <c r="AL984" s="714">
        <v>0.94454345387965444</v>
      </c>
      <c r="AM984" s="713" t="s">
        <v>58</v>
      </c>
      <c r="AN984" s="713" t="s">
        <v>58</v>
      </c>
      <c r="AO984" s="713" t="s">
        <v>58</v>
      </c>
      <c r="AP984" s="747">
        <v>74</v>
      </c>
      <c r="AQ984" s="747">
        <v>1036</v>
      </c>
      <c r="AR984" s="709"/>
      <c r="AS984" s="763">
        <v>0</v>
      </c>
      <c r="AT984" s="763">
        <v>0</v>
      </c>
      <c r="AU984" s="763">
        <v>0</v>
      </c>
      <c r="AV984" s="763">
        <v>0.4978279264705544</v>
      </c>
      <c r="AW984" s="763">
        <v>0.4978279264705544</v>
      </c>
      <c r="AX984" s="763">
        <v>0.4978279264705544</v>
      </c>
      <c r="AY984" s="763">
        <v>0.1244569816176386</v>
      </c>
      <c r="AZ984" s="763">
        <v>0.1244569816176386</v>
      </c>
      <c r="BA984" s="763">
        <v>0.1244569816176386</v>
      </c>
      <c r="BB984" s="763">
        <v>0.1244569816176386</v>
      </c>
      <c r="BC984" s="763">
        <v>0.1244569816176386</v>
      </c>
      <c r="BD984" s="763">
        <v>0.1244569816176386</v>
      </c>
      <c r="BE984" s="763">
        <v>0.1244569816176386</v>
      </c>
      <c r="BF984" s="763">
        <v>0.1244569816176386</v>
      </c>
      <c r="BG984" s="763">
        <v>0.1244569816176386</v>
      </c>
      <c r="BH984" s="763">
        <v>0</v>
      </c>
      <c r="BI984" s="763">
        <v>0</v>
      </c>
      <c r="BJ984" s="763">
        <v>0</v>
      </c>
      <c r="BK984" s="763">
        <v>0</v>
      </c>
      <c r="BL984" s="763">
        <v>0</v>
      </c>
      <c r="BM984" s="763">
        <v>0</v>
      </c>
      <c r="BN984" s="763">
        <v>0</v>
      </c>
      <c r="BO984" s="763">
        <v>0</v>
      </c>
      <c r="BP984" s="763">
        <v>0</v>
      </c>
      <c r="BQ984" s="763">
        <v>0</v>
      </c>
      <c r="BR984" s="763">
        <v>0</v>
      </c>
      <c r="BS984" s="762">
        <v>0</v>
      </c>
      <c r="BT984" s="762">
        <v>0</v>
      </c>
      <c r="BU984" s="762">
        <v>0</v>
      </c>
      <c r="BV984" s="762">
        <v>1704.6638711797768</v>
      </c>
      <c r="BW984" s="762">
        <v>1704.6638711797768</v>
      </c>
      <c r="BX984" s="762">
        <v>1704.6638711797768</v>
      </c>
      <c r="BY984" s="762">
        <v>426.16596779494421</v>
      </c>
      <c r="BZ984" s="762">
        <v>426.16596779494421</v>
      </c>
      <c r="CA984" s="762">
        <v>426.16596779494421</v>
      </c>
      <c r="CB984" s="762">
        <v>426.16596779494421</v>
      </c>
      <c r="CC984" s="762">
        <v>426.16596779494421</v>
      </c>
      <c r="CD984" s="762">
        <v>426.16596779494421</v>
      </c>
      <c r="CE984" s="762">
        <v>426.16596779494421</v>
      </c>
      <c r="CF984" s="762">
        <v>426.16596779494421</v>
      </c>
      <c r="CG984" s="762">
        <v>426.16596779494421</v>
      </c>
      <c r="CH984" s="762">
        <v>0</v>
      </c>
      <c r="CI984" s="762">
        <v>0</v>
      </c>
      <c r="CJ984" s="762">
        <v>0</v>
      </c>
      <c r="CK984" s="762">
        <v>0</v>
      </c>
      <c r="CL984" s="762">
        <v>0</v>
      </c>
      <c r="CM984" s="762">
        <v>0</v>
      </c>
      <c r="CN984" s="762">
        <v>0</v>
      </c>
      <c r="CO984" s="762">
        <v>0</v>
      </c>
      <c r="CP984" s="762">
        <v>0</v>
      </c>
      <c r="CQ984" s="762">
        <v>0</v>
      </c>
      <c r="CR984" s="762">
        <v>0</v>
      </c>
    </row>
    <row r="985" spans="1:96" s="53" customFormat="1">
      <c r="A985" s="721" t="s">
        <v>3</v>
      </c>
      <c r="B985" s="723">
        <v>41891</v>
      </c>
      <c r="C985" s="721">
        <v>2014</v>
      </c>
      <c r="D985" s="713" t="s">
        <v>1</v>
      </c>
      <c r="E985" s="713" t="s">
        <v>674</v>
      </c>
      <c r="F985" s="723" t="s">
        <v>689</v>
      </c>
      <c r="G985" s="713" t="s">
        <v>58</v>
      </c>
      <c r="H985" s="723" t="s">
        <v>677</v>
      </c>
      <c r="I985" s="713" t="s">
        <v>5</v>
      </c>
      <c r="J985" s="713" t="s">
        <v>376</v>
      </c>
      <c r="K985" s="766">
        <v>1</v>
      </c>
      <c r="L985" s="766" t="s">
        <v>671</v>
      </c>
      <c r="M985" s="765" t="s">
        <v>709</v>
      </c>
      <c r="N985" s="765">
        <v>0</v>
      </c>
      <c r="O985" s="765">
        <v>0</v>
      </c>
      <c r="P985" s="735">
        <v>0</v>
      </c>
      <c r="Q985" s="713" t="s">
        <v>58</v>
      </c>
      <c r="R985" s="713" t="s">
        <v>58</v>
      </c>
      <c r="S985" s="713" t="s">
        <v>58</v>
      </c>
      <c r="T985" s="713" t="s">
        <v>58</v>
      </c>
      <c r="U985" s="764">
        <v>0</v>
      </c>
      <c r="V985" s="764">
        <v>0</v>
      </c>
      <c r="W985" s="764">
        <v>0</v>
      </c>
      <c r="X985" s="764">
        <v>0</v>
      </c>
      <c r="Y985" s="764">
        <v>0</v>
      </c>
      <c r="Z985" s="764">
        <v>0</v>
      </c>
      <c r="AA985" s="764">
        <v>0</v>
      </c>
      <c r="AB985" s="764">
        <v>0</v>
      </c>
      <c r="AC985" s="714">
        <v>0.82617698682369967</v>
      </c>
      <c r="AD985" s="714">
        <v>0.7843105192554185</v>
      </c>
      <c r="AE985" s="713" t="s">
        <v>58</v>
      </c>
      <c r="AF985" s="713" t="s">
        <v>58</v>
      </c>
      <c r="AG985" s="713" t="s">
        <v>58</v>
      </c>
      <c r="AH985" s="714">
        <v>0.94387031345969796</v>
      </c>
      <c r="AI985" s="713" t="s">
        <v>58</v>
      </c>
      <c r="AJ985" s="713" t="s">
        <v>58</v>
      </c>
      <c r="AK985" s="713" t="s">
        <v>58</v>
      </c>
      <c r="AL985" s="714">
        <v>0.94454345387965444</v>
      </c>
      <c r="AM985" s="713" t="s">
        <v>58</v>
      </c>
      <c r="AN985" s="713" t="s">
        <v>58</v>
      </c>
      <c r="AO985" s="713" t="s">
        <v>58</v>
      </c>
      <c r="AP985" s="747">
        <v>51</v>
      </c>
      <c r="AQ985" s="747">
        <v>51</v>
      </c>
      <c r="AR985" s="709"/>
      <c r="AS985" s="763">
        <v>0</v>
      </c>
      <c r="AT985" s="763">
        <v>0</v>
      </c>
      <c r="AU985" s="763">
        <v>0</v>
      </c>
      <c r="AV985" s="763">
        <v>0</v>
      </c>
      <c r="AW985" s="763">
        <v>0</v>
      </c>
      <c r="AX985" s="763">
        <v>0</v>
      </c>
      <c r="AY985" s="763">
        <v>0</v>
      </c>
      <c r="AZ985" s="763">
        <v>0</v>
      </c>
      <c r="BA985" s="763">
        <v>0</v>
      </c>
      <c r="BB985" s="763">
        <v>0</v>
      </c>
      <c r="BC985" s="763">
        <v>0</v>
      </c>
      <c r="BD985" s="763">
        <v>0</v>
      </c>
      <c r="BE985" s="763">
        <v>0</v>
      </c>
      <c r="BF985" s="763">
        <v>0</v>
      </c>
      <c r="BG985" s="763">
        <v>0</v>
      </c>
      <c r="BH985" s="763">
        <v>0</v>
      </c>
      <c r="BI985" s="763">
        <v>0</v>
      </c>
      <c r="BJ985" s="763">
        <v>0</v>
      </c>
      <c r="BK985" s="763">
        <v>0</v>
      </c>
      <c r="BL985" s="763">
        <v>0</v>
      </c>
      <c r="BM985" s="763">
        <v>0</v>
      </c>
      <c r="BN985" s="763">
        <v>0</v>
      </c>
      <c r="BO985" s="763">
        <v>0</v>
      </c>
      <c r="BP985" s="763">
        <v>0</v>
      </c>
      <c r="BQ985" s="763">
        <v>0</v>
      </c>
      <c r="BR985" s="763">
        <v>0</v>
      </c>
      <c r="BS985" s="762">
        <v>0</v>
      </c>
      <c r="BT985" s="762">
        <v>0</v>
      </c>
      <c r="BU985" s="762">
        <v>0</v>
      </c>
      <c r="BV985" s="762">
        <v>0</v>
      </c>
      <c r="BW985" s="762">
        <v>0</v>
      </c>
      <c r="BX985" s="762">
        <v>0</v>
      </c>
      <c r="BY985" s="762">
        <v>0</v>
      </c>
      <c r="BZ985" s="762">
        <v>0</v>
      </c>
      <c r="CA985" s="762">
        <v>0</v>
      </c>
      <c r="CB985" s="762">
        <v>0</v>
      </c>
      <c r="CC985" s="762">
        <v>0</v>
      </c>
      <c r="CD985" s="762">
        <v>0</v>
      </c>
      <c r="CE985" s="762">
        <v>0</v>
      </c>
      <c r="CF985" s="762">
        <v>0</v>
      </c>
      <c r="CG985" s="762">
        <v>0</v>
      </c>
      <c r="CH985" s="762">
        <v>0</v>
      </c>
      <c r="CI985" s="762">
        <v>0</v>
      </c>
      <c r="CJ985" s="762">
        <v>0</v>
      </c>
      <c r="CK985" s="762">
        <v>0</v>
      </c>
      <c r="CL985" s="762">
        <v>0</v>
      </c>
      <c r="CM985" s="762">
        <v>0</v>
      </c>
      <c r="CN985" s="762">
        <v>0</v>
      </c>
      <c r="CO985" s="762">
        <v>0</v>
      </c>
      <c r="CP985" s="762">
        <v>0</v>
      </c>
      <c r="CQ985" s="762">
        <v>0</v>
      </c>
      <c r="CR985" s="762">
        <v>0</v>
      </c>
    </row>
    <row r="986" spans="1:96" s="53" customFormat="1">
      <c r="A986" s="721" t="s">
        <v>3</v>
      </c>
      <c r="B986" s="723">
        <v>41905</v>
      </c>
      <c r="C986" s="721">
        <v>2014</v>
      </c>
      <c r="D986" s="713" t="s">
        <v>1</v>
      </c>
      <c r="E986" s="713" t="s">
        <v>674</v>
      </c>
      <c r="F986" s="723" t="s">
        <v>123</v>
      </c>
      <c r="G986" s="713" t="s">
        <v>58</v>
      </c>
      <c r="H986" s="723" t="s">
        <v>704</v>
      </c>
      <c r="I986" s="713" t="s">
        <v>5</v>
      </c>
      <c r="J986" s="713" t="s">
        <v>376</v>
      </c>
      <c r="K986" s="766">
        <v>1</v>
      </c>
      <c r="L986" s="766" t="s">
        <v>671</v>
      </c>
      <c r="M986" s="765" t="s">
        <v>714</v>
      </c>
      <c r="N986" s="765">
        <v>12</v>
      </c>
      <c r="O986" s="765">
        <v>3</v>
      </c>
      <c r="P986" s="735">
        <v>4.5454545454545456E-2</v>
      </c>
      <c r="Q986" s="713" t="s">
        <v>58</v>
      </c>
      <c r="R986" s="713" t="s">
        <v>58</v>
      </c>
      <c r="S986" s="713" t="s">
        <v>58</v>
      </c>
      <c r="T986" s="713" t="s">
        <v>58</v>
      </c>
      <c r="U986" s="764">
        <v>2.1999999999999999E-2</v>
      </c>
      <c r="V986" s="764">
        <v>75.02</v>
      </c>
      <c r="W986" s="764">
        <v>1.7254831423619207E-2</v>
      </c>
      <c r="X986" s="764">
        <v>61.97979755151394</v>
      </c>
      <c r="Y986" s="764">
        <v>211.29476438016115</v>
      </c>
      <c r="Z986" s="764">
        <v>199.43485548789573</v>
      </c>
      <c r="AA986" s="764">
        <v>58.500890943116083</v>
      </c>
      <c r="AB986" s="764">
        <v>1.6297938068976482E-2</v>
      </c>
      <c r="AC986" s="714">
        <v>0.82617698682369967</v>
      </c>
      <c r="AD986" s="714">
        <v>0.7843105192554185</v>
      </c>
      <c r="AE986" s="713" t="s">
        <v>58</v>
      </c>
      <c r="AF986" s="713" t="s">
        <v>58</v>
      </c>
      <c r="AG986" s="713" t="s">
        <v>58</v>
      </c>
      <c r="AH986" s="714">
        <v>0.94387031345969796</v>
      </c>
      <c r="AI986" s="713" t="s">
        <v>58</v>
      </c>
      <c r="AJ986" s="713" t="s">
        <v>58</v>
      </c>
      <c r="AK986" s="713" t="s">
        <v>58</v>
      </c>
      <c r="AL986" s="714">
        <v>0.94454345387965444</v>
      </c>
      <c r="AM986" s="713" t="s">
        <v>58</v>
      </c>
      <c r="AN986" s="713" t="s">
        <v>58</v>
      </c>
      <c r="AO986" s="713" t="s">
        <v>58</v>
      </c>
      <c r="AP986" s="747">
        <v>75</v>
      </c>
      <c r="AQ986" s="747">
        <v>75</v>
      </c>
      <c r="AR986" s="709"/>
      <c r="AS986" s="763">
        <v>0</v>
      </c>
      <c r="AT986" s="763">
        <v>0</v>
      </c>
      <c r="AU986" s="763">
        <v>0</v>
      </c>
      <c r="AV986" s="763">
        <v>1.6297938068976482E-2</v>
      </c>
      <c r="AW986" s="763">
        <v>1.6297938068976482E-2</v>
      </c>
      <c r="AX986" s="763">
        <v>1.6297938068976482E-2</v>
      </c>
      <c r="AY986" s="763">
        <v>7.4081536677165832E-4</v>
      </c>
      <c r="AZ986" s="763">
        <v>7.4081536677165832E-4</v>
      </c>
      <c r="BA986" s="763">
        <v>7.4081536677165832E-4</v>
      </c>
      <c r="BB986" s="763">
        <v>7.4081536677165832E-4</v>
      </c>
      <c r="BC986" s="763">
        <v>7.4081536677165832E-4</v>
      </c>
      <c r="BD986" s="763">
        <v>7.4081536677165832E-4</v>
      </c>
      <c r="BE986" s="763">
        <v>7.4081536677165832E-4</v>
      </c>
      <c r="BF986" s="763">
        <v>7.4081536677165832E-4</v>
      </c>
      <c r="BG986" s="763">
        <v>7.4081536677165832E-4</v>
      </c>
      <c r="BH986" s="763">
        <v>0</v>
      </c>
      <c r="BI986" s="763">
        <v>0</v>
      </c>
      <c r="BJ986" s="763">
        <v>0</v>
      </c>
      <c r="BK986" s="763">
        <v>0</v>
      </c>
      <c r="BL986" s="763">
        <v>0</v>
      </c>
      <c r="BM986" s="763">
        <v>0</v>
      </c>
      <c r="BN986" s="763">
        <v>0</v>
      </c>
      <c r="BO986" s="763">
        <v>0</v>
      </c>
      <c r="BP986" s="763">
        <v>0</v>
      </c>
      <c r="BQ986" s="763">
        <v>0</v>
      </c>
      <c r="BR986" s="763">
        <v>0</v>
      </c>
      <c r="BS986" s="762">
        <v>0</v>
      </c>
      <c r="BT986" s="762">
        <v>0</v>
      </c>
      <c r="BU986" s="762">
        <v>0</v>
      </c>
      <c r="BV986" s="762">
        <v>58.500890943116083</v>
      </c>
      <c r="BW986" s="762">
        <v>58.500890943116083</v>
      </c>
      <c r="BX986" s="762">
        <v>58.500890943116083</v>
      </c>
      <c r="BY986" s="762">
        <v>2.6591314065052765</v>
      </c>
      <c r="BZ986" s="762">
        <v>2.6591314065052765</v>
      </c>
      <c r="CA986" s="762">
        <v>2.6591314065052765</v>
      </c>
      <c r="CB986" s="762">
        <v>2.6591314065052765</v>
      </c>
      <c r="CC986" s="762">
        <v>2.6591314065052765</v>
      </c>
      <c r="CD986" s="762">
        <v>2.6591314065052765</v>
      </c>
      <c r="CE986" s="762">
        <v>2.6591314065052765</v>
      </c>
      <c r="CF986" s="762">
        <v>2.6591314065052765</v>
      </c>
      <c r="CG986" s="762">
        <v>2.6591314065052765</v>
      </c>
      <c r="CH986" s="762">
        <v>0</v>
      </c>
      <c r="CI986" s="762">
        <v>0</v>
      </c>
      <c r="CJ986" s="762">
        <v>0</v>
      </c>
      <c r="CK986" s="762">
        <v>0</v>
      </c>
      <c r="CL986" s="762">
        <v>0</v>
      </c>
      <c r="CM986" s="762">
        <v>0</v>
      </c>
      <c r="CN986" s="762">
        <v>0</v>
      </c>
      <c r="CO986" s="762">
        <v>0</v>
      </c>
      <c r="CP986" s="762">
        <v>0</v>
      </c>
      <c r="CQ986" s="762">
        <v>0</v>
      </c>
      <c r="CR986" s="762">
        <v>0</v>
      </c>
    </row>
    <row r="987" spans="1:96" s="53" customFormat="1">
      <c r="A987" s="721" t="s">
        <v>3</v>
      </c>
      <c r="B987" s="723">
        <v>41905</v>
      </c>
      <c r="C987" s="721">
        <v>2014</v>
      </c>
      <c r="D987" s="713" t="s">
        <v>1</v>
      </c>
      <c r="E987" s="713" t="s">
        <v>674</v>
      </c>
      <c r="F987" s="723" t="s">
        <v>123</v>
      </c>
      <c r="G987" s="713" t="s">
        <v>58</v>
      </c>
      <c r="H987" s="723" t="s">
        <v>704</v>
      </c>
      <c r="I987" s="713" t="s">
        <v>5</v>
      </c>
      <c r="J987" s="713" t="s">
        <v>376</v>
      </c>
      <c r="K987" s="766">
        <v>5</v>
      </c>
      <c r="L987" s="766" t="s">
        <v>671</v>
      </c>
      <c r="M987" s="765" t="s">
        <v>714</v>
      </c>
      <c r="N987" s="765">
        <v>12</v>
      </c>
      <c r="O987" s="765">
        <v>3</v>
      </c>
      <c r="P987" s="735">
        <v>4.5454545454545456E-2</v>
      </c>
      <c r="Q987" s="713" t="s">
        <v>58</v>
      </c>
      <c r="R987" s="713" t="s">
        <v>58</v>
      </c>
      <c r="S987" s="713" t="s">
        <v>58</v>
      </c>
      <c r="T987" s="713" t="s">
        <v>58</v>
      </c>
      <c r="U987" s="764">
        <v>0.11</v>
      </c>
      <c r="V987" s="764">
        <v>375.1</v>
      </c>
      <c r="W987" s="764">
        <v>8.6274157118096037E-2</v>
      </c>
      <c r="X987" s="764">
        <v>309.89898775756978</v>
      </c>
      <c r="Y987" s="764">
        <v>1056.4738219008061</v>
      </c>
      <c r="Z987" s="764">
        <v>997.17427743947894</v>
      </c>
      <c r="AA987" s="764">
        <v>292.50445471558049</v>
      </c>
      <c r="AB987" s="764">
        <v>8.1489690344882404E-2</v>
      </c>
      <c r="AC987" s="714">
        <v>0.82617698682369967</v>
      </c>
      <c r="AD987" s="714">
        <v>0.7843105192554185</v>
      </c>
      <c r="AE987" s="713" t="s">
        <v>58</v>
      </c>
      <c r="AF987" s="713" t="s">
        <v>58</v>
      </c>
      <c r="AG987" s="713" t="s">
        <v>58</v>
      </c>
      <c r="AH987" s="714">
        <v>0.94387031345969796</v>
      </c>
      <c r="AI987" s="713" t="s">
        <v>58</v>
      </c>
      <c r="AJ987" s="713" t="s">
        <v>58</v>
      </c>
      <c r="AK987" s="713" t="s">
        <v>58</v>
      </c>
      <c r="AL987" s="714">
        <v>0.94454345387965444</v>
      </c>
      <c r="AM987" s="713" t="s">
        <v>58</v>
      </c>
      <c r="AN987" s="713" t="s">
        <v>58</v>
      </c>
      <c r="AO987" s="713" t="s">
        <v>58</v>
      </c>
      <c r="AP987" s="747">
        <v>75</v>
      </c>
      <c r="AQ987" s="747">
        <v>375</v>
      </c>
      <c r="AR987" s="709"/>
      <c r="AS987" s="763">
        <v>0</v>
      </c>
      <c r="AT987" s="763">
        <v>0</v>
      </c>
      <c r="AU987" s="763">
        <v>0</v>
      </c>
      <c r="AV987" s="763">
        <v>8.1489690344882404E-2</v>
      </c>
      <c r="AW987" s="763">
        <v>8.1489690344882404E-2</v>
      </c>
      <c r="AX987" s="763">
        <v>8.1489690344882404E-2</v>
      </c>
      <c r="AY987" s="763">
        <v>3.7040768338582912E-3</v>
      </c>
      <c r="AZ987" s="763">
        <v>3.7040768338582912E-3</v>
      </c>
      <c r="BA987" s="763">
        <v>3.7040768338582912E-3</v>
      </c>
      <c r="BB987" s="763">
        <v>3.7040768338582912E-3</v>
      </c>
      <c r="BC987" s="763">
        <v>3.7040768338582912E-3</v>
      </c>
      <c r="BD987" s="763">
        <v>3.7040768338582912E-3</v>
      </c>
      <c r="BE987" s="763">
        <v>3.7040768338582912E-3</v>
      </c>
      <c r="BF987" s="763">
        <v>3.7040768338582912E-3</v>
      </c>
      <c r="BG987" s="763">
        <v>3.7040768338582912E-3</v>
      </c>
      <c r="BH987" s="763">
        <v>0</v>
      </c>
      <c r="BI987" s="763">
        <v>0</v>
      </c>
      <c r="BJ987" s="763">
        <v>0</v>
      </c>
      <c r="BK987" s="763">
        <v>0</v>
      </c>
      <c r="BL987" s="763">
        <v>0</v>
      </c>
      <c r="BM987" s="763">
        <v>0</v>
      </c>
      <c r="BN987" s="763">
        <v>0</v>
      </c>
      <c r="BO987" s="763">
        <v>0</v>
      </c>
      <c r="BP987" s="763">
        <v>0</v>
      </c>
      <c r="BQ987" s="763">
        <v>0</v>
      </c>
      <c r="BR987" s="763">
        <v>0</v>
      </c>
      <c r="BS987" s="762">
        <v>0</v>
      </c>
      <c r="BT987" s="762">
        <v>0</v>
      </c>
      <c r="BU987" s="762">
        <v>0</v>
      </c>
      <c r="BV987" s="762">
        <v>292.50445471558049</v>
      </c>
      <c r="BW987" s="762">
        <v>292.50445471558049</v>
      </c>
      <c r="BX987" s="762">
        <v>292.50445471558049</v>
      </c>
      <c r="BY987" s="762">
        <v>13.295657032526387</v>
      </c>
      <c r="BZ987" s="762">
        <v>13.295657032526387</v>
      </c>
      <c r="CA987" s="762">
        <v>13.295657032526387</v>
      </c>
      <c r="CB987" s="762">
        <v>13.295657032526387</v>
      </c>
      <c r="CC987" s="762">
        <v>13.295657032526387</v>
      </c>
      <c r="CD987" s="762">
        <v>13.295657032526387</v>
      </c>
      <c r="CE987" s="762">
        <v>13.295657032526387</v>
      </c>
      <c r="CF987" s="762">
        <v>13.295657032526387</v>
      </c>
      <c r="CG987" s="762">
        <v>13.295657032526387</v>
      </c>
      <c r="CH987" s="762">
        <v>0</v>
      </c>
      <c r="CI987" s="762">
        <v>0</v>
      </c>
      <c r="CJ987" s="762">
        <v>0</v>
      </c>
      <c r="CK987" s="762">
        <v>0</v>
      </c>
      <c r="CL987" s="762">
        <v>0</v>
      </c>
      <c r="CM987" s="762">
        <v>0</v>
      </c>
      <c r="CN987" s="762">
        <v>0</v>
      </c>
      <c r="CO987" s="762">
        <v>0</v>
      </c>
      <c r="CP987" s="762">
        <v>0</v>
      </c>
      <c r="CQ987" s="762">
        <v>0</v>
      </c>
      <c r="CR987" s="762">
        <v>0</v>
      </c>
    </row>
    <row r="988" spans="1:96" s="53" customFormat="1">
      <c r="A988" s="721" t="s">
        <v>3</v>
      </c>
      <c r="B988" s="723">
        <v>41905</v>
      </c>
      <c r="C988" s="721">
        <v>2014</v>
      </c>
      <c r="D988" s="713" t="s">
        <v>1</v>
      </c>
      <c r="E988" s="713" t="s">
        <v>674</v>
      </c>
      <c r="F988" s="723" t="s">
        <v>123</v>
      </c>
      <c r="G988" s="713" t="s">
        <v>58</v>
      </c>
      <c r="H988" s="723" t="s">
        <v>710</v>
      </c>
      <c r="I988" s="713" t="s">
        <v>5</v>
      </c>
      <c r="J988" s="713" t="s">
        <v>376</v>
      </c>
      <c r="K988" s="766">
        <v>2</v>
      </c>
      <c r="L988" s="766" t="s">
        <v>671</v>
      </c>
      <c r="M988" s="765" t="s">
        <v>714</v>
      </c>
      <c r="N988" s="765">
        <v>10</v>
      </c>
      <c r="O988" s="765" t="s">
        <v>7</v>
      </c>
      <c r="P988" s="735">
        <v>1</v>
      </c>
      <c r="Q988" s="713" t="s">
        <v>58</v>
      </c>
      <c r="R988" s="713" t="s">
        <v>58</v>
      </c>
      <c r="S988" s="713" t="s">
        <v>58</v>
      </c>
      <c r="T988" s="713" t="s">
        <v>58</v>
      </c>
      <c r="U988" s="764">
        <v>5.3999999999999999E-2</v>
      </c>
      <c r="V988" s="764">
        <v>473.04</v>
      </c>
      <c r="W988" s="764">
        <v>4.2352768039792606E-2</v>
      </c>
      <c r="X988" s="764">
        <v>390.81476184708288</v>
      </c>
      <c r="Y988" s="764">
        <v>3908.147618470829</v>
      </c>
      <c r="Z988" s="764">
        <v>3688.7845176928336</v>
      </c>
      <c r="AA988" s="764">
        <v>368.87845176928334</v>
      </c>
      <c r="AB988" s="764">
        <v>4.0004029805669548E-2</v>
      </c>
      <c r="AC988" s="714">
        <v>0.82617698682369967</v>
      </c>
      <c r="AD988" s="714">
        <v>0.7843105192554185</v>
      </c>
      <c r="AE988" s="713" t="s">
        <v>58</v>
      </c>
      <c r="AF988" s="713" t="s">
        <v>58</v>
      </c>
      <c r="AG988" s="713" t="s">
        <v>58</v>
      </c>
      <c r="AH988" s="714">
        <v>0.94387031345969796</v>
      </c>
      <c r="AI988" s="713" t="s">
        <v>58</v>
      </c>
      <c r="AJ988" s="713" t="s">
        <v>58</v>
      </c>
      <c r="AK988" s="713" t="s">
        <v>58</v>
      </c>
      <c r="AL988" s="714">
        <v>0.94454345387965444</v>
      </c>
      <c r="AM988" s="713" t="s">
        <v>58</v>
      </c>
      <c r="AN988" s="713" t="s">
        <v>58</v>
      </c>
      <c r="AO988" s="713" t="s">
        <v>58</v>
      </c>
      <c r="AP988" s="747">
        <v>29</v>
      </c>
      <c r="AQ988" s="747">
        <v>58</v>
      </c>
      <c r="AR988" s="709"/>
      <c r="AS988" s="763">
        <v>0</v>
      </c>
      <c r="AT988" s="763">
        <v>0</v>
      </c>
      <c r="AU988" s="763">
        <v>0</v>
      </c>
      <c r="AV988" s="763">
        <v>4.0004029805669548E-2</v>
      </c>
      <c r="AW988" s="763">
        <v>4.0004029805669548E-2</v>
      </c>
      <c r="AX988" s="763">
        <v>4.0004029805669548E-2</v>
      </c>
      <c r="AY988" s="763">
        <v>4.0004029805669548E-2</v>
      </c>
      <c r="AZ988" s="763">
        <v>4.0004029805669548E-2</v>
      </c>
      <c r="BA988" s="763">
        <v>4.0004029805669548E-2</v>
      </c>
      <c r="BB988" s="763">
        <v>4.0004029805669548E-2</v>
      </c>
      <c r="BC988" s="763">
        <v>4.0004029805669548E-2</v>
      </c>
      <c r="BD988" s="763">
        <v>4.0004029805669548E-2</v>
      </c>
      <c r="BE988" s="763">
        <v>4.0004029805669548E-2</v>
      </c>
      <c r="BF988" s="763">
        <v>0</v>
      </c>
      <c r="BG988" s="763">
        <v>0</v>
      </c>
      <c r="BH988" s="763">
        <v>0</v>
      </c>
      <c r="BI988" s="763">
        <v>0</v>
      </c>
      <c r="BJ988" s="763">
        <v>0</v>
      </c>
      <c r="BK988" s="763">
        <v>0</v>
      </c>
      <c r="BL988" s="763">
        <v>0</v>
      </c>
      <c r="BM988" s="763">
        <v>0</v>
      </c>
      <c r="BN988" s="763">
        <v>0</v>
      </c>
      <c r="BO988" s="763">
        <v>0</v>
      </c>
      <c r="BP988" s="763">
        <v>0</v>
      </c>
      <c r="BQ988" s="763">
        <v>0</v>
      </c>
      <c r="BR988" s="763">
        <v>0</v>
      </c>
      <c r="BS988" s="762">
        <v>0</v>
      </c>
      <c r="BT988" s="762">
        <v>0</v>
      </c>
      <c r="BU988" s="762">
        <v>0</v>
      </c>
      <c r="BV988" s="762">
        <v>368.87845176928334</v>
      </c>
      <c r="BW988" s="762">
        <v>368.87845176928334</v>
      </c>
      <c r="BX988" s="762">
        <v>368.87845176928334</v>
      </c>
      <c r="BY988" s="762">
        <v>368.87845176928334</v>
      </c>
      <c r="BZ988" s="762">
        <v>368.87845176928334</v>
      </c>
      <c r="CA988" s="762">
        <v>368.87845176928334</v>
      </c>
      <c r="CB988" s="762">
        <v>368.87845176928334</v>
      </c>
      <c r="CC988" s="762">
        <v>368.87845176928334</v>
      </c>
      <c r="CD988" s="762">
        <v>368.87845176928334</v>
      </c>
      <c r="CE988" s="762">
        <v>368.87845176928334</v>
      </c>
      <c r="CF988" s="762">
        <v>0</v>
      </c>
      <c r="CG988" s="762">
        <v>0</v>
      </c>
      <c r="CH988" s="762">
        <v>0</v>
      </c>
      <c r="CI988" s="762">
        <v>0</v>
      </c>
      <c r="CJ988" s="762">
        <v>0</v>
      </c>
      <c r="CK988" s="762">
        <v>0</v>
      </c>
      <c r="CL988" s="762">
        <v>0</v>
      </c>
      <c r="CM988" s="762">
        <v>0</v>
      </c>
      <c r="CN988" s="762">
        <v>0</v>
      </c>
      <c r="CO988" s="762">
        <v>0</v>
      </c>
      <c r="CP988" s="762">
        <v>0</v>
      </c>
      <c r="CQ988" s="762">
        <v>0</v>
      </c>
      <c r="CR988" s="762">
        <v>0</v>
      </c>
    </row>
    <row r="989" spans="1:96" s="53" customFormat="1">
      <c r="A989" s="721" t="s">
        <v>3</v>
      </c>
      <c r="B989" s="723">
        <v>41905</v>
      </c>
      <c r="C989" s="721">
        <v>2014</v>
      </c>
      <c r="D989" s="713" t="s">
        <v>1</v>
      </c>
      <c r="E989" s="713" t="s">
        <v>674</v>
      </c>
      <c r="F989" s="723" t="s">
        <v>123</v>
      </c>
      <c r="G989" s="713" t="s">
        <v>58</v>
      </c>
      <c r="H989" s="723" t="s">
        <v>678</v>
      </c>
      <c r="I989" s="713" t="s">
        <v>5</v>
      </c>
      <c r="J989" s="713" t="s">
        <v>376</v>
      </c>
      <c r="K989" s="766">
        <v>2</v>
      </c>
      <c r="L989" s="766" t="s">
        <v>671</v>
      </c>
      <c r="M989" s="765" t="s">
        <v>714</v>
      </c>
      <c r="N989" s="765">
        <v>3</v>
      </c>
      <c r="O989" s="765">
        <v>2</v>
      </c>
      <c r="P989" s="735">
        <v>0.6149863305954828</v>
      </c>
      <c r="Q989" s="713" t="s">
        <v>58</v>
      </c>
      <c r="R989" s="713" t="s">
        <v>58</v>
      </c>
      <c r="S989" s="713" t="s">
        <v>58</v>
      </c>
      <c r="T989" s="713" t="s">
        <v>58</v>
      </c>
      <c r="U989" s="764">
        <v>9.4E-2</v>
      </c>
      <c r="V989" s="764">
        <v>298.35599999999999</v>
      </c>
      <c r="W989" s="764">
        <v>7.3725188810009348E-2</v>
      </c>
      <c r="X989" s="764">
        <v>246.49486108077173</v>
      </c>
      <c r="Y989" s="764">
        <v>644.58069228825048</v>
      </c>
      <c r="Z989" s="764">
        <v>608.40058008018013</v>
      </c>
      <c r="AA989" s="764">
        <v>232.6591817945127</v>
      </c>
      <c r="AB989" s="764">
        <v>6.9636644476535878E-2</v>
      </c>
      <c r="AC989" s="714">
        <v>0.82617698682369967</v>
      </c>
      <c r="AD989" s="714">
        <v>0.7843105192554185</v>
      </c>
      <c r="AE989" s="713" t="s">
        <v>58</v>
      </c>
      <c r="AF989" s="713" t="s">
        <v>58</v>
      </c>
      <c r="AG989" s="713" t="s">
        <v>58</v>
      </c>
      <c r="AH989" s="714">
        <v>0.94387031345969796</v>
      </c>
      <c r="AI989" s="713" t="s">
        <v>58</v>
      </c>
      <c r="AJ989" s="713" t="s">
        <v>58</v>
      </c>
      <c r="AK989" s="713" t="s">
        <v>58</v>
      </c>
      <c r="AL989" s="714">
        <v>0.94454345387965444</v>
      </c>
      <c r="AM989" s="713" t="s">
        <v>58</v>
      </c>
      <c r="AN989" s="713" t="s">
        <v>58</v>
      </c>
      <c r="AO989" s="713" t="s">
        <v>58</v>
      </c>
      <c r="AP989" s="747">
        <v>8</v>
      </c>
      <c r="AQ989" s="747">
        <v>16</v>
      </c>
      <c r="AR989" s="709"/>
      <c r="AS989" s="763">
        <v>0</v>
      </c>
      <c r="AT989" s="763">
        <v>0</v>
      </c>
      <c r="AU989" s="763">
        <v>0</v>
      </c>
      <c r="AV989" s="763">
        <v>6.9636644476535878E-2</v>
      </c>
      <c r="AW989" s="763">
        <v>6.9636644476535878E-2</v>
      </c>
      <c r="AX989" s="763">
        <v>4.2825584461606996E-2</v>
      </c>
      <c r="AY989" s="763">
        <v>0</v>
      </c>
      <c r="AZ989" s="763">
        <v>0</v>
      </c>
      <c r="BA989" s="763">
        <v>0</v>
      </c>
      <c r="BB989" s="763">
        <v>0</v>
      </c>
      <c r="BC989" s="763">
        <v>0</v>
      </c>
      <c r="BD989" s="763">
        <v>0</v>
      </c>
      <c r="BE989" s="763">
        <v>0</v>
      </c>
      <c r="BF989" s="763">
        <v>0</v>
      </c>
      <c r="BG989" s="763">
        <v>0</v>
      </c>
      <c r="BH989" s="763">
        <v>0</v>
      </c>
      <c r="BI989" s="763">
        <v>0</v>
      </c>
      <c r="BJ989" s="763">
        <v>0</v>
      </c>
      <c r="BK989" s="763">
        <v>0</v>
      </c>
      <c r="BL989" s="763">
        <v>0</v>
      </c>
      <c r="BM989" s="763">
        <v>0</v>
      </c>
      <c r="BN989" s="763">
        <v>0</v>
      </c>
      <c r="BO989" s="763">
        <v>0</v>
      </c>
      <c r="BP989" s="763">
        <v>0</v>
      </c>
      <c r="BQ989" s="763">
        <v>0</v>
      </c>
      <c r="BR989" s="763">
        <v>0</v>
      </c>
      <c r="BS989" s="762">
        <v>0</v>
      </c>
      <c r="BT989" s="762">
        <v>0</v>
      </c>
      <c r="BU989" s="762">
        <v>0</v>
      </c>
      <c r="BV989" s="762">
        <v>232.6591817945127</v>
      </c>
      <c r="BW989" s="762">
        <v>232.6591817945127</v>
      </c>
      <c r="BX989" s="762">
        <v>143.08221649115472</v>
      </c>
      <c r="BY989" s="762">
        <v>0</v>
      </c>
      <c r="BZ989" s="762">
        <v>0</v>
      </c>
      <c r="CA989" s="762">
        <v>0</v>
      </c>
      <c r="CB989" s="762">
        <v>0</v>
      </c>
      <c r="CC989" s="762">
        <v>0</v>
      </c>
      <c r="CD989" s="762">
        <v>0</v>
      </c>
      <c r="CE989" s="762">
        <v>0</v>
      </c>
      <c r="CF989" s="762">
        <v>0</v>
      </c>
      <c r="CG989" s="762">
        <v>0</v>
      </c>
      <c r="CH989" s="762">
        <v>0</v>
      </c>
      <c r="CI989" s="762">
        <v>0</v>
      </c>
      <c r="CJ989" s="762">
        <v>0</v>
      </c>
      <c r="CK989" s="762">
        <v>0</v>
      </c>
      <c r="CL989" s="762">
        <v>0</v>
      </c>
      <c r="CM989" s="762">
        <v>0</v>
      </c>
      <c r="CN989" s="762">
        <v>0</v>
      </c>
      <c r="CO989" s="762">
        <v>0</v>
      </c>
      <c r="CP989" s="762">
        <v>0</v>
      </c>
      <c r="CQ989" s="762">
        <v>0</v>
      </c>
      <c r="CR989" s="762">
        <v>0</v>
      </c>
    </row>
    <row r="990" spans="1:96" s="53" customFormat="1">
      <c r="A990" s="721" t="s">
        <v>3</v>
      </c>
      <c r="B990" s="723">
        <v>41905</v>
      </c>
      <c r="C990" s="721">
        <v>2014</v>
      </c>
      <c r="D990" s="713" t="s">
        <v>1</v>
      </c>
      <c r="E990" s="713" t="s">
        <v>674</v>
      </c>
      <c r="F990" s="723" t="s">
        <v>123</v>
      </c>
      <c r="G990" s="713" t="s">
        <v>58</v>
      </c>
      <c r="H990" s="723" t="s">
        <v>677</v>
      </c>
      <c r="I990" s="713" t="s">
        <v>5</v>
      </c>
      <c r="J990" s="713" t="s">
        <v>376</v>
      </c>
      <c r="K990" s="766">
        <v>1</v>
      </c>
      <c r="L990" s="766" t="s">
        <v>671</v>
      </c>
      <c r="M990" s="765" t="s">
        <v>714</v>
      </c>
      <c r="N990" s="765">
        <v>0</v>
      </c>
      <c r="O990" s="765">
        <v>0</v>
      </c>
      <c r="P990" s="735">
        <v>0</v>
      </c>
      <c r="Q990" s="713" t="s">
        <v>58</v>
      </c>
      <c r="R990" s="713" t="s">
        <v>58</v>
      </c>
      <c r="S990" s="713" t="s">
        <v>58</v>
      </c>
      <c r="T990" s="713" t="s">
        <v>58</v>
      </c>
      <c r="U990" s="764">
        <v>0</v>
      </c>
      <c r="V990" s="764">
        <v>0</v>
      </c>
      <c r="W990" s="764">
        <v>0</v>
      </c>
      <c r="X990" s="764">
        <v>0</v>
      </c>
      <c r="Y990" s="764">
        <v>0</v>
      </c>
      <c r="Z990" s="764">
        <v>0</v>
      </c>
      <c r="AA990" s="764">
        <v>0</v>
      </c>
      <c r="AB990" s="764">
        <v>0</v>
      </c>
      <c r="AC990" s="714">
        <v>0.82617698682369967</v>
      </c>
      <c r="AD990" s="714">
        <v>0.7843105192554185</v>
      </c>
      <c r="AE990" s="713" t="s">
        <v>58</v>
      </c>
      <c r="AF990" s="713" t="s">
        <v>58</v>
      </c>
      <c r="AG990" s="713" t="s">
        <v>58</v>
      </c>
      <c r="AH990" s="714">
        <v>0.94387031345969796</v>
      </c>
      <c r="AI990" s="713" t="s">
        <v>58</v>
      </c>
      <c r="AJ990" s="713" t="s">
        <v>58</v>
      </c>
      <c r="AK990" s="713" t="s">
        <v>58</v>
      </c>
      <c r="AL990" s="714">
        <v>0.94454345387965444</v>
      </c>
      <c r="AM990" s="713" t="s">
        <v>58</v>
      </c>
      <c r="AN990" s="713" t="s">
        <v>58</v>
      </c>
      <c r="AO990" s="713" t="s">
        <v>58</v>
      </c>
      <c r="AP990" s="747">
        <v>51</v>
      </c>
      <c r="AQ990" s="747">
        <v>51</v>
      </c>
      <c r="AR990" s="709"/>
      <c r="AS990" s="763">
        <v>0</v>
      </c>
      <c r="AT990" s="763">
        <v>0</v>
      </c>
      <c r="AU990" s="763">
        <v>0</v>
      </c>
      <c r="AV990" s="763">
        <v>0</v>
      </c>
      <c r="AW990" s="763">
        <v>0</v>
      </c>
      <c r="AX990" s="763">
        <v>0</v>
      </c>
      <c r="AY990" s="763">
        <v>0</v>
      </c>
      <c r="AZ990" s="763">
        <v>0</v>
      </c>
      <c r="BA990" s="763">
        <v>0</v>
      </c>
      <c r="BB990" s="763">
        <v>0</v>
      </c>
      <c r="BC990" s="763">
        <v>0</v>
      </c>
      <c r="BD990" s="763">
        <v>0</v>
      </c>
      <c r="BE990" s="763">
        <v>0</v>
      </c>
      <c r="BF990" s="763">
        <v>0</v>
      </c>
      <c r="BG990" s="763">
        <v>0</v>
      </c>
      <c r="BH990" s="763">
        <v>0</v>
      </c>
      <c r="BI990" s="763">
        <v>0</v>
      </c>
      <c r="BJ990" s="763">
        <v>0</v>
      </c>
      <c r="BK990" s="763">
        <v>0</v>
      </c>
      <c r="BL990" s="763">
        <v>0</v>
      </c>
      <c r="BM990" s="763">
        <v>0</v>
      </c>
      <c r="BN990" s="763">
        <v>0</v>
      </c>
      <c r="BO990" s="763">
        <v>0</v>
      </c>
      <c r="BP990" s="763">
        <v>0</v>
      </c>
      <c r="BQ990" s="763">
        <v>0</v>
      </c>
      <c r="BR990" s="763">
        <v>0</v>
      </c>
      <c r="BS990" s="762">
        <v>0</v>
      </c>
      <c r="BT990" s="762">
        <v>0</v>
      </c>
      <c r="BU990" s="762">
        <v>0</v>
      </c>
      <c r="BV990" s="762">
        <v>0</v>
      </c>
      <c r="BW990" s="762">
        <v>0</v>
      </c>
      <c r="BX990" s="762">
        <v>0</v>
      </c>
      <c r="BY990" s="762">
        <v>0</v>
      </c>
      <c r="BZ990" s="762">
        <v>0</v>
      </c>
      <c r="CA990" s="762">
        <v>0</v>
      </c>
      <c r="CB990" s="762">
        <v>0</v>
      </c>
      <c r="CC990" s="762">
        <v>0</v>
      </c>
      <c r="CD990" s="762">
        <v>0</v>
      </c>
      <c r="CE990" s="762">
        <v>0</v>
      </c>
      <c r="CF990" s="762">
        <v>0</v>
      </c>
      <c r="CG990" s="762">
        <v>0</v>
      </c>
      <c r="CH990" s="762">
        <v>0</v>
      </c>
      <c r="CI990" s="762">
        <v>0</v>
      </c>
      <c r="CJ990" s="762">
        <v>0</v>
      </c>
      <c r="CK990" s="762">
        <v>0</v>
      </c>
      <c r="CL990" s="762">
        <v>0</v>
      </c>
      <c r="CM990" s="762">
        <v>0</v>
      </c>
      <c r="CN990" s="762">
        <v>0</v>
      </c>
      <c r="CO990" s="762">
        <v>0</v>
      </c>
      <c r="CP990" s="762">
        <v>0</v>
      </c>
      <c r="CQ990" s="762">
        <v>0</v>
      </c>
      <c r="CR990" s="762">
        <v>0</v>
      </c>
    </row>
    <row r="991" spans="1:96" s="53" customFormat="1">
      <c r="A991" s="721" t="s">
        <v>3</v>
      </c>
      <c r="B991" s="723">
        <v>41905</v>
      </c>
      <c r="C991" s="721">
        <v>2014</v>
      </c>
      <c r="D991" s="713" t="s">
        <v>1</v>
      </c>
      <c r="E991" s="713" t="s">
        <v>674</v>
      </c>
      <c r="F991" s="723" t="s">
        <v>123</v>
      </c>
      <c r="G991" s="713" t="s">
        <v>58</v>
      </c>
      <c r="H991" s="723" t="s">
        <v>682</v>
      </c>
      <c r="I991" s="713" t="s">
        <v>5</v>
      </c>
      <c r="J991" s="713" t="s">
        <v>376</v>
      </c>
      <c r="K991" s="766">
        <v>6</v>
      </c>
      <c r="L991" s="766" t="s">
        <v>671</v>
      </c>
      <c r="M991" s="765" t="s">
        <v>714</v>
      </c>
      <c r="N991" s="765">
        <v>12</v>
      </c>
      <c r="O991" s="765">
        <v>3</v>
      </c>
      <c r="P991" s="735">
        <v>0.4</v>
      </c>
      <c r="Q991" s="713" t="s">
        <v>58</v>
      </c>
      <c r="R991" s="713" t="s">
        <v>58</v>
      </c>
      <c r="S991" s="713" t="s">
        <v>58</v>
      </c>
      <c r="T991" s="713" t="s">
        <v>58</v>
      </c>
      <c r="U991" s="764">
        <v>0.15</v>
      </c>
      <c r="V991" s="764">
        <v>511.5</v>
      </c>
      <c r="W991" s="764">
        <v>0.1176465778883128</v>
      </c>
      <c r="X991" s="764">
        <v>422.58952876032237</v>
      </c>
      <c r="Y991" s="764">
        <v>2789.0908898181278</v>
      </c>
      <c r="Z991" s="764">
        <v>2632.5400924402243</v>
      </c>
      <c r="AA991" s="764">
        <v>398.86971097579152</v>
      </c>
      <c r="AB991" s="764">
        <v>0.11112230501574875</v>
      </c>
      <c r="AC991" s="714">
        <v>0.82617698682369967</v>
      </c>
      <c r="AD991" s="714">
        <v>0.7843105192554185</v>
      </c>
      <c r="AE991" s="713" t="s">
        <v>58</v>
      </c>
      <c r="AF991" s="713" t="s">
        <v>58</v>
      </c>
      <c r="AG991" s="713" t="s">
        <v>58</v>
      </c>
      <c r="AH991" s="714">
        <v>0.94387031345969796</v>
      </c>
      <c r="AI991" s="713" t="s">
        <v>58</v>
      </c>
      <c r="AJ991" s="713" t="s">
        <v>58</v>
      </c>
      <c r="AK991" s="713" t="s">
        <v>58</v>
      </c>
      <c r="AL991" s="714">
        <v>0.94454345387965444</v>
      </c>
      <c r="AM991" s="713" t="s">
        <v>58</v>
      </c>
      <c r="AN991" s="713" t="s">
        <v>58</v>
      </c>
      <c r="AO991" s="713" t="s">
        <v>58</v>
      </c>
      <c r="AP991" s="747">
        <v>47</v>
      </c>
      <c r="AQ991" s="747">
        <v>282</v>
      </c>
      <c r="AR991" s="709"/>
      <c r="AS991" s="763">
        <v>0</v>
      </c>
      <c r="AT991" s="763">
        <v>0</v>
      </c>
      <c r="AU991" s="763">
        <v>0</v>
      </c>
      <c r="AV991" s="763">
        <v>0.11112230501574875</v>
      </c>
      <c r="AW991" s="763">
        <v>0.11112230501574875</v>
      </c>
      <c r="AX991" s="763">
        <v>0.11112230501574875</v>
      </c>
      <c r="AY991" s="763">
        <v>4.4448922006299504E-2</v>
      </c>
      <c r="AZ991" s="763">
        <v>4.4448922006299504E-2</v>
      </c>
      <c r="BA991" s="763">
        <v>4.4448922006299504E-2</v>
      </c>
      <c r="BB991" s="763">
        <v>4.4448922006299504E-2</v>
      </c>
      <c r="BC991" s="763">
        <v>4.4448922006299504E-2</v>
      </c>
      <c r="BD991" s="763">
        <v>4.4448922006299504E-2</v>
      </c>
      <c r="BE991" s="763">
        <v>4.4448922006299504E-2</v>
      </c>
      <c r="BF991" s="763">
        <v>4.4448922006299504E-2</v>
      </c>
      <c r="BG991" s="763">
        <v>4.4448922006299504E-2</v>
      </c>
      <c r="BH991" s="763">
        <v>0</v>
      </c>
      <c r="BI991" s="763">
        <v>0</v>
      </c>
      <c r="BJ991" s="763">
        <v>0</v>
      </c>
      <c r="BK991" s="763">
        <v>0</v>
      </c>
      <c r="BL991" s="763">
        <v>0</v>
      </c>
      <c r="BM991" s="763">
        <v>0</v>
      </c>
      <c r="BN991" s="763">
        <v>0</v>
      </c>
      <c r="BO991" s="763">
        <v>0</v>
      </c>
      <c r="BP991" s="763">
        <v>0</v>
      </c>
      <c r="BQ991" s="763">
        <v>0</v>
      </c>
      <c r="BR991" s="763">
        <v>0</v>
      </c>
      <c r="BS991" s="762">
        <v>0</v>
      </c>
      <c r="BT991" s="762">
        <v>0</v>
      </c>
      <c r="BU991" s="762">
        <v>0</v>
      </c>
      <c r="BV991" s="762">
        <v>398.86971097579152</v>
      </c>
      <c r="BW991" s="762">
        <v>398.86971097579152</v>
      </c>
      <c r="BX991" s="762">
        <v>398.86971097579152</v>
      </c>
      <c r="BY991" s="762">
        <v>159.54788439031663</v>
      </c>
      <c r="BZ991" s="762">
        <v>159.54788439031663</v>
      </c>
      <c r="CA991" s="762">
        <v>159.54788439031663</v>
      </c>
      <c r="CB991" s="762">
        <v>159.54788439031663</v>
      </c>
      <c r="CC991" s="762">
        <v>159.54788439031663</v>
      </c>
      <c r="CD991" s="762">
        <v>159.54788439031663</v>
      </c>
      <c r="CE991" s="762">
        <v>159.54788439031663</v>
      </c>
      <c r="CF991" s="762">
        <v>159.54788439031663</v>
      </c>
      <c r="CG991" s="762">
        <v>159.54788439031663</v>
      </c>
      <c r="CH991" s="762">
        <v>0</v>
      </c>
      <c r="CI991" s="762">
        <v>0</v>
      </c>
      <c r="CJ991" s="762">
        <v>0</v>
      </c>
      <c r="CK991" s="762">
        <v>0</v>
      </c>
      <c r="CL991" s="762">
        <v>0</v>
      </c>
      <c r="CM991" s="762">
        <v>0</v>
      </c>
      <c r="CN991" s="762">
        <v>0</v>
      </c>
      <c r="CO991" s="762">
        <v>0</v>
      </c>
      <c r="CP991" s="762">
        <v>0</v>
      </c>
      <c r="CQ991" s="762">
        <v>0</v>
      </c>
      <c r="CR991" s="762">
        <v>0</v>
      </c>
    </row>
    <row r="992" spans="1:96" s="53" customFormat="1">
      <c r="A992" s="721" t="s">
        <v>3</v>
      </c>
      <c r="B992" s="723">
        <v>41905</v>
      </c>
      <c r="C992" s="721">
        <v>2014</v>
      </c>
      <c r="D992" s="713" t="s">
        <v>1</v>
      </c>
      <c r="E992" s="713" t="s">
        <v>674</v>
      </c>
      <c r="F992" s="723" t="s">
        <v>123</v>
      </c>
      <c r="G992" s="713" t="s">
        <v>58</v>
      </c>
      <c r="H992" s="723" t="s">
        <v>682</v>
      </c>
      <c r="I992" s="713" t="s">
        <v>5</v>
      </c>
      <c r="J992" s="713" t="s">
        <v>376</v>
      </c>
      <c r="K992" s="766">
        <v>4</v>
      </c>
      <c r="L992" s="766" t="s">
        <v>671</v>
      </c>
      <c r="M992" s="765" t="s">
        <v>714</v>
      </c>
      <c r="N992" s="765">
        <v>12</v>
      </c>
      <c r="O992" s="765">
        <v>3</v>
      </c>
      <c r="P992" s="735">
        <v>0.4</v>
      </c>
      <c r="Q992" s="713" t="s">
        <v>58</v>
      </c>
      <c r="R992" s="713" t="s">
        <v>58</v>
      </c>
      <c r="S992" s="713" t="s">
        <v>58</v>
      </c>
      <c r="T992" s="713" t="s">
        <v>58</v>
      </c>
      <c r="U992" s="764">
        <v>0.1</v>
      </c>
      <c r="V992" s="764">
        <v>341</v>
      </c>
      <c r="W992" s="764">
        <v>7.8431051925541853E-2</v>
      </c>
      <c r="X992" s="764">
        <v>281.7263525068816</v>
      </c>
      <c r="Y992" s="764">
        <v>1859.3939265454187</v>
      </c>
      <c r="Z992" s="764">
        <v>1755.0267282934831</v>
      </c>
      <c r="AA992" s="764">
        <v>265.91314065052768</v>
      </c>
      <c r="AB992" s="764">
        <v>7.4081536677165827E-2</v>
      </c>
      <c r="AC992" s="714">
        <v>0.82617698682369967</v>
      </c>
      <c r="AD992" s="714">
        <v>0.7843105192554185</v>
      </c>
      <c r="AE992" s="713" t="s">
        <v>58</v>
      </c>
      <c r="AF992" s="713" t="s">
        <v>58</v>
      </c>
      <c r="AG992" s="713" t="s">
        <v>58</v>
      </c>
      <c r="AH992" s="714">
        <v>0.94387031345969796</v>
      </c>
      <c r="AI992" s="713" t="s">
        <v>58</v>
      </c>
      <c r="AJ992" s="713" t="s">
        <v>58</v>
      </c>
      <c r="AK992" s="713" t="s">
        <v>58</v>
      </c>
      <c r="AL992" s="714">
        <v>0.94454345387965444</v>
      </c>
      <c r="AM992" s="713" t="s">
        <v>58</v>
      </c>
      <c r="AN992" s="713" t="s">
        <v>58</v>
      </c>
      <c r="AO992" s="713" t="s">
        <v>58</v>
      </c>
      <c r="AP992" s="747">
        <v>47</v>
      </c>
      <c r="AQ992" s="747">
        <v>188</v>
      </c>
      <c r="AR992" s="709"/>
      <c r="AS992" s="763">
        <v>0</v>
      </c>
      <c r="AT992" s="763">
        <v>0</v>
      </c>
      <c r="AU992" s="763">
        <v>0</v>
      </c>
      <c r="AV992" s="763">
        <v>7.4081536677165827E-2</v>
      </c>
      <c r="AW992" s="763">
        <v>7.4081536677165827E-2</v>
      </c>
      <c r="AX992" s="763">
        <v>7.4081536677165827E-2</v>
      </c>
      <c r="AY992" s="763">
        <v>2.9632614670866333E-2</v>
      </c>
      <c r="AZ992" s="763">
        <v>2.9632614670866333E-2</v>
      </c>
      <c r="BA992" s="763">
        <v>2.9632614670866333E-2</v>
      </c>
      <c r="BB992" s="763">
        <v>2.9632614670866333E-2</v>
      </c>
      <c r="BC992" s="763">
        <v>2.9632614670866333E-2</v>
      </c>
      <c r="BD992" s="763">
        <v>2.9632614670866333E-2</v>
      </c>
      <c r="BE992" s="763">
        <v>2.9632614670866333E-2</v>
      </c>
      <c r="BF992" s="763">
        <v>2.9632614670866333E-2</v>
      </c>
      <c r="BG992" s="763">
        <v>2.9632614670866333E-2</v>
      </c>
      <c r="BH992" s="763">
        <v>0</v>
      </c>
      <c r="BI992" s="763">
        <v>0</v>
      </c>
      <c r="BJ992" s="763">
        <v>0</v>
      </c>
      <c r="BK992" s="763">
        <v>0</v>
      </c>
      <c r="BL992" s="763">
        <v>0</v>
      </c>
      <c r="BM992" s="763">
        <v>0</v>
      </c>
      <c r="BN992" s="763">
        <v>0</v>
      </c>
      <c r="BO992" s="763">
        <v>0</v>
      </c>
      <c r="BP992" s="763">
        <v>0</v>
      </c>
      <c r="BQ992" s="763">
        <v>0</v>
      </c>
      <c r="BR992" s="763">
        <v>0</v>
      </c>
      <c r="BS992" s="762">
        <v>0</v>
      </c>
      <c r="BT992" s="762">
        <v>0</v>
      </c>
      <c r="BU992" s="762">
        <v>0</v>
      </c>
      <c r="BV992" s="762">
        <v>265.91314065052768</v>
      </c>
      <c r="BW992" s="762">
        <v>265.91314065052768</v>
      </c>
      <c r="BX992" s="762">
        <v>265.91314065052768</v>
      </c>
      <c r="BY992" s="762">
        <v>106.36525626021108</v>
      </c>
      <c r="BZ992" s="762">
        <v>106.36525626021108</v>
      </c>
      <c r="CA992" s="762">
        <v>106.36525626021108</v>
      </c>
      <c r="CB992" s="762">
        <v>106.36525626021108</v>
      </c>
      <c r="CC992" s="762">
        <v>106.36525626021108</v>
      </c>
      <c r="CD992" s="762">
        <v>106.36525626021108</v>
      </c>
      <c r="CE992" s="762">
        <v>106.36525626021108</v>
      </c>
      <c r="CF992" s="762">
        <v>106.36525626021108</v>
      </c>
      <c r="CG992" s="762">
        <v>106.36525626021108</v>
      </c>
      <c r="CH992" s="762">
        <v>0</v>
      </c>
      <c r="CI992" s="762">
        <v>0</v>
      </c>
      <c r="CJ992" s="762">
        <v>0</v>
      </c>
      <c r="CK992" s="762">
        <v>0</v>
      </c>
      <c r="CL992" s="762">
        <v>0</v>
      </c>
      <c r="CM992" s="762">
        <v>0</v>
      </c>
      <c r="CN992" s="762">
        <v>0</v>
      </c>
      <c r="CO992" s="762">
        <v>0</v>
      </c>
      <c r="CP992" s="762">
        <v>0</v>
      </c>
      <c r="CQ992" s="762">
        <v>0</v>
      </c>
      <c r="CR992" s="762">
        <v>0</v>
      </c>
    </row>
    <row r="993" spans="1:96" s="53" customFormat="1">
      <c r="A993" s="721" t="s">
        <v>3</v>
      </c>
      <c r="B993" s="723">
        <v>41905</v>
      </c>
      <c r="C993" s="721">
        <v>2014</v>
      </c>
      <c r="D993" s="713" t="s">
        <v>1</v>
      </c>
      <c r="E993" s="713" t="s">
        <v>674</v>
      </c>
      <c r="F993" s="723" t="s">
        <v>123</v>
      </c>
      <c r="G993" s="713" t="s">
        <v>58</v>
      </c>
      <c r="H993" s="723" t="s">
        <v>675</v>
      </c>
      <c r="I993" s="713" t="s">
        <v>5</v>
      </c>
      <c r="J993" s="713" t="s">
        <v>376</v>
      </c>
      <c r="K993" s="766">
        <v>3</v>
      </c>
      <c r="L993" s="766" t="s">
        <v>671</v>
      </c>
      <c r="M993" s="765" t="s">
        <v>714</v>
      </c>
      <c r="N993" s="765">
        <v>12</v>
      </c>
      <c r="O993" s="765">
        <v>3</v>
      </c>
      <c r="P993" s="735">
        <v>0.36842105263157893</v>
      </c>
      <c r="Q993" s="713" t="s">
        <v>58</v>
      </c>
      <c r="R993" s="713" t="s">
        <v>58</v>
      </c>
      <c r="S993" s="713" t="s">
        <v>58</v>
      </c>
      <c r="T993" s="713" t="s">
        <v>58</v>
      </c>
      <c r="U993" s="764">
        <v>0.17100000000000001</v>
      </c>
      <c r="V993" s="764">
        <v>583.11</v>
      </c>
      <c r="W993" s="764">
        <v>0.13411709879267658</v>
      </c>
      <c r="X993" s="764">
        <v>481.75206278676751</v>
      </c>
      <c r="Y993" s="764">
        <v>3042.6446070743209</v>
      </c>
      <c r="Z993" s="764">
        <v>2871.8619190256986</v>
      </c>
      <c r="AA993" s="764">
        <v>454.71147051240234</v>
      </c>
      <c r="AB993" s="764">
        <v>0.12667942771795357</v>
      </c>
      <c r="AC993" s="714">
        <v>0.82617698682369967</v>
      </c>
      <c r="AD993" s="714">
        <v>0.7843105192554185</v>
      </c>
      <c r="AE993" s="713" t="s">
        <v>58</v>
      </c>
      <c r="AF993" s="713" t="s">
        <v>58</v>
      </c>
      <c r="AG993" s="713" t="s">
        <v>58</v>
      </c>
      <c r="AH993" s="714">
        <v>0.94387031345969796</v>
      </c>
      <c r="AI993" s="713" t="s">
        <v>58</v>
      </c>
      <c r="AJ993" s="713" t="s">
        <v>58</v>
      </c>
      <c r="AK993" s="713" t="s">
        <v>58</v>
      </c>
      <c r="AL993" s="714">
        <v>0.94454345387965444</v>
      </c>
      <c r="AM993" s="713" t="s">
        <v>58</v>
      </c>
      <c r="AN993" s="713" t="s">
        <v>58</v>
      </c>
      <c r="AO993" s="713" t="s">
        <v>58</v>
      </c>
      <c r="AP993" s="747">
        <v>73</v>
      </c>
      <c r="AQ993" s="747">
        <v>219</v>
      </c>
      <c r="AR993" s="709"/>
      <c r="AS993" s="763">
        <v>0</v>
      </c>
      <c r="AT993" s="763">
        <v>0</v>
      </c>
      <c r="AU993" s="763">
        <v>0</v>
      </c>
      <c r="AV993" s="763">
        <v>0.12667942771795357</v>
      </c>
      <c r="AW993" s="763">
        <v>0.12667942771795357</v>
      </c>
      <c r="AX993" s="763">
        <v>0.12667942771795357</v>
      </c>
      <c r="AY993" s="763">
        <v>4.6671368106614472E-2</v>
      </c>
      <c r="AZ993" s="763">
        <v>4.6671368106614472E-2</v>
      </c>
      <c r="BA993" s="763">
        <v>4.6671368106614472E-2</v>
      </c>
      <c r="BB993" s="763">
        <v>4.6671368106614472E-2</v>
      </c>
      <c r="BC993" s="763">
        <v>4.6671368106614472E-2</v>
      </c>
      <c r="BD993" s="763">
        <v>4.6671368106614472E-2</v>
      </c>
      <c r="BE993" s="763">
        <v>4.6671368106614472E-2</v>
      </c>
      <c r="BF993" s="763">
        <v>4.6671368106614472E-2</v>
      </c>
      <c r="BG993" s="763">
        <v>4.6671368106614472E-2</v>
      </c>
      <c r="BH993" s="763">
        <v>0</v>
      </c>
      <c r="BI993" s="763">
        <v>0</v>
      </c>
      <c r="BJ993" s="763">
        <v>0</v>
      </c>
      <c r="BK993" s="763">
        <v>0</v>
      </c>
      <c r="BL993" s="763">
        <v>0</v>
      </c>
      <c r="BM993" s="763">
        <v>0</v>
      </c>
      <c r="BN993" s="763">
        <v>0</v>
      </c>
      <c r="BO993" s="763">
        <v>0</v>
      </c>
      <c r="BP993" s="763">
        <v>0</v>
      </c>
      <c r="BQ993" s="763">
        <v>0</v>
      </c>
      <c r="BR993" s="763">
        <v>0</v>
      </c>
      <c r="BS993" s="762">
        <v>0</v>
      </c>
      <c r="BT993" s="762">
        <v>0</v>
      </c>
      <c r="BU993" s="762">
        <v>0</v>
      </c>
      <c r="BV993" s="762">
        <v>454.71147051240234</v>
      </c>
      <c r="BW993" s="762">
        <v>454.71147051240234</v>
      </c>
      <c r="BX993" s="762">
        <v>454.71147051240234</v>
      </c>
      <c r="BY993" s="762">
        <v>167.52527860983244</v>
      </c>
      <c r="BZ993" s="762">
        <v>167.52527860983244</v>
      </c>
      <c r="CA993" s="762">
        <v>167.52527860983244</v>
      </c>
      <c r="CB993" s="762">
        <v>167.52527860983244</v>
      </c>
      <c r="CC993" s="762">
        <v>167.52527860983244</v>
      </c>
      <c r="CD993" s="762">
        <v>167.52527860983244</v>
      </c>
      <c r="CE993" s="762">
        <v>167.52527860983244</v>
      </c>
      <c r="CF993" s="762">
        <v>167.52527860983244</v>
      </c>
      <c r="CG993" s="762">
        <v>167.52527860983244</v>
      </c>
      <c r="CH993" s="762">
        <v>0</v>
      </c>
      <c r="CI993" s="762">
        <v>0</v>
      </c>
      <c r="CJ993" s="762">
        <v>0</v>
      </c>
      <c r="CK993" s="762">
        <v>0</v>
      </c>
      <c r="CL993" s="762">
        <v>0</v>
      </c>
      <c r="CM993" s="762">
        <v>0</v>
      </c>
      <c r="CN993" s="762">
        <v>0</v>
      </c>
      <c r="CO993" s="762">
        <v>0</v>
      </c>
      <c r="CP993" s="762">
        <v>0</v>
      </c>
      <c r="CQ993" s="762">
        <v>0</v>
      </c>
      <c r="CR993" s="762">
        <v>0</v>
      </c>
    </row>
    <row r="994" spans="1:96" s="53" customFormat="1">
      <c r="A994" s="721" t="s">
        <v>3</v>
      </c>
      <c r="B994" s="723">
        <v>41905</v>
      </c>
      <c r="C994" s="721">
        <v>2014</v>
      </c>
      <c r="D994" s="713" t="s">
        <v>1</v>
      </c>
      <c r="E994" s="713" t="s">
        <v>674</v>
      </c>
      <c r="F994" s="723" t="s">
        <v>123</v>
      </c>
      <c r="G994" s="713" t="s">
        <v>58</v>
      </c>
      <c r="H994" s="723" t="s">
        <v>715</v>
      </c>
      <c r="I994" s="713" t="s">
        <v>5</v>
      </c>
      <c r="J994" s="713" t="s">
        <v>376</v>
      </c>
      <c r="K994" s="766">
        <v>9</v>
      </c>
      <c r="L994" s="766" t="s">
        <v>671</v>
      </c>
      <c r="M994" s="765" t="s">
        <v>714</v>
      </c>
      <c r="N994" s="765">
        <v>3</v>
      </c>
      <c r="O994" s="765">
        <v>1</v>
      </c>
      <c r="P994" s="735">
        <v>0.66511083856317055</v>
      </c>
      <c r="Q994" s="713" t="s">
        <v>58</v>
      </c>
      <c r="R994" s="713" t="s">
        <v>58</v>
      </c>
      <c r="S994" s="713" t="s">
        <v>58</v>
      </c>
      <c r="T994" s="713" t="s">
        <v>58</v>
      </c>
      <c r="U994" s="764">
        <v>0.55800000000000005</v>
      </c>
      <c r="V994" s="764">
        <v>1771.0920000000001</v>
      </c>
      <c r="W994" s="764">
        <v>0.43764526974452367</v>
      </c>
      <c r="X994" s="764">
        <v>1463.23545194756</v>
      </c>
      <c r="Y994" s="764">
        <v>3409.6629688679632</v>
      </c>
      <c r="Z994" s="764">
        <v>3218.2796552173286</v>
      </c>
      <c r="AA994" s="764">
        <v>1381.1045046950862</v>
      </c>
      <c r="AB994" s="764">
        <v>0.41337497465858541</v>
      </c>
      <c r="AC994" s="714">
        <v>0.82617698682369967</v>
      </c>
      <c r="AD994" s="714">
        <v>0.7843105192554185</v>
      </c>
      <c r="AE994" s="713" t="s">
        <v>58</v>
      </c>
      <c r="AF994" s="713" t="s">
        <v>58</v>
      </c>
      <c r="AG994" s="713" t="s">
        <v>58</v>
      </c>
      <c r="AH994" s="714">
        <v>0.94387031345969796</v>
      </c>
      <c r="AI994" s="713" t="s">
        <v>58</v>
      </c>
      <c r="AJ994" s="713" t="s">
        <v>58</v>
      </c>
      <c r="AK994" s="713" t="s">
        <v>58</v>
      </c>
      <c r="AL994" s="714">
        <v>0.94454345387965444</v>
      </c>
      <c r="AM994" s="713" t="s">
        <v>58</v>
      </c>
      <c r="AN994" s="713" t="s">
        <v>58</v>
      </c>
      <c r="AO994" s="713" t="s">
        <v>58</v>
      </c>
      <c r="AP994" s="747">
        <v>9</v>
      </c>
      <c r="AQ994" s="747">
        <v>81</v>
      </c>
      <c r="AR994" s="709"/>
      <c r="AS994" s="763">
        <v>0</v>
      </c>
      <c r="AT994" s="763">
        <v>0</v>
      </c>
      <c r="AU994" s="763">
        <v>0</v>
      </c>
      <c r="AV994" s="763">
        <v>0.41337497465858541</v>
      </c>
      <c r="AW994" s="763">
        <v>0.27494017603620113</v>
      </c>
      <c r="AX994" s="763">
        <v>0.27494017603620113</v>
      </c>
      <c r="AY994" s="763">
        <v>0</v>
      </c>
      <c r="AZ994" s="763">
        <v>0</v>
      </c>
      <c r="BA994" s="763">
        <v>0</v>
      </c>
      <c r="BB994" s="763">
        <v>0</v>
      </c>
      <c r="BC994" s="763">
        <v>0</v>
      </c>
      <c r="BD994" s="763">
        <v>0</v>
      </c>
      <c r="BE994" s="763">
        <v>0</v>
      </c>
      <c r="BF994" s="763">
        <v>0</v>
      </c>
      <c r="BG994" s="763">
        <v>0</v>
      </c>
      <c r="BH994" s="763">
        <v>0</v>
      </c>
      <c r="BI994" s="763">
        <v>0</v>
      </c>
      <c r="BJ994" s="763">
        <v>0</v>
      </c>
      <c r="BK994" s="763">
        <v>0</v>
      </c>
      <c r="BL994" s="763">
        <v>0</v>
      </c>
      <c r="BM994" s="763">
        <v>0</v>
      </c>
      <c r="BN994" s="763">
        <v>0</v>
      </c>
      <c r="BO994" s="763">
        <v>0</v>
      </c>
      <c r="BP994" s="763">
        <v>0</v>
      </c>
      <c r="BQ994" s="763">
        <v>0</v>
      </c>
      <c r="BR994" s="763">
        <v>0</v>
      </c>
      <c r="BS994" s="762">
        <v>0</v>
      </c>
      <c r="BT994" s="762">
        <v>0</v>
      </c>
      <c r="BU994" s="762">
        <v>0</v>
      </c>
      <c r="BV994" s="762">
        <v>1381.1045046950862</v>
      </c>
      <c r="BW994" s="762">
        <v>918.58757526112117</v>
      </c>
      <c r="BX994" s="762">
        <v>918.58757526112117</v>
      </c>
      <c r="BY994" s="762">
        <v>0</v>
      </c>
      <c r="BZ994" s="762">
        <v>0</v>
      </c>
      <c r="CA994" s="762">
        <v>0</v>
      </c>
      <c r="CB994" s="762">
        <v>0</v>
      </c>
      <c r="CC994" s="762">
        <v>0</v>
      </c>
      <c r="CD994" s="762">
        <v>0</v>
      </c>
      <c r="CE994" s="762">
        <v>0</v>
      </c>
      <c r="CF994" s="762">
        <v>0</v>
      </c>
      <c r="CG994" s="762">
        <v>0</v>
      </c>
      <c r="CH994" s="762">
        <v>0</v>
      </c>
      <c r="CI994" s="762">
        <v>0</v>
      </c>
      <c r="CJ994" s="762">
        <v>0</v>
      </c>
      <c r="CK994" s="762">
        <v>0</v>
      </c>
      <c r="CL994" s="762">
        <v>0</v>
      </c>
      <c r="CM994" s="762">
        <v>0</v>
      </c>
      <c r="CN994" s="762">
        <v>0</v>
      </c>
      <c r="CO994" s="762">
        <v>0</v>
      </c>
      <c r="CP994" s="762">
        <v>0</v>
      </c>
      <c r="CQ994" s="762">
        <v>0</v>
      </c>
      <c r="CR994" s="762">
        <v>0</v>
      </c>
    </row>
    <row r="995" spans="1:96" s="53" customFormat="1">
      <c r="A995" s="721" t="s">
        <v>3</v>
      </c>
      <c r="B995" s="723">
        <v>41905</v>
      </c>
      <c r="C995" s="721">
        <v>2014</v>
      </c>
      <c r="D995" s="713" t="s">
        <v>1</v>
      </c>
      <c r="E995" s="713" t="s">
        <v>674</v>
      </c>
      <c r="F995" s="723" t="s">
        <v>123</v>
      </c>
      <c r="G995" s="713" t="s">
        <v>58</v>
      </c>
      <c r="H995" s="723" t="s">
        <v>715</v>
      </c>
      <c r="I995" s="713" t="s">
        <v>5</v>
      </c>
      <c r="J995" s="713" t="s">
        <v>376</v>
      </c>
      <c r="K995" s="766">
        <v>6</v>
      </c>
      <c r="L995" s="766" t="s">
        <v>671</v>
      </c>
      <c r="M995" s="765" t="s">
        <v>714</v>
      </c>
      <c r="N995" s="765">
        <v>3</v>
      </c>
      <c r="O995" s="765">
        <v>1</v>
      </c>
      <c r="P995" s="735">
        <v>0.66511083856317055</v>
      </c>
      <c r="Q995" s="713" t="s">
        <v>58</v>
      </c>
      <c r="R995" s="713" t="s">
        <v>58</v>
      </c>
      <c r="S995" s="713" t="s">
        <v>58</v>
      </c>
      <c r="T995" s="713" t="s">
        <v>58</v>
      </c>
      <c r="U995" s="764">
        <v>0.372</v>
      </c>
      <c r="V995" s="764">
        <v>1180.7280000000001</v>
      </c>
      <c r="W995" s="764">
        <v>0.29176351316301574</v>
      </c>
      <c r="X995" s="764">
        <v>975.49030129837331</v>
      </c>
      <c r="Y995" s="764">
        <v>2273.1086459119751</v>
      </c>
      <c r="Z995" s="764">
        <v>2145.5197701448856</v>
      </c>
      <c r="AA995" s="764">
        <v>920.73633646339078</v>
      </c>
      <c r="AB995" s="764">
        <v>0.27558331643905692</v>
      </c>
      <c r="AC995" s="714">
        <v>0.82617698682369967</v>
      </c>
      <c r="AD995" s="714">
        <v>0.7843105192554185</v>
      </c>
      <c r="AE995" s="713" t="s">
        <v>58</v>
      </c>
      <c r="AF995" s="713" t="s">
        <v>58</v>
      </c>
      <c r="AG995" s="713" t="s">
        <v>58</v>
      </c>
      <c r="AH995" s="714">
        <v>0.94387031345969796</v>
      </c>
      <c r="AI995" s="713" t="s">
        <v>58</v>
      </c>
      <c r="AJ995" s="713" t="s">
        <v>58</v>
      </c>
      <c r="AK995" s="713" t="s">
        <v>58</v>
      </c>
      <c r="AL995" s="714">
        <v>0.94454345387965444</v>
      </c>
      <c r="AM995" s="713" t="s">
        <v>58</v>
      </c>
      <c r="AN995" s="713" t="s">
        <v>58</v>
      </c>
      <c r="AO995" s="713" t="s">
        <v>58</v>
      </c>
      <c r="AP995" s="747">
        <v>9</v>
      </c>
      <c r="AQ995" s="747">
        <v>54</v>
      </c>
      <c r="AR995" s="709"/>
      <c r="AS995" s="763">
        <v>0</v>
      </c>
      <c r="AT995" s="763">
        <v>0</v>
      </c>
      <c r="AU995" s="763">
        <v>0</v>
      </c>
      <c r="AV995" s="763">
        <v>0.27558331643905692</v>
      </c>
      <c r="AW995" s="763">
        <v>0.18329345069080075</v>
      </c>
      <c r="AX995" s="763">
        <v>0.18329345069080075</v>
      </c>
      <c r="AY995" s="763">
        <v>0</v>
      </c>
      <c r="AZ995" s="763">
        <v>0</v>
      </c>
      <c r="BA995" s="763">
        <v>0</v>
      </c>
      <c r="BB995" s="763">
        <v>0</v>
      </c>
      <c r="BC995" s="763">
        <v>0</v>
      </c>
      <c r="BD995" s="763">
        <v>0</v>
      </c>
      <c r="BE995" s="763">
        <v>0</v>
      </c>
      <c r="BF995" s="763">
        <v>0</v>
      </c>
      <c r="BG995" s="763">
        <v>0</v>
      </c>
      <c r="BH995" s="763">
        <v>0</v>
      </c>
      <c r="BI995" s="763">
        <v>0</v>
      </c>
      <c r="BJ995" s="763">
        <v>0</v>
      </c>
      <c r="BK995" s="763">
        <v>0</v>
      </c>
      <c r="BL995" s="763">
        <v>0</v>
      </c>
      <c r="BM995" s="763">
        <v>0</v>
      </c>
      <c r="BN995" s="763">
        <v>0</v>
      </c>
      <c r="BO995" s="763">
        <v>0</v>
      </c>
      <c r="BP995" s="763">
        <v>0</v>
      </c>
      <c r="BQ995" s="763">
        <v>0</v>
      </c>
      <c r="BR995" s="763">
        <v>0</v>
      </c>
      <c r="BS995" s="762">
        <v>0</v>
      </c>
      <c r="BT995" s="762">
        <v>0</v>
      </c>
      <c r="BU995" s="762">
        <v>0</v>
      </c>
      <c r="BV995" s="762">
        <v>920.73633646339078</v>
      </c>
      <c r="BW995" s="762">
        <v>612.39171684074734</v>
      </c>
      <c r="BX995" s="762">
        <v>612.39171684074734</v>
      </c>
      <c r="BY995" s="762">
        <v>0</v>
      </c>
      <c r="BZ995" s="762">
        <v>0</v>
      </c>
      <c r="CA995" s="762">
        <v>0</v>
      </c>
      <c r="CB995" s="762">
        <v>0</v>
      </c>
      <c r="CC995" s="762">
        <v>0</v>
      </c>
      <c r="CD995" s="762">
        <v>0</v>
      </c>
      <c r="CE995" s="762">
        <v>0</v>
      </c>
      <c r="CF995" s="762">
        <v>0</v>
      </c>
      <c r="CG995" s="762">
        <v>0</v>
      </c>
      <c r="CH995" s="762">
        <v>0</v>
      </c>
      <c r="CI995" s="762">
        <v>0</v>
      </c>
      <c r="CJ995" s="762">
        <v>0</v>
      </c>
      <c r="CK995" s="762">
        <v>0</v>
      </c>
      <c r="CL995" s="762">
        <v>0</v>
      </c>
      <c r="CM995" s="762">
        <v>0</v>
      </c>
      <c r="CN995" s="762">
        <v>0</v>
      </c>
      <c r="CO995" s="762">
        <v>0</v>
      </c>
      <c r="CP995" s="762">
        <v>0</v>
      </c>
      <c r="CQ995" s="762">
        <v>0</v>
      </c>
      <c r="CR995" s="762">
        <v>0</v>
      </c>
    </row>
    <row r="996" spans="1:96" s="53" customFormat="1">
      <c r="A996" s="721" t="s">
        <v>3</v>
      </c>
      <c r="B996" s="723">
        <v>41891</v>
      </c>
      <c r="C996" s="721">
        <v>2014</v>
      </c>
      <c r="D996" s="713" t="s">
        <v>1</v>
      </c>
      <c r="E996" s="713" t="s">
        <v>674</v>
      </c>
      <c r="F996" s="723" t="s">
        <v>673</v>
      </c>
      <c r="G996" s="713" t="s">
        <v>58</v>
      </c>
      <c r="H996" s="723" t="s">
        <v>713</v>
      </c>
      <c r="I996" s="713" t="s">
        <v>5</v>
      </c>
      <c r="J996" s="713" t="s">
        <v>376</v>
      </c>
      <c r="K996" s="766">
        <v>24</v>
      </c>
      <c r="L996" s="766" t="s">
        <v>671</v>
      </c>
      <c r="M996" s="765" t="s">
        <v>709</v>
      </c>
      <c r="N996" s="765">
        <v>12</v>
      </c>
      <c r="O996" s="765">
        <v>3</v>
      </c>
      <c r="P996" s="735">
        <v>0.25</v>
      </c>
      <c r="Q996" s="713" t="s">
        <v>58</v>
      </c>
      <c r="R996" s="713" t="s">
        <v>58</v>
      </c>
      <c r="S996" s="713" t="s">
        <v>58</v>
      </c>
      <c r="T996" s="713" t="s">
        <v>58</v>
      </c>
      <c r="U996" s="764">
        <v>1.1519999999999999</v>
      </c>
      <c r="V996" s="764">
        <v>2988.288</v>
      </c>
      <c r="W996" s="764">
        <v>0.90352571818224214</v>
      </c>
      <c r="X996" s="764">
        <v>2468.8547756014195</v>
      </c>
      <c r="Y996" s="764">
        <v>12961.487571907452</v>
      </c>
      <c r="Z996" s="764">
        <v>12233.963337400266</v>
      </c>
      <c r="AA996" s="764">
        <v>2330.2787309333839</v>
      </c>
      <c r="AB996" s="764">
        <v>0.85341930252095033</v>
      </c>
      <c r="AC996" s="714">
        <v>0.82617698682369967</v>
      </c>
      <c r="AD996" s="714">
        <v>0.7843105192554185</v>
      </c>
      <c r="AE996" s="713" t="s">
        <v>58</v>
      </c>
      <c r="AF996" s="713" t="s">
        <v>58</v>
      </c>
      <c r="AG996" s="713" t="s">
        <v>58</v>
      </c>
      <c r="AH996" s="714">
        <v>0.94387031345969796</v>
      </c>
      <c r="AI996" s="713" t="s">
        <v>58</v>
      </c>
      <c r="AJ996" s="713" t="s">
        <v>58</v>
      </c>
      <c r="AK996" s="713" t="s">
        <v>58</v>
      </c>
      <c r="AL996" s="714">
        <v>0.94454345387965444</v>
      </c>
      <c r="AM996" s="713" t="s">
        <v>58</v>
      </c>
      <c r="AN996" s="713" t="s">
        <v>58</v>
      </c>
      <c r="AO996" s="713" t="s">
        <v>58</v>
      </c>
      <c r="AP996" s="747">
        <v>74</v>
      </c>
      <c r="AQ996" s="747">
        <v>1776</v>
      </c>
      <c r="AR996" s="709"/>
      <c r="AS996" s="763">
        <v>0</v>
      </c>
      <c r="AT996" s="763">
        <v>0</v>
      </c>
      <c r="AU996" s="763">
        <v>0</v>
      </c>
      <c r="AV996" s="763">
        <v>0.85341930252095033</v>
      </c>
      <c r="AW996" s="763">
        <v>0.85341930252095033</v>
      </c>
      <c r="AX996" s="763">
        <v>0.85341930252095033</v>
      </c>
      <c r="AY996" s="763">
        <v>0.21335482563023758</v>
      </c>
      <c r="AZ996" s="763">
        <v>0.21335482563023758</v>
      </c>
      <c r="BA996" s="763">
        <v>0.21335482563023758</v>
      </c>
      <c r="BB996" s="763">
        <v>0.21335482563023758</v>
      </c>
      <c r="BC996" s="763">
        <v>0.21335482563023758</v>
      </c>
      <c r="BD996" s="763">
        <v>0.21335482563023758</v>
      </c>
      <c r="BE996" s="763">
        <v>0.21335482563023758</v>
      </c>
      <c r="BF996" s="763">
        <v>0.21335482563023758</v>
      </c>
      <c r="BG996" s="763">
        <v>0.21335482563023758</v>
      </c>
      <c r="BH996" s="763">
        <v>0</v>
      </c>
      <c r="BI996" s="763">
        <v>0</v>
      </c>
      <c r="BJ996" s="763">
        <v>0</v>
      </c>
      <c r="BK996" s="763">
        <v>0</v>
      </c>
      <c r="BL996" s="763">
        <v>0</v>
      </c>
      <c r="BM996" s="763">
        <v>0</v>
      </c>
      <c r="BN996" s="763">
        <v>0</v>
      </c>
      <c r="BO996" s="763">
        <v>0</v>
      </c>
      <c r="BP996" s="763">
        <v>0</v>
      </c>
      <c r="BQ996" s="763">
        <v>0</v>
      </c>
      <c r="BR996" s="763">
        <v>0</v>
      </c>
      <c r="BS996" s="762">
        <v>0</v>
      </c>
      <c r="BT996" s="762">
        <v>0</v>
      </c>
      <c r="BU996" s="762">
        <v>0</v>
      </c>
      <c r="BV996" s="762">
        <v>2330.2787309333839</v>
      </c>
      <c r="BW996" s="762">
        <v>2330.2787309333839</v>
      </c>
      <c r="BX996" s="762">
        <v>2330.2787309333839</v>
      </c>
      <c r="BY996" s="762">
        <v>582.56968273334599</v>
      </c>
      <c r="BZ996" s="762">
        <v>582.56968273334599</v>
      </c>
      <c r="CA996" s="762">
        <v>582.56968273334599</v>
      </c>
      <c r="CB996" s="762">
        <v>582.56968273334599</v>
      </c>
      <c r="CC996" s="762">
        <v>582.56968273334599</v>
      </c>
      <c r="CD996" s="762">
        <v>582.56968273334599</v>
      </c>
      <c r="CE996" s="762">
        <v>582.56968273334599</v>
      </c>
      <c r="CF996" s="762">
        <v>582.56968273334599</v>
      </c>
      <c r="CG996" s="762">
        <v>582.56968273334599</v>
      </c>
      <c r="CH996" s="762">
        <v>0</v>
      </c>
      <c r="CI996" s="762">
        <v>0</v>
      </c>
      <c r="CJ996" s="762">
        <v>0</v>
      </c>
      <c r="CK996" s="762">
        <v>0</v>
      </c>
      <c r="CL996" s="762">
        <v>0</v>
      </c>
      <c r="CM996" s="762">
        <v>0</v>
      </c>
      <c r="CN996" s="762">
        <v>0</v>
      </c>
      <c r="CO996" s="762">
        <v>0</v>
      </c>
      <c r="CP996" s="762">
        <v>0</v>
      </c>
      <c r="CQ996" s="762">
        <v>0</v>
      </c>
      <c r="CR996" s="762">
        <v>0</v>
      </c>
    </row>
    <row r="997" spans="1:96" s="53" customFormat="1">
      <c r="A997" s="721" t="s">
        <v>3</v>
      </c>
      <c r="B997" s="723">
        <v>41891</v>
      </c>
      <c r="C997" s="721">
        <v>2014</v>
      </c>
      <c r="D997" s="713" t="s">
        <v>1</v>
      </c>
      <c r="E997" s="713" t="s">
        <v>674</v>
      </c>
      <c r="F997" s="723" t="s">
        <v>673</v>
      </c>
      <c r="G997" s="713" t="s">
        <v>58</v>
      </c>
      <c r="H997" s="723" t="s">
        <v>713</v>
      </c>
      <c r="I997" s="713" t="s">
        <v>5</v>
      </c>
      <c r="J997" s="713" t="s">
        <v>376</v>
      </c>
      <c r="K997" s="766">
        <v>28</v>
      </c>
      <c r="L997" s="766" t="s">
        <v>671</v>
      </c>
      <c r="M997" s="765" t="s">
        <v>709</v>
      </c>
      <c r="N997" s="765">
        <v>12</v>
      </c>
      <c r="O997" s="765">
        <v>3</v>
      </c>
      <c r="P997" s="735">
        <v>0.25</v>
      </c>
      <c r="Q997" s="713" t="s">
        <v>58</v>
      </c>
      <c r="R997" s="713" t="s">
        <v>58</v>
      </c>
      <c r="S997" s="713" t="s">
        <v>58</v>
      </c>
      <c r="T997" s="713" t="s">
        <v>58</v>
      </c>
      <c r="U997" s="764">
        <v>1.3440000000000001</v>
      </c>
      <c r="V997" s="764">
        <v>3486.3359999999998</v>
      </c>
      <c r="W997" s="764">
        <v>1.0541133378792826</v>
      </c>
      <c r="X997" s="764">
        <v>2880.3305715349893</v>
      </c>
      <c r="Y997" s="764">
        <v>15121.735500558694</v>
      </c>
      <c r="Z997" s="764">
        <v>14272.957226966977</v>
      </c>
      <c r="AA997" s="764">
        <v>2718.6585194222812</v>
      </c>
      <c r="AB997" s="764">
        <v>0.99565585294110881</v>
      </c>
      <c r="AC997" s="714">
        <v>0.82617698682369967</v>
      </c>
      <c r="AD997" s="714">
        <v>0.7843105192554185</v>
      </c>
      <c r="AE997" s="713" t="s">
        <v>58</v>
      </c>
      <c r="AF997" s="713" t="s">
        <v>58</v>
      </c>
      <c r="AG997" s="713" t="s">
        <v>58</v>
      </c>
      <c r="AH997" s="714">
        <v>0.94387031345969796</v>
      </c>
      <c r="AI997" s="713" t="s">
        <v>58</v>
      </c>
      <c r="AJ997" s="713" t="s">
        <v>58</v>
      </c>
      <c r="AK997" s="713" t="s">
        <v>58</v>
      </c>
      <c r="AL997" s="714">
        <v>0.94454345387965444</v>
      </c>
      <c r="AM997" s="713" t="s">
        <v>58</v>
      </c>
      <c r="AN997" s="713" t="s">
        <v>58</v>
      </c>
      <c r="AO997" s="713" t="s">
        <v>58</v>
      </c>
      <c r="AP997" s="747">
        <v>17</v>
      </c>
      <c r="AQ997" s="747">
        <v>476</v>
      </c>
      <c r="AR997" s="709"/>
      <c r="AS997" s="763">
        <v>0</v>
      </c>
      <c r="AT997" s="763">
        <v>0</v>
      </c>
      <c r="AU997" s="763">
        <v>0</v>
      </c>
      <c r="AV997" s="763">
        <v>0.99565585294110881</v>
      </c>
      <c r="AW997" s="763">
        <v>0.99565585294110881</v>
      </c>
      <c r="AX997" s="763">
        <v>0.99565585294110881</v>
      </c>
      <c r="AY997" s="763">
        <v>0.2489139632352772</v>
      </c>
      <c r="AZ997" s="763">
        <v>0.2489139632352772</v>
      </c>
      <c r="BA997" s="763">
        <v>0.2489139632352772</v>
      </c>
      <c r="BB997" s="763">
        <v>0.2489139632352772</v>
      </c>
      <c r="BC997" s="763">
        <v>0.2489139632352772</v>
      </c>
      <c r="BD997" s="763">
        <v>0.2489139632352772</v>
      </c>
      <c r="BE997" s="763">
        <v>0.2489139632352772</v>
      </c>
      <c r="BF997" s="763">
        <v>0.2489139632352772</v>
      </c>
      <c r="BG997" s="763">
        <v>0.2489139632352772</v>
      </c>
      <c r="BH997" s="763">
        <v>0</v>
      </c>
      <c r="BI997" s="763">
        <v>0</v>
      </c>
      <c r="BJ997" s="763">
        <v>0</v>
      </c>
      <c r="BK997" s="763">
        <v>0</v>
      </c>
      <c r="BL997" s="763">
        <v>0</v>
      </c>
      <c r="BM997" s="763">
        <v>0</v>
      </c>
      <c r="BN997" s="763">
        <v>0</v>
      </c>
      <c r="BO997" s="763">
        <v>0</v>
      </c>
      <c r="BP997" s="763">
        <v>0</v>
      </c>
      <c r="BQ997" s="763">
        <v>0</v>
      </c>
      <c r="BR997" s="763">
        <v>0</v>
      </c>
      <c r="BS997" s="762">
        <v>0</v>
      </c>
      <c r="BT997" s="762">
        <v>0</v>
      </c>
      <c r="BU997" s="762">
        <v>0</v>
      </c>
      <c r="BV997" s="762">
        <v>2718.6585194222812</v>
      </c>
      <c r="BW997" s="762">
        <v>2718.6585194222812</v>
      </c>
      <c r="BX997" s="762">
        <v>2718.6585194222812</v>
      </c>
      <c r="BY997" s="762">
        <v>679.6646298555703</v>
      </c>
      <c r="BZ997" s="762">
        <v>679.6646298555703</v>
      </c>
      <c r="CA997" s="762">
        <v>679.6646298555703</v>
      </c>
      <c r="CB997" s="762">
        <v>679.6646298555703</v>
      </c>
      <c r="CC997" s="762">
        <v>679.6646298555703</v>
      </c>
      <c r="CD997" s="762">
        <v>679.6646298555703</v>
      </c>
      <c r="CE997" s="762">
        <v>679.6646298555703</v>
      </c>
      <c r="CF997" s="762">
        <v>679.6646298555703</v>
      </c>
      <c r="CG997" s="762">
        <v>679.6646298555703</v>
      </c>
      <c r="CH997" s="762">
        <v>0</v>
      </c>
      <c r="CI997" s="762">
        <v>0</v>
      </c>
      <c r="CJ997" s="762">
        <v>0</v>
      </c>
      <c r="CK997" s="762">
        <v>0</v>
      </c>
      <c r="CL997" s="762">
        <v>0</v>
      </c>
      <c r="CM997" s="762">
        <v>0</v>
      </c>
      <c r="CN997" s="762">
        <v>0</v>
      </c>
      <c r="CO997" s="762">
        <v>0</v>
      </c>
      <c r="CP997" s="762">
        <v>0</v>
      </c>
      <c r="CQ997" s="762">
        <v>0</v>
      </c>
      <c r="CR997" s="762">
        <v>0</v>
      </c>
    </row>
    <row r="998" spans="1:96" s="53" customFormat="1">
      <c r="A998" s="721" t="s">
        <v>3</v>
      </c>
      <c r="B998" s="723">
        <v>41891</v>
      </c>
      <c r="C998" s="721">
        <v>2014</v>
      </c>
      <c r="D998" s="713" t="s">
        <v>1</v>
      </c>
      <c r="E998" s="713" t="s">
        <v>674</v>
      </c>
      <c r="F998" s="723" t="s">
        <v>673</v>
      </c>
      <c r="G998" s="713" t="s">
        <v>58</v>
      </c>
      <c r="H998" s="723" t="s">
        <v>677</v>
      </c>
      <c r="I998" s="713" t="s">
        <v>5</v>
      </c>
      <c r="J998" s="713" t="s">
        <v>376</v>
      </c>
      <c r="K998" s="766">
        <v>1</v>
      </c>
      <c r="L998" s="766" t="s">
        <v>671</v>
      </c>
      <c r="M998" s="765" t="s">
        <v>709</v>
      </c>
      <c r="N998" s="765">
        <v>0</v>
      </c>
      <c r="O998" s="765">
        <v>0</v>
      </c>
      <c r="P998" s="735">
        <v>0</v>
      </c>
      <c r="Q998" s="713" t="s">
        <v>58</v>
      </c>
      <c r="R998" s="713" t="s">
        <v>58</v>
      </c>
      <c r="S998" s="713" t="s">
        <v>58</v>
      </c>
      <c r="T998" s="713" t="s">
        <v>58</v>
      </c>
      <c r="U998" s="764">
        <v>0</v>
      </c>
      <c r="V998" s="764">
        <v>0</v>
      </c>
      <c r="W998" s="764">
        <v>0</v>
      </c>
      <c r="X998" s="764">
        <v>0</v>
      </c>
      <c r="Y998" s="764">
        <v>0</v>
      </c>
      <c r="Z998" s="764">
        <v>0</v>
      </c>
      <c r="AA998" s="764">
        <v>0</v>
      </c>
      <c r="AB998" s="764">
        <v>0</v>
      </c>
      <c r="AC998" s="714">
        <v>0.82617698682369967</v>
      </c>
      <c r="AD998" s="714">
        <v>0.7843105192554185</v>
      </c>
      <c r="AE998" s="713" t="s">
        <v>58</v>
      </c>
      <c r="AF998" s="713" t="s">
        <v>58</v>
      </c>
      <c r="AG998" s="713" t="s">
        <v>58</v>
      </c>
      <c r="AH998" s="714">
        <v>0.94387031345969796</v>
      </c>
      <c r="AI998" s="713" t="s">
        <v>58</v>
      </c>
      <c r="AJ998" s="713" t="s">
        <v>58</v>
      </c>
      <c r="AK998" s="713" t="s">
        <v>58</v>
      </c>
      <c r="AL998" s="714">
        <v>0.94454345387965444</v>
      </c>
      <c r="AM998" s="713" t="s">
        <v>58</v>
      </c>
      <c r="AN998" s="713" t="s">
        <v>58</v>
      </c>
      <c r="AO998" s="713" t="s">
        <v>58</v>
      </c>
      <c r="AP998" s="747">
        <v>51</v>
      </c>
      <c r="AQ998" s="747">
        <v>51</v>
      </c>
      <c r="AR998" s="709"/>
      <c r="AS998" s="763">
        <v>0</v>
      </c>
      <c r="AT998" s="763">
        <v>0</v>
      </c>
      <c r="AU998" s="763">
        <v>0</v>
      </c>
      <c r="AV998" s="763">
        <v>0</v>
      </c>
      <c r="AW998" s="763">
        <v>0</v>
      </c>
      <c r="AX998" s="763">
        <v>0</v>
      </c>
      <c r="AY998" s="763">
        <v>0</v>
      </c>
      <c r="AZ998" s="763">
        <v>0</v>
      </c>
      <c r="BA998" s="763">
        <v>0</v>
      </c>
      <c r="BB998" s="763">
        <v>0</v>
      </c>
      <c r="BC998" s="763">
        <v>0</v>
      </c>
      <c r="BD998" s="763">
        <v>0</v>
      </c>
      <c r="BE998" s="763">
        <v>0</v>
      </c>
      <c r="BF998" s="763">
        <v>0</v>
      </c>
      <c r="BG998" s="763">
        <v>0</v>
      </c>
      <c r="BH998" s="763">
        <v>0</v>
      </c>
      <c r="BI998" s="763">
        <v>0</v>
      </c>
      <c r="BJ998" s="763">
        <v>0</v>
      </c>
      <c r="BK998" s="763">
        <v>0</v>
      </c>
      <c r="BL998" s="763">
        <v>0</v>
      </c>
      <c r="BM998" s="763">
        <v>0</v>
      </c>
      <c r="BN998" s="763">
        <v>0</v>
      </c>
      <c r="BO998" s="763">
        <v>0</v>
      </c>
      <c r="BP998" s="763">
        <v>0</v>
      </c>
      <c r="BQ998" s="763">
        <v>0</v>
      </c>
      <c r="BR998" s="763">
        <v>0</v>
      </c>
      <c r="BS998" s="762">
        <v>0</v>
      </c>
      <c r="BT998" s="762">
        <v>0</v>
      </c>
      <c r="BU998" s="762">
        <v>0</v>
      </c>
      <c r="BV998" s="762">
        <v>0</v>
      </c>
      <c r="BW998" s="762">
        <v>0</v>
      </c>
      <c r="BX998" s="762">
        <v>0</v>
      </c>
      <c r="BY998" s="762">
        <v>0</v>
      </c>
      <c r="BZ998" s="762">
        <v>0</v>
      </c>
      <c r="CA998" s="762">
        <v>0</v>
      </c>
      <c r="CB998" s="762">
        <v>0</v>
      </c>
      <c r="CC998" s="762">
        <v>0</v>
      </c>
      <c r="CD998" s="762">
        <v>0</v>
      </c>
      <c r="CE998" s="762">
        <v>0</v>
      </c>
      <c r="CF998" s="762">
        <v>0</v>
      </c>
      <c r="CG998" s="762">
        <v>0</v>
      </c>
      <c r="CH998" s="762">
        <v>0</v>
      </c>
      <c r="CI998" s="762">
        <v>0</v>
      </c>
      <c r="CJ998" s="762">
        <v>0</v>
      </c>
      <c r="CK998" s="762">
        <v>0</v>
      </c>
      <c r="CL998" s="762">
        <v>0</v>
      </c>
      <c r="CM998" s="762">
        <v>0</v>
      </c>
      <c r="CN998" s="762">
        <v>0</v>
      </c>
      <c r="CO998" s="762">
        <v>0</v>
      </c>
      <c r="CP998" s="762">
        <v>0</v>
      </c>
      <c r="CQ998" s="762">
        <v>0</v>
      </c>
      <c r="CR998" s="762">
        <v>0</v>
      </c>
    </row>
    <row r="999" spans="1:96" s="53" customFormat="1">
      <c r="A999" s="721" t="s">
        <v>3</v>
      </c>
      <c r="B999" s="723">
        <v>41891</v>
      </c>
      <c r="C999" s="721">
        <v>2014</v>
      </c>
      <c r="D999" s="713" t="s">
        <v>1</v>
      </c>
      <c r="E999" s="713" t="s">
        <v>674</v>
      </c>
      <c r="F999" s="723" t="s">
        <v>673</v>
      </c>
      <c r="G999" s="713" t="s">
        <v>58</v>
      </c>
      <c r="H999" s="723" t="s">
        <v>712</v>
      </c>
      <c r="I999" s="713" t="s">
        <v>5</v>
      </c>
      <c r="J999" s="713" t="s">
        <v>376</v>
      </c>
      <c r="K999" s="766">
        <v>1</v>
      </c>
      <c r="L999" s="766" t="s">
        <v>671</v>
      </c>
      <c r="M999" s="765" t="s">
        <v>709</v>
      </c>
      <c r="N999" s="765">
        <v>0</v>
      </c>
      <c r="O999" s="765">
        <v>0</v>
      </c>
      <c r="P999" s="735">
        <v>0</v>
      </c>
      <c r="Q999" s="713" t="s">
        <v>58</v>
      </c>
      <c r="R999" s="713" t="s">
        <v>58</v>
      </c>
      <c r="S999" s="713" t="s">
        <v>58</v>
      </c>
      <c r="T999" s="713" t="s">
        <v>58</v>
      </c>
      <c r="U999" s="764">
        <v>0</v>
      </c>
      <c r="V999" s="764">
        <v>0</v>
      </c>
      <c r="W999" s="764">
        <v>0</v>
      </c>
      <c r="X999" s="764">
        <v>0</v>
      </c>
      <c r="Y999" s="764">
        <v>0</v>
      </c>
      <c r="Z999" s="764">
        <v>0</v>
      </c>
      <c r="AA999" s="764">
        <v>0</v>
      </c>
      <c r="AB999" s="764">
        <v>0</v>
      </c>
      <c r="AC999" s="714">
        <v>0.82617698682369967</v>
      </c>
      <c r="AD999" s="714">
        <v>0.7843105192554185</v>
      </c>
      <c r="AE999" s="713" t="s">
        <v>58</v>
      </c>
      <c r="AF999" s="713" t="s">
        <v>58</v>
      </c>
      <c r="AG999" s="713" t="s">
        <v>58</v>
      </c>
      <c r="AH999" s="714">
        <v>0.94387031345969796</v>
      </c>
      <c r="AI999" s="713" t="s">
        <v>58</v>
      </c>
      <c r="AJ999" s="713" t="s">
        <v>58</v>
      </c>
      <c r="AK999" s="713" t="s">
        <v>58</v>
      </c>
      <c r="AL999" s="714">
        <v>0.94454345387965444</v>
      </c>
      <c r="AM999" s="713" t="s">
        <v>58</v>
      </c>
      <c r="AN999" s="713" t="s">
        <v>58</v>
      </c>
      <c r="AO999" s="713" t="s">
        <v>58</v>
      </c>
      <c r="AP999" s="747">
        <v>0</v>
      </c>
      <c r="AQ999" s="747">
        <v>0</v>
      </c>
      <c r="AR999" s="709"/>
      <c r="AS999" s="763">
        <v>0</v>
      </c>
      <c r="AT999" s="763">
        <v>0</v>
      </c>
      <c r="AU999" s="763">
        <v>0</v>
      </c>
      <c r="AV999" s="763">
        <v>0</v>
      </c>
      <c r="AW999" s="763">
        <v>0</v>
      </c>
      <c r="AX999" s="763">
        <v>0</v>
      </c>
      <c r="AY999" s="763">
        <v>0</v>
      </c>
      <c r="AZ999" s="763">
        <v>0</v>
      </c>
      <c r="BA999" s="763">
        <v>0</v>
      </c>
      <c r="BB999" s="763">
        <v>0</v>
      </c>
      <c r="BC999" s="763">
        <v>0</v>
      </c>
      <c r="BD999" s="763">
        <v>0</v>
      </c>
      <c r="BE999" s="763">
        <v>0</v>
      </c>
      <c r="BF999" s="763">
        <v>0</v>
      </c>
      <c r="BG999" s="763">
        <v>0</v>
      </c>
      <c r="BH999" s="763">
        <v>0</v>
      </c>
      <c r="BI999" s="763">
        <v>0</v>
      </c>
      <c r="BJ999" s="763">
        <v>0</v>
      </c>
      <c r="BK999" s="763">
        <v>0</v>
      </c>
      <c r="BL999" s="763">
        <v>0</v>
      </c>
      <c r="BM999" s="763">
        <v>0</v>
      </c>
      <c r="BN999" s="763">
        <v>0</v>
      </c>
      <c r="BO999" s="763">
        <v>0</v>
      </c>
      <c r="BP999" s="763">
        <v>0</v>
      </c>
      <c r="BQ999" s="763">
        <v>0</v>
      </c>
      <c r="BR999" s="763">
        <v>0</v>
      </c>
      <c r="BS999" s="762">
        <v>0</v>
      </c>
      <c r="BT999" s="762">
        <v>0</v>
      </c>
      <c r="BU999" s="762">
        <v>0</v>
      </c>
      <c r="BV999" s="762">
        <v>0</v>
      </c>
      <c r="BW999" s="762">
        <v>0</v>
      </c>
      <c r="BX999" s="762">
        <v>0</v>
      </c>
      <c r="BY999" s="762">
        <v>0</v>
      </c>
      <c r="BZ999" s="762">
        <v>0</v>
      </c>
      <c r="CA999" s="762">
        <v>0</v>
      </c>
      <c r="CB999" s="762">
        <v>0</v>
      </c>
      <c r="CC999" s="762">
        <v>0</v>
      </c>
      <c r="CD999" s="762">
        <v>0</v>
      </c>
      <c r="CE999" s="762">
        <v>0</v>
      </c>
      <c r="CF999" s="762">
        <v>0</v>
      </c>
      <c r="CG999" s="762">
        <v>0</v>
      </c>
      <c r="CH999" s="762">
        <v>0</v>
      </c>
      <c r="CI999" s="762">
        <v>0</v>
      </c>
      <c r="CJ999" s="762">
        <v>0</v>
      </c>
      <c r="CK999" s="762">
        <v>0</v>
      </c>
      <c r="CL999" s="762">
        <v>0</v>
      </c>
      <c r="CM999" s="762">
        <v>0</v>
      </c>
      <c r="CN999" s="762">
        <v>0</v>
      </c>
      <c r="CO999" s="762">
        <v>0</v>
      </c>
      <c r="CP999" s="762">
        <v>0</v>
      </c>
      <c r="CQ999" s="762">
        <v>0</v>
      </c>
      <c r="CR999" s="762">
        <v>0</v>
      </c>
    </row>
    <row r="1000" spans="1:96" s="53" customFormat="1">
      <c r="A1000" s="721" t="s">
        <v>3</v>
      </c>
      <c r="B1000" s="723">
        <v>41891</v>
      </c>
      <c r="C1000" s="721">
        <v>2014</v>
      </c>
      <c r="D1000" s="713" t="s">
        <v>1</v>
      </c>
      <c r="E1000" s="713" t="s">
        <v>674</v>
      </c>
      <c r="F1000" s="723" t="s">
        <v>673</v>
      </c>
      <c r="G1000" s="713" t="s">
        <v>58</v>
      </c>
      <c r="H1000" s="723" t="s">
        <v>711</v>
      </c>
      <c r="I1000" s="713" t="s">
        <v>5</v>
      </c>
      <c r="J1000" s="713" t="s">
        <v>376</v>
      </c>
      <c r="K1000" s="766">
        <v>4</v>
      </c>
      <c r="L1000" s="766" t="s">
        <v>671</v>
      </c>
      <c r="M1000" s="765" t="s">
        <v>709</v>
      </c>
      <c r="N1000" s="765">
        <v>12</v>
      </c>
      <c r="O1000" s="765">
        <v>3</v>
      </c>
      <c r="P1000" s="735">
        <v>0</v>
      </c>
      <c r="Q1000" s="713" t="s">
        <v>58</v>
      </c>
      <c r="R1000" s="713" t="s">
        <v>58</v>
      </c>
      <c r="S1000" s="713" t="s">
        <v>58</v>
      </c>
      <c r="T1000" s="713" t="s">
        <v>58</v>
      </c>
      <c r="U1000" s="764">
        <v>0.12</v>
      </c>
      <c r="V1000" s="764">
        <v>311.27999999999997</v>
      </c>
      <c r="W1000" s="764">
        <v>9.4117262310650221E-2</v>
      </c>
      <c r="X1000" s="764">
        <v>257.17237245848122</v>
      </c>
      <c r="Y1000" s="764">
        <v>771.5171173754436</v>
      </c>
      <c r="Z1000" s="764">
        <v>728.21210341668257</v>
      </c>
      <c r="AA1000" s="764">
        <v>242.73736780556087</v>
      </c>
      <c r="AB1000" s="764">
        <v>8.8897844012598981E-2</v>
      </c>
      <c r="AC1000" s="714">
        <v>0.82617698682369967</v>
      </c>
      <c r="AD1000" s="714">
        <v>0.7843105192554185</v>
      </c>
      <c r="AE1000" s="713" t="s">
        <v>58</v>
      </c>
      <c r="AF1000" s="713" t="s">
        <v>58</v>
      </c>
      <c r="AG1000" s="713" t="s">
        <v>58</v>
      </c>
      <c r="AH1000" s="714">
        <v>0.94387031345969796</v>
      </c>
      <c r="AI1000" s="713" t="s">
        <v>58</v>
      </c>
      <c r="AJ1000" s="713" t="s">
        <v>58</v>
      </c>
      <c r="AK1000" s="713" t="s">
        <v>58</v>
      </c>
      <c r="AL1000" s="714">
        <v>0.94454345387965444</v>
      </c>
      <c r="AM1000" s="713" t="s">
        <v>58</v>
      </c>
      <c r="AN1000" s="713" t="s">
        <v>58</v>
      </c>
      <c r="AO1000" s="713" t="s">
        <v>58</v>
      </c>
      <c r="AP1000" s="747">
        <v>17</v>
      </c>
      <c r="AQ1000" s="747">
        <v>68</v>
      </c>
      <c r="AR1000" s="709"/>
      <c r="AS1000" s="763">
        <v>0</v>
      </c>
      <c r="AT1000" s="763">
        <v>0</v>
      </c>
      <c r="AU1000" s="763">
        <v>0</v>
      </c>
      <c r="AV1000" s="763">
        <v>8.8897844012598981E-2</v>
      </c>
      <c r="AW1000" s="763">
        <v>8.8897844012598981E-2</v>
      </c>
      <c r="AX1000" s="763">
        <v>8.8897844012598981E-2</v>
      </c>
      <c r="AY1000" s="763">
        <v>0</v>
      </c>
      <c r="AZ1000" s="763">
        <v>0</v>
      </c>
      <c r="BA1000" s="763">
        <v>0</v>
      </c>
      <c r="BB1000" s="763">
        <v>0</v>
      </c>
      <c r="BC1000" s="763">
        <v>0</v>
      </c>
      <c r="BD1000" s="763">
        <v>0</v>
      </c>
      <c r="BE1000" s="763">
        <v>0</v>
      </c>
      <c r="BF1000" s="763">
        <v>0</v>
      </c>
      <c r="BG1000" s="763">
        <v>0</v>
      </c>
      <c r="BH1000" s="763">
        <v>0</v>
      </c>
      <c r="BI1000" s="763">
        <v>0</v>
      </c>
      <c r="BJ1000" s="763">
        <v>0</v>
      </c>
      <c r="BK1000" s="763">
        <v>0</v>
      </c>
      <c r="BL1000" s="763">
        <v>0</v>
      </c>
      <c r="BM1000" s="763">
        <v>0</v>
      </c>
      <c r="BN1000" s="763">
        <v>0</v>
      </c>
      <c r="BO1000" s="763">
        <v>0</v>
      </c>
      <c r="BP1000" s="763">
        <v>0</v>
      </c>
      <c r="BQ1000" s="763">
        <v>0</v>
      </c>
      <c r="BR1000" s="763">
        <v>0</v>
      </c>
      <c r="BS1000" s="762">
        <v>0</v>
      </c>
      <c r="BT1000" s="762">
        <v>0</v>
      </c>
      <c r="BU1000" s="762">
        <v>0</v>
      </c>
      <c r="BV1000" s="762">
        <v>242.73736780556087</v>
      </c>
      <c r="BW1000" s="762">
        <v>242.73736780556087</v>
      </c>
      <c r="BX1000" s="762">
        <v>242.73736780556087</v>
      </c>
      <c r="BY1000" s="762">
        <v>0</v>
      </c>
      <c r="BZ1000" s="762">
        <v>0</v>
      </c>
      <c r="CA1000" s="762">
        <v>0</v>
      </c>
      <c r="CB1000" s="762">
        <v>0</v>
      </c>
      <c r="CC1000" s="762">
        <v>0</v>
      </c>
      <c r="CD1000" s="762">
        <v>0</v>
      </c>
      <c r="CE1000" s="762">
        <v>0</v>
      </c>
      <c r="CF1000" s="762">
        <v>0</v>
      </c>
      <c r="CG1000" s="762">
        <v>0</v>
      </c>
      <c r="CH1000" s="762">
        <v>0</v>
      </c>
      <c r="CI1000" s="762">
        <v>0</v>
      </c>
      <c r="CJ1000" s="762">
        <v>0</v>
      </c>
      <c r="CK1000" s="762">
        <v>0</v>
      </c>
      <c r="CL1000" s="762">
        <v>0</v>
      </c>
      <c r="CM1000" s="762">
        <v>0</v>
      </c>
      <c r="CN1000" s="762">
        <v>0</v>
      </c>
      <c r="CO1000" s="762">
        <v>0</v>
      </c>
      <c r="CP1000" s="762">
        <v>0</v>
      </c>
      <c r="CQ1000" s="762">
        <v>0</v>
      </c>
      <c r="CR1000" s="762">
        <v>0</v>
      </c>
    </row>
    <row r="1001" spans="1:96" s="53" customFormat="1">
      <c r="A1001" s="721" t="s">
        <v>3</v>
      </c>
      <c r="B1001" s="723">
        <v>41891</v>
      </c>
      <c r="C1001" s="721">
        <v>2014</v>
      </c>
      <c r="D1001" s="713" t="s">
        <v>1</v>
      </c>
      <c r="E1001" s="713" t="s">
        <v>674</v>
      </c>
      <c r="F1001" s="723" t="s">
        <v>673</v>
      </c>
      <c r="G1001" s="713" t="s">
        <v>58</v>
      </c>
      <c r="H1001" s="723" t="s">
        <v>710</v>
      </c>
      <c r="I1001" s="713" t="s">
        <v>5</v>
      </c>
      <c r="J1001" s="713" t="s">
        <v>376</v>
      </c>
      <c r="K1001" s="766">
        <v>5</v>
      </c>
      <c r="L1001" s="766" t="s">
        <v>671</v>
      </c>
      <c r="M1001" s="765" t="s">
        <v>709</v>
      </c>
      <c r="N1001" s="765">
        <v>10</v>
      </c>
      <c r="O1001" s="765" t="s">
        <v>7</v>
      </c>
      <c r="P1001" s="735">
        <v>1</v>
      </c>
      <c r="Q1001" s="713" t="s">
        <v>58</v>
      </c>
      <c r="R1001" s="713" t="s">
        <v>58</v>
      </c>
      <c r="S1001" s="713" t="s">
        <v>58</v>
      </c>
      <c r="T1001" s="713" t="s">
        <v>58</v>
      </c>
      <c r="U1001" s="764">
        <v>0.13500000000000001</v>
      </c>
      <c r="V1001" s="764">
        <v>1182.5999999999999</v>
      </c>
      <c r="W1001" s="764">
        <v>0.10588192009948152</v>
      </c>
      <c r="X1001" s="764">
        <v>977.03690461770702</v>
      </c>
      <c r="Y1001" s="764">
        <v>9770.3690461770711</v>
      </c>
      <c r="Z1001" s="764">
        <v>9221.9612942320819</v>
      </c>
      <c r="AA1001" s="764">
        <v>922.19612942320816</v>
      </c>
      <c r="AB1001" s="764">
        <v>0.10001007451417389</v>
      </c>
      <c r="AC1001" s="714">
        <v>0.82617698682369967</v>
      </c>
      <c r="AD1001" s="714">
        <v>0.7843105192554185</v>
      </c>
      <c r="AE1001" s="713" t="s">
        <v>58</v>
      </c>
      <c r="AF1001" s="713" t="s">
        <v>58</v>
      </c>
      <c r="AG1001" s="713" t="s">
        <v>58</v>
      </c>
      <c r="AH1001" s="714">
        <v>0.94387031345969796</v>
      </c>
      <c r="AI1001" s="713" t="s">
        <v>58</v>
      </c>
      <c r="AJ1001" s="713" t="s">
        <v>58</v>
      </c>
      <c r="AK1001" s="713" t="s">
        <v>58</v>
      </c>
      <c r="AL1001" s="714">
        <v>0.94454345387965444</v>
      </c>
      <c r="AM1001" s="713" t="s">
        <v>58</v>
      </c>
      <c r="AN1001" s="713" t="s">
        <v>58</v>
      </c>
      <c r="AO1001" s="713" t="s">
        <v>58</v>
      </c>
      <c r="AP1001" s="747">
        <v>8</v>
      </c>
      <c r="AQ1001" s="747">
        <v>40</v>
      </c>
      <c r="AR1001" s="709"/>
      <c r="AS1001" s="763">
        <v>0</v>
      </c>
      <c r="AT1001" s="763">
        <v>0</v>
      </c>
      <c r="AU1001" s="763">
        <v>0</v>
      </c>
      <c r="AV1001" s="763">
        <v>0.10001007451417389</v>
      </c>
      <c r="AW1001" s="763">
        <v>0.10001007451417389</v>
      </c>
      <c r="AX1001" s="763">
        <v>0.10001007451417389</v>
      </c>
      <c r="AY1001" s="763">
        <v>0.10001007451417389</v>
      </c>
      <c r="AZ1001" s="763">
        <v>0.10001007451417389</v>
      </c>
      <c r="BA1001" s="763">
        <v>0.10001007451417389</v>
      </c>
      <c r="BB1001" s="763">
        <v>0.10001007451417389</v>
      </c>
      <c r="BC1001" s="763">
        <v>0.10001007451417389</v>
      </c>
      <c r="BD1001" s="763">
        <v>0.10001007451417389</v>
      </c>
      <c r="BE1001" s="763">
        <v>0.10001007451417389</v>
      </c>
      <c r="BF1001" s="763">
        <v>0</v>
      </c>
      <c r="BG1001" s="763">
        <v>0</v>
      </c>
      <c r="BH1001" s="763">
        <v>0</v>
      </c>
      <c r="BI1001" s="763">
        <v>0</v>
      </c>
      <c r="BJ1001" s="763">
        <v>0</v>
      </c>
      <c r="BK1001" s="763">
        <v>0</v>
      </c>
      <c r="BL1001" s="763">
        <v>0</v>
      </c>
      <c r="BM1001" s="763">
        <v>0</v>
      </c>
      <c r="BN1001" s="763">
        <v>0</v>
      </c>
      <c r="BO1001" s="763">
        <v>0</v>
      </c>
      <c r="BP1001" s="763">
        <v>0</v>
      </c>
      <c r="BQ1001" s="763">
        <v>0</v>
      </c>
      <c r="BR1001" s="763">
        <v>0</v>
      </c>
      <c r="BS1001" s="762">
        <v>0</v>
      </c>
      <c r="BT1001" s="762">
        <v>0</v>
      </c>
      <c r="BU1001" s="762">
        <v>0</v>
      </c>
      <c r="BV1001" s="762">
        <v>922.19612942320816</v>
      </c>
      <c r="BW1001" s="762">
        <v>922.19612942320816</v>
      </c>
      <c r="BX1001" s="762">
        <v>922.19612942320816</v>
      </c>
      <c r="BY1001" s="762">
        <v>922.19612942320816</v>
      </c>
      <c r="BZ1001" s="762">
        <v>922.19612942320816</v>
      </c>
      <c r="CA1001" s="762">
        <v>922.19612942320816</v>
      </c>
      <c r="CB1001" s="762">
        <v>922.19612942320816</v>
      </c>
      <c r="CC1001" s="762">
        <v>922.19612942320816</v>
      </c>
      <c r="CD1001" s="762">
        <v>922.19612942320816</v>
      </c>
      <c r="CE1001" s="762">
        <v>922.19612942320816</v>
      </c>
      <c r="CF1001" s="762">
        <v>0</v>
      </c>
      <c r="CG1001" s="762">
        <v>0</v>
      </c>
      <c r="CH1001" s="762">
        <v>0</v>
      </c>
      <c r="CI1001" s="762">
        <v>0</v>
      </c>
      <c r="CJ1001" s="762">
        <v>0</v>
      </c>
      <c r="CK1001" s="762">
        <v>0</v>
      </c>
      <c r="CL1001" s="762">
        <v>0</v>
      </c>
      <c r="CM1001" s="762">
        <v>0</v>
      </c>
      <c r="CN1001" s="762">
        <v>0</v>
      </c>
      <c r="CO1001" s="762">
        <v>0</v>
      </c>
      <c r="CP1001" s="762">
        <v>0</v>
      </c>
      <c r="CQ1001" s="762">
        <v>0</v>
      </c>
      <c r="CR1001" s="762">
        <v>0</v>
      </c>
    </row>
    <row r="1002" spans="1:96" s="53" customFormat="1">
      <c r="A1002" s="721" t="s">
        <v>3</v>
      </c>
      <c r="B1002" s="723">
        <v>41891</v>
      </c>
      <c r="C1002" s="721">
        <v>2014</v>
      </c>
      <c r="D1002" s="713" t="s">
        <v>1</v>
      </c>
      <c r="E1002" s="713" t="s">
        <v>674</v>
      </c>
      <c r="F1002" s="723" t="s">
        <v>673</v>
      </c>
      <c r="G1002" s="713" t="s">
        <v>58</v>
      </c>
      <c r="H1002" s="723" t="s">
        <v>677</v>
      </c>
      <c r="I1002" s="713" t="s">
        <v>5</v>
      </c>
      <c r="J1002" s="713" t="s">
        <v>376</v>
      </c>
      <c r="K1002" s="766">
        <v>1</v>
      </c>
      <c r="L1002" s="766" t="s">
        <v>671</v>
      </c>
      <c r="M1002" s="765" t="s">
        <v>709</v>
      </c>
      <c r="N1002" s="765">
        <v>0</v>
      </c>
      <c r="O1002" s="765">
        <v>0</v>
      </c>
      <c r="P1002" s="735">
        <v>0</v>
      </c>
      <c r="Q1002" s="713" t="s">
        <v>58</v>
      </c>
      <c r="R1002" s="713" t="s">
        <v>58</v>
      </c>
      <c r="S1002" s="713" t="s">
        <v>58</v>
      </c>
      <c r="T1002" s="713" t="s">
        <v>58</v>
      </c>
      <c r="U1002" s="764">
        <v>0</v>
      </c>
      <c r="V1002" s="764">
        <v>0</v>
      </c>
      <c r="W1002" s="764">
        <v>0</v>
      </c>
      <c r="X1002" s="764">
        <v>0</v>
      </c>
      <c r="Y1002" s="764">
        <v>0</v>
      </c>
      <c r="Z1002" s="764">
        <v>0</v>
      </c>
      <c r="AA1002" s="764">
        <v>0</v>
      </c>
      <c r="AB1002" s="764">
        <v>0</v>
      </c>
      <c r="AC1002" s="714">
        <v>0.82617698682369967</v>
      </c>
      <c r="AD1002" s="714">
        <v>0.7843105192554185</v>
      </c>
      <c r="AE1002" s="713" t="s">
        <v>58</v>
      </c>
      <c r="AF1002" s="713" t="s">
        <v>58</v>
      </c>
      <c r="AG1002" s="713" t="s">
        <v>58</v>
      </c>
      <c r="AH1002" s="714">
        <v>0.94387031345969796</v>
      </c>
      <c r="AI1002" s="713" t="s">
        <v>58</v>
      </c>
      <c r="AJ1002" s="713" t="s">
        <v>58</v>
      </c>
      <c r="AK1002" s="713" t="s">
        <v>58</v>
      </c>
      <c r="AL1002" s="714">
        <v>0.94454345387965444</v>
      </c>
      <c r="AM1002" s="713" t="s">
        <v>58</v>
      </c>
      <c r="AN1002" s="713" t="s">
        <v>58</v>
      </c>
      <c r="AO1002" s="713" t="s">
        <v>58</v>
      </c>
      <c r="AP1002" s="747">
        <v>51</v>
      </c>
      <c r="AQ1002" s="747">
        <v>51</v>
      </c>
      <c r="AR1002" s="709"/>
      <c r="AS1002" s="763">
        <v>0</v>
      </c>
      <c r="AT1002" s="763">
        <v>0</v>
      </c>
      <c r="AU1002" s="763">
        <v>0</v>
      </c>
      <c r="AV1002" s="763">
        <v>0</v>
      </c>
      <c r="AW1002" s="763">
        <v>0</v>
      </c>
      <c r="AX1002" s="763">
        <v>0</v>
      </c>
      <c r="AY1002" s="763">
        <v>0</v>
      </c>
      <c r="AZ1002" s="763">
        <v>0</v>
      </c>
      <c r="BA1002" s="763">
        <v>0</v>
      </c>
      <c r="BB1002" s="763">
        <v>0</v>
      </c>
      <c r="BC1002" s="763">
        <v>0</v>
      </c>
      <c r="BD1002" s="763">
        <v>0</v>
      </c>
      <c r="BE1002" s="763">
        <v>0</v>
      </c>
      <c r="BF1002" s="763">
        <v>0</v>
      </c>
      <c r="BG1002" s="763">
        <v>0</v>
      </c>
      <c r="BH1002" s="763">
        <v>0</v>
      </c>
      <c r="BI1002" s="763">
        <v>0</v>
      </c>
      <c r="BJ1002" s="763">
        <v>0</v>
      </c>
      <c r="BK1002" s="763">
        <v>0</v>
      </c>
      <c r="BL1002" s="763">
        <v>0</v>
      </c>
      <c r="BM1002" s="763">
        <v>0</v>
      </c>
      <c r="BN1002" s="763">
        <v>0</v>
      </c>
      <c r="BO1002" s="763">
        <v>0</v>
      </c>
      <c r="BP1002" s="763">
        <v>0</v>
      </c>
      <c r="BQ1002" s="763">
        <v>0</v>
      </c>
      <c r="BR1002" s="763">
        <v>0</v>
      </c>
      <c r="BS1002" s="762">
        <v>0</v>
      </c>
      <c r="BT1002" s="762">
        <v>0</v>
      </c>
      <c r="BU1002" s="762">
        <v>0</v>
      </c>
      <c r="BV1002" s="762">
        <v>0</v>
      </c>
      <c r="BW1002" s="762">
        <v>0</v>
      </c>
      <c r="BX1002" s="762">
        <v>0</v>
      </c>
      <c r="BY1002" s="762">
        <v>0</v>
      </c>
      <c r="BZ1002" s="762">
        <v>0</v>
      </c>
      <c r="CA1002" s="762">
        <v>0</v>
      </c>
      <c r="CB1002" s="762">
        <v>0</v>
      </c>
      <c r="CC1002" s="762">
        <v>0</v>
      </c>
      <c r="CD1002" s="762">
        <v>0</v>
      </c>
      <c r="CE1002" s="762">
        <v>0</v>
      </c>
      <c r="CF1002" s="762">
        <v>0</v>
      </c>
      <c r="CG1002" s="762">
        <v>0</v>
      </c>
      <c r="CH1002" s="762">
        <v>0</v>
      </c>
      <c r="CI1002" s="762">
        <v>0</v>
      </c>
      <c r="CJ1002" s="762">
        <v>0</v>
      </c>
      <c r="CK1002" s="762">
        <v>0</v>
      </c>
      <c r="CL1002" s="762">
        <v>0</v>
      </c>
      <c r="CM1002" s="762">
        <v>0</v>
      </c>
      <c r="CN1002" s="762">
        <v>0</v>
      </c>
      <c r="CO1002" s="762">
        <v>0</v>
      </c>
      <c r="CP1002" s="762">
        <v>0</v>
      </c>
      <c r="CQ1002" s="762">
        <v>0</v>
      </c>
      <c r="CR1002" s="762">
        <v>0</v>
      </c>
    </row>
    <row r="1003" spans="1:96" s="53" customFormat="1">
      <c r="A1003" s="721" t="s">
        <v>3</v>
      </c>
      <c r="B1003" s="723">
        <v>41891</v>
      </c>
      <c r="C1003" s="721">
        <v>2014</v>
      </c>
      <c r="D1003" s="713" t="s">
        <v>1</v>
      </c>
      <c r="E1003" s="713" t="s">
        <v>674</v>
      </c>
      <c r="F1003" s="723" t="s">
        <v>673</v>
      </c>
      <c r="G1003" s="713" t="s">
        <v>58</v>
      </c>
      <c r="H1003" s="723" t="s">
        <v>676</v>
      </c>
      <c r="I1003" s="713" t="s">
        <v>5</v>
      </c>
      <c r="J1003" s="713" t="s">
        <v>376</v>
      </c>
      <c r="K1003" s="766">
        <v>2</v>
      </c>
      <c r="L1003" s="766" t="s">
        <v>671</v>
      </c>
      <c r="M1003" s="765" t="s">
        <v>709</v>
      </c>
      <c r="N1003" s="765">
        <v>12</v>
      </c>
      <c r="O1003" s="765">
        <v>3</v>
      </c>
      <c r="P1003" s="735">
        <v>0.31578947368421051</v>
      </c>
      <c r="Q1003" s="713" t="s">
        <v>58</v>
      </c>
      <c r="R1003" s="713" t="s">
        <v>58</v>
      </c>
      <c r="S1003" s="713" t="s">
        <v>58</v>
      </c>
      <c r="T1003" s="713" t="s">
        <v>58</v>
      </c>
      <c r="U1003" s="764">
        <v>7.1999999999999995E-2</v>
      </c>
      <c r="V1003" s="764">
        <v>186.768</v>
      </c>
      <c r="W1003" s="764">
        <v>5.6470357386390134E-2</v>
      </c>
      <c r="X1003" s="764">
        <v>154.30342347508872</v>
      </c>
      <c r="Y1003" s="764">
        <v>901.45684240709716</v>
      </c>
      <c r="Z1003" s="764">
        <v>850.85835241317636</v>
      </c>
      <c r="AA1003" s="764">
        <v>145.6424206833365</v>
      </c>
      <c r="AB1003" s="764">
        <v>5.3338706407559396E-2</v>
      </c>
      <c r="AC1003" s="714">
        <v>0.82617698682369967</v>
      </c>
      <c r="AD1003" s="714">
        <v>0.7843105192554185</v>
      </c>
      <c r="AE1003" s="713" t="s">
        <v>58</v>
      </c>
      <c r="AF1003" s="713" t="s">
        <v>58</v>
      </c>
      <c r="AG1003" s="713" t="s">
        <v>58</v>
      </c>
      <c r="AH1003" s="714">
        <v>0.94387031345969796</v>
      </c>
      <c r="AI1003" s="713" t="s">
        <v>58</v>
      </c>
      <c r="AJ1003" s="713" t="s">
        <v>58</v>
      </c>
      <c r="AK1003" s="713" t="s">
        <v>58</v>
      </c>
      <c r="AL1003" s="714">
        <v>0.94454345387965444</v>
      </c>
      <c r="AM1003" s="713" t="s">
        <v>58</v>
      </c>
      <c r="AN1003" s="713" t="s">
        <v>58</v>
      </c>
      <c r="AO1003" s="713" t="s">
        <v>58</v>
      </c>
      <c r="AP1003" s="747">
        <v>57</v>
      </c>
      <c r="AQ1003" s="747">
        <v>114</v>
      </c>
      <c r="AR1003" s="709"/>
      <c r="AS1003" s="763">
        <v>0</v>
      </c>
      <c r="AT1003" s="763">
        <v>0</v>
      </c>
      <c r="AU1003" s="763">
        <v>0</v>
      </c>
      <c r="AV1003" s="763">
        <v>5.3338706407559396E-2</v>
      </c>
      <c r="AW1003" s="763">
        <v>5.3338706407559396E-2</v>
      </c>
      <c r="AX1003" s="763">
        <v>5.3338706407559396E-2</v>
      </c>
      <c r="AY1003" s="763">
        <v>1.6843802023439807E-2</v>
      </c>
      <c r="AZ1003" s="763">
        <v>1.6843802023439807E-2</v>
      </c>
      <c r="BA1003" s="763">
        <v>1.6843802023439807E-2</v>
      </c>
      <c r="BB1003" s="763">
        <v>1.6843802023439807E-2</v>
      </c>
      <c r="BC1003" s="763">
        <v>1.6843802023439807E-2</v>
      </c>
      <c r="BD1003" s="763">
        <v>1.6843802023439807E-2</v>
      </c>
      <c r="BE1003" s="763">
        <v>1.6843802023439807E-2</v>
      </c>
      <c r="BF1003" s="763">
        <v>1.6843802023439807E-2</v>
      </c>
      <c r="BG1003" s="763">
        <v>1.6843802023439807E-2</v>
      </c>
      <c r="BH1003" s="763">
        <v>0</v>
      </c>
      <c r="BI1003" s="763">
        <v>0</v>
      </c>
      <c r="BJ1003" s="763">
        <v>0</v>
      </c>
      <c r="BK1003" s="763">
        <v>0</v>
      </c>
      <c r="BL1003" s="763">
        <v>0</v>
      </c>
      <c r="BM1003" s="763">
        <v>0</v>
      </c>
      <c r="BN1003" s="763">
        <v>0</v>
      </c>
      <c r="BO1003" s="763">
        <v>0</v>
      </c>
      <c r="BP1003" s="763">
        <v>0</v>
      </c>
      <c r="BQ1003" s="763">
        <v>0</v>
      </c>
      <c r="BR1003" s="763">
        <v>0</v>
      </c>
      <c r="BS1003" s="762">
        <v>0</v>
      </c>
      <c r="BT1003" s="762">
        <v>0</v>
      </c>
      <c r="BU1003" s="762">
        <v>0</v>
      </c>
      <c r="BV1003" s="762">
        <v>145.6424206833365</v>
      </c>
      <c r="BW1003" s="762">
        <v>145.6424206833365</v>
      </c>
      <c r="BX1003" s="762">
        <v>145.6424206833365</v>
      </c>
      <c r="BY1003" s="762">
        <v>45.992343373685209</v>
      </c>
      <c r="BZ1003" s="762">
        <v>45.992343373685209</v>
      </c>
      <c r="CA1003" s="762">
        <v>45.992343373685209</v>
      </c>
      <c r="CB1003" s="762">
        <v>45.992343373685209</v>
      </c>
      <c r="CC1003" s="762">
        <v>45.992343373685209</v>
      </c>
      <c r="CD1003" s="762">
        <v>45.992343373685209</v>
      </c>
      <c r="CE1003" s="762">
        <v>45.992343373685209</v>
      </c>
      <c r="CF1003" s="762">
        <v>45.992343373685209</v>
      </c>
      <c r="CG1003" s="762">
        <v>45.992343373685209</v>
      </c>
      <c r="CH1003" s="762">
        <v>0</v>
      </c>
      <c r="CI1003" s="762">
        <v>0</v>
      </c>
      <c r="CJ1003" s="762">
        <v>0</v>
      </c>
      <c r="CK1003" s="762">
        <v>0</v>
      </c>
      <c r="CL1003" s="762">
        <v>0</v>
      </c>
      <c r="CM1003" s="762">
        <v>0</v>
      </c>
      <c r="CN1003" s="762">
        <v>0</v>
      </c>
      <c r="CO1003" s="762">
        <v>0</v>
      </c>
      <c r="CP1003" s="762">
        <v>0</v>
      </c>
      <c r="CQ1003" s="762">
        <v>0</v>
      </c>
      <c r="CR1003" s="762">
        <v>0</v>
      </c>
    </row>
    <row r="1004" spans="1:96" s="53" customFormat="1">
      <c r="A1004" s="721" t="s">
        <v>3</v>
      </c>
      <c r="B1004" s="723">
        <v>41891</v>
      </c>
      <c r="C1004" s="721">
        <v>2014</v>
      </c>
      <c r="D1004" s="713" t="s">
        <v>1</v>
      </c>
      <c r="E1004" s="713" t="s">
        <v>674</v>
      </c>
      <c r="F1004" s="723" t="s">
        <v>673</v>
      </c>
      <c r="G1004" s="713" t="s">
        <v>58</v>
      </c>
      <c r="H1004" s="723" t="s">
        <v>676</v>
      </c>
      <c r="I1004" s="713" t="s">
        <v>5</v>
      </c>
      <c r="J1004" s="713" t="s">
        <v>376</v>
      </c>
      <c r="K1004" s="766">
        <v>1</v>
      </c>
      <c r="L1004" s="766" t="s">
        <v>671</v>
      </c>
      <c r="M1004" s="765" t="s">
        <v>709</v>
      </c>
      <c r="N1004" s="765">
        <v>12</v>
      </c>
      <c r="O1004" s="765">
        <v>3</v>
      </c>
      <c r="P1004" s="735">
        <v>0.31578947368421051</v>
      </c>
      <c r="Q1004" s="713" t="s">
        <v>58</v>
      </c>
      <c r="R1004" s="713" t="s">
        <v>58</v>
      </c>
      <c r="S1004" s="713" t="s">
        <v>58</v>
      </c>
      <c r="T1004" s="713" t="s">
        <v>58</v>
      </c>
      <c r="U1004" s="764">
        <v>3.5999999999999997E-2</v>
      </c>
      <c r="V1004" s="764">
        <v>93.384</v>
      </c>
      <c r="W1004" s="764">
        <v>2.8235178693195067E-2</v>
      </c>
      <c r="X1004" s="764">
        <v>77.15171173754436</v>
      </c>
      <c r="Y1004" s="764">
        <v>450.72842120354858</v>
      </c>
      <c r="Z1004" s="764">
        <v>425.42917620658818</v>
      </c>
      <c r="AA1004" s="764">
        <v>72.821210341668248</v>
      </c>
      <c r="AB1004" s="764">
        <v>2.6669353203779698E-2</v>
      </c>
      <c r="AC1004" s="714">
        <v>0.82617698682369967</v>
      </c>
      <c r="AD1004" s="714">
        <v>0.7843105192554185</v>
      </c>
      <c r="AE1004" s="713" t="s">
        <v>58</v>
      </c>
      <c r="AF1004" s="713" t="s">
        <v>58</v>
      </c>
      <c r="AG1004" s="713" t="s">
        <v>58</v>
      </c>
      <c r="AH1004" s="714">
        <v>0.94387031345969796</v>
      </c>
      <c r="AI1004" s="713" t="s">
        <v>58</v>
      </c>
      <c r="AJ1004" s="713" t="s">
        <v>58</v>
      </c>
      <c r="AK1004" s="713" t="s">
        <v>58</v>
      </c>
      <c r="AL1004" s="714">
        <v>0.94454345387965444</v>
      </c>
      <c r="AM1004" s="713" t="s">
        <v>58</v>
      </c>
      <c r="AN1004" s="713" t="s">
        <v>58</v>
      </c>
      <c r="AO1004" s="713" t="s">
        <v>58</v>
      </c>
      <c r="AP1004" s="747">
        <v>57</v>
      </c>
      <c r="AQ1004" s="747">
        <v>57</v>
      </c>
      <c r="AR1004" s="709"/>
      <c r="AS1004" s="763">
        <v>0</v>
      </c>
      <c r="AT1004" s="763">
        <v>0</v>
      </c>
      <c r="AU1004" s="763">
        <v>0</v>
      </c>
      <c r="AV1004" s="763">
        <v>2.6669353203779698E-2</v>
      </c>
      <c r="AW1004" s="763">
        <v>2.6669353203779698E-2</v>
      </c>
      <c r="AX1004" s="763">
        <v>2.6669353203779698E-2</v>
      </c>
      <c r="AY1004" s="763">
        <v>8.4219010117199036E-3</v>
      </c>
      <c r="AZ1004" s="763">
        <v>8.4219010117199036E-3</v>
      </c>
      <c r="BA1004" s="763">
        <v>8.4219010117199036E-3</v>
      </c>
      <c r="BB1004" s="763">
        <v>8.4219010117199036E-3</v>
      </c>
      <c r="BC1004" s="763">
        <v>8.4219010117199036E-3</v>
      </c>
      <c r="BD1004" s="763">
        <v>8.4219010117199036E-3</v>
      </c>
      <c r="BE1004" s="763">
        <v>8.4219010117199036E-3</v>
      </c>
      <c r="BF1004" s="763">
        <v>8.4219010117199036E-3</v>
      </c>
      <c r="BG1004" s="763">
        <v>8.4219010117199036E-3</v>
      </c>
      <c r="BH1004" s="763">
        <v>0</v>
      </c>
      <c r="BI1004" s="763">
        <v>0</v>
      </c>
      <c r="BJ1004" s="763">
        <v>0</v>
      </c>
      <c r="BK1004" s="763">
        <v>0</v>
      </c>
      <c r="BL1004" s="763">
        <v>0</v>
      </c>
      <c r="BM1004" s="763">
        <v>0</v>
      </c>
      <c r="BN1004" s="763">
        <v>0</v>
      </c>
      <c r="BO1004" s="763">
        <v>0</v>
      </c>
      <c r="BP1004" s="763">
        <v>0</v>
      </c>
      <c r="BQ1004" s="763">
        <v>0</v>
      </c>
      <c r="BR1004" s="763">
        <v>0</v>
      </c>
      <c r="BS1004" s="762">
        <v>0</v>
      </c>
      <c r="BT1004" s="762">
        <v>0</v>
      </c>
      <c r="BU1004" s="762">
        <v>0</v>
      </c>
      <c r="BV1004" s="762">
        <v>72.821210341668248</v>
      </c>
      <c r="BW1004" s="762">
        <v>72.821210341668248</v>
      </c>
      <c r="BX1004" s="762">
        <v>72.821210341668248</v>
      </c>
      <c r="BY1004" s="762">
        <v>22.996171686842604</v>
      </c>
      <c r="BZ1004" s="762">
        <v>22.996171686842604</v>
      </c>
      <c r="CA1004" s="762">
        <v>22.996171686842604</v>
      </c>
      <c r="CB1004" s="762">
        <v>22.996171686842604</v>
      </c>
      <c r="CC1004" s="762">
        <v>22.996171686842604</v>
      </c>
      <c r="CD1004" s="762">
        <v>22.996171686842604</v>
      </c>
      <c r="CE1004" s="762">
        <v>22.996171686842604</v>
      </c>
      <c r="CF1004" s="762">
        <v>22.996171686842604</v>
      </c>
      <c r="CG1004" s="762">
        <v>22.996171686842604</v>
      </c>
      <c r="CH1004" s="762">
        <v>0</v>
      </c>
      <c r="CI1004" s="762">
        <v>0</v>
      </c>
      <c r="CJ1004" s="762">
        <v>0</v>
      </c>
      <c r="CK1004" s="762">
        <v>0</v>
      </c>
      <c r="CL1004" s="762">
        <v>0</v>
      </c>
      <c r="CM1004" s="762">
        <v>0</v>
      </c>
      <c r="CN1004" s="762">
        <v>0</v>
      </c>
      <c r="CO1004" s="762">
        <v>0</v>
      </c>
      <c r="CP1004" s="762">
        <v>0</v>
      </c>
      <c r="CQ1004" s="762">
        <v>0</v>
      </c>
      <c r="CR1004" s="762">
        <v>0</v>
      </c>
    </row>
    <row r="1005" spans="1:96" s="53" customFormat="1">
      <c r="A1005" s="721" t="s">
        <v>3</v>
      </c>
      <c r="B1005" s="723">
        <v>41891</v>
      </c>
      <c r="C1005" s="721">
        <v>2014</v>
      </c>
      <c r="D1005" s="713" t="s">
        <v>1</v>
      </c>
      <c r="E1005" s="713" t="s">
        <v>674</v>
      </c>
      <c r="F1005" s="723" t="s">
        <v>673</v>
      </c>
      <c r="G1005" s="713" t="s">
        <v>58</v>
      </c>
      <c r="H1005" s="723" t="s">
        <v>675</v>
      </c>
      <c r="I1005" s="713" t="s">
        <v>5</v>
      </c>
      <c r="J1005" s="713" t="s">
        <v>376</v>
      </c>
      <c r="K1005" s="766">
        <v>19</v>
      </c>
      <c r="L1005" s="766" t="s">
        <v>671</v>
      </c>
      <c r="M1005" s="765" t="s">
        <v>709</v>
      </c>
      <c r="N1005" s="765">
        <v>12</v>
      </c>
      <c r="O1005" s="765">
        <v>3</v>
      </c>
      <c r="P1005" s="735">
        <v>0.36842105263157893</v>
      </c>
      <c r="Q1005" s="713" t="s">
        <v>58</v>
      </c>
      <c r="R1005" s="713" t="s">
        <v>58</v>
      </c>
      <c r="S1005" s="713" t="s">
        <v>58</v>
      </c>
      <c r="T1005" s="713" t="s">
        <v>58</v>
      </c>
      <c r="U1005" s="764">
        <v>1.121</v>
      </c>
      <c r="V1005" s="764">
        <v>2907.8739999999998</v>
      </c>
      <c r="W1005" s="764">
        <v>0.87921209208532425</v>
      </c>
      <c r="X1005" s="764">
        <v>2402.4185793829788</v>
      </c>
      <c r="Y1005" s="764">
        <v>15173.169975050394</v>
      </c>
      <c r="Z1005" s="764">
        <v>14321.504700528092</v>
      </c>
      <c r="AA1005" s="764">
        <v>2267.5715775836143</v>
      </c>
      <c r="AB1005" s="764">
        <v>0.83045402615102892</v>
      </c>
      <c r="AC1005" s="714">
        <v>0.82617698682369967</v>
      </c>
      <c r="AD1005" s="714">
        <v>0.7843105192554185</v>
      </c>
      <c r="AE1005" s="713" t="s">
        <v>58</v>
      </c>
      <c r="AF1005" s="713" t="s">
        <v>58</v>
      </c>
      <c r="AG1005" s="713" t="s">
        <v>58</v>
      </c>
      <c r="AH1005" s="714">
        <v>0.94387031345969796</v>
      </c>
      <c r="AI1005" s="713" t="s">
        <v>58</v>
      </c>
      <c r="AJ1005" s="713" t="s">
        <v>58</v>
      </c>
      <c r="AK1005" s="713" t="s">
        <v>58</v>
      </c>
      <c r="AL1005" s="714">
        <v>0.94454345387965444</v>
      </c>
      <c r="AM1005" s="713" t="s">
        <v>58</v>
      </c>
      <c r="AN1005" s="713" t="s">
        <v>58</v>
      </c>
      <c r="AO1005" s="713" t="s">
        <v>58</v>
      </c>
      <c r="AP1005" s="747">
        <v>73</v>
      </c>
      <c r="AQ1005" s="747">
        <v>1387</v>
      </c>
      <c r="AR1005" s="709"/>
      <c r="AS1005" s="763">
        <v>0</v>
      </c>
      <c r="AT1005" s="763">
        <v>0</v>
      </c>
      <c r="AU1005" s="763">
        <v>0</v>
      </c>
      <c r="AV1005" s="763">
        <v>0.83045402615102892</v>
      </c>
      <c r="AW1005" s="763">
        <v>0.83045402615102892</v>
      </c>
      <c r="AX1005" s="763">
        <v>0.83045402615102892</v>
      </c>
      <c r="AY1005" s="763">
        <v>0.30595674647669485</v>
      </c>
      <c r="AZ1005" s="763">
        <v>0.30595674647669485</v>
      </c>
      <c r="BA1005" s="763">
        <v>0.30595674647669485</v>
      </c>
      <c r="BB1005" s="763">
        <v>0.30595674647669485</v>
      </c>
      <c r="BC1005" s="763">
        <v>0.30595674647669485</v>
      </c>
      <c r="BD1005" s="763">
        <v>0.30595674647669485</v>
      </c>
      <c r="BE1005" s="763">
        <v>0.30595674647669485</v>
      </c>
      <c r="BF1005" s="763">
        <v>0.30595674647669485</v>
      </c>
      <c r="BG1005" s="763">
        <v>0.30595674647669485</v>
      </c>
      <c r="BH1005" s="763">
        <v>0</v>
      </c>
      <c r="BI1005" s="763">
        <v>0</v>
      </c>
      <c r="BJ1005" s="763">
        <v>0</v>
      </c>
      <c r="BK1005" s="763">
        <v>0</v>
      </c>
      <c r="BL1005" s="763">
        <v>0</v>
      </c>
      <c r="BM1005" s="763">
        <v>0</v>
      </c>
      <c r="BN1005" s="763">
        <v>0</v>
      </c>
      <c r="BO1005" s="763">
        <v>0</v>
      </c>
      <c r="BP1005" s="763">
        <v>0</v>
      </c>
      <c r="BQ1005" s="763">
        <v>0</v>
      </c>
      <c r="BR1005" s="763">
        <v>0</v>
      </c>
      <c r="BS1005" s="762">
        <v>0</v>
      </c>
      <c r="BT1005" s="762">
        <v>0</v>
      </c>
      <c r="BU1005" s="762">
        <v>0</v>
      </c>
      <c r="BV1005" s="762">
        <v>2267.5715775836143</v>
      </c>
      <c r="BW1005" s="762">
        <v>2267.5715775836143</v>
      </c>
      <c r="BX1005" s="762">
        <v>2267.5715775836143</v>
      </c>
      <c r="BY1005" s="762">
        <v>835.42110753080522</v>
      </c>
      <c r="BZ1005" s="762">
        <v>835.42110753080522</v>
      </c>
      <c r="CA1005" s="762">
        <v>835.42110753080522</v>
      </c>
      <c r="CB1005" s="762">
        <v>835.42110753080522</v>
      </c>
      <c r="CC1005" s="762">
        <v>835.42110753080522</v>
      </c>
      <c r="CD1005" s="762">
        <v>835.42110753080522</v>
      </c>
      <c r="CE1005" s="762">
        <v>835.42110753080522</v>
      </c>
      <c r="CF1005" s="762">
        <v>835.42110753080522</v>
      </c>
      <c r="CG1005" s="762">
        <v>835.42110753080522</v>
      </c>
      <c r="CH1005" s="762">
        <v>0</v>
      </c>
      <c r="CI1005" s="762">
        <v>0</v>
      </c>
      <c r="CJ1005" s="762">
        <v>0</v>
      </c>
      <c r="CK1005" s="762">
        <v>0</v>
      </c>
      <c r="CL1005" s="762">
        <v>0</v>
      </c>
      <c r="CM1005" s="762">
        <v>0</v>
      </c>
      <c r="CN1005" s="762">
        <v>0</v>
      </c>
      <c r="CO1005" s="762">
        <v>0</v>
      </c>
      <c r="CP1005" s="762">
        <v>0</v>
      </c>
      <c r="CQ1005" s="762">
        <v>0</v>
      </c>
      <c r="CR1005" s="762">
        <v>0</v>
      </c>
    </row>
    <row r="1006" spans="1:96" s="53" customFormat="1">
      <c r="A1006" s="709" t="s">
        <v>3</v>
      </c>
      <c r="B1006" s="721">
        <v>41651</v>
      </c>
      <c r="C1006" s="721">
        <v>2014</v>
      </c>
      <c r="D1006" s="709" t="s">
        <v>1</v>
      </c>
      <c r="E1006" s="713" t="s">
        <v>674</v>
      </c>
      <c r="F1006" s="713" t="s">
        <v>123</v>
      </c>
      <c r="G1006" s="723" t="s">
        <v>58</v>
      </c>
      <c r="H1006" s="713" t="s">
        <v>677</v>
      </c>
      <c r="I1006" s="723" t="s">
        <v>5</v>
      </c>
      <c r="J1006" s="713" t="s">
        <v>376</v>
      </c>
      <c r="K1006" s="713">
        <v>1</v>
      </c>
      <c r="L1006" s="713" t="s">
        <v>671</v>
      </c>
      <c r="M1006" s="766" t="s">
        <v>708</v>
      </c>
      <c r="N1006" s="765">
        <v>0</v>
      </c>
      <c r="O1006" s="765">
        <v>0</v>
      </c>
      <c r="P1006" s="765">
        <v>0</v>
      </c>
      <c r="Q1006" s="735" t="s">
        <v>58</v>
      </c>
      <c r="R1006" s="713" t="s">
        <v>58</v>
      </c>
      <c r="S1006" s="713" t="s">
        <v>58</v>
      </c>
      <c r="T1006" s="713" t="s">
        <v>58</v>
      </c>
      <c r="U1006" s="713">
        <v>0</v>
      </c>
      <c r="V1006" s="764">
        <v>0</v>
      </c>
      <c r="W1006" s="764">
        <v>0</v>
      </c>
      <c r="X1006" s="764">
        <v>0</v>
      </c>
      <c r="Y1006" s="764">
        <v>0</v>
      </c>
      <c r="Z1006" s="764">
        <v>0</v>
      </c>
      <c r="AA1006" s="764">
        <v>0</v>
      </c>
      <c r="AB1006" s="764">
        <v>0</v>
      </c>
      <c r="AC1006" s="714">
        <v>0.82617698682369967</v>
      </c>
      <c r="AD1006" s="714">
        <v>0.7843105192554185</v>
      </c>
      <c r="AE1006" s="714" t="s">
        <v>58</v>
      </c>
      <c r="AF1006" s="713" t="s">
        <v>58</v>
      </c>
      <c r="AG1006" s="713" t="s">
        <v>58</v>
      </c>
      <c r="AH1006" s="713">
        <v>0.94387031345969796</v>
      </c>
      <c r="AI1006" s="714" t="s">
        <v>58</v>
      </c>
      <c r="AJ1006" s="713" t="s">
        <v>58</v>
      </c>
      <c r="AK1006" s="713" t="s">
        <v>58</v>
      </c>
      <c r="AL1006" s="713">
        <v>0.94454345387965444</v>
      </c>
      <c r="AM1006" s="714" t="s">
        <v>58</v>
      </c>
      <c r="AN1006" s="713" t="s">
        <v>58</v>
      </c>
      <c r="AO1006" s="713" t="s">
        <v>58</v>
      </c>
      <c r="AP1006" s="713">
        <v>51</v>
      </c>
      <c r="AQ1006" s="747">
        <v>51</v>
      </c>
      <c r="AR1006" s="747"/>
      <c r="AS1006" s="709">
        <v>0</v>
      </c>
      <c r="AT1006" s="763">
        <v>0</v>
      </c>
      <c r="AU1006" s="763">
        <v>0</v>
      </c>
      <c r="AV1006" s="763">
        <v>0</v>
      </c>
      <c r="AW1006" s="763">
        <v>0</v>
      </c>
      <c r="AX1006" s="763">
        <v>0</v>
      </c>
      <c r="AY1006" s="763">
        <v>0</v>
      </c>
      <c r="AZ1006" s="763">
        <v>0</v>
      </c>
      <c r="BA1006" s="763">
        <v>0</v>
      </c>
      <c r="BB1006" s="763">
        <v>0</v>
      </c>
      <c r="BC1006" s="763">
        <v>0</v>
      </c>
      <c r="BD1006" s="763">
        <v>0</v>
      </c>
      <c r="BE1006" s="763">
        <v>0</v>
      </c>
      <c r="BF1006" s="763">
        <v>0</v>
      </c>
      <c r="BG1006" s="763">
        <v>0</v>
      </c>
      <c r="BH1006" s="763">
        <v>0</v>
      </c>
      <c r="BI1006" s="763">
        <v>0</v>
      </c>
      <c r="BJ1006" s="763">
        <v>0</v>
      </c>
      <c r="BK1006" s="763">
        <v>0</v>
      </c>
      <c r="BL1006" s="763">
        <v>0</v>
      </c>
      <c r="BM1006" s="763">
        <v>0</v>
      </c>
      <c r="BN1006" s="763">
        <v>0</v>
      </c>
      <c r="BO1006" s="763">
        <v>0</v>
      </c>
      <c r="BP1006" s="763">
        <v>0</v>
      </c>
      <c r="BQ1006" s="763">
        <v>0</v>
      </c>
      <c r="BR1006" s="763">
        <v>0</v>
      </c>
      <c r="BS1006" s="763">
        <v>0</v>
      </c>
      <c r="BT1006" s="762">
        <v>0</v>
      </c>
      <c r="BU1006" s="762">
        <v>0</v>
      </c>
      <c r="BV1006" s="762">
        <v>0</v>
      </c>
      <c r="BW1006" s="762">
        <v>0</v>
      </c>
      <c r="BX1006" s="762">
        <v>0</v>
      </c>
      <c r="BY1006" s="762">
        <v>0</v>
      </c>
      <c r="BZ1006" s="762">
        <v>0</v>
      </c>
      <c r="CA1006" s="762">
        <v>0</v>
      </c>
      <c r="CB1006" s="762">
        <v>0</v>
      </c>
      <c r="CC1006" s="762">
        <v>0</v>
      </c>
      <c r="CD1006" s="762">
        <v>0</v>
      </c>
      <c r="CE1006" s="762">
        <v>0</v>
      </c>
      <c r="CF1006" s="762">
        <v>0</v>
      </c>
      <c r="CG1006" s="762">
        <v>0</v>
      </c>
      <c r="CH1006" s="762">
        <v>0</v>
      </c>
      <c r="CI1006" s="762">
        <v>0</v>
      </c>
      <c r="CJ1006" s="762">
        <v>0</v>
      </c>
      <c r="CK1006" s="762">
        <v>0</v>
      </c>
      <c r="CL1006" s="762">
        <v>0</v>
      </c>
      <c r="CM1006" s="762">
        <v>0</v>
      </c>
      <c r="CN1006" s="762">
        <v>0</v>
      </c>
      <c r="CO1006" s="762">
        <v>0</v>
      </c>
      <c r="CP1006" s="762">
        <v>0</v>
      </c>
      <c r="CQ1006" s="762">
        <v>0</v>
      </c>
      <c r="CR1006" s="762">
        <v>0</v>
      </c>
    </row>
    <row r="1007" spans="1:96" s="53" customFormat="1">
      <c r="A1007" s="709" t="s">
        <v>3</v>
      </c>
      <c r="B1007" s="721">
        <v>41651</v>
      </c>
      <c r="C1007" s="721">
        <v>2014</v>
      </c>
      <c r="D1007" s="709" t="s">
        <v>1</v>
      </c>
      <c r="E1007" s="713" t="s">
        <v>674</v>
      </c>
      <c r="F1007" s="713" t="s">
        <v>123</v>
      </c>
      <c r="G1007" s="723" t="s">
        <v>58</v>
      </c>
      <c r="H1007" s="713" t="s">
        <v>684</v>
      </c>
      <c r="I1007" s="723" t="s">
        <v>5</v>
      </c>
      <c r="J1007" s="713" t="s">
        <v>376</v>
      </c>
      <c r="K1007" s="713">
        <v>16</v>
      </c>
      <c r="L1007" s="713" t="s">
        <v>671</v>
      </c>
      <c r="M1007" s="766" t="s">
        <v>708</v>
      </c>
      <c r="N1007" s="765">
        <v>11</v>
      </c>
      <c r="O1007" s="765">
        <v>2</v>
      </c>
      <c r="P1007" s="765">
        <v>0.43976996379393668</v>
      </c>
      <c r="Q1007" s="735" t="s">
        <v>58</v>
      </c>
      <c r="R1007" s="713" t="s">
        <v>58</v>
      </c>
      <c r="S1007" s="713" t="s">
        <v>58</v>
      </c>
      <c r="T1007" s="713" t="s">
        <v>58</v>
      </c>
      <c r="U1007" s="713">
        <v>1.0880000000000001</v>
      </c>
      <c r="V1007" s="764">
        <v>3453.3119999999999</v>
      </c>
      <c r="W1007" s="764">
        <v>0.8533298449498955</v>
      </c>
      <c r="X1007" s="764">
        <v>2853.0469027221238</v>
      </c>
      <c r="Y1007" s="764">
        <v>16998.252803456853</v>
      </c>
      <c r="Z1007" s="764">
        <v>16044.14620186601</v>
      </c>
      <c r="AA1007" s="764">
        <v>2692.9062743875515</v>
      </c>
      <c r="AB1007" s="764">
        <v>0.80600711904756428</v>
      </c>
      <c r="AC1007" s="714">
        <v>0.82617698682369967</v>
      </c>
      <c r="AD1007" s="714">
        <v>0.7843105192554185</v>
      </c>
      <c r="AE1007" s="714" t="s">
        <v>58</v>
      </c>
      <c r="AF1007" s="713" t="s">
        <v>58</v>
      </c>
      <c r="AG1007" s="713" t="s">
        <v>58</v>
      </c>
      <c r="AH1007" s="713">
        <v>0.94387031345969796</v>
      </c>
      <c r="AI1007" s="714" t="s">
        <v>58</v>
      </c>
      <c r="AJ1007" s="713" t="s">
        <v>58</v>
      </c>
      <c r="AK1007" s="713" t="s">
        <v>58</v>
      </c>
      <c r="AL1007" s="713">
        <v>0.94454345387965444</v>
      </c>
      <c r="AM1007" s="714" t="s">
        <v>58</v>
      </c>
      <c r="AN1007" s="713" t="s">
        <v>58</v>
      </c>
      <c r="AO1007" s="713" t="s">
        <v>58</v>
      </c>
      <c r="AP1007" s="713">
        <v>48</v>
      </c>
      <c r="AQ1007" s="747">
        <v>768</v>
      </c>
      <c r="AR1007" s="747"/>
      <c r="AS1007" s="709">
        <v>0</v>
      </c>
      <c r="AT1007" s="763">
        <v>0</v>
      </c>
      <c r="AU1007" s="763">
        <v>0</v>
      </c>
      <c r="AV1007" s="763">
        <v>0.80600711904756428</v>
      </c>
      <c r="AW1007" s="763">
        <v>0.80600711904756428</v>
      </c>
      <c r="AX1007" s="763">
        <v>0.35445772156120253</v>
      </c>
      <c r="AY1007" s="763">
        <v>0.35445772156120253</v>
      </c>
      <c r="AZ1007" s="763">
        <v>0.35445772156120253</v>
      </c>
      <c r="BA1007" s="763">
        <v>0.35445772156120253</v>
      </c>
      <c r="BB1007" s="763">
        <v>0.35445772156120253</v>
      </c>
      <c r="BC1007" s="763">
        <v>0.35445772156120253</v>
      </c>
      <c r="BD1007" s="763">
        <v>0.35445772156120253</v>
      </c>
      <c r="BE1007" s="763">
        <v>0.35445772156120253</v>
      </c>
      <c r="BF1007" s="763">
        <v>0.35445772156120253</v>
      </c>
      <c r="BG1007" s="763">
        <v>0</v>
      </c>
      <c r="BH1007" s="763">
        <v>0</v>
      </c>
      <c r="BI1007" s="763">
        <v>0</v>
      </c>
      <c r="BJ1007" s="763">
        <v>0</v>
      </c>
      <c r="BK1007" s="763">
        <v>0</v>
      </c>
      <c r="BL1007" s="763">
        <v>0</v>
      </c>
      <c r="BM1007" s="763">
        <v>0</v>
      </c>
      <c r="BN1007" s="763">
        <v>0</v>
      </c>
      <c r="BO1007" s="763">
        <v>0</v>
      </c>
      <c r="BP1007" s="763">
        <v>0</v>
      </c>
      <c r="BQ1007" s="763">
        <v>0</v>
      </c>
      <c r="BR1007" s="763">
        <v>0</v>
      </c>
      <c r="BS1007" s="763">
        <v>0</v>
      </c>
      <c r="BT1007" s="762">
        <v>0</v>
      </c>
      <c r="BU1007" s="762">
        <v>0</v>
      </c>
      <c r="BV1007" s="762">
        <v>2692.9062743875515</v>
      </c>
      <c r="BW1007" s="762">
        <v>2692.9062743875515</v>
      </c>
      <c r="BX1007" s="762">
        <v>1184.2592947878784</v>
      </c>
      <c r="BY1007" s="762">
        <v>1184.2592947878784</v>
      </c>
      <c r="BZ1007" s="762">
        <v>1184.2592947878784</v>
      </c>
      <c r="CA1007" s="762">
        <v>1184.2592947878784</v>
      </c>
      <c r="CB1007" s="762">
        <v>1184.2592947878784</v>
      </c>
      <c r="CC1007" s="762">
        <v>1184.2592947878784</v>
      </c>
      <c r="CD1007" s="762">
        <v>1184.2592947878784</v>
      </c>
      <c r="CE1007" s="762">
        <v>1184.2592947878784</v>
      </c>
      <c r="CF1007" s="762">
        <v>1184.2592947878784</v>
      </c>
      <c r="CG1007" s="762">
        <v>0</v>
      </c>
      <c r="CH1007" s="762">
        <v>0</v>
      </c>
      <c r="CI1007" s="762">
        <v>0</v>
      </c>
      <c r="CJ1007" s="762">
        <v>0</v>
      </c>
      <c r="CK1007" s="762">
        <v>0</v>
      </c>
      <c r="CL1007" s="762">
        <v>0</v>
      </c>
      <c r="CM1007" s="762">
        <v>0</v>
      </c>
      <c r="CN1007" s="762">
        <v>0</v>
      </c>
      <c r="CO1007" s="762">
        <v>0</v>
      </c>
      <c r="CP1007" s="762">
        <v>0</v>
      </c>
      <c r="CQ1007" s="762">
        <v>0</v>
      </c>
      <c r="CR1007" s="762">
        <v>0</v>
      </c>
    </row>
    <row r="1008" spans="1:96" s="53" customFormat="1">
      <c r="A1008" s="709" t="s">
        <v>3</v>
      </c>
      <c r="B1008" s="721">
        <v>41710</v>
      </c>
      <c r="C1008" s="721">
        <v>2014</v>
      </c>
      <c r="D1008" s="709" t="s">
        <v>1</v>
      </c>
      <c r="E1008" s="713" t="s">
        <v>674</v>
      </c>
      <c r="F1008" s="713" t="s">
        <v>673</v>
      </c>
      <c r="G1008" s="723" t="s">
        <v>58</v>
      </c>
      <c r="H1008" s="713" t="s">
        <v>677</v>
      </c>
      <c r="I1008" s="723" t="s">
        <v>5</v>
      </c>
      <c r="J1008" s="713" t="s">
        <v>376</v>
      </c>
      <c r="K1008" s="713">
        <v>1</v>
      </c>
      <c r="L1008" s="713" t="s">
        <v>671</v>
      </c>
      <c r="M1008" s="766" t="s">
        <v>707</v>
      </c>
      <c r="N1008" s="765">
        <v>0</v>
      </c>
      <c r="O1008" s="765">
        <v>0</v>
      </c>
      <c r="P1008" s="765">
        <v>0</v>
      </c>
      <c r="Q1008" s="735" t="s">
        <v>58</v>
      </c>
      <c r="R1008" s="713" t="s">
        <v>58</v>
      </c>
      <c r="S1008" s="713" t="s">
        <v>58</v>
      </c>
      <c r="T1008" s="713" t="s">
        <v>58</v>
      </c>
      <c r="U1008" s="713">
        <v>0</v>
      </c>
      <c r="V1008" s="764">
        <v>0</v>
      </c>
      <c r="W1008" s="764">
        <v>0</v>
      </c>
      <c r="X1008" s="764">
        <v>0</v>
      </c>
      <c r="Y1008" s="764">
        <v>0</v>
      </c>
      <c r="Z1008" s="764">
        <v>0</v>
      </c>
      <c r="AA1008" s="764">
        <v>0</v>
      </c>
      <c r="AB1008" s="764">
        <v>0</v>
      </c>
      <c r="AC1008" s="714">
        <v>0.82617698682369967</v>
      </c>
      <c r="AD1008" s="714">
        <v>0.7843105192554185</v>
      </c>
      <c r="AE1008" s="714" t="s">
        <v>58</v>
      </c>
      <c r="AF1008" s="713" t="s">
        <v>58</v>
      </c>
      <c r="AG1008" s="713" t="s">
        <v>58</v>
      </c>
      <c r="AH1008" s="713">
        <v>0.94387031345969796</v>
      </c>
      <c r="AI1008" s="714" t="s">
        <v>58</v>
      </c>
      <c r="AJ1008" s="713" t="s">
        <v>58</v>
      </c>
      <c r="AK1008" s="713" t="s">
        <v>58</v>
      </c>
      <c r="AL1008" s="713">
        <v>0.94454345387965444</v>
      </c>
      <c r="AM1008" s="714" t="s">
        <v>58</v>
      </c>
      <c r="AN1008" s="713" t="s">
        <v>58</v>
      </c>
      <c r="AO1008" s="713" t="s">
        <v>58</v>
      </c>
      <c r="AP1008" s="713">
        <v>51</v>
      </c>
      <c r="AQ1008" s="747">
        <v>51</v>
      </c>
      <c r="AR1008" s="747"/>
      <c r="AS1008" s="709">
        <v>0</v>
      </c>
      <c r="AT1008" s="763">
        <v>0</v>
      </c>
      <c r="AU1008" s="763">
        <v>0</v>
      </c>
      <c r="AV1008" s="763">
        <v>0</v>
      </c>
      <c r="AW1008" s="763">
        <v>0</v>
      </c>
      <c r="AX1008" s="763">
        <v>0</v>
      </c>
      <c r="AY1008" s="763">
        <v>0</v>
      </c>
      <c r="AZ1008" s="763">
        <v>0</v>
      </c>
      <c r="BA1008" s="763">
        <v>0</v>
      </c>
      <c r="BB1008" s="763">
        <v>0</v>
      </c>
      <c r="BC1008" s="763">
        <v>0</v>
      </c>
      <c r="BD1008" s="763">
        <v>0</v>
      </c>
      <c r="BE1008" s="763">
        <v>0</v>
      </c>
      <c r="BF1008" s="763">
        <v>0</v>
      </c>
      <c r="BG1008" s="763">
        <v>0</v>
      </c>
      <c r="BH1008" s="763">
        <v>0</v>
      </c>
      <c r="BI1008" s="763">
        <v>0</v>
      </c>
      <c r="BJ1008" s="763">
        <v>0</v>
      </c>
      <c r="BK1008" s="763">
        <v>0</v>
      </c>
      <c r="BL1008" s="763">
        <v>0</v>
      </c>
      <c r="BM1008" s="763">
        <v>0</v>
      </c>
      <c r="BN1008" s="763">
        <v>0</v>
      </c>
      <c r="BO1008" s="763">
        <v>0</v>
      </c>
      <c r="BP1008" s="763">
        <v>0</v>
      </c>
      <c r="BQ1008" s="763">
        <v>0</v>
      </c>
      <c r="BR1008" s="763">
        <v>0</v>
      </c>
      <c r="BS1008" s="763">
        <v>0</v>
      </c>
      <c r="BT1008" s="762">
        <v>0</v>
      </c>
      <c r="BU1008" s="762">
        <v>0</v>
      </c>
      <c r="BV1008" s="762">
        <v>0</v>
      </c>
      <c r="BW1008" s="762">
        <v>0</v>
      </c>
      <c r="BX1008" s="762">
        <v>0</v>
      </c>
      <c r="BY1008" s="762">
        <v>0</v>
      </c>
      <c r="BZ1008" s="762">
        <v>0</v>
      </c>
      <c r="CA1008" s="762">
        <v>0</v>
      </c>
      <c r="CB1008" s="762">
        <v>0</v>
      </c>
      <c r="CC1008" s="762">
        <v>0</v>
      </c>
      <c r="CD1008" s="762">
        <v>0</v>
      </c>
      <c r="CE1008" s="762">
        <v>0</v>
      </c>
      <c r="CF1008" s="762">
        <v>0</v>
      </c>
      <c r="CG1008" s="762">
        <v>0</v>
      </c>
      <c r="CH1008" s="762">
        <v>0</v>
      </c>
      <c r="CI1008" s="762">
        <v>0</v>
      </c>
      <c r="CJ1008" s="762">
        <v>0</v>
      </c>
      <c r="CK1008" s="762">
        <v>0</v>
      </c>
      <c r="CL1008" s="762">
        <v>0</v>
      </c>
      <c r="CM1008" s="762">
        <v>0</v>
      </c>
      <c r="CN1008" s="762">
        <v>0</v>
      </c>
      <c r="CO1008" s="762">
        <v>0</v>
      </c>
      <c r="CP1008" s="762">
        <v>0</v>
      </c>
      <c r="CQ1008" s="762">
        <v>0</v>
      </c>
      <c r="CR1008" s="762">
        <v>0</v>
      </c>
    </row>
    <row r="1009" spans="1:96" s="53" customFormat="1">
      <c r="A1009" s="709" t="s">
        <v>3</v>
      </c>
      <c r="B1009" s="721">
        <v>41710</v>
      </c>
      <c r="C1009" s="721">
        <v>2014</v>
      </c>
      <c r="D1009" s="709" t="s">
        <v>1</v>
      </c>
      <c r="E1009" s="713" t="s">
        <v>674</v>
      </c>
      <c r="F1009" s="713" t="s">
        <v>673</v>
      </c>
      <c r="G1009" s="723" t="s">
        <v>58</v>
      </c>
      <c r="H1009" s="713" t="s">
        <v>676</v>
      </c>
      <c r="I1009" s="723" t="s">
        <v>5</v>
      </c>
      <c r="J1009" s="713" t="s">
        <v>376</v>
      </c>
      <c r="K1009" s="713">
        <v>4</v>
      </c>
      <c r="L1009" s="713" t="s">
        <v>671</v>
      </c>
      <c r="M1009" s="766" t="s">
        <v>707</v>
      </c>
      <c r="N1009" s="765">
        <v>12</v>
      </c>
      <c r="O1009" s="765">
        <v>3</v>
      </c>
      <c r="P1009" s="765">
        <v>0.31578947368421051</v>
      </c>
      <c r="Q1009" s="735" t="s">
        <v>58</v>
      </c>
      <c r="R1009" s="713" t="s">
        <v>58</v>
      </c>
      <c r="S1009" s="713" t="s">
        <v>58</v>
      </c>
      <c r="T1009" s="713" t="s">
        <v>58</v>
      </c>
      <c r="U1009" s="713">
        <v>0.152</v>
      </c>
      <c r="V1009" s="764">
        <v>394.28800000000001</v>
      </c>
      <c r="W1009" s="764">
        <v>0.11921519892682363</v>
      </c>
      <c r="X1009" s="764">
        <v>325.75167178074287</v>
      </c>
      <c r="Y1009" s="764">
        <v>1903.0755561927608</v>
      </c>
      <c r="Z1009" s="764">
        <v>1796.2565217611502</v>
      </c>
      <c r="AA1009" s="764">
        <v>307.46733255371043</v>
      </c>
      <c r="AB1009" s="764">
        <v>0.11260393574929206</v>
      </c>
      <c r="AC1009" s="714">
        <v>0.82617698682369967</v>
      </c>
      <c r="AD1009" s="714">
        <v>0.7843105192554185</v>
      </c>
      <c r="AE1009" s="714" t="s">
        <v>58</v>
      </c>
      <c r="AF1009" s="713" t="s">
        <v>58</v>
      </c>
      <c r="AG1009" s="713" t="s">
        <v>58</v>
      </c>
      <c r="AH1009" s="713">
        <v>0.94387031345969796</v>
      </c>
      <c r="AI1009" s="714" t="s">
        <v>58</v>
      </c>
      <c r="AJ1009" s="713" t="s">
        <v>58</v>
      </c>
      <c r="AK1009" s="713" t="s">
        <v>58</v>
      </c>
      <c r="AL1009" s="713">
        <v>0.94454345387965444</v>
      </c>
      <c r="AM1009" s="714" t="s">
        <v>58</v>
      </c>
      <c r="AN1009" s="713" t="s">
        <v>58</v>
      </c>
      <c r="AO1009" s="713" t="s">
        <v>58</v>
      </c>
      <c r="AP1009" s="713">
        <v>57</v>
      </c>
      <c r="AQ1009" s="747">
        <v>228</v>
      </c>
      <c r="AR1009" s="747"/>
      <c r="AS1009" s="709">
        <v>0</v>
      </c>
      <c r="AT1009" s="763">
        <v>0</v>
      </c>
      <c r="AU1009" s="763">
        <v>0</v>
      </c>
      <c r="AV1009" s="763">
        <v>0.11260393574929206</v>
      </c>
      <c r="AW1009" s="763">
        <v>0.11260393574929206</v>
      </c>
      <c r="AX1009" s="763">
        <v>0.11260393574929206</v>
      </c>
      <c r="AY1009" s="763">
        <v>3.5559137605039599E-2</v>
      </c>
      <c r="AZ1009" s="763">
        <v>3.5559137605039599E-2</v>
      </c>
      <c r="BA1009" s="763">
        <v>3.5559137605039599E-2</v>
      </c>
      <c r="BB1009" s="763">
        <v>3.5559137605039599E-2</v>
      </c>
      <c r="BC1009" s="763">
        <v>3.5559137605039599E-2</v>
      </c>
      <c r="BD1009" s="763">
        <v>3.5559137605039599E-2</v>
      </c>
      <c r="BE1009" s="763">
        <v>3.5559137605039599E-2</v>
      </c>
      <c r="BF1009" s="763">
        <v>3.5559137605039599E-2</v>
      </c>
      <c r="BG1009" s="763">
        <v>3.5559137605039599E-2</v>
      </c>
      <c r="BH1009" s="763">
        <v>0</v>
      </c>
      <c r="BI1009" s="763">
        <v>0</v>
      </c>
      <c r="BJ1009" s="763">
        <v>0</v>
      </c>
      <c r="BK1009" s="763">
        <v>0</v>
      </c>
      <c r="BL1009" s="763">
        <v>0</v>
      </c>
      <c r="BM1009" s="763">
        <v>0</v>
      </c>
      <c r="BN1009" s="763">
        <v>0</v>
      </c>
      <c r="BO1009" s="763">
        <v>0</v>
      </c>
      <c r="BP1009" s="763">
        <v>0</v>
      </c>
      <c r="BQ1009" s="763">
        <v>0</v>
      </c>
      <c r="BR1009" s="763">
        <v>0</v>
      </c>
      <c r="BS1009" s="763">
        <v>0</v>
      </c>
      <c r="BT1009" s="762">
        <v>0</v>
      </c>
      <c r="BU1009" s="762">
        <v>0</v>
      </c>
      <c r="BV1009" s="762">
        <v>307.46733255371043</v>
      </c>
      <c r="BW1009" s="762">
        <v>307.46733255371043</v>
      </c>
      <c r="BX1009" s="762">
        <v>307.46733255371043</v>
      </c>
      <c r="BY1009" s="762">
        <v>97.09494712222434</v>
      </c>
      <c r="BZ1009" s="762">
        <v>97.09494712222434</v>
      </c>
      <c r="CA1009" s="762">
        <v>97.09494712222434</v>
      </c>
      <c r="CB1009" s="762">
        <v>97.09494712222434</v>
      </c>
      <c r="CC1009" s="762">
        <v>97.09494712222434</v>
      </c>
      <c r="CD1009" s="762">
        <v>97.09494712222434</v>
      </c>
      <c r="CE1009" s="762">
        <v>97.09494712222434</v>
      </c>
      <c r="CF1009" s="762">
        <v>97.09494712222434</v>
      </c>
      <c r="CG1009" s="762">
        <v>97.09494712222434</v>
      </c>
      <c r="CH1009" s="762">
        <v>0</v>
      </c>
      <c r="CI1009" s="762">
        <v>0</v>
      </c>
      <c r="CJ1009" s="762">
        <v>0</v>
      </c>
      <c r="CK1009" s="762">
        <v>0</v>
      </c>
      <c r="CL1009" s="762">
        <v>0</v>
      </c>
      <c r="CM1009" s="762">
        <v>0</v>
      </c>
      <c r="CN1009" s="762">
        <v>0</v>
      </c>
      <c r="CO1009" s="762">
        <v>0</v>
      </c>
      <c r="CP1009" s="762">
        <v>0</v>
      </c>
      <c r="CQ1009" s="762">
        <v>0</v>
      </c>
      <c r="CR1009" s="762">
        <v>0</v>
      </c>
    </row>
    <row r="1010" spans="1:96" s="53" customFormat="1">
      <c r="A1010" s="709" t="s">
        <v>3</v>
      </c>
      <c r="B1010" s="721">
        <v>41710</v>
      </c>
      <c r="C1010" s="721">
        <v>2014</v>
      </c>
      <c r="D1010" s="709" t="s">
        <v>1</v>
      </c>
      <c r="E1010" s="713" t="s">
        <v>674</v>
      </c>
      <c r="F1010" s="713" t="s">
        <v>673</v>
      </c>
      <c r="G1010" s="723" t="s">
        <v>58</v>
      </c>
      <c r="H1010" s="713" t="s">
        <v>675</v>
      </c>
      <c r="I1010" s="723" t="s">
        <v>5</v>
      </c>
      <c r="J1010" s="713" t="s">
        <v>376</v>
      </c>
      <c r="K1010" s="713">
        <v>15</v>
      </c>
      <c r="L1010" s="713" t="s">
        <v>671</v>
      </c>
      <c r="M1010" s="766" t="s">
        <v>707</v>
      </c>
      <c r="N1010" s="765">
        <v>12</v>
      </c>
      <c r="O1010" s="765">
        <v>3</v>
      </c>
      <c r="P1010" s="765">
        <v>0.36842105263157893</v>
      </c>
      <c r="Q1010" s="735" t="s">
        <v>58</v>
      </c>
      <c r="R1010" s="713" t="s">
        <v>58</v>
      </c>
      <c r="S1010" s="713" t="s">
        <v>58</v>
      </c>
      <c r="T1010" s="713" t="s">
        <v>58</v>
      </c>
      <c r="U1010" s="713">
        <v>0.85499999999999998</v>
      </c>
      <c r="V1010" s="764">
        <v>2217.87</v>
      </c>
      <c r="W1010" s="764">
        <v>0.67058549396338285</v>
      </c>
      <c r="X1010" s="764">
        <v>1832.3531537666786</v>
      </c>
      <c r="Y1010" s="764">
        <v>11572.756760631655</v>
      </c>
      <c r="Z1010" s="764">
        <v>10923.18155125024</v>
      </c>
      <c r="AA1010" s="764">
        <v>1729.503745614621</v>
      </c>
      <c r="AB1010" s="764">
        <v>0.63339713858976776</v>
      </c>
      <c r="AC1010" s="714">
        <v>0.82617698682369967</v>
      </c>
      <c r="AD1010" s="714">
        <v>0.7843105192554185</v>
      </c>
      <c r="AE1010" s="714" t="s">
        <v>58</v>
      </c>
      <c r="AF1010" s="713" t="s">
        <v>58</v>
      </c>
      <c r="AG1010" s="713" t="s">
        <v>58</v>
      </c>
      <c r="AH1010" s="713">
        <v>0.94387031345969796</v>
      </c>
      <c r="AI1010" s="714" t="s">
        <v>58</v>
      </c>
      <c r="AJ1010" s="713" t="s">
        <v>58</v>
      </c>
      <c r="AK1010" s="713" t="s">
        <v>58</v>
      </c>
      <c r="AL1010" s="713">
        <v>0.94454345387965444</v>
      </c>
      <c r="AM1010" s="714" t="s">
        <v>58</v>
      </c>
      <c r="AN1010" s="713" t="s">
        <v>58</v>
      </c>
      <c r="AO1010" s="713" t="s">
        <v>58</v>
      </c>
      <c r="AP1010" s="713">
        <v>73</v>
      </c>
      <c r="AQ1010" s="747">
        <v>1095</v>
      </c>
      <c r="AR1010" s="747"/>
      <c r="AS1010" s="709">
        <v>0</v>
      </c>
      <c r="AT1010" s="763">
        <v>0</v>
      </c>
      <c r="AU1010" s="763">
        <v>0</v>
      </c>
      <c r="AV1010" s="763">
        <v>0.63339713858976776</v>
      </c>
      <c r="AW1010" s="763">
        <v>0.63339713858976776</v>
      </c>
      <c r="AX1010" s="763">
        <v>0.63339713858976776</v>
      </c>
      <c r="AY1010" s="763">
        <v>0.23335684053307232</v>
      </c>
      <c r="AZ1010" s="763">
        <v>0.23335684053307232</v>
      </c>
      <c r="BA1010" s="763">
        <v>0.23335684053307232</v>
      </c>
      <c r="BB1010" s="763">
        <v>0.23335684053307232</v>
      </c>
      <c r="BC1010" s="763">
        <v>0.23335684053307232</v>
      </c>
      <c r="BD1010" s="763">
        <v>0.23335684053307232</v>
      </c>
      <c r="BE1010" s="763">
        <v>0.23335684053307232</v>
      </c>
      <c r="BF1010" s="763">
        <v>0.23335684053307232</v>
      </c>
      <c r="BG1010" s="763">
        <v>0.23335684053307232</v>
      </c>
      <c r="BH1010" s="763">
        <v>0</v>
      </c>
      <c r="BI1010" s="763">
        <v>0</v>
      </c>
      <c r="BJ1010" s="763">
        <v>0</v>
      </c>
      <c r="BK1010" s="763">
        <v>0</v>
      </c>
      <c r="BL1010" s="763">
        <v>0</v>
      </c>
      <c r="BM1010" s="763">
        <v>0</v>
      </c>
      <c r="BN1010" s="763">
        <v>0</v>
      </c>
      <c r="BO1010" s="763">
        <v>0</v>
      </c>
      <c r="BP1010" s="763">
        <v>0</v>
      </c>
      <c r="BQ1010" s="763">
        <v>0</v>
      </c>
      <c r="BR1010" s="763">
        <v>0</v>
      </c>
      <c r="BS1010" s="763">
        <v>0</v>
      </c>
      <c r="BT1010" s="762">
        <v>0</v>
      </c>
      <c r="BU1010" s="762">
        <v>0</v>
      </c>
      <c r="BV1010" s="762">
        <v>1729.503745614621</v>
      </c>
      <c r="BW1010" s="762">
        <v>1729.503745614621</v>
      </c>
      <c r="BX1010" s="762">
        <v>1729.503745614621</v>
      </c>
      <c r="BY1010" s="762">
        <v>637.18559048959719</v>
      </c>
      <c r="BZ1010" s="762">
        <v>637.18559048959719</v>
      </c>
      <c r="CA1010" s="762">
        <v>637.18559048959719</v>
      </c>
      <c r="CB1010" s="762">
        <v>637.18559048959719</v>
      </c>
      <c r="CC1010" s="762">
        <v>637.18559048959719</v>
      </c>
      <c r="CD1010" s="762">
        <v>637.18559048959719</v>
      </c>
      <c r="CE1010" s="762">
        <v>637.18559048959719</v>
      </c>
      <c r="CF1010" s="762">
        <v>637.18559048959719</v>
      </c>
      <c r="CG1010" s="762">
        <v>637.18559048959719</v>
      </c>
      <c r="CH1010" s="762">
        <v>0</v>
      </c>
      <c r="CI1010" s="762">
        <v>0</v>
      </c>
      <c r="CJ1010" s="762">
        <v>0</v>
      </c>
      <c r="CK1010" s="762">
        <v>0</v>
      </c>
      <c r="CL1010" s="762">
        <v>0</v>
      </c>
      <c r="CM1010" s="762">
        <v>0</v>
      </c>
      <c r="CN1010" s="762">
        <v>0</v>
      </c>
      <c r="CO1010" s="762">
        <v>0</v>
      </c>
      <c r="CP1010" s="762">
        <v>0</v>
      </c>
      <c r="CQ1010" s="762">
        <v>0</v>
      </c>
      <c r="CR1010" s="762">
        <v>0</v>
      </c>
    </row>
    <row r="1011" spans="1:96" s="53" customFormat="1">
      <c r="A1011" s="709" t="s">
        <v>3</v>
      </c>
      <c r="B1011" s="721">
        <v>41941</v>
      </c>
      <c r="C1011" s="721">
        <v>2014</v>
      </c>
      <c r="D1011" s="709" t="s">
        <v>1</v>
      </c>
      <c r="E1011" s="713" t="s">
        <v>674</v>
      </c>
      <c r="F1011" s="713" t="s">
        <v>673</v>
      </c>
      <c r="G1011" s="723" t="s">
        <v>58</v>
      </c>
      <c r="H1011" s="713" t="s">
        <v>677</v>
      </c>
      <c r="I1011" s="723" t="s">
        <v>5</v>
      </c>
      <c r="J1011" s="713" t="s">
        <v>376</v>
      </c>
      <c r="K1011" s="713">
        <v>1</v>
      </c>
      <c r="L1011" s="713" t="s">
        <v>671</v>
      </c>
      <c r="M1011" s="766" t="s">
        <v>706</v>
      </c>
      <c r="N1011" s="765">
        <v>0</v>
      </c>
      <c r="O1011" s="765">
        <v>0</v>
      </c>
      <c r="P1011" s="765">
        <v>0</v>
      </c>
      <c r="Q1011" s="735" t="s">
        <v>58</v>
      </c>
      <c r="R1011" s="713" t="s">
        <v>58</v>
      </c>
      <c r="S1011" s="713" t="s">
        <v>58</v>
      </c>
      <c r="T1011" s="713" t="s">
        <v>58</v>
      </c>
      <c r="U1011" s="713">
        <v>0</v>
      </c>
      <c r="V1011" s="764">
        <v>0</v>
      </c>
      <c r="W1011" s="764">
        <v>0</v>
      </c>
      <c r="X1011" s="764">
        <v>0</v>
      </c>
      <c r="Y1011" s="764">
        <v>0</v>
      </c>
      <c r="Z1011" s="764">
        <v>0</v>
      </c>
      <c r="AA1011" s="764">
        <v>0</v>
      </c>
      <c r="AB1011" s="764">
        <v>0</v>
      </c>
      <c r="AC1011" s="714">
        <v>0.82617698682369967</v>
      </c>
      <c r="AD1011" s="714">
        <v>0.7843105192554185</v>
      </c>
      <c r="AE1011" s="714" t="s">
        <v>58</v>
      </c>
      <c r="AF1011" s="713" t="s">
        <v>58</v>
      </c>
      <c r="AG1011" s="713" t="s">
        <v>58</v>
      </c>
      <c r="AH1011" s="713">
        <v>0.94387031345969796</v>
      </c>
      <c r="AI1011" s="714" t="s">
        <v>58</v>
      </c>
      <c r="AJ1011" s="713" t="s">
        <v>58</v>
      </c>
      <c r="AK1011" s="713" t="s">
        <v>58</v>
      </c>
      <c r="AL1011" s="713">
        <v>0.94454345387965444</v>
      </c>
      <c r="AM1011" s="714" t="s">
        <v>58</v>
      </c>
      <c r="AN1011" s="713" t="s">
        <v>58</v>
      </c>
      <c r="AO1011" s="713" t="s">
        <v>58</v>
      </c>
      <c r="AP1011" s="713">
        <v>51</v>
      </c>
      <c r="AQ1011" s="747">
        <v>51</v>
      </c>
      <c r="AR1011" s="747"/>
      <c r="AS1011" s="709">
        <v>0</v>
      </c>
      <c r="AT1011" s="763">
        <v>0</v>
      </c>
      <c r="AU1011" s="763">
        <v>0</v>
      </c>
      <c r="AV1011" s="763">
        <v>0</v>
      </c>
      <c r="AW1011" s="763">
        <v>0</v>
      </c>
      <c r="AX1011" s="763">
        <v>0</v>
      </c>
      <c r="AY1011" s="763">
        <v>0</v>
      </c>
      <c r="AZ1011" s="763">
        <v>0</v>
      </c>
      <c r="BA1011" s="763">
        <v>0</v>
      </c>
      <c r="BB1011" s="763">
        <v>0</v>
      </c>
      <c r="BC1011" s="763">
        <v>0</v>
      </c>
      <c r="BD1011" s="763">
        <v>0</v>
      </c>
      <c r="BE1011" s="763">
        <v>0</v>
      </c>
      <c r="BF1011" s="763">
        <v>0</v>
      </c>
      <c r="BG1011" s="763">
        <v>0</v>
      </c>
      <c r="BH1011" s="763">
        <v>0</v>
      </c>
      <c r="BI1011" s="763">
        <v>0</v>
      </c>
      <c r="BJ1011" s="763">
        <v>0</v>
      </c>
      <c r="BK1011" s="763">
        <v>0</v>
      </c>
      <c r="BL1011" s="763">
        <v>0</v>
      </c>
      <c r="BM1011" s="763">
        <v>0</v>
      </c>
      <c r="BN1011" s="763">
        <v>0</v>
      </c>
      <c r="BO1011" s="763">
        <v>0</v>
      </c>
      <c r="BP1011" s="763">
        <v>0</v>
      </c>
      <c r="BQ1011" s="763">
        <v>0</v>
      </c>
      <c r="BR1011" s="763">
        <v>0</v>
      </c>
      <c r="BS1011" s="763">
        <v>0</v>
      </c>
      <c r="BT1011" s="762">
        <v>0</v>
      </c>
      <c r="BU1011" s="762">
        <v>0</v>
      </c>
      <c r="BV1011" s="762">
        <v>0</v>
      </c>
      <c r="BW1011" s="762">
        <v>0</v>
      </c>
      <c r="BX1011" s="762">
        <v>0</v>
      </c>
      <c r="BY1011" s="762">
        <v>0</v>
      </c>
      <c r="BZ1011" s="762">
        <v>0</v>
      </c>
      <c r="CA1011" s="762">
        <v>0</v>
      </c>
      <c r="CB1011" s="762">
        <v>0</v>
      </c>
      <c r="CC1011" s="762">
        <v>0</v>
      </c>
      <c r="CD1011" s="762">
        <v>0</v>
      </c>
      <c r="CE1011" s="762">
        <v>0</v>
      </c>
      <c r="CF1011" s="762">
        <v>0</v>
      </c>
      <c r="CG1011" s="762">
        <v>0</v>
      </c>
      <c r="CH1011" s="762">
        <v>0</v>
      </c>
      <c r="CI1011" s="762">
        <v>0</v>
      </c>
      <c r="CJ1011" s="762">
        <v>0</v>
      </c>
      <c r="CK1011" s="762">
        <v>0</v>
      </c>
      <c r="CL1011" s="762">
        <v>0</v>
      </c>
      <c r="CM1011" s="762">
        <v>0</v>
      </c>
      <c r="CN1011" s="762">
        <v>0</v>
      </c>
      <c r="CO1011" s="762">
        <v>0</v>
      </c>
      <c r="CP1011" s="762">
        <v>0</v>
      </c>
      <c r="CQ1011" s="762">
        <v>0</v>
      </c>
      <c r="CR1011" s="762">
        <v>0</v>
      </c>
    </row>
    <row r="1012" spans="1:96" s="53" customFormat="1">
      <c r="A1012" s="709" t="s">
        <v>3</v>
      </c>
      <c r="B1012" s="721">
        <v>41941</v>
      </c>
      <c r="C1012" s="721">
        <v>2014</v>
      </c>
      <c r="D1012" s="709" t="s">
        <v>1</v>
      </c>
      <c r="E1012" s="713" t="s">
        <v>674</v>
      </c>
      <c r="F1012" s="713" t="s">
        <v>673</v>
      </c>
      <c r="G1012" s="723" t="s">
        <v>58</v>
      </c>
      <c r="H1012" s="713" t="s">
        <v>695</v>
      </c>
      <c r="I1012" s="723" t="s">
        <v>5</v>
      </c>
      <c r="J1012" s="713" t="s">
        <v>376</v>
      </c>
      <c r="K1012" s="713">
        <v>16</v>
      </c>
      <c r="L1012" s="713" t="s">
        <v>671</v>
      </c>
      <c r="M1012" s="766" t="s">
        <v>706</v>
      </c>
      <c r="N1012" s="765">
        <v>11</v>
      </c>
      <c r="O1012" s="765" t="s">
        <v>7</v>
      </c>
      <c r="P1012" s="765">
        <v>1</v>
      </c>
      <c r="Q1012" s="735" t="s">
        <v>58</v>
      </c>
      <c r="R1012" s="713" t="s">
        <v>58</v>
      </c>
      <c r="S1012" s="713" t="s">
        <v>58</v>
      </c>
      <c r="T1012" s="713" t="s">
        <v>58</v>
      </c>
      <c r="U1012" s="713">
        <v>0.84</v>
      </c>
      <c r="V1012" s="764">
        <v>2588.88</v>
      </c>
      <c r="W1012" s="764">
        <v>0.65882083617455167</v>
      </c>
      <c r="X1012" s="764">
        <v>2138.8730776481398</v>
      </c>
      <c r="Y1012" s="764">
        <v>23527.603854129538</v>
      </c>
      <c r="Z1012" s="764">
        <v>22207.006824752847</v>
      </c>
      <c r="AA1012" s="764">
        <v>2018.8188022502586</v>
      </c>
      <c r="AB1012" s="764">
        <v>0.62228490808819303</v>
      </c>
      <c r="AC1012" s="714">
        <v>0.82617698682369967</v>
      </c>
      <c r="AD1012" s="714">
        <v>0.7843105192554185</v>
      </c>
      <c r="AE1012" s="714" t="s">
        <v>58</v>
      </c>
      <c r="AF1012" s="713" t="s">
        <v>58</v>
      </c>
      <c r="AG1012" s="713" t="s">
        <v>58</v>
      </c>
      <c r="AH1012" s="713">
        <v>0.94387031345969796</v>
      </c>
      <c r="AI1012" s="714" t="s">
        <v>58</v>
      </c>
      <c r="AJ1012" s="713" t="s">
        <v>58</v>
      </c>
      <c r="AK1012" s="713" t="s">
        <v>58</v>
      </c>
      <c r="AL1012" s="713">
        <v>0.94454345387965444</v>
      </c>
      <c r="AM1012" s="714" t="s">
        <v>58</v>
      </c>
      <c r="AN1012" s="713" t="s">
        <v>58</v>
      </c>
      <c r="AO1012" s="713" t="s">
        <v>58</v>
      </c>
      <c r="AP1012" s="713">
        <v>47</v>
      </c>
      <c r="AQ1012" s="747">
        <v>752</v>
      </c>
      <c r="AR1012" s="747"/>
      <c r="AS1012" s="709">
        <v>0</v>
      </c>
      <c r="AT1012" s="763">
        <v>0</v>
      </c>
      <c r="AU1012" s="763">
        <v>0</v>
      </c>
      <c r="AV1012" s="763">
        <v>0.62228490808819303</v>
      </c>
      <c r="AW1012" s="763">
        <v>0.62228490808819303</v>
      </c>
      <c r="AX1012" s="763">
        <v>0.62228490808819303</v>
      </c>
      <c r="AY1012" s="763">
        <v>0.62228490808819303</v>
      </c>
      <c r="AZ1012" s="763">
        <v>0.62228490808819303</v>
      </c>
      <c r="BA1012" s="763">
        <v>0.62228490808819303</v>
      </c>
      <c r="BB1012" s="763">
        <v>0.62228490808819303</v>
      </c>
      <c r="BC1012" s="763">
        <v>0.62228490808819303</v>
      </c>
      <c r="BD1012" s="763">
        <v>0.62228490808819303</v>
      </c>
      <c r="BE1012" s="763">
        <v>0.62228490808819303</v>
      </c>
      <c r="BF1012" s="763">
        <v>0.62228490808819303</v>
      </c>
      <c r="BG1012" s="763">
        <v>0</v>
      </c>
      <c r="BH1012" s="763">
        <v>0</v>
      </c>
      <c r="BI1012" s="763">
        <v>0</v>
      </c>
      <c r="BJ1012" s="763">
        <v>0</v>
      </c>
      <c r="BK1012" s="763">
        <v>0</v>
      </c>
      <c r="BL1012" s="763">
        <v>0</v>
      </c>
      <c r="BM1012" s="763">
        <v>0</v>
      </c>
      <c r="BN1012" s="763">
        <v>0</v>
      </c>
      <c r="BO1012" s="763">
        <v>0</v>
      </c>
      <c r="BP1012" s="763">
        <v>0</v>
      </c>
      <c r="BQ1012" s="763">
        <v>0</v>
      </c>
      <c r="BR1012" s="763">
        <v>0</v>
      </c>
      <c r="BS1012" s="763">
        <v>0</v>
      </c>
      <c r="BT1012" s="762">
        <v>0</v>
      </c>
      <c r="BU1012" s="762">
        <v>0</v>
      </c>
      <c r="BV1012" s="762">
        <v>2018.8188022502586</v>
      </c>
      <c r="BW1012" s="762">
        <v>2018.8188022502586</v>
      </c>
      <c r="BX1012" s="762">
        <v>2018.8188022502586</v>
      </c>
      <c r="BY1012" s="762">
        <v>2018.8188022502586</v>
      </c>
      <c r="BZ1012" s="762">
        <v>2018.8188022502586</v>
      </c>
      <c r="CA1012" s="762">
        <v>2018.8188022502586</v>
      </c>
      <c r="CB1012" s="762">
        <v>2018.8188022502586</v>
      </c>
      <c r="CC1012" s="762">
        <v>2018.8188022502586</v>
      </c>
      <c r="CD1012" s="762">
        <v>2018.8188022502586</v>
      </c>
      <c r="CE1012" s="762">
        <v>2018.8188022502586</v>
      </c>
      <c r="CF1012" s="762">
        <v>2018.8188022502586</v>
      </c>
      <c r="CG1012" s="762">
        <v>0</v>
      </c>
      <c r="CH1012" s="762">
        <v>0</v>
      </c>
      <c r="CI1012" s="762">
        <v>0</v>
      </c>
      <c r="CJ1012" s="762">
        <v>0</v>
      </c>
      <c r="CK1012" s="762">
        <v>0</v>
      </c>
      <c r="CL1012" s="762">
        <v>0</v>
      </c>
      <c r="CM1012" s="762">
        <v>0</v>
      </c>
      <c r="CN1012" s="762">
        <v>0</v>
      </c>
      <c r="CO1012" s="762">
        <v>0</v>
      </c>
      <c r="CP1012" s="762">
        <v>0</v>
      </c>
      <c r="CQ1012" s="762">
        <v>0</v>
      </c>
      <c r="CR1012" s="762">
        <v>0</v>
      </c>
    </row>
    <row r="1013" spans="1:96" s="53" customFormat="1">
      <c r="A1013" s="709" t="s">
        <v>3</v>
      </c>
      <c r="B1013" s="721">
        <v>41941</v>
      </c>
      <c r="C1013" s="721">
        <v>2014</v>
      </c>
      <c r="D1013" s="709" t="s">
        <v>1</v>
      </c>
      <c r="E1013" s="713" t="s">
        <v>674</v>
      </c>
      <c r="F1013" s="713" t="s">
        <v>673</v>
      </c>
      <c r="G1013" s="723" t="s">
        <v>58</v>
      </c>
      <c r="H1013" s="713" t="s">
        <v>680</v>
      </c>
      <c r="I1013" s="723" t="s">
        <v>5</v>
      </c>
      <c r="J1013" s="713" t="s">
        <v>376</v>
      </c>
      <c r="K1013" s="713">
        <v>13</v>
      </c>
      <c r="L1013" s="713" t="s">
        <v>671</v>
      </c>
      <c r="M1013" s="766" t="s">
        <v>706</v>
      </c>
      <c r="N1013" s="765">
        <v>11</v>
      </c>
      <c r="O1013" s="765" t="s">
        <v>7</v>
      </c>
      <c r="P1013" s="765">
        <v>1</v>
      </c>
      <c r="Q1013" s="735" t="s">
        <v>58</v>
      </c>
      <c r="R1013" s="713" t="s">
        <v>58</v>
      </c>
      <c r="S1013" s="713" t="s">
        <v>58</v>
      </c>
      <c r="T1013" s="713" t="s">
        <v>58</v>
      </c>
      <c r="U1013" s="713">
        <v>0.66949999999999998</v>
      </c>
      <c r="V1013" s="764">
        <v>2063.3989999999999</v>
      </c>
      <c r="W1013" s="764">
        <v>0.52509589264150269</v>
      </c>
      <c r="X1013" s="764">
        <v>1704.7327684350348</v>
      </c>
      <c r="Y1013" s="764">
        <v>18752.060452785383</v>
      </c>
      <c r="Z1013" s="764">
        <v>17699.513177585744</v>
      </c>
      <c r="AA1013" s="764">
        <v>1609.046652507795</v>
      </c>
      <c r="AB1013" s="764">
        <v>0.49597588805362519</v>
      </c>
      <c r="AC1013" s="714">
        <v>0.82617698682369967</v>
      </c>
      <c r="AD1013" s="714">
        <v>0.7843105192554185</v>
      </c>
      <c r="AE1013" s="714" t="s">
        <v>58</v>
      </c>
      <c r="AF1013" s="713" t="s">
        <v>58</v>
      </c>
      <c r="AG1013" s="713" t="s">
        <v>58</v>
      </c>
      <c r="AH1013" s="713">
        <v>0.94387031345969796</v>
      </c>
      <c r="AI1013" s="714" t="s">
        <v>58</v>
      </c>
      <c r="AJ1013" s="713" t="s">
        <v>58</v>
      </c>
      <c r="AK1013" s="713" t="s">
        <v>58</v>
      </c>
      <c r="AL1013" s="713">
        <v>0.94454345387965444</v>
      </c>
      <c r="AM1013" s="714" t="s">
        <v>58</v>
      </c>
      <c r="AN1013" s="713" t="s">
        <v>58</v>
      </c>
      <c r="AO1013" s="713" t="s">
        <v>58</v>
      </c>
      <c r="AP1013" s="713">
        <v>52</v>
      </c>
      <c r="AQ1013" s="747">
        <v>676</v>
      </c>
      <c r="AR1013" s="747"/>
      <c r="AS1013" s="709">
        <v>0</v>
      </c>
      <c r="AT1013" s="763">
        <v>0</v>
      </c>
      <c r="AU1013" s="763">
        <v>0</v>
      </c>
      <c r="AV1013" s="763">
        <v>0.49597588805362519</v>
      </c>
      <c r="AW1013" s="763">
        <v>0.49597588805362519</v>
      </c>
      <c r="AX1013" s="763">
        <v>0.49597588805362519</v>
      </c>
      <c r="AY1013" s="763">
        <v>0.49597588805362519</v>
      </c>
      <c r="AZ1013" s="763">
        <v>0.49597588805362519</v>
      </c>
      <c r="BA1013" s="763">
        <v>0.49597588805362519</v>
      </c>
      <c r="BB1013" s="763">
        <v>0.49597588805362519</v>
      </c>
      <c r="BC1013" s="763">
        <v>0.49597588805362519</v>
      </c>
      <c r="BD1013" s="763">
        <v>0.49597588805362519</v>
      </c>
      <c r="BE1013" s="763">
        <v>0.49597588805362519</v>
      </c>
      <c r="BF1013" s="763">
        <v>0.49597588805362519</v>
      </c>
      <c r="BG1013" s="763">
        <v>0</v>
      </c>
      <c r="BH1013" s="763">
        <v>0</v>
      </c>
      <c r="BI1013" s="763">
        <v>0</v>
      </c>
      <c r="BJ1013" s="763">
        <v>0</v>
      </c>
      <c r="BK1013" s="763">
        <v>0</v>
      </c>
      <c r="BL1013" s="763">
        <v>0</v>
      </c>
      <c r="BM1013" s="763">
        <v>0</v>
      </c>
      <c r="BN1013" s="763">
        <v>0</v>
      </c>
      <c r="BO1013" s="763">
        <v>0</v>
      </c>
      <c r="BP1013" s="763">
        <v>0</v>
      </c>
      <c r="BQ1013" s="763">
        <v>0</v>
      </c>
      <c r="BR1013" s="763">
        <v>0</v>
      </c>
      <c r="BS1013" s="763">
        <v>0</v>
      </c>
      <c r="BT1013" s="762">
        <v>0</v>
      </c>
      <c r="BU1013" s="762">
        <v>0</v>
      </c>
      <c r="BV1013" s="762">
        <v>1609.046652507795</v>
      </c>
      <c r="BW1013" s="762">
        <v>1609.046652507795</v>
      </c>
      <c r="BX1013" s="762">
        <v>1609.046652507795</v>
      </c>
      <c r="BY1013" s="762">
        <v>1609.046652507795</v>
      </c>
      <c r="BZ1013" s="762">
        <v>1609.046652507795</v>
      </c>
      <c r="CA1013" s="762">
        <v>1609.046652507795</v>
      </c>
      <c r="CB1013" s="762">
        <v>1609.046652507795</v>
      </c>
      <c r="CC1013" s="762">
        <v>1609.046652507795</v>
      </c>
      <c r="CD1013" s="762">
        <v>1609.046652507795</v>
      </c>
      <c r="CE1013" s="762">
        <v>1609.046652507795</v>
      </c>
      <c r="CF1013" s="762">
        <v>1609.046652507795</v>
      </c>
      <c r="CG1013" s="762">
        <v>0</v>
      </c>
      <c r="CH1013" s="762">
        <v>0</v>
      </c>
      <c r="CI1013" s="762">
        <v>0</v>
      </c>
      <c r="CJ1013" s="762">
        <v>0</v>
      </c>
      <c r="CK1013" s="762">
        <v>0</v>
      </c>
      <c r="CL1013" s="762">
        <v>0</v>
      </c>
      <c r="CM1013" s="762">
        <v>0</v>
      </c>
      <c r="CN1013" s="762">
        <v>0</v>
      </c>
      <c r="CO1013" s="762">
        <v>0</v>
      </c>
      <c r="CP1013" s="762">
        <v>0</v>
      </c>
      <c r="CQ1013" s="762">
        <v>0</v>
      </c>
      <c r="CR1013" s="762">
        <v>0</v>
      </c>
    </row>
    <row r="1014" spans="1:96" s="53" customFormat="1">
      <c r="A1014" s="709" t="s">
        <v>3</v>
      </c>
      <c r="B1014" s="721">
        <v>41960</v>
      </c>
      <c r="C1014" s="721">
        <v>2014</v>
      </c>
      <c r="D1014" s="709" t="s">
        <v>1</v>
      </c>
      <c r="E1014" s="713" t="s">
        <v>674</v>
      </c>
      <c r="F1014" s="713" t="s">
        <v>123</v>
      </c>
      <c r="G1014" s="723" t="s">
        <v>58</v>
      </c>
      <c r="H1014" s="713" t="s">
        <v>705</v>
      </c>
      <c r="I1014" s="723" t="s">
        <v>5</v>
      </c>
      <c r="J1014" s="713" t="s">
        <v>376</v>
      </c>
      <c r="K1014" s="713">
        <v>1</v>
      </c>
      <c r="L1014" s="713" t="s">
        <v>671</v>
      </c>
      <c r="M1014" s="766" t="s">
        <v>701</v>
      </c>
      <c r="N1014" s="765">
        <v>12</v>
      </c>
      <c r="O1014" s="765" t="s">
        <v>7</v>
      </c>
      <c r="P1014" s="765">
        <v>1</v>
      </c>
      <c r="Q1014" s="735" t="s">
        <v>58</v>
      </c>
      <c r="R1014" s="713" t="s">
        <v>58</v>
      </c>
      <c r="S1014" s="713" t="s">
        <v>58</v>
      </c>
      <c r="T1014" s="713" t="s">
        <v>58</v>
      </c>
      <c r="U1014" s="713">
        <v>4.2000000000000003E-2</v>
      </c>
      <c r="V1014" s="764">
        <v>143.22</v>
      </c>
      <c r="W1014" s="764">
        <v>3.2941041808727582E-2</v>
      </c>
      <c r="X1014" s="764">
        <v>118.32506805289026</v>
      </c>
      <c r="Y1014" s="764">
        <v>1419.900816634683</v>
      </c>
      <c r="Z1014" s="764">
        <v>1340.2022288786593</v>
      </c>
      <c r="AA1014" s="764">
        <v>111.68351907322162</v>
      </c>
      <c r="AB1014" s="764">
        <v>3.111424540440965E-2</v>
      </c>
      <c r="AC1014" s="714">
        <v>0.82617698682369967</v>
      </c>
      <c r="AD1014" s="714">
        <v>0.7843105192554185</v>
      </c>
      <c r="AE1014" s="714" t="s">
        <v>58</v>
      </c>
      <c r="AF1014" s="713" t="s">
        <v>58</v>
      </c>
      <c r="AG1014" s="713" t="s">
        <v>58</v>
      </c>
      <c r="AH1014" s="713">
        <v>0.94387031345969796</v>
      </c>
      <c r="AI1014" s="714" t="s">
        <v>58</v>
      </c>
      <c r="AJ1014" s="713" t="s">
        <v>58</v>
      </c>
      <c r="AK1014" s="713" t="s">
        <v>58</v>
      </c>
      <c r="AL1014" s="713">
        <v>0.94454345387965444</v>
      </c>
      <c r="AM1014" s="714" t="s">
        <v>58</v>
      </c>
      <c r="AN1014" s="713" t="s">
        <v>58</v>
      </c>
      <c r="AO1014" s="713" t="s">
        <v>58</v>
      </c>
      <c r="AP1014" s="713">
        <v>138</v>
      </c>
      <c r="AQ1014" s="747">
        <v>138</v>
      </c>
      <c r="AR1014" s="747"/>
      <c r="AS1014" s="709">
        <v>0</v>
      </c>
      <c r="AT1014" s="763">
        <v>0</v>
      </c>
      <c r="AU1014" s="763">
        <v>0</v>
      </c>
      <c r="AV1014" s="763">
        <v>3.111424540440965E-2</v>
      </c>
      <c r="AW1014" s="763">
        <v>3.111424540440965E-2</v>
      </c>
      <c r="AX1014" s="763">
        <v>3.111424540440965E-2</v>
      </c>
      <c r="AY1014" s="763">
        <v>3.111424540440965E-2</v>
      </c>
      <c r="AZ1014" s="763">
        <v>3.111424540440965E-2</v>
      </c>
      <c r="BA1014" s="763">
        <v>3.111424540440965E-2</v>
      </c>
      <c r="BB1014" s="763">
        <v>3.111424540440965E-2</v>
      </c>
      <c r="BC1014" s="763">
        <v>3.111424540440965E-2</v>
      </c>
      <c r="BD1014" s="763">
        <v>3.111424540440965E-2</v>
      </c>
      <c r="BE1014" s="763">
        <v>3.111424540440965E-2</v>
      </c>
      <c r="BF1014" s="763">
        <v>3.111424540440965E-2</v>
      </c>
      <c r="BG1014" s="763">
        <v>3.111424540440965E-2</v>
      </c>
      <c r="BH1014" s="763">
        <v>0</v>
      </c>
      <c r="BI1014" s="763">
        <v>0</v>
      </c>
      <c r="BJ1014" s="763">
        <v>0</v>
      </c>
      <c r="BK1014" s="763">
        <v>0</v>
      </c>
      <c r="BL1014" s="763">
        <v>0</v>
      </c>
      <c r="BM1014" s="763">
        <v>0</v>
      </c>
      <c r="BN1014" s="763">
        <v>0</v>
      </c>
      <c r="BO1014" s="763">
        <v>0</v>
      </c>
      <c r="BP1014" s="763">
        <v>0</v>
      </c>
      <c r="BQ1014" s="763">
        <v>0</v>
      </c>
      <c r="BR1014" s="763">
        <v>0</v>
      </c>
      <c r="BS1014" s="763">
        <v>0</v>
      </c>
      <c r="BT1014" s="762">
        <v>0</v>
      </c>
      <c r="BU1014" s="762">
        <v>0</v>
      </c>
      <c r="BV1014" s="762">
        <v>111.68351907322162</v>
      </c>
      <c r="BW1014" s="762">
        <v>111.68351907322162</v>
      </c>
      <c r="BX1014" s="762">
        <v>111.68351907322162</v>
      </c>
      <c r="BY1014" s="762">
        <v>111.68351907322162</v>
      </c>
      <c r="BZ1014" s="762">
        <v>111.68351907322162</v>
      </c>
      <c r="CA1014" s="762">
        <v>111.68351907322162</v>
      </c>
      <c r="CB1014" s="762">
        <v>111.68351907322162</v>
      </c>
      <c r="CC1014" s="762">
        <v>111.68351907322162</v>
      </c>
      <c r="CD1014" s="762">
        <v>111.68351907322162</v>
      </c>
      <c r="CE1014" s="762">
        <v>111.68351907322162</v>
      </c>
      <c r="CF1014" s="762">
        <v>111.68351907322162</v>
      </c>
      <c r="CG1014" s="762">
        <v>111.68351907322162</v>
      </c>
      <c r="CH1014" s="762">
        <v>0</v>
      </c>
      <c r="CI1014" s="762">
        <v>0</v>
      </c>
      <c r="CJ1014" s="762">
        <v>0</v>
      </c>
      <c r="CK1014" s="762">
        <v>0</v>
      </c>
      <c r="CL1014" s="762">
        <v>0</v>
      </c>
      <c r="CM1014" s="762">
        <v>0</v>
      </c>
      <c r="CN1014" s="762">
        <v>0</v>
      </c>
      <c r="CO1014" s="762">
        <v>0</v>
      </c>
      <c r="CP1014" s="762">
        <v>0</v>
      </c>
      <c r="CQ1014" s="762">
        <v>0</v>
      </c>
      <c r="CR1014" s="762">
        <v>0</v>
      </c>
    </row>
    <row r="1015" spans="1:96" s="53" customFormat="1">
      <c r="A1015" s="709" t="s">
        <v>3</v>
      </c>
      <c r="B1015" s="721">
        <v>41960</v>
      </c>
      <c r="C1015" s="721">
        <v>2014</v>
      </c>
      <c r="D1015" s="709" t="s">
        <v>1</v>
      </c>
      <c r="E1015" s="713" t="s">
        <v>674</v>
      </c>
      <c r="F1015" s="713" t="s">
        <v>123</v>
      </c>
      <c r="G1015" s="723" t="s">
        <v>58</v>
      </c>
      <c r="H1015" s="713" t="s">
        <v>704</v>
      </c>
      <c r="I1015" s="723" t="s">
        <v>5</v>
      </c>
      <c r="J1015" s="713" t="s">
        <v>376</v>
      </c>
      <c r="K1015" s="713">
        <v>1</v>
      </c>
      <c r="L1015" s="713" t="s">
        <v>671</v>
      </c>
      <c r="M1015" s="766" t="s">
        <v>701</v>
      </c>
      <c r="N1015" s="765">
        <v>12</v>
      </c>
      <c r="O1015" s="765">
        <v>3</v>
      </c>
      <c r="P1015" s="765">
        <v>4.5454545454545456E-2</v>
      </c>
      <c r="Q1015" s="735" t="s">
        <v>58</v>
      </c>
      <c r="R1015" s="713" t="s">
        <v>58</v>
      </c>
      <c r="S1015" s="713" t="s">
        <v>58</v>
      </c>
      <c r="T1015" s="713" t="s">
        <v>58</v>
      </c>
      <c r="U1015" s="713">
        <v>2.1999999999999999E-2</v>
      </c>
      <c r="V1015" s="764">
        <v>75.02</v>
      </c>
      <c r="W1015" s="764">
        <v>1.7254831423619207E-2</v>
      </c>
      <c r="X1015" s="764">
        <v>61.97979755151394</v>
      </c>
      <c r="Y1015" s="764">
        <v>211.29476438016115</v>
      </c>
      <c r="Z1015" s="764">
        <v>199.43485548789573</v>
      </c>
      <c r="AA1015" s="764">
        <v>58.500890943116083</v>
      </c>
      <c r="AB1015" s="764">
        <v>1.6297938068976482E-2</v>
      </c>
      <c r="AC1015" s="714">
        <v>0.82617698682369967</v>
      </c>
      <c r="AD1015" s="714">
        <v>0.7843105192554185</v>
      </c>
      <c r="AE1015" s="714" t="s">
        <v>58</v>
      </c>
      <c r="AF1015" s="713" t="s">
        <v>58</v>
      </c>
      <c r="AG1015" s="713" t="s">
        <v>58</v>
      </c>
      <c r="AH1015" s="713">
        <v>0.94387031345969796</v>
      </c>
      <c r="AI1015" s="714" t="s">
        <v>58</v>
      </c>
      <c r="AJ1015" s="713" t="s">
        <v>58</v>
      </c>
      <c r="AK1015" s="713" t="s">
        <v>58</v>
      </c>
      <c r="AL1015" s="713">
        <v>0.94454345387965444</v>
      </c>
      <c r="AM1015" s="714" t="s">
        <v>58</v>
      </c>
      <c r="AN1015" s="713" t="s">
        <v>58</v>
      </c>
      <c r="AO1015" s="713" t="s">
        <v>58</v>
      </c>
      <c r="AP1015" s="713">
        <v>75</v>
      </c>
      <c r="AQ1015" s="747">
        <v>75</v>
      </c>
      <c r="AR1015" s="747"/>
      <c r="AS1015" s="709">
        <v>0</v>
      </c>
      <c r="AT1015" s="763">
        <v>0</v>
      </c>
      <c r="AU1015" s="763">
        <v>0</v>
      </c>
      <c r="AV1015" s="763">
        <v>1.6297938068976482E-2</v>
      </c>
      <c r="AW1015" s="763">
        <v>1.6297938068976482E-2</v>
      </c>
      <c r="AX1015" s="763">
        <v>1.6297938068976482E-2</v>
      </c>
      <c r="AY1015" s="763">
        <v>7.4081536677165832E-4</v>
      </c>
      <c r="AZ1015" s="763">
        <v>7.4081536677165832E-4</v>
      </c>
      <c r="BA1015" s="763">
        <v>7.4081536677165832E-4</v>
      </c>
      <c r="BB1015" s="763">
        <v>7.4081536677165832E-4</v>
      </c>
      <c r="BC1015" s="763">
        <v>7.4081536677165832E-4</v>
      </c>
      <c r="BD1015" s="763">
        <v>7.4081536677165832E-4</v>
      </c>
      <c r="BE1015" s="763">
        <v>7.4081536677165832E-4</v>
      </c>
      <c r="BF1015" s="763">
        <v>7.4081536677165832E-4</v>
      </c>
      <c r="BG1015" s="763">
        <v>7.4081536677165832E-4</v>
      </c>
      <c r="BH1015" s="763">
        <v>0</v>
      </c>
      <c r="BI1015" s="763">
        <v>0</v>
      </c>
      <c r="BJ1015" s="763">
        <v>0</v>
      </c>
      <c r="BK1015" s="763">
        <v>0</v>
      </c>
      <c r="BL1015" s="763">
        <v>0</v>
      </c>
      <c r="BM1015" s="763">
        <v>0</v>
      </c>
      <c r="BN1015" s="763">
        <v>0</v>
      </c>
      <c r="BO1015" s="763">
        <v>0</v>
      </c>
      <c r="BP1015" s="763">
        <v>0</v>
      </c>
      <c r="BQ1015" s="763">
        <v>0</v>
      </c>
      <c r="BR1015" s="763">
        <v>0</v>
      </c>
      <c r="BS1015" s="763">
        <v>0</v>
      </c>
      <c r="BT1015" s="762">
        <v>0</v>
      </c>
      <c r="BU1015" s="762">
        <v>0</v>
      </c>
      <c r="BV1015" s="762">
        <v>58.500890943116083</v>
      </c>
      <c r="BW1015" s="762">
        <v>58.500890943116083</v>
      </c>
      <c r="BX1015" s="762">
        <v>58.500890943116083</v>
      </c>
      <c r="BY1015" s="762">
        <v>2.6591314065052765</v>
      </c>
      <c r="BZ1015" s="762">
        <v>2.6591314065052765</v>
      </c>
      <c r="CA1015" s="762">
        <v>2.6591314065052765</v>
      </c>
      <c r="CB1015" s="762">
        <v>2.6591314065052765</v>
      </c>
      <c r="CC1015" s="762">
        <v>2.6591314065052765</v>
      </c>
      <c r="CD1015" s="762">
        <v>2.6591314065052765</v>
      </c>
      <c r="CE1015" s="762">
        <v>2.6591314065052765</v>
      </c>
      <c r="CF1015" s="762">
        <v>2.6591314065052765</v>
      </c>
      <c r="CG1015" s="762">
        <v>2.6591314065052765</v>
      </c>
      <c r="CH1015" s="762">
        <v>0</v>
      </c>
      <c r="CI1015" s="762">
        <v>0</v>
      </c>
      <c r="CJ1015" s="762">
        <v>0</v>
      </c>
      <c r="CK1015" s="762">
        <v>0</v>
      </c>
      <c r="CL1015" s="762">
        <v>0</v>
      </c>
      <c r="CM1015" s="762">
        <v>0</v>
      </c>
      <c r="CN1015" s="762">
        <v>0</v>
      </c>
      <c r="CO1015" s="762">
        <v>0</v>
      </c>
      <c r="CP1015" s="762">
        <v>0</v>
      </c>
      <c r="CQ1015" s="762">
        <v>0</v>
      </c>
      <c r="CR1015" s="762">
        <v>0</v>
      </c>
    </row>
    <row r="1016" spans="1:96" s="53" customFormat="1">
      <c r="A1016" s="709" t="s">
        <v>3</v>
      </c>
      <c r="B1016" s="721">
        <v>41960</v>
      </c>
      <c r="C1016" s="721">
        <v>2014</v>
      </c>
      <c r="D1016" s="709" t="s">
        <v>1</v>
      </c>
      <c r="E1016" s="713" t="s">
        <v>674</v>
      </c>
      <c r="F1016" s="713" t="s">
        <v>123</v>
      </c>
      <c r="G1016" s="723" t="s">
        <v>58</v>
      </c>
      <c r="H1016" s="713" t="s">
        <v>678</v>
      </c>
      <c r="I1016" s="723" t="s">
        <v>5</v>
      </c>
      <c r="J1016" s="713" t="s">
        <v>376</v>
      </c>
      <c r="K1016" s="713">
        <v>9</v>
      </c>
      <c r="L1016" s="713" t="s">
        <v>671</v>
      </c>
      <c r="M1016" s="766" t="s">
        <v>701</v>
      </c>
      <c r="N1016" s="765">
        <v>3</v>
      </c>
      <c r="O1016" s="765">
        <v>2</v>
      </c>
      <c r="P1016" s="765">
        <v>0.6149863305954828</v>
      </c>
      <c r="Q1016" s="735" t="s">
        <v>58</v>
      </c>
      <c r="R1016" s="713" t="s">
        <v>58</v>
      </c>
      <c r="S1016" s="713" t="s">
        <v>58</v>
      </c>
      <c r="T1016" s="713" t="s">
        <v>58</v>
      </c>
      <c r="U1016" s="713">
        <v>0.42299999999999999</v>
      </c>
      <c r="V1016" s="764">
        <v>1342.6020000000001</v>
      </c>
      <c r="W1016" s="764">
        <v>0.33176334964504206</v>
      </c>
      <c r="X1016" s="764">
        <v>1109.2268748634729</v>
      </c>
      <c r="Y1016" s="764">
        <v>2900.6131152971275</v>
      </c>
      <c r="Z1016" s="764">
        <v>2737.8026103608108</v>
      </c>
      <c r="AA1016" s="764">
        <v>1046.9663180753073</v>
      </c>
      <c r="AB1016" s="764">
        <v>0.31336490014441143</v>
      </c>
      <c r="AC1016" s="714">
        <v>0.82617698682369967</v>
      </c>
      <c r="AD1016" s="714">
        <v>0.7843105192554185</v>
      </c>
      <c r="AE1016" s="714" t="s">
        <v>58</v>
      </c>
      <c r="AF1016" s="713" t="s">
        <v>58</v>
      </c>
      <c r="AG1016" s="713" t="s">
        <v>58</v>
      </c>
      <c r="AH1016" s="713">
        <v>0.94387031345969796</v>
      </c>
      <c r="AI1016" s="714" t="s">
        <v>58</v>
      </c>
      <c r="AJ1016" s="713" t="s">
        <v>58</v>
      </c>
      <c r="AK1016" s="713" t="s">
        <v>58</v>
      </c>
      <c r="AL1016" s="713">
        <v>0.94454345387965444</v>
      </c>
      <c r="AM1016" s="714" t="s">
        <v>58</v>
      </c>
      <c r="AN1016" s="713" t="s">
        <v>58</v>
      </c>
      <c r="AO1016" s="713" t="s">
        <v>58</v>
      </c>
      <c r="AP1016" s="713">
        <v>8</v>
      </c>
      <c r="AQ1016" s="747">
        <v>72</v>
      </c>
      <c r="AR1016" s="747"/>
      <c r="AS1016" s="709">
        <v>0</v>
      </c>
      <c r="AT1016" s="763">
        <v>0</v>
      </c>
      <c r="AU1016" s="763">
        <v>0</v>
      </c>
      <c r="AV1016" s="763">
        <v>0.31336490014441143</v>
      </c>
      <c r="AW1016" s="763">
        <v>0.31336490014441143</v>
      </c>
      <c r="AX1016" s="763">
        <v>0.19271513007723146</v>
      </c>
      <c r="AY1016" s="763">
        <v>0</v>
      </c>
      <c r="AZ1016" s="763">
        <v>0</v>
      </c>
      <c r="BA1016" s="763">
        <v>0</v>
      </c>
      <c r="BB1016" s="763">
        <v>0</v>
      </c>
      <c r="BC1016" s="763">
        <v>0</v>
      </c>
      <c r="BD1016" s="763">
        <v>0</v>
      </c>
      <c r="BE1016" s="763">
        <v>0</v>
      </c>
      <c r="BF1016" s="763">
        <v>0</v>
      </c>
      <c r="BG1016" s="763">
        <v>0</v>
      </c>
      <c r="BH1016" s="763">
        <v>0</v>
      </c>
      <c r="BI1016" s="763">
        <v>0</v>
      </c>
      <c r="BJ1016" s="763">
        <v>0</v>
      </c>
      <c r="BK1016" s="763">
        <v>0</v>
      </c>
      <c r="BL1016" s="763">
        <v>0</v>
      </c>
      <c r="BM1016" s="763">
        <v>0</v>
      </c>
      <c r="BN1016" s="763">
        <v>0</v>
      </c>
      <c r="BO1016" s="763">
        <v>0</v>
      </c>
      <c r="BP1016" s="763">
        <v>0</v>
      </c>
      <c r="BQ1016" s="763">
        <v>0</v>
      </c>
      <c r="BR1016" s="763">
        <v>0</v>
      </c>
      <c r="BS1016" s="763">
        <v>0</v>
      </c>
      <c r="BT1016" s="762">
        <v>0</v>
      </c>
      <c r="BU1016" s="762">
        <v>0</v>
      </c>
      <c r="BV1016" s="762">
        <v>1046.9663180753073</v>
      </c>
      <c r="BW1016" s="762">
        <v>1046.9663180753073</v>
      </c>
      <c r="BX1016" s="762">
        <v>643.86997421019635</v>
      </c>
      <c r="BY1016" s="762">
        <v>0</v>
      </c>
      <c r="BZ1016" s="762">
        <v>0</v>
      </c>
      <c r="CA1016" s="762">
        <v>0</v>
      </c>
      <c r="CB1016" s="762">
        <v>0</v>
      </c>
      <c r="CC1016" s="762">
        <v>0</v>
      </c>
      <c r="CD1016" s="762">
        <v>0</v>
      </c>
      <c r="CE1016" s="762">
        <v>0</v>
      </c>
      <c r="CF1016" s="762">
        <v>0</v>
      </c>
      <c r="CG1016" s="762">
        <v>0</v>
      </c>
      <c r="CH1016" s="762">
        <v>0</v>
      </c>
      <c r="CI1016" s="762">
        <v>0</v>
      </c>
      <c r="CJ1016" s="762">
        <v>0</v>
      </c>
      <c r="CK1016" s="762">
        <v>0</v>
      </c>
      <c r="CL1016" s="762">
        <v>0</v>
      </c>
      <c r="CM1016" s="762">
        <v>0</v>
      </c>
      <c r="CN1016" s="762">
        <v>0</v>
      </c>
      <c r="CO1016" s="762">
        <v>0</v>
      </c>
      <c r="CP1016" s="762">
        <v>0</v>
      </c>
      <c r="CQ1016" s="762">
        <v>0</v>
      </c>
      <c r="CR1016" s="762">
        <v>0</v>
      </c>
    </row>
    <row r="1017" spans="1:96" s="53" customFormat="1">
      <c r="A1017" s="709" t="s">
        <v>3</v>
      </c>
      <c r="B1017" s="721">
        <v>41960</v>
      </c>
      <c r="C1017" s="721">
        <v>2014</v>
      </c>
      <c r="D1017" s="709" t="s">
        <v>1</v>
      </c>
      <c r="E1017" s="713" t="s">
        <v>674</v>
      </c>
      <c r="F1017" s="713" t="s">
        <v>123</v>
      </c>
      <c r="G1017" s="723" t="s">
        <v>58</v>
      </c>
      <c r="H1017" s="713" t="s">
        <v>703</v>
      </c>
      <c r="I1017" s="723" t="s">
        <v>5</v>
      </c>
      <c r="J1017" s="713" t="s">
        <v>376</v>
      </c>
      <c r="K1017" s="713">
        <v>19</v>
      </c>
      <c r="L1017" s="713" t="s">
        <v>671</v>
      </c>
      <c r="M1017" s="766" t="s">
        <v>701</v>
      </c>
      <c r="N1017" s="765">
        <v>3</v>
      </c>
      <c r="O1017" s="765">
        <v>1</v>
      </c>
      <c r="P1017" s="765">
        <v>0.60014709718448678</v>
      </c>
      <c r="Q1017" s="735" t="s">
        <v>58</v>
      </c>
      <c r="R1017" s="713" t="s">
        <v>58</v>
      </c>
      <c r="S1017" s="713" t="s">
        <v>58</v>
      </c>
      <c r="T1017" s="713" t="s">
        <v>58</v>
      </c>
      <c r="U1017" s="713">
        <v>1.4630000000000001</v>
      </c>
      <c r="V1017" s="764">
        <v>4643.5619999999999</v>
      </c>
      <c r="W1017" s="764">
        <v>1.1474462896706774</v>
      </c>
      <c r="X1017" s="764">
        <v>3836.4040612890321</v>
      </c>
      <c r="Y1017" s="764">
        <v>8441.217583307809</v>
      </c>
      <c r="Z1017" s="764">
        <v>7967.4146863382557</v>
      </c>
      <c r="AA1017" s="764">
        <v>3621.0679038869371</v>
      </c>
      <c r="AB1017" s="764">
        <v>1.0838128815869361</v>
      </c>
      <c r="AC1017" s="714">
        <v>0.82617698682369967</v>
      </c>
      <c r="AD1017" s="714">
        <v>0.7843105192554185</v>
      </c>
      <c r="AE1017" s="714" t="s">
        <v>58</v>
      </c>
      <c r="AF1017" s="713" t="s">
        <v>58</v>
      </c>
      <c r="AG1017" s="713" t="s">
        <v>58</v>
      </c>
      <c r="AH1017" s="713">
        <v>0.94387031345969796</v>
      </c>
      <c r="AI1017" s="714" t="s">
        <v>58</v>
      </c>
      <c r="AJ1017" s="713" t="s">
        <v>58</v>
      </c>
      <c r="AK1017" s="713" t="s">
        <v>58</v>
      </c>
      <c r="AL1017" s="713">
        <v>0.94454345387965444</v>
      </c>
      <c r="AM1017" s="714" t="s">
        <v>58</v>
      </c>
      <c r="AN1017" s="713" t="s">
        <v>58</v>
      </c>
      <c r="AO1017" s="713" t="s">
        <v>58</v>
      </c>
      <c r="AP1017" s="713">
        <v>9.85</v>
      </c>
      <c r="AQ1017" s="747">
        <v>187.15</v>
      </c>
      <c r="AR1017" s="747"/>
      <c r="AS1017" s="709">
        <v>0</v>
      </c>
      <c r="AT1017" s="763">
        <v>0</v>
      </c>
      <c r="AU1017" s="763">
        <v>0</v>
      </c>
      <c r="AV1017" s="763">
        <v>1.0838128815869361</v>
      </c>
      <c r="AW1017" s="763">
        <v>0.65044715477555359</v>
      </c>
      <c r="AX1017" s="763">
        <v>0.65044715477555359</v>
      </c>
      <c r="AY1017" s="763">
        <v>0</v>
      </c>
      <c r="AZ1017" s="763">
        <v>0</v>
      </c>
      <c r="BA1017" s="763">
        <v>0</v>
      </c>
      <c r="BB1017" s="763">
        <v>0</v>
      </c>
      <c r="BC1017" s="763">
        <v>0</v>
      </c>
      <c r="BD1017" s="763">
        <v>0</v>
      </c>
      <c r="BE1017" s="763">
        <v>0</v>
      </c>
      <c r="BF1017" s="763">
        <v>0</v>
      </c>
      <c r="BG1017" s="763">
        <v>0</v>
      </c>
      <c r="BH1017" s="763">
        <v>0</v>
      </c>
      <c r="BI1017" s="763">
        <v>0</v>
      </c>
      <c r="BJ1017" s="763">
        <v>0</v>
      </c>
      <c r="BK1017" s="763">
        <v>0</v>
      </c>
      <c r="BL1017" s="763">
        <v>0</v>
      </c>
      <c r="BM1017" s="763">
        <v>0</v>
      </c>
      <c r="BN1017" s="763">
        <v>0</v>
      </c>
      <c r="BO1017" s="763">
        <v>0</v>
      </c>
      <c r="BP1017" s="763">
        <v>0</v>
      </c>
      <c r="BQ1017" s="763">
        <v>0</v>
      </c>
      <c r="BR1017" s="763">
        <v>0</v>
      </c>
      <c r="BS1017" s="763">
        <v>0</v>
      </c>
      <c r="BT1017" s="762">
        <v>0</v>
      </c>
      <c r="BU1017" s="762">
        <v>0</v>
      </c>
      <c r="BV1017" s="762">
        <v>3621.0679038869371</v>
      </c>
      <c r="BW1017" s="762">
        <v>2173.1733912256595</v>
      </c>
      <c r="BX1017" s="762">
        <v>2173.1733912256595</v>
      </c>
      <c r="BY1017" s="762">
        <v>0</v>
      </c>
      <c r="BZ1017" s="762">
        <v>0</v>
      </c>
      <c r="CA1017" s="762">
        <v>0</v>
      </c>
      <c r="CB1017" s="762">
        <v>0</v>
      </c>
      <c r="CC1017" s="762">
        <v>0</v>
      </c>
      <c r="CD1017" s="762">
        <v>0</v>
      </c>
      <c r="CE1017" s="762">
        <v>0</v>
      </c>
      <c r="CF1017" s="762">
        <v>0</v>
      </c>
      <c r="CG1017" s="762">
        <v>0</v>
      </c>
      <c r="CH1017" s="762">
        <v>0</v>
      </c>
      <c r="CI1017" s="762">
        <v>0</v>
      </c>
      <c r="CJ1017" s="762">
        <v>0</v>
      </c>
      <c r="CK1017" s="762">
        <v>0</v>
      </c>
      <c r="CL1017" s="762">
        <v>0</v>
      </c>
      <c r="CM1017" s="762">
        <v>0</v>
      </c>
      <c r="CN1017" s="762">
        <v>0</v>
      </c>
      <c r="CO1017" s="762">
        <v>0</v>
      </c>
      <c r="CP1017" s="762">
        <v>0</v>
      </c>
      <c r="CQ1017" s="762">
        <v>0</v>
      </c>
      <c r="CR1017" s="762">
        <v>0</v>
      </c>
    </row>
    <row r="1018" spans="1:96" s="53" customFormat="1">
      <c r="A1018" s="709" t="s">
        <v>3</v>
      </c>
      <c r="B1018" s="721">
        <v>41960</v>
      </c>
      <c r="C1018" s="721">
        <v>2014</v>
      </c>
      <c r="D1018" s="709" t="s">
        <v>1</v>
      </c>
      <c r="E1018" s="713" t="s">
        <v>674</v>
      </c>
      <c r="F1018" s="713" t="s">
        <v>123</v>
      </c>
      <c r="G1018" s="723" t="s">
        <v>58</v>
      </c>
      <c r="H1018" s="713" t="s">
        <v>677</v>
      </c>
      <c r="I1018" s="723" t="s">
        <v>5</v>
      </c>
      <c r="J1018" s="713" t="s">
        <v>376</v>
      </c>
      <c r="K1018" s="713">
        <v>1</v>
      </c>
      <c r="L1018" s="713" t="s">
        <v>671</v>
      </c>
      <c r="M1018" s="766" t="s">
        <v>701</v>
      </c>
      <c r="N1018" s="765">
        <v>0</v>
      </c>
      <c r="O1018" s="765">
        <v>0</v>
      </c>
      <c r="P1018" s="765">
        <v>0</v>
      </c>
      <c r="Q1018" s="735" t="s">
        <v>58</v>
      </c>
      <c r="R1018" s="713" t="s">
        <v>58</v>
      </c>
      <c r="S1018" s="713" t="s">
        <v>58</v>
      </c>
      <c r="T1018" s="713" t="s">
        <v>58</v>
      </c>
      <c r="U1018" s="713">
        <v>0</v>
      </c>
      <c r="V1018" s="764">
        <v>0</v>
      </c>
      <c r="W1018" s="764">
        <v>0</v>
      </c>
      <c r="X1018" s="764">
        <v>0</v>
      </c>
      <c r="Y1018" s="764">
        <v>0</v>
      </c>
      <c r="Z1018" s="764">
        <v>0</v>
      </c>
      <c r="AA1018" s="764">
        <v>0</v>
      </c>
      <c r="AB1018" s="764">
        <v>0</v>
      </c>
      <c r="AC1018" s="714">
        <v>0.82617698682369967</v>
      </c>
      <c r="AD1018" s="714">
        <v>0.7843105192554185</v>
      </c>
      <c r="AE1018" s="714" t="s">
        <v>58</v>
      </c>
      <c r="AF1018" s="713" t="s">
        <v>58</v>
      </c>
      <c r="AG1018" s="713" t="s">
        <v>58</v>
      </c>
      <c r="AH1018" s="713">
        <v>0.94387031345969796</v>
      </c>
      <c r="AI1018" s="714" t="s">
        <v>58</v>
      </c>
      <c r="AJ1018" s="713" t="s">
        <v>58</v>
      </c>
      <c r="AK1018" s="713" t="s">
        <v>58</v>
      </c>
      <c r="AL1018" s="713">
        <v>0.94454345387965444</v>
      </c>
      <c r="AM1018" s="714" t="s">
        <v>58</v>
      </c>
      <c r="AN1018" s="713" t="s">
        <v>58</v>
      </c>
      <c r="AO1018" s="713" t="s">
        <v>58</v>
      </c>
      <c r="AP1018" s="713">
        <v>51</v>
      </c>
      <c r="AQ1018" s="747">
        <v>51</v>
      </c>
      <c r="AR1018" s="747"/>
      <c r="AS1018" s="709">
        <v>0</v>
      </c>
      <c r="AT1018" s="763">
        <v>0</v>
      </c>
      <c r="AU1018" s="763">
        <v>0</v>
      </c>
      <c r="AV1018" s="763">
        <v>0</v>
      </c>
      <c r="AW1018" s="763">
        <v>0</v>
      </c>
      <c r="AX1018" s="763">
        <v>0</v>
      </c>
      <c r="AY1018" s="763">
        <v>0</v>
      </c>
      <c r="AZ1018" s="763">
        <v>0</v>
      </c>
      <c r="BA1018" s="763">
        <v>0</v>
      </c>
      <c r="BB1018" s="763">
        <v>0</v>
      </c>
      <c r="BC1018" s="763">
        <v>0</v>
      </c>
      <c r="BD1018" s="763">
        <v>0</v>
      </c>
      <c r="BE1018" s="763">
        <v>0</v>
      </c>
      <c r="BF1018" s="763">
        <v>0</v>
      </c>
      <c r="BG1018" s="763">
        <v>0</v>
      </c>
      <c r="BH1018" s="763">
        <v>0</v>
      </c>
      <c r="BI1018" s="763">
        <v>0</v>
      </c>
      <c r="BJ1018" s="763">
        <v>0</v>
      </c>
      <c r="BK1018" s="763">
        <v>0</v>
      </c>
      <c r="BL1018" s="763">
        <v>0</v>
      </c>
      <c r="BM1018" s="763">
        <v>0</v>
      </c>
      <c r="BN1018" s="763">
        <v>0</v>
      </c>
      <c r="BO1018" s="763">
        <v>0</v>
      </c>
      <c r="BP1018" s="763">
        <v>0</v>
      </c>
      <c r="BQ1018" s="763">
        <v>0</v>
      </c>
      <c r="BR1018" s="763">
        <v>0</v>
      </c>
      <c r="BS1018" s="763">
        <v>0</v>
      </c>
      <c r="BT1018" s="762">
        <v>0</v>
      </c>
      <c r="BU1018" s="762">
        <v>0</v>
      </c>
      <c r="BV1018" s="762">
        <v>0</v>
      </c>
      <c r="BW1018" s="762">
        <v>0</v>
      </c>
      <c r="BX1018" s="762">
        <v>0</v>
      </c>
      <c r="BY1018" s="762">
        <v>0</v>
      </c>
      <c r="BZ1018" s="762">
        <v>0</v>
      </c>
      <c r="CA1018" s="762">
        <v>0</v>
      </c>
      <c r="CB1018" s="762">
        <v>0</v>
      </c>
      <c r="CC1018" s="762">
        <v>0</v>
      </c>
      <c r="CD1018" s="762">
        <v>0</v>
      </c>
      <c r="CE1018" s="762">
        <v>0</v>
      </c>
      <c r="CF1018" s="762">
        <v>0</v>
      </c>
      <c r="CG1018" s="762">
        <v>0</v>
      </c>
      <c r="CH1018" s="762">
        <v>0</v>
      </c>
      <c r="CI1018" s="762">
        <v>0</v>
      </c>
      <c r="CJ1018" s="762">
        <v>0</v>
      </c>
      <c r="CK1018" s="762">
        <v>0</v>
      </c>
      <c r="CL1018" s="762">
        <v>0</v>
      </c>
      <c r="CM1018" s="762">
        <v>0</v>
      </c>
      <c r="CN1018" s="762">
        <v>0</v>
      </c>
      <c r="CO1018" s="762">
        <v>0</v>
      </c>
      <c r="CP1018" s="762">
        <v>0</v>
      </c>
      <c r="CQ1018" s="762">
        <v>0</v>
      </c>
      <c r="CR1018" s="762">
        <v>0</v>
      </c>
    </row>
    <row r="1019" spans="1:96" s="53" customFormat="1">
      <c r="A1019" s="709" t="s">
        <v>3</v>
      </c>
      <c r="B1019" s="721">
        <v>41960</v>
      </c>
      <c r="C1019" s="721">
        <v>2014</v>
      </c>
      <c r="D1019" s="709" t="s">
        <v>1</v>
      </c>
      <c r="E1019" s="713" t="s">
        <v>674</v>
      </c>
      <c r="F1019" s="713" t="s">
        <v>123</v>
      </c>
      <c r="G1019" s="723" t="s">
        <v>58</v>
      </c>
      <c r="H1019" s="713" t="s">
        <v>682</v>
      </c>
      <c r="I1019" s="723" t="s">
        <v>5</v>
      </c>
      <c r="J1019" s="713" t="s">
        <v>376</v>
      </c>
      <c r="K1019" s="713">
        <v>9</v>
      </c>
      <c r="L1019" s="713" t="s">
        <v>671</v>
      </c>
      <c r="M1019" s="766" t="s">
        <v>701</v>
      </c>
      <c r="N1019" s="765">
        <v>12</v>
      </c>
      <c r="O1019" s="765">
        <v>3</v>
      </c>
      <c r="P1019" s="765">
        <v>0.4</v>
      </c>
      <c r="Q1019" s="735" t="s">
        <v>58</v>
      </c>
      <c r="R1019" s="713" t="s">
        <v>58</v>
      </c>
      <c r="S1019" s="713" t="s">
        <v>58</v>
      </c>
      <c r="T1019" s="713" t="s">
        <v>58</v>
      </c>
      <c r="U1019" s="713">
        <v>0.22500000000000001</v>
      </c>
      <c r="V1019" s="764">
        <v>767.25</v>
      </c>
      <c r="W1019" s="764">
        <v>0.17646986683246921</v>
      </c>
      <c r="X1019" s="764">
        <v>633.88429314048358</v>
      </c>
      <c r="Y1019" s="764">
        <v>4183.6363347271918</v>
      </c>
      <c r="Z1019" s="764">
        <v>3948.8101386603362</v>
      </c>
      <c r="AA1019" s="764">
        <v>598.30456646368725</v>
      </c>
      <c r="AB1019" s="764">
        <v>0.16668345752362315</v>
      </c>
      <c r="AC1019" s="714">
        <v>0.82617698682369967</v>
      </c>
      <c r="AD1019" s="714">
        <v>0.7843105192554185</v>
      </c>
      <c r="AE1019" s="714" t="s">
        <v>58</v>
      </c>
      <c r="AF1019" s="713" t="s">
        <v>58</v>
      </c>
      <c r="AG1019" s="713" t="s">
        <v>58</v>
      </c>
      <c r="AH1019" s="713">
        <v>0.94387031345969796</v>
      </c>
      <c r="AI1019" s="714" t="s">
        <v>58</v>
      </c>
      <c r="AJ1019" s="713" t="s">
        <v>58</v>
      </c>
      <c r="AK1019" s="713" t="s">
        <v>58</v>
      </c>
      <c r="AL1019" s="713">
        <v>0.94454345387965444</v>
      </c>
      <c r="AM1019" s="714" t="s">
        <v>58</v>
      </c>
      <c r="AN1019" s="713" t="s">
        <v>58</v>
      </c>
      <c r="AO1019" s="713" t="s">
        <v>58</v>
      </c>
      <c r="AP1019" s="713">
        <v>47</v>
      </c>
      <c r="AQ1019" s="747">
        <v>423</v>
      </c>
      <c r="AR1019" s="747"/>
      <c r="AS1019" s="709">
        <v>0</v>
      </c>
      <c r="AT1019" s="763">
        <v>0</v>
      </c>
      <c r="AU1019" s="763">
        <v>0</v>
      </c>
      <c r="AV1019" s="763">
        <v>0.16668345752362315</v>
      </c>
      <c r="AW1019" s="763">
        <v>0.16668345752362315</v>
      </c>
      <c r="AX1019" s="763">
        <v>0.16668345752362315</v>
      </c>
      <c r="AY1019" s="763">
        <v>6.6673383009449264E-2</v>
      </c>
      <c r="AZ1019" s="763">
        <v>6.6673383009449264E-2</v>
      </c>
      <c r="BA1019" s="763">
        <v>6.6673383009449264E-2</v>
      </c>
      <c r="BB1019" s="763">
        <v>6.6673383009449264E-2</v>
      </c>
      <c r="BC1019" s="763">
        <v>6.6673383009449264E-2</v>
      </c>
      <c r="BD1019" s="763">
        <v>6.6673383009449264E-2</v>
      </c>
      <c r="BE1019" s="763">
        <v>6.6673383009449264E-2</v>
      </c>
      <c r="BF1019" s="763">
        <v>6.6673383009449264E-2</v>
      </c>
      <c r="BG1019" s="763">
        <v>6.6673383009449264E-2</v>
      </c>
      <c r="BH1019" s="763">
        <v>0</v>
      </c>
      <c r="BI1019" s="763">
        <v>0</v>
      </c>
      <c r="BJ1019" s="763">
        <v>0</v>
      </c>
      <c r="BK1019" s="763">
        <v>0</v>
      </c>
      <c r="BL1019" s="763">
        <v>0</v>
      </c>
      <c r="BM1019" s="763">
        <v>0</v>
      </c>
      <c r="BN1019" s="763">
        <v>0</v>
      </c>
      <c r="BO1019" s="763">
        <v>0</v>
      </c>
      <c r="BP1019" s="763">
        <v>0</v>
      </c>
      <c r="BQ1019" s="763">
        <v>0</v>
      </c>
      <c r="BR1019" s="763">
        <v>0</v>
      </c>
      <c r="BS1019" s="763">
        <v>0</v>
      </c>
      <c r="BT1019" s="762">
        <v>0</v>
      </c>
      <c r="BU1019" s="762">
        <v>0</v>
      </c>
      <c r="BV1019" s="762">
        <v>598.30456646368725</v>
      </c>
      <c r="BW1019" s="762">
        <v>598.30456646368725</v>
      </c>
      <c r="BX1019" s="762">
        <v>598.30456646368725</v>
      </c>
      <c r="BY1019" s="762">
        <v>239.32182658547492</v>
      </c>
      <c r="BZ1019" s="762">
        <v>239.32182658547492</v>
      </c>
      <c r="CA1019" s="762">
        <v>239.32182658547492</v>
      </c>
      <c r="CB1019" s="762">
        <v>239.32182658547492</v>
      </c>
      <c r="CC1019" s="762">
        <v>239.32182658547492</v>
      </c>
      <c r="CD1019" s="762">
        <v>239.32182658547492</v>
      </c>
      <c r="CE1019" s="762">
        <v>239.32182658547492</v>
      </c>
      <c r="CF1019" s="762">
        <v>239.32182658547492</v>
      </c>
      <c r="CG1019" s="762">
        <v>239.32182658547492</v>
      </c>
      <c r="CH1019" s="762">
        <v>0</v>
      </c>
      <c r="CI1019" s="762">
        <v>0</v>
      </c>
      <c r="CJ1019" s="762">
        <v>0</v>
      </c>
      <c r="CK1019" s="762">
        <v>0</v>
      </c>
      <c r="CL1019" s="762">
        <v>0</v>
      </c>
      <c r="CM1019" s="762">
        <v>0</v>
      </c>
      <c r="CN1019" s="762">
        <v>0</v>
      </c>
      <c r="CO1019" s="762">
        <v>0</v>
      </c>
      <c r="CP1019" s="762">
        <v>0</v>
      </c>
      <c r="CQ1019" s="762">
        <v>0</v>
      </c>
      <c r="CR1019" s="762">
        <v>0</v>
      </c>
    </row>
    <row r="1020" spans="1:96" s="53" customFormat="1">
      <c r="A1020" s="709" t="s">
        <v>3</v>
      </c>
      <c r="B1020" s="721">
        <v>41960</v>
      </c>
      <c r="C1020" s="721">
        <v>2014</v>
      </c>
      <c r="D1020" s="709" t="s">
        <v>1</v>
      </c>
      <c r="E1020" s="713" t="s">
        <v>674</v>
      </c>
      <c r="F1020" s="713" t="s">
        <v>123</v>
      </c>
      <c r="G1020" s="723" t="s">
        <v>58</v>
      </c>
      <c r="H1020" s="713" t="s">
        <v>676</v>
      </c>
      <c r="I1020" s="723" t="s">
        <v>5</v>
      </c>
      <c r="J1020" s="713" t="s">
        <v>376</v>
      </c>
      <c r="K1020" s="713">
        <v>7</v>
      </c>
      <c r="L1020" s="713" t="s">
        <v>671</v>
      </c>
      <c r="M1020" s="766" t="s">
        <v>701</v>
      </c>
      <c r="N1020" s="765">
        <v>12</v>
      </c>
      <c r="O1020" s="765">
        <v>3</v>
      </c>
      <c r="P1020" s="765">
        <v>0.31578947368421051</v>
      </c>
      <c r="Q1020" s="735" t="s">
        <v>58</v>
      </c>
      <c r="R1020" s="713" t="s">
        <v>58</v>
      </c>
      <c r="S1020" s="713" t="s">
        <v>58</v>
      </c>
      <c r="T1020" s="713" t="s">
        <v>58</v>
      </c>
      <c r="U1020" s="713">
        <v>0.26600000000000001</v>
      </c>
      <c r="V1020" s="764">
        <v>907.06</v>
      </c>
      <c r="W1020" s="764">
        <v>0.20862659812194137</v>
      </c>
      <c r="X1020" s="764">
        <v>749.39209766830493</v>
      </c>
      <c r="Y1020" s="764">
        <v>4378.0275179569398</v>
      </c>
      <c r="Z1020" s="764">
        <v>4132.2902057092006</v>
      </c>
      <c r="AA1020" s="764">
        <v>707.32895413040353</v>
      </c>
      <c r="AB1020" s="764">
        <v>0.19705688756126113</v>
      </c>
      <c r="AC1020" s="714">
        <v>0.82617698682369967</v>
      </c>
      <c r="AD1020" s="714">
        <v>0.7843105192554185</v>
      </c>
      <c r="AE1020" s="714" t="s">
        <v>58</v>
      </c>
      <c r="AF1020" s="713" t="s">
        <v>58</v>
      </c>
      <c r="AG1020" s="713" t="s">
        <v>58</v>
      </c>
      <c r="AH1020" s="713">
        <v>0.94387031345969796</v>
      </c>
      <c r="AI1020" s="714" t="s">
        <v>58</v>
      </c>
      <c r="AJ1020" s="713" t="s">
        <v>58</v>
      </c>
      <c r="AK1020" s="713" t="s">
        <v>58</v>
      </c>
      <c r="AL1020" s="713">
        <v>0.94454345387965444</v>
      </c>
      <c r="AM1020" s="714" t="s">
        <v>58</v>
      </c>
      <c r="AN1020" s="713" t="s">
        <v>58</v>
      </c>
      <c r="AO1020" s="713" t="s">
        <v>58</v>
      </c>
      <c r="AP1020" s="713">
        <v>57</v>
      </c>
      <c r="AQ1020" s="747">
        <v>399</v>
      </c>
      <c r="AR1020" s="747"/>
      <c r="AS1020" s="709">
        <v>0</v>
      </c>
      <c r="AT1020" s="763">
        <v>0</v>
      </c>
      <c r="AU1020" s="763">
        <v>0</v>
      </c>
      <c r="AV1020" s="763">
        <v>0.19705688756126113</v>
      </c>
      <c r="AW1020" s="763">
        <v>0.19705688756126113</v>
      </c>
      <c r="AX1020" s="763">
        <v>0.19705688756126113</v>
      </c>
      <c r="AY1020" s="763">
        <v>6.2228490808819301E-2</v>
      </c>
      <c r="AZ1020" s="763">
        <v>6.2228490808819301E-2</v>
      </c>
      <c r="BA1020" s="763">
        <v>6.2228490808819301E-2</v>
      </c>
      <c r="BB1020" s="763">
        <v>6.2228490808819301E-2</v>
      </c>
      <c r="BC1020" s="763">
        <v>6.2228490808819301E-2</v>
      </c>
      <c r="BD1020" s="763">
        <v>6.2228490808819301E-2</v>
      </c>
      <c r="BE1020" s="763">
        <v>6.2228490808819301E-2</v>
      </c>
      <c r="BF1020" s="763">
        <v>6.2228490808819301E-2</v>
      </c>
      <c r="BG1020" s="763">
        <v>6.2228490808819301E-2</v>
      </c>
      <c r="BH1020" s="763">
        <v>0</v>
      </c>
      <c r="BI1020" s="763">
        <v>0</v>
      </c>
      <c r="BJ1020" s="763">
        <v>0</v>
      </c>
      <c r="BK1020" s="763">
        <v>0</v>
      </c>
      <c r="BL1020" s="763">
        <v>0</v>
      </c>
      <c r="BM1020" s="763">
        <v>0</v>
      </c>
      <c r="BN1020" s="763">
        <v>0</v>
      </c>
      <c r="BO1020" s="763">
        <v>0</v>
      </c>
      <c r="BP1020" s="763">
        <v>0</v>
      </c>
      <c r="BQ1020" s="763">
        <v>0</v>
      </c>
      <c r="BR1020" s="763">
        <v>0</v>
      </c>
      <c r="BS1020" s="763">
        <v>0</v>
      </c>
      <c r="BT1020" s="762">
        <v>0</v>
      </c>
      <c r="BU1020" s="762">
        <v>0</v>
      </c>
      <c r="BV1020" s="762">
        <v>707.32895413040353</v>
      </c>
      <c r="BW1020" s="762">
        <v>707.32895413040353</v>
      </c>
      <c r="BX1020" s="762">
        <v>707.32895413040353</v>
      </c>
      <c r="BY1020" s="762">
        <v>223.36703814644321</v>
      </c>
      <c r="BZ1020" s="762">
        <v>223.36703814644321</v>
      </c>
      <c r="CA1020" s="762">
        <v>223.36703814644321</v>
      </c>
      <c r="CB1020" s="762">
        <v>223.36703814644321</v>
      </c>
      <c r="CC1020" s="762">
        <v>223.36703814644321</v>
      </c>
      <c r="CD1020" s="762">
        <v>223.36703814644321</v>
      </c>
      <c r="CE1020" s="762">
        <v>223.36703814644321</v>
      </c>
      <c r="CF1020" s="762">
        <v>223.36703814644321</v>
      </c>
      <c r="CG1020" s="762">
        <v>223.36703814644321</v>
      </c>
      <c r="CH1020" s="762">
        <v>0</v>
      </c>
      <c r="CI1020" s="762">
        <v>0</v>
      </c>
      <c r="CJ1020" s="762">
        <v>0</v>
      </c>
      <c r="CK1020" s="762">
        <v>0</v>
      </c>
      <c r="CL1020" s="762">
        <v>0</v>
      </c>
      <c r="CM1020" s="762">
        <v>0</v>
      </c>
      <c r="CN1020" s="762">
        <v>0</v>
      </c>
      <c r="CO1020" s="762">
        <v>0</v>
      </c>
      <c r="CP1020" s="762">
        <v>0</v>
      </c>
      <c r="CQ1020" s="762">
        <v>0</v>
      </c>
      <c r="CR1020" s="762">
        <v>0</v>
      </c>
    </row>
    <row r="1021" spans="1:96" s="53" customFormat="1">
      <c r="A1021" s="709" t="s">
        <v>3</v>
      </c>
      <c r="B1021" s="721">
        <v>41960</v>
      </c>
      <c r="C1021" s="721">
        <v>2014</v>
      </c>
      <c r="D1021" s="709" t="s">
        <v>1</v>
      </c>
      <c r="E1021" s="713" t="s">
        <v>674</v>
      </c>
      <c r="F1021" s="713" t="s">
        <v>123</v>
      </c>
      <c r="G1021" s="723" t="s">
        <v>58</v>
      </c>
      <c r="H1021" s="713" t="s">
        <v>702</v>
      </c>
      <c r="I1021" s="723" t="s">
        <v>5</v>
      </c>
      <c r="J1021" s="713" t="s">
        <v>376</v>
      </c>
      <c r="K1021" s="713">
        <v>1</v>
      </c>
      <c r="L1021" s="713" t="s">
        <v>671</v>
      </c>
      <c r="M1021" s="766" t="s">
        <v>701</v>
      </c>
      <c r="N1021" s="765">
        <v>11</v>
      </c>
      <c r="O1021" s="765" t="s">
        <v>7</v>
      </c>
      <c r="P1021" s="765">
        <v>1</v>
      </c>
      <c r="Q1021" s="735" t="s">
        <v>58</v>
      </c>
      <c r="R1021" s="713" t="s">
        <v>58</v>
      </c>
      <c r="S1021" s="713" t="s">
        <v>58</v>
      </c>
      <c r="T1021" s="713" t="s">
        <v>58</v>
      </c>
      <c r="U1021" s="713">
        <v>4.5499999999999999E-2</v>
      </c>
      <c r="V1021" s="764">
        <v>144.417</v>
      </c>
      <c r="W1021" s="764">
        <v>3.5686128626121548E-2</v>
      </c>
      <c r="X1021" s="764">
        <v>119.31400190611822</v>
      </c>
      <c r="Y1021" s="764">
        <v>1312.4540209673005</v>
      </c>
      <c r="Z1021" s="764">
        <v>1238.786388171847</v>
      </c>
      <c r="AA1021" s="764">
        <v>112.61694437925881</v>
      </c>
      <c r="AB1021" s="764">
        <v>3.3707099188110455E-2</v>
      </c>
      <c r="AC1021" s="714">
        <v>0.82617698682369967</v>
      </c>
      <c r="AD1021" s="714">
        <v>0.7843105192554185</v>
      </c>
      <c r="AE1021" s="714" t="s">
        <v>58</v>
      </c>
      <c r="AF1021" s="713" t="s">
        <v>58</v>
      </c>
      <c r="AG1021" s="713" t="s">
        <v>58</v>
      </c>
      <c r="AH1021" s="713">
        <v>0.94387031345969796</v>
      </c>
      <c r="AI1021" s="714" t="s">
        <v>58</v>
      </c>
      <c r="AJ1021" s="713" t="s">
        <v>58</v>
      </c>
      <c r="AK1021" s="713" t="s">
        <v>58</v>
      </c>
      <c r="AL1021" s="713">
        <v>0.94454345387965444</v>
      </c>
      <c r="AM1021" s="714" t="s">
        <v>58</v>
      </c>
      <c r="AN1021" s="713" t="s">
        <v>58</v>
      </c>
      <c r="AO1021" s="713" t="s">
        <v>58</v>
      </c>
      <c r="AP1021" s="713">
        <v>47</v>
      </c>
      <c r="AQ1021" s="747">
        <v>47</v>
      </c>
      <c r="AR1021" s="747"/>
      <c r="AS1021" s="709">
        <v>0</v>
      </c>
      <c r="AT1021" s="763">
        <v>0</v>
      </c>
      <c r="AU1021" s="763">
        <v>0</v>
      </c>
      <c r="AV1021" s="763">
        <v>3.3707099188110455E-2</v>
      </c>
      <c r="AW1021" s="763">
        <v>3.3707099188110455E-2</v>
      </c>
      <c r="AX1021" s="763">
        <v>3.3707099188110455E-2</v>
      </c>
      <c r="AY1021" s="763">
        <v>3.3707099188110455E-2</v>
      </c>
      <c r="AZ1021" s="763">
        <v>3.3707099188110455E-2</v>
      </c>
      <c r="BA1021" s="763">
        <v>3.3707099188110455E-2</v>
      </c>
      <c r="BB1021" s="763">
        <v>3.3707099188110455E-2</v>
      </c>
      <c r="BC1021" s="763">
        <v>3.3707099188110455E-2</v>
      </c>
      <c r="BD1021" s="763">
        <v>3.3707099188110455E-2</v>
      </c>
      <c r="BE1021" s="763">
        <v>3.3707099188110455E-2</v>
      </c>
      <c r="BF1021" s="763">
        <v>3.3707099188110455E-2</v>
      </c>
      <c r="BG1021" s="763">
        <v>0</v>
      </c>
      <c r="BH1021" s="763">
        <v>0</v>
      </c>
      <c r="BI1021" s="763">
        <v>0</v>
      </c>
      <c r="BJ1021" s="763">
        <v>0</v>
      </c>
      <c r="BK1021" s="763">
        <v>0</v>
      </c>
      <c r="BL1021" s="763">
        <v>0</v>
      </c>
      <c r="BM1021" s="763">
        <v>0</v>
      </c>
      <c r="BN1021" s="763">
        <v>0</v>
      </c>
      <c r="BO1021" s="763">
        <v>0</v>
      </c>
      <c r="BP1021" s="763">
        <v>0</v>
      </c>
      <c r="BQ1021" s="763">
        <v>0</v>
      </c>
      <c r="BR1021" s="763">
        <v>0</v>
      </c>
      <c r="BS1021" s="763">
        <v>0</v>
      </c>
      <c r="BT1021" s="762">
        <v>0</v>
      </c>
      <c r="BU1021" s="762">
        <v>0</v>
      </c>
      <c r="BV1021" s="762">
        <v>112.61694437925881</v>
      </c>
      <c r="BW1021" s="762">
        <v>112.61694437925881</v>
      </c>
      <c r="BX1021" s="762">
        <v>112.61694437925881</v>
      </c>
      <c r="BY1021" s="762">
        <v>112.61694437925881</v>
      </c>
      <c r="BZ1021" s="762">
        <v>112.61694437925881</v>
      </c>
      <c r="CA1021" s="762">
        <v>112.61694437925881</v>
      </c>
      <c r="CB1021" s="762">
        <v>112.61694437925881</v>
      </c>
      <c r="CC1021" s="762">
        <v>112.61694437925881</v>
      </c>
      <c r="CD1021" s="762">
        <v>112.61694437925881</v>
      </c>
      <c r="CE1021" s="762">
        <v>112.61694437925881</v>
      </c>
      <c r="CF1021" s="762">
        <v>112.61694437925881</v>
      </c>
      <c r="CG1021" s="762">
        <v>0</v>
      </c>
      <c r="CH1021" s="762">
        <v>0</v>
      </c>
      <c r="CI1021" s="762">
        <v>0</v>
      </c>
      <c r="CJ1021" s="762">
        <v>0</v>
      </c>
      <c r="CK1021" s="762">
        <v>0</v>
      </c>
      <c r="CL1021" s="762">
        <v>0</v>
      </c>
      <c r="CM1021" s="762">
        <v>0</v>
      </c>
      <c r="CN1021" s="762">
        <v>0</v>
      </c>
      <c r="CO1021" s="762">
        <v>0</v>
      </c>
      <c r="CP1021" s="762">
        <v>0</v>
      </c>
      <c r="CQ1021" s="762">
        <v>0</v>
      </c>
      <c r="CR1021" s="762">
        <v>0</v>
      </c>
    </row>
    <row r="1022" spans="1:96" s="53" customFormat="1">
      <c r="A1022" s="709" t="s">
        <v>3</v>
      </c>
      <c r="B1022" s="721">
        <v>41962</v>
      </c>
      <c r="C1022" s="721">
        <v>2014</v>
      </c>
      <c r="D1022" s="709" t="s">
        <v>1</v>
      </c>
      <c r="E1022" s="713" t="s">
        <v>674</v>
      </c>
      <c r="F1022" s="713" t="s">
        <v>685</v>
      </c>
      <c r="G1022" s="723" t="s">
        <v>58</v>
      </c>
      <c r="H1022" s="713" t="s">
        <v>700</v>
      </c>
      <c r="I1022" s="723" t="s">
        <v>5</v>
      </c>
      <c r="J1022" s="713" t="s">
        <v>376</v>
      </c>
      <c r="K1022" s="713">
        <v>4</v>
      </c>
      <c r="L1022" s="713" t="s">
        <v>671</v>
      </c>
      <c r="M1022" s="766" t="s">
        <v>699</v>
      </c>
      <c r="N1022" s="765">
        <v>10</v>
      </c>
      <c r="O1022" s="765" t="s">
        <v>7</v>
      </c>
      <c r="P1022" s="765">
        <v>1</v>
      </c>
      <c r="Q1022" s="735" t="s">
        <v>58</v>
      </c>
      <c r="R1022" s="713" t="s">
        <v>58</v>
      </c>
      <c r="S1022" s="713" t="s">
        <v>58</v>
      </c>
      <c r="T1022" s="713" t="s">
        <v>58</v>
      </c>
      <c r="U1022" s="713">
        <v>0.108</v>
      </c>
      <c r="V1022" s="764">
        <v>946.08</v>
      </c>
      <c r="W1022" s="764">
        <v>8.4705536079585211E-2</v>
      </c>
      <c r="X1022" s="764">
        <v>781.62952369416575</v>
      </c>
      <c r="Y1022" s="764">
        <v>7816.295236941658</v>
      </c>
      <c r="Z1022" s="764">
        <v>7377.5690353856671</v>
      </c>
      <c r="AA1022" s="764">
        <v>737.75690353856669</v>
      </c>
      <c r="AB1022" s="764">
        <v>8.0008059611339097E-2</v>
      </c>
      <c r="AC1022" s="714">
        <v>0.82617698682369967</v>
      </c>
      <c r="AD1022" s="714">
        <v>0.7843105192554185</v>
      </c>
      <c r="AE1022" s="714" t="s">
        <v>58</v>
      </c>
      <c r="AF1022" s="713" t="s">
        <v>58</v>
      </c>
      <c r="AG1022" s="713" t="s">
        <v>58</v>
      </c>
      <c r="AH1022" s="713">
        <v>0.94387031345969796</v>
      </c>
      <c r="AI1022" s="714" t="s">
        <v>58</v>
      </c>
      <c r="AJ1022" s="713" t="s">
        <v>58</v>
      </c>
      <c r="AK1022" s="713" t="s">
        <v>58</v>
      </c>
      <c r="AL1022" s="713">
        <v>0.94454345387965444</v>
      </c>
      <c r="AM1022" s="714" t="s">
        <v>58</v>
      </c>
      <c r="AN1022" s="713" t="s">
        <v>58</v>
      </c>
      <c r="AO1022" s="713" t="s">
        <v>58</v>
      </c>
      <c r="AP1022" s="713">
        <v>69</v>
      </c>
      <c r="AQ1022" s="747">
        <v>276</v>
      </c>
      <c r="AR1022" s="747"/>
      <c r="AS1022" s="709">
        <v>0</v>
      </c>
      <c r="AT1022" s="763">
        <v>0</v>
      </c>
      <c r="AU1022" s="763">
        <v>0</v>
      </c>
      <c r="AV1022" s="763">
        <v>8.0008059611339097E-2</v>
      </c>
      <c r="AW1022" s="763">
        <v>8.0008059611339097E-2</v>
      </c>
      <c r="AX1022" s="763">
        <v>8.0008059611339097E-2</v>
      </c>
      <c r="AY1022" s="763">
        <v>8.0008059611339097E-2</v>
      </c>
      <c r="AZ1022" s="763">
        <v>8.0008059611339097E-2</v>
      </c>
      <c r="BA1022" s="763">
        <v>8.0008059611339097E-2</v>
      </c>
      <c r="BB1022" s="763">
        <v>8.0008059611339097E-2</v>
      </c>
      <c r="BC1022" s="763">
        <v>8.0008059611339097E-2</v>
      </c>
      <c r="BD1022" s="763">
        <v>8.0008059611339097E-2</v>
      </c>
      <c r="BE1022" s="763">
        <v>8.0008059611339097E-2</v>
      </c>
      <c r="BF1022" s="763">
        <v>0</v>
      </c>
      <c r="BG1022" s="763">
        <v>0</v>
      </c>
      <c r="BH1022" s="763">
        <v>0</v>
      </c>
      <c r="BI1022" s="763">
        <v>0</v>
      </c>
      <c r="BJ1022" s="763">
        <v>0</v>
      </c>
      <c r="BK1022" s="763">
        <v>0</v>
      </c>
      <c r="BL1022" s="763">
        <v>0</v>
      </c>
      <c r="BM1022" s="763">
        <v>0</v>
      </c>
      <c r="BN1022" s="763">
        <v>0</v>
      </c>
      <c r="BO1022" s="763">
        <v>0</v>
      </c>
      <c r="BP1022" s="763">
        <v>0</v>
      </c>
      <c r="BQ1022" s="763">
        <v>0</v>
      </c>
      <c r="BR1022" s="763">
        <v>0</v>
      </c>
      <c r="BS1022" s="763">
        <v>0</v>
      </c>
      <c r="BT1022" s="762">
        <v>0</v>
      </c>
      <c r="BU1022" s="762">
        <v>0</v>
      </c>
      <c r="BV1022" s="762">
        <v>737.75690353856669</v>
      </c>
      <c r="BW1022" s="762">
        <v>737.75690353856669</v>
      </c>
      <c r="BX1022" s="762">
        <v>737.75690353856669</v>
      </c>
      <c r="BY1022" s="762">
        <v>737.75690353856669</v>
      </c>
      <c r="BZ1022" s="762">
        <v>737.75690353856669</v>
      </c>
      <c r="CA1022" s="762">
        <v>737.75690353856669</v>
      </c>
      <c r="CB1022" s="762">
        <v>737.75690353856669</v>
      </c>
      <c r="CC1022" s="762">
        <v>737.75690353856669</v>
      </c>
      <c r="CD1022" s="762">
        <v>737.75690353856669</v>
      </c>
      <c r="CE1022" s="762">
        <v>737.75690353856669</v>
      </c>
      <c r="CF1022" s="762">
        <v>0</v>
      </c>
      <c r="CG1022" s="762">
        <v>0</v>
      </c>
      <c r="CH1022" s="762">
        <v>0</v>
      </c>
      <c r="CI1022" s="762">
        <v>0</v>
      </c>
      <c r="CJ1022" s="762">
        <v>0</v>
      </c>
      <c r="CK1022" s="762">
        <v>0</v>
      </c>
      <c r="CL1022" s="762">
        <v>0</v>
      </c>
      <c r="CM1022" s="762">
        <v>0</v>
      </c>
      <c r="CN1022" s="762">
        <v>0</v>
      </c>
      <c r="CO1022" s="762">
        <v>0</v>
      </c>
      <c r="CP1022" s="762">
        <v>0</v>
      </c>
      <c r="CQ1022" s="762">
        <v>0</v>
      </c>
      <c r="CR1022" s="762">
        <v>0</v>
      </c>
    </row>
    <row r="1023" spans="1:96" s="53" customFormat="1">
      <c r="A1023" s="709" t="s">
        <v>3</v>
      </c>
      <c r="B1023" s="721">
        <v>41962</v>
      </c>
      <c r="C1023" s="721">
        <v>2014</v>
      </c>
      <c r="D1023" s="709" t="s">
        <v>1</v>
      </c>
      <c r="E1023" s="713" t="s">
        <v>674</v>
      </c>
      <c r="F1023" s="713" t="s">
        <v>685</v>
      </c>
      <c r="G1023" s="723" t="s">
        <v>58</v>
      </c>
      <c r="H1023" s="713" t="s">
        <v>677</v>
      </c>
      <c r="I1023" s="723" t="s">
        <v>5</v>
      </c>
      <c r="J1023" s="713" t="s">
        <v>376</v>
      </c>
      <c r="K1023" s="713">
        <v>1</v>
      </c>
      <c r="L1023" s="713" t="s">
        <v>671</v>
      </c>
      <c r="M1023" s="766" t="s">
        <v>699</v>
      </c>
      <c r="N1023" s="765">
        <v>0</v>
      </c>
      <c r="O1023" s="765">
        <v>0</v>
      </c>
      <c r="P1023" s="765">
        <v>0</v>
      </c>
      <c r="Q1023" s="735" t="s">
        <v>58</v>
      </c>
      <c r="R1023" s="713" t="s">
        <v>58</v>
      </c>
      <c r="S1023" s="713" t="s">
        <v>58</v>
      </c>
      <c r="T1023" s="713" t="s">
        <v>58</v>
      </c>
      <c r="U1023" s="713">
        <v>0</v>
      </c>
      <c r="V1023" s="764">
        <v>0</v>
      </c>
      <c r="W1023" s="764">
        <v>0</v>
      </c>
      <c r="X1023" s="764">
        <v>0</v>
      </c>
      <c r="Y1023" s="764">
        <v>0</v>
      </c>
      <c r="Z1023" s="764">
        <v>0</v>
      </c>
      <c r="AA1023" s="764">
        <v>0</v>
      </c>
      <c r="AB1023" s="764">
        <v>0</v>
      </c>
      <c r="AC1023" s="714">
        <v>0.82617698682369967</v>
      </c>
      <c r="AD1023" s="714">
        <v>0.7843105192554185</v>
      </c>
      <c r="AE1023" s="714" t="s">
        <v>58</v>
      </c>
      <c r="AF1023" s="713" t="s">
        <v>58</v>
      </c>
      <c r="AG1023" s="713" t="s">
        <v>58</v>
      </c>
      <c r="AH1023" s="713">
        <v>0.94387031345969796</v>
      </c>
      <c r="AI1023" s="714" t="s">
        <v>58</v>
      </c>
      <c r="AJ1023" s="713" t="s">
        <v>58</v>
      </c>
      <c r="AK1023" s="713" t="s">
        <v>58</v>
      </c>
      <c r="AL1023" s="713">
        <v>0.94454345387965444</v>
      </c>
      <c r="AM1023" s="714" t="s">
        <v>58</v>
      </c>
      <c r="AN1023" s="713" t="s">
        <v>58</v>
      </c>
      <c r="AO1023" s="713" t="s">
        <v>58</v>
      </c>
      <c r="AP1023" s="713">
        <v>51</v>
      </c>
      <c r="AQ1023" s="747">
        <v>51</v>
      </c>
      <c r="AR1023" s="747"/>
      <c r="AS1023" s="709">
        <v>0</v>
      </c>
      <c r="AT1023" s="763">
        <v>0</v>
      </c>
      <c r="AU1023" s="763">
        <v>0</v>
      </c>
      <c r="AV1023" s="763">
        <v>0</v>
      </c>
      <c r="AW1023" s="763">
        <v>0</v>
      </c>
      <c r="AX1023" s="763">
        <v>0</v>
      </c>
      <c r="AY1023" s="763">
        <v>0</v>
      </c>
      <c r="AZ1023" s="763">
        <v>0</v>
      </c>
      <c r="BA1023" s="763">
        <v>0</v>
      </c>
      <c r="BB1023" s="763">
        <v>0</v>
      </c>
      <c r="BC1023" s="763">
        <v>0</v>
      </c>
      <c r="BD1023" s="763">
        <v>0</v>
      </c>
      <c r="BE1023" s="763">
        <v>0</v>
      </c>
      <c r="BF1023" s="763">
        <v>0</v>
      </c>
      <c r="BG1023" s="763">
        <v>0</v>
      </c>
      <c r="BH1023" s="763">
        <v>0</v>
      </c>
      <c r="BI1023" s="763">
        <v>0</v>
      </c>
      <c r="BJ1023" s="763">
        <v>0</v>
      </c>
      <c r="BK1023" s="763">
        <v>0</v>
      </c>
      <c r="BL1023" s="763">
        <v>0</v>
      </c>
      <c r="BM1023" s="763">
        <v>0</v>
      </c>
      <c r="BN1023" s="763">
        <v>0</v>
      </c>
      <c r="BO1023" s="763">
        <v>0</v>
      </c>
      <c r="BP1023" s="763">
        <v>0</v>
      </c>
      <c r="BQ1023" s="763">
        <v>0</v>
      </c>
      <c r="BR1023" s="763">
        <v>0</v>
      </c>
      <c r="BS1023" s="763">
        <v>0</v>
      </c>
      <c r="BT1023" s="762">
        <v>0</v>
      </c>
      <c r="BU1023" s="762">
        <v>0</v>
      </c>
      <c r="BV1023" s="762">
        <v>0</v>
      </c>
      <c r="BW1023" s="762">
        <v>0</v>
      </c>
      <c r="BX1023" s="762">
        <v>0</v>
      </c>
      <c r="BY1023" s="762">
        <v>0</v>
      </c>
      <c r="BZ1023" s="762">
        <v>0</v>
      </c>
      <c r="CA1023" s="762">
        <v>0</v>
      </c>
      <c r="CB1023" s="762">
        <v>0</v>
      </c>
      <c r="CC1023" s="762">
        <v>0</v>
      </c>
      <c r="CD1023" s="762">
        <v>0</v>
      </c>
      <c r="CE1023" s="762">
        <v>0</v>
      </c>
      <c r="CF1023" s="762">
        <v>0</v>
      </c>
      <c r="CG1023" s="762">
        <v>0</v>
      </c>
      <c r="CH1023" s="762">
        <v>0</v>
      </c>
      <c r="CI1023" s="762">
        <v>0</v>
      </c>
      <c r="CJ1023" s="762">
        <v>0</v>
      </c>
      <c r="CK1023" s="762">
        <v>0</v>
      </c>
      <c r="CL1023" s="762">
        <v>0</v>
      </c>
      <c r="CM1023" s="762">
        <v>0</v>
      </c>
      <c r="CN1023" s="762">
        <v>0</v>
      </c>
      <c r="CO1023" s="762">
        <v>0</v>
      </c>
      <c r="CP1023" s="762">
        <v>0</v>
      </c>
      <c r="CQ1023" s="762">
        <v>0</v>
      </c>
      <c r="CR1023" s="762">
        <v>0</v>
      </c>
    </row>
    <row r="1024" spans="1:96" s="53" customFormat="1">
      <c r="A1024" s="709" t="s">
        <v>3</v>
      </c>
      <c r="B1024" s="721">
        <v>41962</v>
      </c>
      <c r="C1024" s="721">
        <v>2014</v>
      </c>
      <c r="D1024" s="709" t="s">
        <v>1</v>
      </c>
      <c r="E1024" s="713" t="s">
        <v>674</v>
      </c>
      <c r="F1024" s="713" t="s">
        <v>685</v>
      </c>
      <c r="G1024" s="723" t="s">
        <v>58</v>
      </c>
      <c r="H1024" s="713" t="s">
        <v>676</v>
      </c>
      <c r="I1024" s="723" t="s">
        <v>5</v>
      </c>
      <c r="J1024" s="713" t="s">
        <v>376</v>
      </c>
      <c r="K1024" s="713">
        <v>4</v>
      </c>
      <c r="L1024" s="713" t="s">
        <v>671</v>
      </c>
      <c r="M1024" s="766" t="s">
        <v>699</v>
      </c>
      <c r="N1024" s="765">
        <v>12</v>
      </c>
      <c r="O1024" s="765">
        <v>3</v>
      </c>
      <c r="P1024" s="765">
        <v>0.31578947368421051</v>
      </c>
      <c r="Q1024" s="735" t="s">
        <v>58</v>
      </c>
      <c r="R1024" s="713" t="s">
        <v>58</v>
      </c>
      <c r="S1024" s="713" t="s">
        <v>58</v>
      </c>
      <c r="T1024" s="713" t="s">
        <v>58</v>
      </c>
      <c r="U1024" s="713">
        <v>0.152</v>
      </c>
      <c r="V1024" s="764">
        <v>733.4</v>
      </c>
      <c r="W1024" s="764">
        <v>0.11921519892682363</v>
      </c>
      <c r="X1024" s="764">
        <v>605.91820213650124</v>
      </c>
      <c r="Y1024" s="764">
        <v>3539.8379177448228</v>
      </c>
      <c r="Z1024" s="764">
        <v>3341.1479250183306</v>
      </c>
      <c r="AA1024" s="764">
        <v>571.90820338151605</v>
      </c>
      <c r="AB1024" s="764">
        <v>0.11260393574929206</v>
      </c>
      <c r="AC1024" s="714">
        <v>0.82617698682369967</v>
      </c>
      <c r="AD1024" s="714">
        <v>0.7843105192554185</v>
      </c>
      <c r="AE1024" s="714" t="s">
        <v>58</v>
      </c>
      <c r="AF1024" s="713" t="s">
        <v>58</v>
      </c>
      <c r="AG1024" s="713" t="s">
        <v>58</v>
      </c>
      <c r="AH1024" s="713">
        <v>0.94387031345969796</v>
      </c>
      <c r="AI1024" s="714" t="s">
        <v>58</v>
      </c>
      <c r="AJ1024" s="713" t="s">
        <v>58</v>
      </c>
      <c r="AK1024" s="713" t="s">
        <v>58</v>
      </c>
      <c r="AL1024" s="713">
        <v>0.94454345387965444</v>
      </c>
      <c r="AM1024" s="714" t="s">
        <v>58</v>
      </c>
      <c r="AN1024" s="713" t="s">
        <v>58</v>
      </c>
      <c r="AO1024" s="713" t="s">
        <v>58</v>
      </c>
      <c r="AP1024" s="713">
        <v>57</v>
      </c>
      <c r="AQ1024" s="747">
        <v>228</v>
      </c>
      <c r="AR1024" s="747"/>
      <c r="AS1024" s="709">
        <v>0</v>
      </c>
      <c r="AT1024" s="763">
        <v>0</v>
      </c>
      <c r="AU1024" s="763">
        <v>0</v>
      </c>
      <c r="AV1024" s="763">
        <v>0.11260393574929206</v>
      </c>
      <c r="AW1024" s="763">
        <v>0.11260393574929206</v>
      </c>
      <c r="AX1024" s="763">
        <v>0.11260393574929206</v>
      </c>
      <c r="AY1024" s="763">
        <v>3.5559137605039599E-2</v>
      </c>
      <c r="AZ1024" s="763">
        <v>3.5559137605039599E-2</v>
      </c>
      <c r="BA1024" s="763">
        <v>3.5559137605039599E-2</v>
      </c>
      <c r="BB1024" s="763">
        <v>3.5559137605039599E-2</v>
      </c>
      <c r="BC1024" s="763">
        <v>3.5559137605039599E-2</v>
      </c>
      <c r="BD1024" s="763">
        <v>3.5559137605039599E-2</v>
      </c>
      <c r="BE1024" s="763">
        <v>3.5559137605039599E-2</v>
      </c>
      <c r="BF1024" s="763">
        <v>3.5559137605039599E-2</v>
      </c>
      <c r="BG1024" s="763">
        <v>3.5559137605039599E-2</v>
      </c>
      <c r="BH1024" s="763">
        <v>0</v>
      </c>
      <c r="BI1024" s="763">
        <v>0</v>
      </c>
      <c r="BJ1024" s="763">
        <v>0</v>
      </c>
      <c r="BK1024" s="763">
        <v>0</v>
      </c>
      <c r="BL1024" s="763">
        <v>0</v>
      </c>
      <c r="BM1024" s="763">
        <v>0</v>
      </c>
      <c r="BN1024" s="763">
        <v>0</v>
      </c>
      <c r="BO1024" s="763">
        <v>0</v>
      </c>
      <c r="BP1024" s="763">
        <v>0</v>
      </c>
      <c r="BQ1024" s="763">
        <v>0</v>
      </c>
      <c r="BR1024" s="763">
        <v>0</v>
      </c>
      <c r="BS1024" s="763">
        <v>0</v>
      </c>
      <c r="BT1024" s="762">
        <v>0</v>
      </c>
      <c r="BU1024" s="762">
        <v>0</v>
      </c>
      <c r="BV1024" s="762">
        <v>571.90820338151605</v>
      </c>
      <c r="BW1024" s="762">
        <v>571.90820338151605</v>
      </c>
      <c r="BX1024" s="762">
        <v>571.90820338151605</v>
      </c>
      <c r="BY1024" s="762">
        <v>180.60259054153138</v>
      </c>
      <c r="BZ1024" s="762">
        <v>180.60259054153138</v>
      </c>
      <c r="CA1024" s="762">
        <v>180.60259054153138</v>
      </c>
      <c r="CB1024" s="762">
        <v>180.60259054153138</v>
      </c>
      <c r="CC1024" s="762">
        <v>180.60259054153138</v>
      </c>
      <c r="CD1024" s="762">
        <v>180.60259054153138</v>
      </c>
      <c r="CE1024" s="762">
        <v>180.60259054153138</v>
      </c>
      <c r="CF1024" s="762">
        <v>180.60259054153138</v>
      </c>
      <c r="CG1024" s="762">
        <v>180.60259054153138</v>
      </c>
      <c r="CH1024" s="762">
        <v>0</v>
      </c>
      <c r="CI1024" s="762">
        <v>0</v>
      </c>
      <c r="CJ1024" s="762">
        <v>0</v>
      </c>
      <c r="CK1024" s="762">
        <v>0</v>
      </c>
      <c r="CL1024" s="762">
        <v>0</v>
      </c>
      <c r="CM1024" s="762">
        <v>0</v>
      </c>
      <c r="CN1024" s="762">
        <v>0</v>
      </c>
      <c r="CO1024" s="762">
        <v>0</v>
      </c>
      <c r="CP1024" s="762">
        <v>0</v>
      </c>
      <c r="CQ1024" s="762">
        <v>0</v>
      </c>
      <c r="CR1024" s="762">
        <v>0</v>
      </c>
    </row>
    <row r="1025" spans="1:96" s="53" customFormat="1">
      <c r="A1025" s="709" t="s">
        <v>3</v>
      </c>
      <c r="B1025" s="721">
        <v>41962</v>
      </c>
      <c r="C1025" s="721">
        <v>2014</v>
      </c>
      <c r="D1025" s="709" t="s">
        <v>1</v>
      </c>
      <c r="E1025" s="713" t="s">
        <v>674</v>
      </c>
      <c r="F1025" s="713" t="s">
        <v>685</v>
      </c>
      <c r="G1025" s="723" t="s">
        <v>58</v>
      </c>
      <c r="H1025" s="713" t="s">
        <v>684</v>
      </c>
      <c r="I1025" s="723" t="s">
        <v>5</v>
      </c>
      <c r="J1025" s="713" t="s">
        <v>376</v>
      </c>
      <c r="K1025" s="713">
        <v>5</v>
      </c>
      <c r="L1025" s="713" t="s">
        <v>671</v>
      </c>
      <c r="M1025" s="766" t="s">
        <v>699</v>
      </c>
      <c r="N1025" s="765">
        <v>11</v>
      </c>
      <c r="O1025" s="765">
        <v>2</v>
      </c>
      <c r="P1025" s="765">
        <v>0.43976996379393668</v>
      </c>
      <c r="Q1025" s="735" t="s">
        <v>58</v>
      </c>
      <c r="R1025" s="713" t="s">
        <v>58</v>
      </c>
      <c r="S1025" s="713" t="s">
        <v>58</v>
      </c>
      <c r="T1025" s="713" t="s">
        <v>58</v>
      </c>
      <c r="U1025" s="713">
        <v>0.34</v>
      </c>
      <c r="V1025" s="764">
        <v>1640.5</v>
      </c>
      <c r="W1025" s="764">
        <v>0.26666557654684236</v>
      </c>
      <c r="X1025" s="764">
        <v>1355.3433468842793</v>
      </c>
      <c r="Y1025" s="764">
        <v>8075.0403450574304</v>
      </c>
      <c r="Z1025" s="764">
        <v>7621.7908616890645</v>
      </c>
      <c r="AA1025" s="764">
        <v>1279.2683496691809</v>
      </c>
      <c r="AB1025" s="764">
        <v>0.25187722470236384</v>
      </c>
      <c r="AC1025" s="714">
        <v>0.82617698682369967</v>
      </c>
      <c r="AD1025" s="714">
        <v>0.7843105192554185</v>
      </c>
      <c r="AE1025" s="714" t="s">
        <v>58</v>
      </c>
      <c r="AF1025" s="713" t="s">
        <v>58</v>
      </c>
      <c r="AG1025" s="713" t="s">
        <v>58</v>
      </c>
      <c r="AH1025" s="713">
        <v>0.94387031345969796</v>
      </c>
      <c r="AI1025" s="714" t="s">
        <v>58</v>
      </c>
      <c r="AJ1025" s="713" t="s">
        <v>58</v>
      </c>
      <c r="AK1025" s="713" t="s">
        <v>58</v>
      </c>
      <c r="AL1025" s="713">
        <v>0.94454345387965444</v>
      </c>
      <c r="AM1025" s="714" t="s">
        <v>58</v>
      </c>
      <c r="AN1025" s="713" t="s">
        <v>58</v>
      </c>
      <c r="AO1025" s="713" t="s">
        <v>58</v>
      </c>
      <c r="AP1025" s="713">
        <v>48</v>
      </c>
      <c r="AQ1025" s="747">
        <v>240</v>
      </c>
      <c r="AR1025" s="747"/>
      <c r="AS1025" s="709">
        <v>0</v>
      </c>
      <c r="AT1025" s="763">
        <v>0</v>
      </c>
      <c r="AU1025" s="763">
        <v>0</v>
      </c>
      <c r="AV1025" s="763">
        <v>0.25187722470236384</v>
      </c>
      <c r="AW1025" s="763">
        <v>0.25187722470236384</v>
      </c>
      <c r="AX1025" s="763">
        <v>0.11076803798787579</v>
      </c>
      <c r="AY1025" s="763">
        <v>0.11076803798787579</v>
      </c>
      <c r="AZ1025" s="763">
        <v>0.11076803798787579</v>
      </c>
      <c r="BA1025" s="763">
        <v>0.11076803798787579</v>
      </c>
      <c r="BB1025" s="763">
        <v>0.11076803798787579</v>
      </c>
      <c r="BC1025" s="763">
        <v>0.11076803798787579</v>
      </c>
      <c r="BD1025" s="763">
        <v>0.11076803798787579</v>
      </c>
      <c r="BE1025" s="763">
        <v>0.11076803798787579</v>
      </c>
      <c r="BF1025" s="763">
        <v>0.11076803798787579</v>
      </c>
      <c r="BG1025" s="763">
        <v>0</v>
      </c>
      <c r="BH1025" s="763">
        <v>0</v>
      </c>
      <c r="BI1025" s="763">
        <v>0</v>
      </c>
      <c r="BJ1025" s="763">
        <v>0</v>
      </c>
      <c r="BK1025" s="763">
        <v>0</v>
      </c>
      <c r="BL1025" s="763">
        <v>0</v>
      </c>
      <c r="BM1025" s="763">
        <v>0</v>
      </c>
      <c r="BN1025" s="763">
        <v>0</v>
      </c>
      <c r="BO1025" s="763">
        <v>0</v>
      </c>
      <c r="BP1025" s="763">
        <v>0</v>
      </c>
      <c r="BQ1025" s="763">
        <v>0</v>
      </c>
      <c r="BR1025" s="763">
        <v>0</v>
      </c>
      <c r="BS1025" s="763">
        <v>0</v>
      </c>
      <c r="BT1025" s="762">
        <v>0</v>
      </c>
      <c r="BU1025" s="762">
        <v>0</v>
      </c>
      <c r="BV1025" s="762">
        <v>1279.2683496691809</v>
      </c>
      <c r="BW1025" s="762">
        <v>1279.2683496691809</v>
      </c>
      <c r="BX1025" s="762">
        <v>562.58379581674478</v>
      </c>
      <c r="BY1025" s="762">
        <v>562.58379581674478</v>
      </c>
      <c r="BZ1025" s="762">
        <v>562.58379581674478</v>
      </c>
      <c r="CA1025" s="762">
        <v>562.58379581674478</v>
      </c>
      <c r="CB1025" s="762">
        <v>562.58379581674478</v>
      </c>
      <c r="CC1025" s="762">
        <v>562.58379581674478</v>
      </c>
      <c r="CD1025" s="762">
        <v>562.58379581674478</v>
      </c>
      <c r="CE1025" s="762">
        <v>562.58379581674478</v>
      </c>
      <c r="CF1025" s="762">
        <v>562.58379581674478</v>
      </c>
      <c r="CG1025" s="762">
        <v>0</v>
      </c>
      <c r="CH1025" s="762">
        <v>0</v>
      </c>
      <c r="CI1025" s="762">
        <v>0</v>
      </c>
      <c r="CJ1025" s="762">
        <v>0</v>
      </c>
      <c r="CK1025" s="762">
        <v>0</v>
      </c>
      <c r="CL1025" s="762">
        <v>0</v>
      </c>
      <c r="CM1025" s="762">
        <v>0</v>
      </c>
      <c r="CN1025" s="762">
        <v>0</v>
      </c>
      <c r="CO1025" s="762">
        <v>0</v>
      </c>
      <c r="CP1025" s="762">
        <v>0</v>
      </c>
      <c r="CQ1025" s="762">
        <v>0</v>
      </c>
      <c r="CR1025" s="762">
        <v>0</v>
      </c>
    </row>
    <row r="1026" spans="1:96" s="53" customFormat="1">
      <c r="A1026" s="709" t="s">
        <v>3</v>
      </c>
      <c r="B1026" s="721">
        <v>41961</v>
      </c>
      <c r="C1026" s="721">
        <v>2014</v>
      </c>
      <c r="D1026" s="709" t="s">
        <v>1</v>
      </c>
      <c r="E1026" s="713" t="s">
        <v>674</v>
      </c>
      <c r="F1026" s="713" t="s">
        <v>123</v>
      </c>
      <c r="G1026" s="723" t="s">
        <v>58</v>
      </c>
      <c r="H1026" s="713" t="s">
        <v>677</v>
      </c>
      <c r="I1026" s="723" t="s">
        <v>5</v>
      </c>
      <c r="J1026" s="713" t="s">
        <v>376</v>
      </c>
      <c r="K1026" s="713">
        <v>1</v>
      </c>
      <c r="L1026" s="713" t="s">
        <v>671</v>
      </c>
      <c r="M1026" s="766" t="s">
        <v>698</v>
      </c>
      <c r="N1026" s="765">
        <v>0</v>
      </c>
      <c r="O1026" s="765">
        <v>0</v>
      </c>
      <c r="P1026" s="765">
        <v>0</v>
      </c>
      <c r="Q1026" s="735" t="s">
        <v>58</v>
      </c>
      <c r="R1026" s="713" t="s">
        <v>58</v>
      </c>
      <c r="S1026" s="713" t="s">
        <v>58</v>
      </c>
      <c r="T1026" s="713" t="s">
        <v>58</v>
      </c>
      <c r="U1026" s="713">
        <v>0</v>
      </c>
      <c r="V1026" s="764">
        <v>0</v>
      </c>
      <c r="W1026" s="764">
        <v>0</v>
      </c>
      <c r="X1026" s="764">
        <v>0</v>
      </c>
      <c r="Y1026" s="764">
        <v>0</v>
      </c>
      <c r="Z1026" s="764">
        <v>0</v>
      </c>
      <c r="AA1026" s="764">
        <v>0</v>
      </c>
      <c r="AB1026" s="764">
        <v>0</v>
      </c>
      <c r="AC1026" s="714">
        <v>0.82617698682369967</v>
      </c>
      <c r="AD1026" s="714">
        <v>0.7843105192554185</v>
      </c>
      <c r="AE1026" s="714" t="s">
        <v>58</v>
      </c>
      <c r="AF1026" s="713" t="s">
        <v>58</v>
      </c>
      <c r="AG1026" s="713" t="s">
        <v>58</v>
      </c>
      <c r="AH1026" s="713">
        <v>0.94387031345969796</v>
      </c>
      <c r="AI1026" s="714" t="s">
        <v>58</v>
      </c>
      <c r="AJ1026" s="713" t="s">
        <v>58</v>
      </c>
      <c r="AK1026" s="713" t="s">
        <v>58</v>
      </c>
      <c r="AL1026" s="713">
        <v>0.94454345387965444</v>
      </c>
      <c r="AM1026" s="714" t="s">
        <v>58</v>
      </c>
      <c r="AN1026" s="713" t="s">
        <v>58</v>
      </c>
      <c r="AO1026" s="713" t="s">
        <v>58</v>
      </c>
      <c r="AP1026" s="713">
        <v>51</v>
      </c>
      <c r="AQ1026" s="747">
        <v>51</v>
      </c>
      <c r="AR1026" s="747"/>
      <c r="AS1026" s="709">
        <v>0</v>
      </c>
      <c r="AT1026" s="763">
        <v>0</v>
      </c>
      <c r="AU1026" s="763">
        <v>0</v>
      </c>
      <c r="AV1026" s="763">
        <v>0</v>
      </c>
      <c r="AW1026" s="763">
        <v>0</v>
      </c>
      <c r="AX1026" s="763">
        <v>0</v>
      </c>
      <c r="AY1026" s="763">
        <v>0</v>
      </c>
      <c r="AZ1026" s="763">
        <v>0</v>
      </c>
      <c r="BA1026" s="763">
        <v>0</v>
      </c>
      <c r="BB1026" s="763">
        <v>0</v>
      </c>
      <c r="BC1026" s="763">
        <v>0</v>
      </c>
      <c r="BD1026" s="763">
        <v>0</v>
      </c>
      <c r="BE1026" s="763">
        <v>0</v>
      </c>
      <c r="BF1026" s="763">
        <v>0</v>
      </c>
      <c r="BG1026" s="763">
        <v>0</v>
      </c>
      <c r="BH1026" s="763">
        <v>0</v>
      </c>
      <c r="BI1026" s="763">
        <v>0</v>
      </c>
      <c r="BJ1026" s="763">
        <v>0</v>
      </c>
      <c r="BK1026" s="763">
        <v>0</v>
      </c>
      <c r="BL1026" s="763">
        <v>0</v>
      </c>
      <c r="BM1026" s="763">
        <v>0</v>
      </c>
      <c r="BN1026" s="763">
        <v>0</v>
      </c>
      <c r="BO1026" s="763">
        <v>0</v>
      </c>
      <c r="BP1026" s="763">
        <v>0</v>
      </c>
      <c r="BQ1026" s="763">
        <v>0</v>
      </c>
      <c r="BR1026" s="763">
        <v>0</v>
      </c>
      <c r="BS1026" s="763">
        <v>0</v>
      </c>
      <c r="BT1026" s="762">
        <v>0</v>
      </c>
      <c r="BU1026" s="762">
        <v>0</v>
      </c>
      <c r="BV1026" s="762">
        <v>0</v>
      </c>
      <c r="BW1026" s="762">
        <v>0</v>
      </c>
      <c r="BX1026" s="762">
        <v>0</v>
      </c>
      <c r="BY1026" s="762">
        <v>0</v>
      </c>
      <c r="BZ1026" s="762">
        <v>0</v>
      </c>
      <c r="CA1026" s="762">
        <v>0</v>
      </c>
      <c r="CB1026" s="762">
        <v>0</v>
      </c>
      <c r="CC1026" s="762">
        <v>0</v>
      </c>
      <c r="CD1026" s="762">
        <v>0</v>
      </c>
      <c r="CE1026" s="762">
        <v>0</v>
      </c>
      <c r="CF1026" s="762">
        <v>0</v>
      </c>
      <c r="CG1026" s="762">
        <v>0</v>
      </c>
      <c r="CH1026" s="762">
        <v>0</v>
      </c>
      <c r="CI1026" s="762">
        <v>0</v>
      </c>
      <c r="CJ1026" s="762">
        <v>0</v>
      </c>
      <c r="CK1026" s="762">
        <v>0</v>
      </c>
      <c r="CL1026" s="762">
        <v>0</v>
      </c>
      <c r="CM1026" s="762">
        <v>0</v>
      </c>
      <c r="CN1026" s="762">
        <v>0</v>
      </c>
      <c r="CO1026" s="762">
        <v>0</v>
      </c>
      <c r="CP1026" s="762">
        <v>0</v>
      </c>
      <c r="CQ1026" s="762">
        <v>0</v>
      </c>
      <c r="CR1026" s="762">
        <v>0</v>
      </c>
    </row>
    <row r="1027" spans="1:96" s="53" customFormat="1">
      <c r="A1027" s="709" t="s">
        <v>3</v>
      </c>
      <c r="B1027" s="721">
        <v>41961</v>
      </c>
      <c r="C1027" s="721">
        <v>2014</v>
      </c>
      <c r="D1027" s="709" t="s">
        <v>1</v>
      </c>
      <c r="E1027" s="713" t="s">
        <v>674</v>
      </c>
      <c r="F1027" s="713" t="s">
        <v>123</v>
      </c>
      <c r="G1027" s="723" t="s">
        <v>58</v>
      </c>
      <c r="H1027" s="713" t="s">
        <v>676</v>
      </c>
      <c r="I1027" s="723" t="s">
        <v>5</v>
      </c>
      <c r="J1027" s="713" t="s">
        <v>376</v>
      </c>
      <c r="K1027" s="713">
        <v>2</v>
      </c>
      <c r="L1027" s="713" t="s">
        <v>671</v>
      </c>
      <c r="M1027" s="766" t="s">
        <v>698</v>
      </c>
      <c r="N1027" s="765">
        <v>12</v>
      </c>
      <c r="O1027" s="765">
        <v>3</v>
      </c>
      <c r="P1027" s="765">
        <v>0.31578947368421051</v>
      </c>
      <c r="Q1027" s="735" t="s">
        <v>58</v>
      </c>
      <c r="R1027" s="713" t="s">
        <v>58</v>
      </c>
      <c r="S1027" s="713" t="s">
        <v>58</v>
      </c>
      <c r="T1027" s="713" t="s">
        <v>58</v>
      </c>
      <c r="U1027" s="713">
        <v>7.5999999999999998E-2</v>
      </c>
      <c r="V1027" s="764">
        <v>259.16000000000003</v>
      </c>
      <c r="W1027" s="764">
        <v>5.9607599463411813E-2</v>
      </c>
      <c r="X1027" s="764">
        <v>214.11202790523004</v>
      </c>
      <c r="Y1027" s="764">
        <v>1250.8650051305544</v>
      </c>
      <c r="Z1027" s="764">
        <v>1180.6543444883432</v>
      </c>
      <c r="AA1027" s="764">
        <v>202.09398689440107</v>
      </c>
      <c r="AB1027" s="764">
        <v>5.6301967874646031E-2</v>
      </c>
      <c r="AC1027" s="714">
        <v>0.82617698682369967</v>
      </c>
      <c r="AD1027" s="714">
        <v>0.7843105192554185</v>
      </c>
      <c r="AE1027" s="714" t="s">
        <v>58</v>
      </c>
      <c r="AF1027" s="713" t="s">
        <v>58</v>
      </c>
      <c r="AG1027" s="713" t="s">
        <v>58</v>
      </c>
      <c r="AH1027" s="713">
        <v>0.94387031345969796</v>
      </c>
      <c r="AI1027" s="714" t="s">
        <v>58</v>
      </c>
      <c r="AJ1027" s="713" t="s">
        <v>58</v>
      </c>
      <c r="AK1027" s="713" t="s">
        <v>58</v>
      </c>
      <c r="AL1027" s="713">
        <v>0.94454345387965444</v>
      </c>
      <c r="AM1027" s="714" t="s">
        <v>58</v>
      </c>
      <c r="AN1027" s="713" t="s">
        <v>58</v>
      </c>
      <c r="AO1027" s="713" t="s">
        <v>58</v>
      </c>
      <c r="AP1027" s="713">
        <v>57</v>
      </c>
      <c r="AQ1027" s="747">
        <v>114</v>
      </c>
      <c r="AR1027" s="747"/>
      <c r="AS1027" s="709">
        <v>0</v>
      </c>
      <c r="AT1027" s="763">
        <v>0</v>
      </c>
      <c r="AU1027" s="763">
        <v>0</v>
      </c>
      <c r="AV1027" s="763">
        <v>5.6301967874646031E-2</v>
      </c>
      <c r="AW1027" s="763">
        <v>5.6301967874646031E-2</v>
      </c>
      <c r="AX1027" s="763">
        <v>5.6301967874646031E-2</v>
      </c>
      <c r="AY1027" s="763">
        <v>1.77795688025198E-2</v>
      </c>
      <c r="AZ1027" s="763">
        <v>1.77795688025198E-2</v>
      </c>
      <c r="BA1027" s="763">
        <v>1.77795688025198E-2</v>
      </c>
      <c r="BB1027" s="763">
        <v>1.77795688025198E-2</v>
      </c>
      <c r="BC1027" s="763">
        <v>1.77795688025198E-2</v>
      </c>
      <c r="BD1027" s="763">
        <v>1.77795688025198E-2</v>
      </c>
      <c r="BE1027" s="763">
        <v>1.77795688025198E-2</v>
      </c>
      <c r="BF1027" s="763">
        <v>1.77795688025198E-2</v>
      </c>
      <c r="BG1027" s="763">
        <v>1.77795688025198E-2</v>
      </c>
      <c r="BH1027" s="763">
        <v>0</v>
      </c>
      <c r="BI1027" s="763">
        <v>0</v>
      </c>
      <c r="BJ1027" s="763">
        <v>0</v>
      </c>
      <c r="BK1027" s="763">
        <v>0</v>
      </c>
      <c r="BL1027" s="763">
        <v>0</v>
      </c>
      <c r="BM1027" s="763">
        <v>0</v>
      </c>
      <c r="BN1027" s="763">
        <v>0</v>
      </c>
      <c r="BO1027" s="763">
        <v>0</v>
      </c>
      <c r="BP1027" s="763">
        <v>0</v>
      </c>
      <c r="BQ1027" s="763">
        <v>0</v>
      </c>
      <c r="BR1027" s="763">
        <v>0</v>
      </c>
      <c r="BS1027" s="763">
        <v>0</v>
      </c>
      <c r="BT1027" s="762">
        <v>0</v>
      </c>
      <c r="BU1027" s="762">
        <v>0</v>
      </c>
      <c r="BV1027" s="762">
        <v>202.09398689440107</v>
      </c>
      <c r="BW1027" s="762">
        <v>202.09398689440107</v>
      </c>
      <c r="BX1027" s="762">
        <v>202.09398689440107</v>
      </c>
      <c r="BY1027" s="762">
        <v>63.819153756126653</v>
      </c>
      <c r="BZ1027" s="762">
        <v>63.819153756126653</v>
      </c>
      <c r="CA1027" s="762">
        <v>63.819153756126653</v>
      </c>
      <c r="CB1027" s="762">
        <v>63.819153756126653</v>
      </c>
      <c r="CC1027" s="762">
        <v>63.819153756126653</v>
      </c>
      <c r="CD1027" s="762">
        <v>63.819153756126653</v>
      </c>
      <c r="CE1027" s="762">
        <v>63.819153756126653</v>
      </c>
      <c r="CF1027" s="762">
        <v>63.819153756126653</v>
      </c>
      <c r="CG1027" s="762">
        <v>63.819153756126653</v>
      </c>
      <c r="CH1027" s="762">
        <v>0</v>
      </c>
      <c r="CI1027" s="762">
        <v>0</v>
      </c>
      <c r="CJ1027" s="762">
        <v>0</v>
      </c>
      <c r="CK1027" s="762">
        <v>0</v>
      </c>
      <c r="CL1027" s="762">
        <v>0</v>
      </c>
      <c r="CM1027" s="762">
        <v>0</v>
      </c>
      <c r="CN1027" s="762">
        <v>0</v>
      </c>
      <c r="CO1027" s="762">
        <v>0</v>
      </c>
      <c r="CP1027" s="762">
        <v>0</v>
      </c>
      <c r="CQ1027" s="762">
        <v>0</v>
      </c>
      <c r="CR1027" s="762">
        <v>0</v>
      </c>
    </row>
    <row r="1028" spans="1:96" s="53" customFormat="1">
      <c r="A1028" s="709" t="s">
        <v>3</v>
      </c>
      <c r="B1028" s="721">
        <v>41961</v>
      </c>
      <c r="C1028" s="721">
        <v>2014</v>
      </c>
      <c r="D1028" s="709" t="s">
        <v>1</v>
      </c>
      <c r="E1028" s="713" t="s">
        <v>674</v>
      </c>
      <c r="F1028" s="713" t="s">
        <v>123</v>
      </c>
      <c r="G1028" s="723" t="s">
        <v>58</v>
      </c>
      <c r="H1028" s="713" t="s">
        <v>675</v>
      </c>
      <c r="I1028" s="723" t="s">
        <v>5</v>
      </c>
      <c r="J1028" s="713" t="s">
        <v>376</v>
      </c>
      <c r="K1028" s="713">
        <v>9</v>
      </c>
      <c r="L1028" s="713" t="s">
        <v>671</v>
      </c>
      <c r="M1028" s="766" t="s">
        <v>698</v>
      </c>
      <c r="N1028" s="765">
        <v>12</v>
      </c>
      <c r="O1028" s="765">
        <v>3</v>
      </c>
      <c r="P1028" s="765">
        <v>0.36842105263157893</v>
      </c>
      <c r="Q1028" s="735" t="s">
        <v>58</v>
      </c>
      <c r="R1028" s="713" t="s">
        <v>58</v>
      </c>
      <c r="S1028" s="713" t="s">
        <v>58</v>
      </c>
      <c r="T1028" s="713" t="s">
        <v>58</v>
      </c>
      <c r="U1028" s="713">
        <v>0.51300000000000001</v>
      </c>
      <c r="V1028" s="764">
        <v>1749.33</v>
      </c>
      <c r="W1028" s="764">
        <v>0.40235129637802974</v>
      </c>
      <c r="X1028" s="764">
        <v>1445.2561883603023</v>
      </c>
      <c r="Y1028" s="764">
        <v>9127.9338212229632</v>
      </c>
      <c r="Z1028" s="764">
        <v>8615.5857570770968</v>
      </c>
      <c r="AA1028" s="764">
        <v>1364.1344115372069</v>
      </c>
      <c r="AB1028" s="764">
        <v>0.38003828315386073</v>
      </c>
      <c r="AC1028" s="714">
        <v>0.82617698682369967</v>
      </c>
      <c r="AD1028" s="714">
        <v>0.7843105192554185</v>
      </c>
      <c r="AE1028" s="714" t="s">
        <v>58</v>
      </c>
      <c r="AF1028" s="713" t="s">
        <v>58</v>
      </c>
      <c r="AG1028" s="713" t="s">
        <v>58</v>
      </c>
      <c r="AH1028" s="713">
        <v>0.94387031345969796</v>
      </c>
      <c r="AI1028" s="714" t="s">
        <v>58</v>
      </c>
      <c r="AJ1028" s="713" t="s">
        <v>58</v>
      </c>
      <c r="AK1028" s="713" t="s">
        <v>58</v>
      </c>
      <c r="AL1028" s="713">
        <v>0.94454345387965444</v>
      </c>
      <c r="AM1028" s="714" t="s">
        <v>58</v>
      </c>
      <c r="AN1028" s="713" t="s">
        <v>58</v>
      </c>
      <c r="AO1028" s="713" t="s">
        <v>58</v>
      </c>
      <c r="AP1028" s="713">
        <v>73</v>
      </c>
      <c r="AQ1028" s="747">
        <v>657</v>
      </c>
      <c r="AR1028" s="747"/>
      <c r="AS1028" s="709">
        <v>0</v>
      </c>
      <c r="AT1028" s="763">
        <v>0</v>
      </c>
      <c r="AU1028" s="763">
        <v>0</v>
      </c>
      <c r="AV1028" s="763">
        <v>0.38003828315386073</v>
      </c>
      <c r="AW1028" s="763">
        <v>0.38003828315386073</v>
      </c>
      <c r="AX1028" s="763">
        <v>0.38003828315386073</v>
      </c>
      <c r="AY1028" s="763">
        <v>0.14001410431984343</v>
      </c>
      <c r="AZ1028" s="763">
        <v>0.14001410431984343</v>
      </c>
      <c r="BA1028" s="763">
        <v>0.14001410431984343</v>
      </c>
      <c r="BB1028" s="763">
        <v>0.14001410431984343</v>
      </c>
      <c r="BC1028" s="763">
        <v>0.14001410431984343</v>
      </c>
      <c r="BD1028" s="763">
        <v>0.14001410431984343</v>
      </c>
      <c r="BE1028" s="763">
        <v>0.14001410431984343</v>
      </c>
      <c r="BF1028" s="763">
        <v>0.14001410431984343</v>
      </c>
      <c r="BG1028" s="763">
        <v>0.14001410431984343</v>
      </c>
      <c r="BH1028" s="763">
        <v>0</v>
      </c>
      <c r="BI1028" s="763">
        <v>0</v>
      </c>
      <c r="BJ1028" s="763">
        <v>0</v>
      </c>
      <c r="BK1028" s="763">
        <v>0</v>
      </c>
      <c r="BL1028" s="763">
        <v>0</v>
      </c>
      <c r="BM1028" s="763">
        <v>0</v>
      </c>
      <c r="BN1028" s="763">
        <v>0</v>
      </c>
      <c r="BO1028" s="763">
        <v>0</v>
      </c>
      <c r="BP1028" s="763">
        <v>0</v>
      </c>
      <c r="BQ1028" s="763">
        <v>0</v>
      </c>
      <c r="BR1028" s="763">
        <v>0</v>
      </c>
      <c r="BS1028" s="763">
        <v>0</v>
      </c>
      <c r="BT1028" s="762">
        <v>0</v>
      </c>
      <c r="BU1028" s="762">
        <v>0</v>
      </c>
      <c r="BV1028" s="762">
        <v>1364.1344115372069</v>
      </c>
      <c r="BW1028" s="762">
        <v>1364.1344115372069</v>
      </c>
      <c r="BX1028" s="762">
        <v>1364.1344115372069</v>
      </c>
      <c r="BY1028" s="762">
        <v>502.57583582949724</v>
      </c>
      <c r="BZ1028" s="762">
        <v>502.57583582949724</v>
      </c>
      <c r="CA1028" s="762">
        <v>502.57583582949724</v>
      </c>
      <c r="CB1028" s="762">
        <v>502.57583582949724</v>
      </c>
      <c r="CC1028" s="762">
        <v>502.57583582949724</v>
      </c>
      <c r="CD1028" s="762">
        <v>502.57583582949724</v>
      </c>
      <c r="CE1028" s="762">
        <v>502.57583582949724</v>
      </c>
      <c r="CF1028" s="762">
        <v>502.57583582949724</v>
      </c>
      <c r="CG1028" s="762">
        <v>502.57583582949724</v>
      </c>
      <c r="CH1028" s="762">
        <v>0</v>
      </c>
      <c r="CI1028" s="762">
        <v>0</v>
      </c>
      <c r="CJ1028" s="762">
        <v>0</v>
      </c>
      <c r="CK1028" s="762">
        <v>0</v>
      </c>
      <c r="CL1028" s="762">
        <v>0</v>
      </c>
      <c r="CM1028" s="762">
        <v>0</v>
      </c>
      <c r="CN1028" s="762">
        <v>0</v>
      </c>
      <c r="CO1028" s="762">
        <v>0</v>
      </c>
      <c r="CP1028" s="762">
        <v>0</v>
      </c>
      <c r="CQ1028" s="762">
        <v>0</v>
      </c>
      <c r="CR1028" s="762">
        <v>0</v>
      </c>
    </row>
    <row r="1029" spans="1:96" s="53" customFormat="1">
      <c r="A1029" s="709" t="s">
        <v>3</v>
      </c>
      <c r="B1029" s="721">
        <v>41961</v>
      </c>
      <c r="C1029" s="721">
        <v>2014</v>
      </c>
      <c r="D1029" s="709" t="s">
        <v>1</v>
      </c>
      <c r="E1029" s="713" t="s">
        <v>674</v>
      </c>
      <c r="F1029" s="713" t="s">
        <v>123</v>
      </c>
      <c r="G1029" s="723" t="s">
        <v>58</v>
      </c>
      <c r="H1029" s="713" t="s">
        <v>684</v>
      </c>
      <c r="I1029" s="723" t="s">
        <v>5</v>
      </c>
      <c r="J1029" s="713" t="s">
        <v>376</v>
      </c>
      <c r="K1029" s="713">
        <v>3</v>
      </c>
      <c r="L1029" s="713" t="s">
        <v>671</v>
      </c>
      <c r="M1029" s="766" t="s">
        <v>698</v>
      </c>
      <c r="N1029" s="765">
        <v>11</v>
      </c>
      <c r="O1029" s="765">
        <v>2</v>
      </c>
      <c r="P1029" s="765">
        <v>0.43976996379393668</v>
      </c>
      <c r="Q1029" s="735" t="s">
        <v>58</v>
      </c>
      <c r="R1029" s="713" t="s">
        <v>58</v>
      </c>
      <c r="S1029" s="713" t="s">
        <v>58</v>
      </c>
      <c r="T1029" s="713" t="s">
        <v>58</v>
      </c>
      <c r="U1029" s="713">
        <v>0.20399999999999999</v>
      </c>
      <c r="V1029" s="764">
        <v>647.49599999999998</v>
      </c>
      <c r="W1029" s="764">
        <v>0.15999934592810541</v>
      </c>
      <c r="X1029" s="764">
        <v>534.94629426039819</v>
      </c>
      <c r="Y1029" s="764">
        <v>3187.1724006481595</v>
      </c>
      <c r="Z1029" s="764">
        <v>3008.2774128498763</v>
      </c>
      <c r="AA1029" s="764">
        <v>504.91992644766589</v>
      </c>
      <c r="AB1029" s="764">
        <v>0.15112633482141832</v>
      </c>
      <c r="AC1029" s="714">
        <v>0.82617698682369967</v>
      </c>
      <c r="AD1029" s="714">
        <v>0.7843105192554185</v>
      </c>
      <c r="AE1029" s="714" t="s">
        <v>58</v>
      </c>
      <c r="AF1029" s="713" t="s">
        <v>58</v>
      </c>
      <c r="AG1029" s="713" t="s">
        <v>58</v>
      </c>
      <c r="AH1029" s="713">
        <v>0.94387031345969796</v>
      </c>
      <c r="AI1029" s="714" t="s">
        <v>58</v>
      </c>
      <c r="AJ1029" s="713" t="s">
        <v>58</v>
      </c>
      <c r="AK1029" s="713" t="s">
        <v>58</v>
      </c>
      <c r="AL1029" s="713">
        <v>0.94454345387965444</v>
      </c>
      <c r="AM1029" s="714" t="s">
        <v>58</v>
      </c>
      <c r="AN1029" s="713" t="s">
        <v>58</v>
      </c>
      <c r="AO1029" s="713" t="s">
        <v>58</v>
      </c>
      <c r="AP1029" s="713">
        <v>48</v>
      </c>
      <c r="AQ1029" s="747">
        <v>144</v>
      </c>
      <c r="AR1029" s="747"/>
      <c r="AS1029" s="709">
        <v>0</v>
      </c>
      <c r="AT1029" s="763">
        <v>0</v>
      </c>
      <c r="AU1029" s="763">
        <v>0</v>
      </c>
      <c r="AV1029" s="763">
        <v>0.15112633482141832</v>
      </c>
      <c r="AW1029" s="763">
        <v>0.15112633482141832</v>
      </c>
      <c r="AX1029" s="763">
        <v>6.6460822792725485E-2</v>
      </c>
      <c r="AY1029" s="763">
        <v>6.6460822792725485E-2</v>
      </c>
      <c r="AZ1029" s="763">
        <v>6.6460822792725485E-2</v>
      </c>
      <c r="BA1029" s="763">
        <v>6.6460822792725485E-2</v>
      </c>
      <c r="BB1029" s="763">
        <v>6.6460822792725485E-2</v>
      </c>
      <c r="BC1029" s="763">
        <v>6.6460822792725485E-2</v>
      </c>
      <c r="BD1029" s="763">
        <v>6.6460822792725485E-2</v>
      </c>
      <c r="BE1029" s="763">
        <v>6.6460822792725485E-2</v>
      </c>
      <c r="BF1029" s="763">
        <v>6.6460822792725485E-2</v>
      </c>
      <c r="BG1029" s="763">
        <v>0</v>
      </c>
      <c r="BH1029" s="763">
        <v>0</v>
      </c>
      <c r="BI1029" s="763">
        <v>0</v>
      </c>
      <c r="BJ1029" s="763">
        <v>0</v>
      </c>
      <c r="BK1029" s="763">
        <v>0</v>
      </c>
      <c r="BL1029" s="763">
        <v>0</v>
      </c>
      <c r="BM1029" s="763">
        <v>0</v>
      </c>
      <c r="BN1029" s="763">
        <v>0</v>
      </c>
      <c r="BO1029" s="763">
        <v>0</v>
      </c>
      <c r="BP1029" s="763">
        <v>0</v>
      </c>
      <c r="BQ1029" s="763">
        <v>0</v>
      </c>
      <c r="BR1029" s="763">
        <v>0</v>
      </c>
      <c r="BS1029" s="763">
        <v>0</v>
      </c>
      <c r="BT1029" s="762">
        <v>0</v>
      </c>
      <c r="BU1029" s="762">
        <v>0</v>
      </c>
      <c r="BV1029" s="762">
        <v>504.91992644766589</v>
      </c>
      <c r="BW1029" s="762">
        <v>504.91992644766589</v>
      </c>
      <c r="BX1029" s="762">
        <v>222.0486177727272</v>
      </c>
      <c r="BY1029" s="762">
        <v>222.0486177727272</v>
      </c>
      <c r="BZ1029" s="762">
        <v>222.0486177727272</v>
      </c>
      <c r="CA1029" s="762">
        <v>222.0486177727272</v>
      </c>
      <c r="CB1029" s="762">
        <v>222.0486177727272</v>
      </c>
      <c r="CC1029" s="762">
        <v>222.0486177727272</v>
      </c>
      <c r="CD1029" s="762">
        <v>222.0486177727272</v>
      </c>
      <c r="CE1029" s="762">
        <v>222.0486177727272</v>
      </c>
      <c r="CF1029" s="762">
        <v>222.0486177727272</v>
      </c>
      <c r="CG1029" s="762">
        <v>0</v>
      </c>
      <c r="CH1029" s="762">
        <v>0</v>
      </c>
      <c r="CI1029" s="762">
        <v>0</v>
      </c>
      <c r="CJ1029" s="762">
        <v>0</v>
      </c>
      <c r="CK1029" s="762">
        <v>0</v>
      </c>
      <c r="CL1029" s="762">
        <v>0</v>
      </c>
      <c r="CM1029" s="762">
        <v>0</v>
      </c>
      <c r="CN1029" s="762">
        <v>0</v>
      </c>
      <c r="CO1029" s="762">
        <v>0</v>
      </c>
      <c r="CP1029" s="762">
        <v>0</v>
      </c>
      <c r="CQ1029" s="762">
        <v>0</v>
      </c>
      <c r="CR1029" s="762">
        <v>0</v>
      </c>
    </row>
    <row r="1030" spans="1:96" s="53" customFormat="1">
      <c r="A1030" s="709" t="s">
        <v>3</v>
      </c>
      <c r="B1030" s="721">
        <v>41934</v>
      </c>
      <c r="C1030" s="721">
        <v>2014</v>
      </c>
      <c r="D1030" s="709" t="s">
        <v>1</v>
      </c>
      <c r="E1030" s="713" t="s">
        <v>674</v>
      </c>
      <c r="F1030" s="713" t="s">
        <v>123</v>
      </c>
      <c r="G1030" s="723" t="s">
        <v>58</v>
      </c>
      <c r="H1030" s="713" t="s">
        <v>697</v>
      </c>
      <c r="I1030" s="723" t="s">
        <v>5</v>
      </c>
      <c r="J1030" s="713" t="s">
        <v>376</v>
      </c>
      <c r="K1030" s="713">
        <v>1</v>
      </c>
      <c r="L1030" s="713" t="s">
        <v>671</v>
      </c>
      <c r="M1030" s="766" t="s">
        <v>696</v>
      </c>
      <c r="N1030" s="765">
        <v>0</v>
      </c>
      <c r="O1030" s="765">
        <v>0</v>
      </c>
      <c r="P1030" s="765">
        <v>0</v>
      </c>
      <c r="Q1030" s="735" t="s">
        <v>58</v>
      </c>
      <c r="R1030" s="713" t="s">
        <v>58</v>
      </c>
      <c r="S1030" s="713" t="s">
        <v>58</v>
      </c>
      <c r="T1030" s="713" t="s">
        <v>58</v>
      </c>
      <c r="U1030" s="713">
        <v>0</v>
      </c>
      <c r="V1030" s="764">
        <v>0</v>
      </c>
      <c r="W1030" s="764">
        <v>0</v>
      </c>
      <c r="X1030" s="764">
        <v>0</v>
      </c>
      <c r="Y1030" s="764">
        <v>0</v>
      </c>
      <c r="Z1030" s="764">
        <v>0</v>
      </c>
      <c r="AA1030" s="764">
        <v>0</v>
      </c>
      <c r="AB1030" s="764">
        <v>0</v>
      </c>
      <c r="AC1030" s="714">
        <v>0.82617698682369967</v>
      </c>
      <c r="AD1030" s="714">
        <v>0.7843105192554185</v>
      </c>
      <c r="AE1030" s="714" t="s">
        <v>58</v>
      </c>
      <c r="AF1030" s="713" t="s">
        <v>58</v>
      </c>
      <c r="AG1030" s="713" t="s">
        <v>58</v>
      </c>
      <c r="AH1030" s="713">
        <v>0.94387031345969796</v>
      </c>
      <c r="AI1030" s="714" t="s">
        <v>58</v>
      </c>
      <c r="AJ1030" s="713" t="s">
        <v>58</v>
      </c>
      <c r="AK1030" s="713" t="s">
        <v>58</v>
      </c>
      <c r="AL1030" s="713">
        <v>0.94454345387965444</v>
      </c>
      <c r="AM1030" s="714" t="s">
        <v>58</v>
      </c>
      <c r="AN1030" s="713" t="s">
        <v>58</v>
      </c>
      <c r="AO1030" s="713" t="s">
        <v>58</v>
      </c>
      <c r="AP1030" s="713">
        <v>26</v>
      </c>
      <c r="AQ1030" s="747">
        <v>26</v>
      </c>
      <c r="AR1030" s="747"/>
      <c r="AS1030" s="709">
        <v>0</v>
      </c>
      <c r="AT1030" s="763">
        <v>0</v>
      </c>
      <c r="AU1030" s="763">
        <v>0</v>
      </c>
      <c r="AV1030" s="763">
        <v>0</v>
      </c>
      <c r="AW1030" s="763">
        <v>0</v>
      </c>
      <c r="AX1030" s="763">
        <v>0</v>
      </c>
      <c r="AY1030" s="763">
        <v>0</v>
      </c>
      <c r="AZ1030" s="763">
        <v>0</v>
      </c>
      <c r="BA1030" s="763">
        <v>0</v>
      </c>
      <c r="BB1030" s="763">
        <v>0</v>
      </c>
      <c r="BC1030" s="763">
        <v>0</v>
      </c>
      <c r="BD1030" s="763">
        <v>0</v>
      </c>
      <c r="BE1030" s="763">
        <v>0</v>
      </c>
      <c r="BF1030" s="763">
        <v>0</v>
      </c>
      <c r="BG1030" s="763">
        <v>0</v>
      </c>
      <c r="BH1030" s="763">
        <v>0</v>
      </c>
      <c r="BI1030" s="763">
        <v>0</v>
      </c>
      <c r="BJ1030" s="763">
        <v>0</v>
      </c>
      <c r="BK1030" s="763">
        <v>0</v>
      </c>
      <c r="BL1030" s="763">
        <v>0</v>
      </c>
      <c r="BM1030" s="763">
        <v>0</v>
      </c>
      <c r="BN1030" s="763">
        <v>0</v>
      </c>
      <c r="BO1030" s="763">
        <v>0</v>
      </c>
      <c r="BP1030" s="763">
        <v>0</v>
      </c>
      <c r="BQ1030" s="763">
        <v>0</v>
      </c>
      <c r="BR1030" s="763">
        <v>0</v>
      </c>
      <c r="BS1030" s="763">
        <v>0</v>
      </c>
      <c r="BT1030" s="762">
        <v>0</v>
      </c>
      <c r="BU1030" s="762">
        <v>0</v>
      </c>
      <c r="BV1030" s="762">
        <v>0</v>
      </c>
      <c r="BW1030" s="762">
        <v>0</v>
      </c>
      <c r="BX1030" s="762">
        <v>0</v>
      </c>
      <c r="BY1030" s="762">
        <v>0</v>
      </c>
      <c r="BZ1030" s="762">
        <v>0</v>
      </c>
      <c r="CA1030" s="762">
        <v>0</v>
      </c>
      <c r="CB1030" s="762">
        <v>0</v>
      </c>
      <c r="CC1030" s="762">
        <v>0</v>
      </c>
      <c r="CD1030" s="762">
        <v>0</v>
      </c>
      <c r="CE1030" s="762">
        <v>0</v>
      </c>
      <c r="CF1030" s="762">
        <v>0</v>
      </c>
      <c r="CG1030" s="762">
        <v>0</v>
      </c>
      <c r="CH1030" s="762">
        <v>0</v>
      </c>
      <c r="CI1030" s="762">
        <v>0</v>
      </c>
      <c r="CJ1030" s="762">
        <v>0</v>
      </c>
      <c r="CK1030" s="762">
        <v>0</v>
      </c>
      <c r="CL1030" s="762">
        <v>0</v>
      </c>
      <c r="CM1030" s="762">
        <v>0</v>
      </c>
      <c r="CN1030" s="762">
        <v>0</v>
      </c>
      <c r="CO1030" s="762">
        <v>0</v>
      </c>
      <c r="CP1030" s="762">
        <v>0</v>
      </c>
      <c r="CQ1030" s="762">
        <v>0</v>
      </c>
      <c r="CR1030" s="762">
        <v>0</v>
      </c>
    </row>
    <row r="1031" spans="1:96" s="53" customFormat="1">
      <c r="A1031" s="709" t="s">
        <v>3</v>
      </c>
      <c r="B1031" s="721">
        <v>41934</v>
      </c>
      <c r="C1031" s="721">
        <v>2014</v>
      </c>
      <c r="D1031" s="709" t="s">
        <v>1</v>
      </c>
      <c r="E1031" s="713" t="s">
        <v>674</v>
      </c>
      <c r="F1031" s="713" t="s">
        <v>123</v>
      </c>
      <c r="G1031" s="723" t="s">
        <v>58</v>
      </c>
      <c r="H1031" s="713" t="s">
        <v>682</v>
      </c>
      <c r="I1031" s="723" t="s">
        <v>5</v>
      </c>
      <c r="J1031" s="713" t="s">
        <v>376</v>
      </c>
      <c r="K1031" s="713">
        <v>4</v>
      </c>
      <c r="L1031" s="713" t="s">
        <v>671</v>
      </c>
      <c r="M1031" s="766" t="s">
        <v>696</v>
      </c>
      <c r="N1031" s="765">
        <v>12</v>
      </c>
      <c r="O1031" s="765">
        <v>3</v>
      </c>
      <c r="P1031" s="765">
        <v>0.4</v>
      </c>
      <c r="Q1031" s="735" t="s">
        <v>58</v>
      </c>
      <c r="R1031" s="713" t="s">
        <v>58</v>
      </c>
      <c r="S1031" s="713" t="s">
        <v>58</v>
      </c>
      <c r="T1031" s="713" t="s">
        <v>58</v>
      </c>
      <c r="U1031" s="713">
        <v>0.1</v>
      </c>
      <c r="V1031" s="764">
        <v>341</v>
      </c>
      <c r="W1031" s="764">
        <v>7.8431051925541853E-2</v>
      </c>
      <c r="X1031" s="764">
        <v>281.7263525068816</v>
      </c>
      <c r="Y1031" s="764">
        <v>1859.3939265454187</v>
      </c>
      <c r="Z1031" s="764">
        <v>1755.0267282934831</v>
      </c>
      <c r="AA1031" s="764">
        <v>265.91314065052768</v>
      </c>
      <c r="AB1031" s="764">
        <v>7.4081536677165827E-2</v>
      </c>
      <c r="AC1031" s="714">
        <v>0.82617698682369967</v>
      </c>
      <c r="AD1031" s="714">
        <v>0.7843105192554185</v>
      </c>
      <c r="AE1031" s="714" t="s">
        <v>58</v>
      </c>
      <c r="AF1031" s="713" t="s">
        <v>58</v>
      </c>
      <c r="AG1031" s="713" t="s">
        <v>58</v>
      </c>
      <c r="AH1031" s="713">
        <v>0.94387031345969796</v>
      </c>
      <c r="AI1031" s="714" t="s">
        <v>58</v>
      </c>
      <c r="AJ1031" s="713" t="s">
        <v>58</v>
      </c>
      <c r="AK1031" s="713" t="s">
        <v>58</v>
      </c>
      <c r="AL1031" s="713">
        <v>0.94454345387965444</v>
      </c>
      <c r="AM1031" s="714" t="s">
        <v>58</v>
      </c>
      <c r="AN1031" s="713" t="s">
        <v>58</v>
      </c>
      <c r="AO1031" s="713" t="s">
        <v>58</v>
      </c>
      <c r="AP1031" s="713">
        <v>47</v>
      </c>
      <c r="AQ1031" s="747">
        <v>188</v>
      </c>
      <c r="AR1031" s="747"/>
      <c r="AS1031" s="709">
        <v>0</v>
      </c>
      <c r="AT1031" s="763">
        <v>0</v>
      </c>
      <c r="AU1031" s="763">
        <v>0</v>
      </c>
      <c r="AV1031" s="763">
        <v>7.4081536677165827E-2</v>
      </c>
      <c r="AW1031" s="763">
        <v>7.4081536677165827E-2</v>
      </c>
      <c r="AX1031" s="763">
        <v>7.4081536677165827E-2</v>
      </c>
      <c r="AY1031" s="763">
        <v>2.9632614670866333E-2</v>
      </c>
      <c r="AZ1031" s="763">
        <v>2.9632614670866333E-2</v>
      </c>
      <c r="BA1031" s="763">
        <v>2.9632614670866333E-2</v>
      </c>
      <c r="BB1031" s="763">
        <v>2.9632614670866333E-2</v>
      </c>
      <c r="BC1031" s="763">
        <v>2.9632614670866333E-2</v>
      </c>
      <c r="BD1031" s="763">
        <v>2.9632614670866333E-2</v>
      </c>
      <c r="BE1031" s="763">
        <v>2.9632614670866333E-2</v>
      </c>
      <c r="BF1031" s="763">
        <v>2.9632614670866333E-2</v>
      </c>
      <c r="BG1031" s="763">
        <v>2.9632614670866333E-2</v>
      </c>
      <c r="BH1031" s="763">
        <v>0</v>
      </c>
      <c r="BI1031" s="763">
        <v>0</v>
      </c>
      <c r="BJ1031" s="763">
        <v>0</v>
      </c>
      <c r="BK1031" s="763">
        <v>0</v>
      </c>
      <c r="BL1031" s="763">
        <v>0</v>
      </c>
      <c r="BM1031" s="763">
        <v>0</v>
      </c>
      <c r="BN1031" s="763">
        <v>0</v>
      </c>
      <c r="BO1031" s="763">
        <v>0</v>
      </c>
      <c r="BP1031" s="763">
        <v>0</v>
      </c>
      <c r="BQ1031" s="763">
        <v>0</v>
      </c>
      <c r="BR1031" s="763">
        <v>0</v>
      </c>
      <c r="BS1031" s="763">
        <v>0</v>
      </c>
      <c r="BT1031" s="762">
        <v>0</v>
      </c>
      <c r="BU1031" s="762">
        <v>0</v>
      </c>
      <c r="BV1031" s="762">
        <v>265.91314065052768</v>
      </c>
      <c r="BW1031" s="762">
        <v>265.91314065052768</v>
      </c>
      <c r="BX1031" s="762">
        <v>265.91314065052768</v>
      </c>
      <c r="BY1031" s="762">
        <v>106.36525626021108</v>
      </c>
      <c r="BZ1031" s="762">
        <v>106.36525626021108</v>
      </c>
      <c r="CA1031" s="762">
        <v>106.36525626021108</v>
      </c>
      <c r="CB1031" s="762">
        <v>106.36525626021108</v>
      </c>
      <c r="CC1031" s="762">
        <v>106.36525626021108</v>
      </c>
      <c r="CD1031" s="762">
        <v>106.36525626021108</v>
      </c>
      <c r="CE1031" s="762">
        <v>106.36525626021108</v>
      </c>
      <c r="CF1031" s="762">
        <v>106.36525626021108</v>
      </c>
      <c r="CG1031" s="762">
        <v>106.36525626021108</v>
      </c>
      <c r="CH1031" s="762">
        <v>0</v>
      </c>
      <c r="CI1031" s="762">
        <v>0</v>
      </c>
      <c r="CJ1031" s="762">
        <v>0</v>
      </c>
      <c r="CK1031" s="762">
        <v>0</v>
      </c>
      <c r="CL1031" s="762">
        <v>0</v>
      </c>
      <c r="CM1031" s="762">
        <v>0</v>
      </c>
      <c r="CN1031" s="762">
        <v>0</v>
      </c>
      <c r="CO1031" s="762">
        <v>0</v>
      </c>
      <c r="CP1031" s="762">
        <v>0</v>
      </c>
      <c r="CQ1031" s="762">
        <v>0</v>
      </c>
      <c r="CR1031" s="762">
        <v>0</v>
      </c>
    </row>
    <row r="1032" spans="1:96" s="53" customFormat="1">
      <c r="A1032" s="709" t="s">
        <v>3</v>
      </c>
      <c r="B1032" s="721">
        <v>41934</v>
      </c>
      <c r="C1032" s="721">
        <v>2014</v>
      </c>
      <c r="D1032" s="709" t="s">
        <v>1</v>
      </c>
      <c r="E1032" s="713" t="s">
        <v>674</v>
      </c>
      <c r="F1032" s="713" t="s">
        <v>123</v>
      </c>
      <c r="G1032" s="723" t="s">
        <v>58</v>
      </c>
      <c r="H1032" s="713" t="s">
        <v>676</v>
      </c>
      <c r="I1032" s="723" t="s">
        <v>5</v>
      </c>
      <c r="J1032" s="713" t="s">
        <v>376</v>
      </c>
      <c r="K1032" s="713">
        <v>2</v>
      </c>
      <c r="L1032" s="713" t="s">
        <v>671</v>
      </c>
      <c r="M1032" s="766" t="s">
        <v>696</v>
      </c>
      <c r="N1032" s="765">
        <v>12</v>
      </c>
      <c r="O1032" s="765">
        <v>3</v>
      </c>
      <c r="P1032" s="765">
        <v>0.31578947368421051</v>
      </c>
      <c r="Q1032" s="735" t="s">
        <v>58</v>
      </c>
      <c r="R1032" s="713" t="s">
        <v>58</v>
      </c>
      <c r="S1032" s="713" t="s">
        <v>58</v>
      </c>
      <c r="T1032" s="713" t="s">
        <v>58</v>
      </c>
      <c r="U1032" s="713">
        <v>7.5999999999999998E-2</v>
      </c>
      <c r="V1032" s="764">
        <v>259.16000000000003</v>
      </c>
      <c r="W1032" s="764">
        <v>5.9607599463411813E-2</v>
      </c>
      <c r="X1032" s="764">
        <v>214.11202790523004</v>
      </c>
      <c r="Y1032" s="764">
        <v>1250.8650051305544</v>
      </c>
      <c r="Z1032" s="764">
        <v>1180.6543444883432</v>
      </c>
      <c r="AA1032" s="764">
        <v>202.09398689440107</v>
      </c>
      <c r="AB1032" s="764">
        <v>5.6301967874646031E-2</v>
      </c>
      <c r="AC1032" s="714">
        <v>0.82617698682369967</v>
      </c>
      <c r="AD1032" s="714">
        <v>0.7843105192554185</v>
      </c>
      <c r="AE1032" s="714" t="s">
        <v>58</v>
      </c>
      <c r="AF1032" s="713" t="s">
        <v>58</v>
      </c>
      <c r="AG1032" s="713" t="s">
        <v>58</v>
      </c>
      <c r="AH1032" s="713">
        <v>0.94387031345969796</v>
      </c>
      <c r="AI1032" s="714" t="s">
        <v>58</v>
      </c>
      <c r="AJ1032" s="713" t="s">
        <v>58</v>
      </c>
      <c r="AK1032" s="713" t="s">
        <v>58</v>
      </c>
      <c r="AL1032" s="713">
        <v>0.94454345387965444</v>
      </c>
      <c r="AM1032" s="714" t="s">
        <v>58</v>
      </c>
      <c r="AN1032" s="713" t="s">
        <v>58</v>
      </c>
      <c r="AO1032" s="713" t="s">
        <v>58</v>
      </c>
      <c r="AP1032" s="713">
        <v>57</v>
      </c>
      <c r="AQ1032" s="747">
        <v>114</v>
      </c>
      <c r="AR1032" s="747"/>
      <c r="AS1032" s="709">
        <v>0</v>
      </c>
      <c r="AT1032" s="763">
        <v>0</v>
      </c>
      <c r="AU1032" s="763">
        <v>0</v>
      </c>
      <c r="AV1032" s="763">
        <v>5.6301967874646031E-2</v>
      </c>
      <c r="AW1032" s="763">
        <v>5.6301967874646031E-2</v>
      </c>
      <c r="AX1032" s="763">
        <v>5.6301967874646031E-2</v>
      </c>
      <c r="AY1032" s="763">
        <v>1.77795688025198E-2</v>
      </c>
      <c r="AZ1032" s="763">
        <v>1.77795688025198E-2</v>
      </c>
      <c r="BA1032" s="763">
        <v>1.77795688025198E-2</v>
      </c>
      <c r="BB1032" s="763">
        <v>1.77795688025198E-2</v>
      </c>
      <c r="BC1032" s="763">
        <v>1.77795688025198E-2</v>
      </c>
      <c r="BD1032" s="763">
        <v>1.77795688025198E-2</v>
      </c>
      <c r="BE1032" s="763">
        <v>1.77795688025198E-2</v>
      </c>
      <c r="BF1032" s="763">
        <v>1.77795688025198E-2</v>
      </c>
      <c r="BG1032" s="763">
        <v>1.77795688025198E-2</v>
      </c>
      <c r="BH1032" s="763">
        <v>0</v>
      </c>
      <c r="BI1032" s="763">
        <v>0</v>
      </c>
      <c r="BJ1032" s="763">
        <v>0</v>
      </c>
      <c r="BK1032" s="763">
        <v>0</v>
      </c>
      <c r="BL1032" s="763">
        <v>0</v>
      </c>
      <c r="BM1032" s="763">
        <v>0</v>
      </c>
      <c r="BN1032" s="763">
        <v>0</v>
      </c>
      <c r="BO1032" s="763">
        <v>0</v>
      </c>
      <c r="BP1032" s="763">
        <v>0</v>
      </c>
      <c r="BQ1032" s="763">
        <v>0</v>
      </c>
      <c r="BR1032" s="763">
        <v>0</v>
      </c>
      <c r="BS1032" s="763">
        <v>0</v>
      </c>
      <c r="BT1032" s="762">
        <v>0</v>
      </c>
      <c r="BU1032" s="762">
        <v>0</v>
      </c>
      <c r="BV1032" s="762">
        <v>202.09398689440107</v>
      </c>
      <c r="BW1032" s="762">
        <v>202.09398689440107</v>
      </c>
      <c r="BX1032" s="762">
        <v>202.09398689440107</v>
      </c>
      <c r="BY1032" s="762">
        <v>63.819153756126653</v>
      </c>
      <c r="BZ1032" s="762">
        <v>63.819153756126653</v>
      </c>
      <c r="CA1032" s="762">
        <v>63.819153756126653</v>
      </c>
      <c r="CB1032" s="762">
        <v>63.819153756126653</v>
      </c>
      <c r="CC1032" s="762">
        <v>63.819153756126653</v>
      </c>
      <c r="CD1032" s="762">
        <v>63.819153756126653</v>
      </c>
      <c r="CE1032" s="762">
        <v>63.819153756126653</v>
      </c>
      <c r="CF1032" s="762">
        <v>63.819153756126653</v>
      </c>
      <c r="CG1032" s="762">
        <v>63.819153756126653</v>
      </c>
      <c r="CH1032" s="762">
        <v>0</v>
      </c>
      <c r="CI1032" s="762">
        <v>0</v>
      </c>
      <c r="CJ1032" s="762">
        <v>0</v>
      </c>
      <c r="CK1032" s="762">
        <v>0</v>
      </c>
      <c r="CL1032" s="762">
        <v>0</v>
      </c>
      <c r="CM1032" s="762">
        <v>0</v>
      </c>
      <c r="CN1032" s="762">
        <v>0</v>
      </c>
      <c r="CO1032" s="762">
        <v>0</v>
      </c>
      <c r="CP1032" s="762">
        <v>0</v>
      </c>
      <c r="CQ1032" s="762">
        <v>0</v>
      </c>
      <c r="CR1032" s="762">
        <v>0</v>
      </c>
    </row>
    <row r="1033" spans="1:96" s="53" customFormat="1">
      <c r="A1033" s="709" t="s">
        <v>3</v>
      </c>
      <c r="B1033" s="721">
        <v>41934</v>
      </c>
      <c r="C1033" s="721">
        <v>2014</v>
      </c>
      <c r="D1033" s="709" t="s">
        <v>1</v>
      </c>
      <c r="E1033" s="713" t="s">
        <v>674</v>
      </c>
      <c r="F1033" s="713" t="s">
        <v>673</v>
      </c>
      <c r="G1033" s="723" t="s">
        <v>58</v>
      </c>
      <c r="H1033" s="713" t="s">
        <v>677</v>
      </c>
      <c r="I1033" s="723" t="s">
        <v>5</v>
      </c>
      <c r="J1033" s="713" t="s">
        <v>376</v>
      </c>
      <c r="K1033" s="713">
        <v>1</v>
      </c>
      <c r="L1033" s="713" t="s">
        <v>671</v>
      </c>
      <c r="M1033" s="766" t="s">
        <v>694</v>
      </c>
      <c r="N1033" s="765">
        <v>0</v>
      </c>
      <c r="O1033" s="765">
        <v>0</v>
      </c>
      <c r="P1033" s="765">
        <v>0</v>
      </c>
      <c r="Q1033" s="735" t="s">
        <v>58</v>
      </c>
      <c r="R1033" s="713" t="s">
        <v>58</v>
      </c>
      <c r="S1033" s="713" t="s">
        <v>58</v>
      </c>
      <c r="T1033" s="713" t="s">
        <v>58</v>
      </c>
      <c r="U1033" s="713">
        <v>0</v>
      </c>
      <c r="V1033" s="764">
        <v>0</v>
      </c>
      <c r="W1033" s="764">
        <v>0</v>
      </c>
      <c r="X1033" s="764">
        <v>0</v>
      </c>
      <c r="Y1033" s="764">
        <v>0</v>
      </c>
      <c r="Z1033" s="764">
        <v>0</v>
      </c>
      <c r="AA1033" s="764">
        <v>0</v>
      </c>
      <c r="AB1033" s="764">
        <v>0</v>
      </c>
      <c r="AC1033" s="714">
        <v>0.82617698682369967</v>
      </c>
      <c r="AD1033" s="714">
        <v>0.7843105192554185</v>
      </c>
      <c r="AE1033" s="714" t="s">
        <v>58</v>
      </c>
      <c r="AF1033" s="713" t="s">
        <v>58</v>
      </c>
      <c r="AG1033" s="713" t="s">
        <v>58</v>
      </c>
      <c r="AH1033" s="713">
        <v>0.94387031345969796</v>
      </c>
      <c r="AI1033" s="714" t="s">
        <v>58</v>
      </c>
      <c r="AJ1033" s="713" t="s">
        <v>58</v>
      </c>
      <c r="AK1033" s="713" t="s">
        <v>58</v>
      </c>
      <c r="AL1033" s="713">
        <v>0.94454345387965444</v>
      </c>
      <c r="AM1033" s="714" t="s">
        <v>58</v>
      </c>
      <c r="AN1033" s="713" t="s">
        <v>58</v>
      </c>
      <c r="AO1033" s="713" t="s">
        <v>58</v>
      </c>
      <c r="AP1033" s="713">
        <v>51</v>
      </c>
      <c r="AQ1033" s="747">
        <v>51</v>
      </c>
      <c r="AR1033" s="747"/>
      <c r="AS1033" s="709">
        <v>0</v>
      </c>
      <c r="AT1033" s="763">
        <v>0</v>
      </c>
      <c r="AU1033" s="763">
        <v>0</v>
      </c>
      <c r="AV1033" s="763">
        <v>0</v>
      </c>
      <c r="AW1033" s="763">
        <v>0</v>
      </c>
      <c r="AX1033" s="763">
        <v>0</v>
      </c>
      <c r="AY1033" s="763">
        <v>0</v>
      </c>
      <c r="AZ1033" s="763">
        <v>0</v>
      </c>
      <c r="BA1033" s="763">
        <v>0</v>
      </c>
      <c r="BB1033" s="763">
        <v>0</v>
      </c>
      <c r="BC1033" s="763">
        <v>0</v>
      </c>
      <c r="BD1033" s="763">
        <v>0</v>
      </c>
      <c r="BE1033" s="763">
        <v>0</v>
      </c>
      <c r="BF1033" s="763">
        <v>0</v>
      </c>
      <c r="BG1033" s="763">
        <v>0</v>
      </c>
      <c r="BH1033" s="763">
        <v>0</v>
      </c>
      <c r="BI1033" s="763">
        <v>0</v>
      </c>
      <c r="BJ1033" s="763">
        <v>0</v>
      </c>
      <c r="BK1033" s="763">
        <v>0</v>
      </c>
      <c r="BL1033" s="763">
        <v>0</v>
      </c>
      <c r="BM1033" s="763">
        <v>0</v>
      </c>
      <c r="BN1033" s="763">
        <v>0</v>
      </c>
      <c r="BO1033" s="763">
        <v>0</v>
      </c>
      <c r="BP1033" s="763">
        <v>0</v>
      </c>
      <c r="BQ1033" s="763">
        <v>0</v>
      </c>
      <c r="BR1033" s="763">
        <v>0</v>
      </c>
      <c r="BS1033" s="763">
        <v>0</v>
      </c>
      <c r="BT1033" s="762">
        <v>0</v>
      </c>
      <c r="BU1033" s="762">
        <v>0</v>
      </c>
      <c r="BV1033" s="762">
        <v>0</v>
      </c>
      <c r="BW1033" s="762">
        <v>0</v>
      </c>
      <c r="BX1033" s="762">
        <v>0</v>
      </c>
      <c r="BY1033" s="762">
        <v>0</v>
      </c>
      <c r="BZ1033" s="762">
        <v>0</v>
      </c>
      <c r="CA1033" s="762">
        <v>0</v>
      </c>
      <c r="CB1033" s="762">
        <v>0</v>
      </c>
      <c r="CC1033" s="762">
        <v>0</v>
      </c>
      <c r="CD1033" s="762">
        <v>0</v>
      </c>
      <c r="CE1033" s="762">
        <v>0</v>
      </c>
      <c r="CF1033" s="762">
        <v>0</v>
      </c>
      <c r="CG1033" s="762">
        <v>0</v>
      </c>
      <c r="CH1033" s="762">
        <v>0</v>
      </c>
      <c r="CI1033" s="762">
        <v>0</v>
      </c>
      <c r="CJ1033" s="762">
        <v>0</v>
      </c>
      <c r="CK1033" s="762">
        <v>0</v>
      </c>
      <c r="CL1033" s="762">
        <v>0</v>
      </c>
      <c r="CM1033" s="762">
        <v>0</v>
      </c>
      <c r="CN1033" s="762">
        <v>0</v>
      </c>
      <c r="CO1033" s="762">
        <v>0</v>
      </c>
      <c r="CP1033" s="762">
        <v>0</v>
      </c>
      <c r="CQ1033" s="762">
        <v>0</v>
      </c>
      <c r="CR1033" s="762">
        <v>0</v>
      </c>
    </row>
    <row r="1034" spans="1:96" s="53" customFormat="1">
      <c r="A1034" s="709" t="s">
        <v>3</v>
      </c>
      <c r="B1034" s="721">
        <v>41934</v>
      </c>
      <c r="C1034" s="721">
        <v>2014</v>
      </c>
      <c r="D1034" s="709" t="s">
        <v>1</v>
      </c>
      <c r="E1034" s="713" t="s">
        <v>674</v>
      </c>
      <c r="F1034" s="713" t="s">
        <v>673</v>
      </c>
      <c r="G1034" s="723" t="s">
        <v>58</v>
      </c>
      <c r="H1034" s="713" t="s">
        <v>676</v>
      </c>
      <c r="I1034" s="723" t="s">
        <v>5</v>
      </c>
      <c r="J1034" s="713" t="s">
        <v>376</v>
      </c>
      <c r="K1034" s="713">
        <v>8</v>
      </c>
      <c r="L1034" s="713" t="s">
        <v>671</v>
      </c>
      <c r="M1034" s="766" t="s">
        <v>694</v>
      </c>
      <c r="N1034" s="765">
        <v>12</v>
      </c>
      <c r="O1034" s="765">
        <v>3</v>
      </c>
      <c r="P1034" s="765">
        <v>0.31578947368421051</v>
      </c>
      <c r="Q1034" s="735" t="s">
        <v>58</v>
      </c>
      <c r="R1034" s="713" t="s">
        <v>58</v>
      </c>
      <c r="S1034" s="713" t="s">
        <v>58</v>
      </c>
      <c r="T1034" s="713" t="s">
        <v>58</v>
      </c>
      <c r="U1034" s="713">
        <v>0.30399999999999999</v>
      </c>
      <c r="V1034" s="764">
        <v>788.57600000000002</v>
      </c>
      <c r="W1034" s="764">
        <v>0.23843039785364725</v>
      </c>
      <c r="X1034" s="764">
        <v>651.50334356148574</v>
      </c>
      <c r="Y1034" s="764">
        <v>3806.1511123855216</v>
      </c>
      <c r="Z1034" s="764">
        <v>3592.5130435223004</v>
      </c>
      <c r="AA1034" s="764">
        <v>614.93466510742087</v>
      </c>
      <c r="AB1034" s="764">
        <v>0.22520787149858412</v>
      </c>
      <c r="AC1034" s="714">
        <v>0.82617698682369967</v>
      </c>
      <c r="AD1034" s="714">
        <v>0.7843105192554185</v>
      </c>
      <c r="AE1034" s="714" t="s">
        <v>58</v>
      </c>
      <c r="AF1034" s="713" t="s">
        <v>58</v>
      </c>
      <c r="AG1034" s="713" t="s">
        <v>58</v>
      </c>
      <c r="AH1034" s="713">
        <v>0.94387031345969796</v>
      </c>
      <c r="AI1034" s="714" t="s">
        <v>58</v>
      </c>
      <c r="AJ1034" s="713" t="s">
        <v>58</v>
      </c>
      <c r="AK1034" s="713" t="s">
        <v>58</v>
      </c>
      <c r="AL1034" s="713">
        <v>0.94454345387965444</v>
      </c>
      <c r="AM1034" s="714" t="s">
        <v>58</v>
      </c>
      <c r="AN1034" s="713" t="s">
        <v>58</v>
      </c>
      <c r="AO1034" s="713" t="s">
        <v>58</v>
      </c>
      <c r="AP1034" s="713">
        <v>57</v>
      </c>
      <c r="AQ1034" s="747">
        <v>456</v>
      </c>
      <c r="AR1034" s="747"/>
      <c r="AS1034" s="709">
        <v>0</v>
      </c>
      <c r="AT1034" s="763">
        <v>0</v>
      </c>
      <c r="AU1034" s="763">
        <v>0</v>
      </c>
      <c r="AV1034" s="763">
        <v>0.22520787149858412</v>
      </c>
      <c r="AW1034" s="763">
        <v>0.22520787149858412</v>
      </c>
      <c r="AX1034" s="763">
        <v>0.22520787149858412</v>
      </c>
      <c r="AY1034" s="763">
        <v>7.1118275210079199E-2</v>
      </c>
      <c r="AZ1034" s="763">
        <v>7.1118275210079199E-2</v>
      </c>
      <c r="BA1034" s="763">
        <v>7.1118275210079199E-2</v>
      </c>
      <c r="BB1034" s="763">
        <v>7.1118275210079199E-2</v>
      </c>
      <c r="BC1034" s="763">
        <v>7.1118275210079199E-2</v>
      </c>
      <c r="BD1034" s="763">
        <v>7.1118275210079199E-2</v>
      </c>
      <c r="BE1034" s="763">
        <v>7.1118275210079199E-2</v>
      </c>
      <c r="BF1034" s="763">
        <v>7.1118275210079199E-2</v>
      </c>
      <c r="BG1034" s="763">
        <v>7.1118275210079199E-2</v>
      </c>
      <c r="BH1034" s="763">
        <v>0</v>
      </c>
      <c r="BI1034" s="763">
        <v>0</v>
      </c>
      <c r="BJ1034" s="763">
        <v>0</v>
      </c>
      <c r="BK1034" s="763">
        <v>0</v>
      </c>
      <c r="BL1034" s="763">
        <v>0</v>
      </c>
      <c r="BM1034" s="763">
        <v>0</v>
      </c>
      <c r="BN1034" s="763">
        <v>0</v>
      </c>
      <c r="BO1034" s="763">
        <v>0</v>
      </c>
      <c r="BP1034" s="763">
        <v>0</v>
      </c>
      <c r="BQ1034" s="763">
        <v>0</v>
      </c>
      <c r="BR1034" s="763">
        <v>0</v>
      </c>
      <c r="BS1034" s="763">
        <v>0</v>
      </c>
      <c r="BT1034" s="762">
        <v>0</v>
      </c>
      <c r="BU1034" s="762">
        <v>0</v>
      </c>
      <c r="BV1034" s="762">
        <v>614.93466510742087</v>
      </c>
      <c r="BW1034" s="762">
        <v>614.93466510742087</v>
      </c>
      <c r="BX1034" s="762">
        <v>614.93466510742087</v>
      </c>
      <c r="BY1034" s="762">
        <v>194.18989424444868</v>
      </c>
      <c r="BZ1034" s="762">
        <v>194.18989424444868</v>
      </c>
      <c r="CA1034" s="762">
        <v>194.18989424444868</v>
      </c>
      <c r="CB1034" s="762">
        <v>194.18989424444868</v>
      </c>
      <c r="CC1034" s="762">
        <v>194.18989424444868</v>
      </c>
      <c r="CD1034" s="762">
        <v>194.18989424444868</v>
      </c>
      <c r="CE1034" s="762">
        <v>194.18989424444868</v>
      </c>
      <c r="CF1034" s="762">
        <v>194.18989424444868</v>
      </c>
      <c r="CG1034" s="762">
        <v>194.18989424444868</v>
      </c>
      <c r="CH1034" s="762">
        <v>0</v>
      </c>
      <c r="CI1034" s="762">
        <v>0</v>
      </c>
      <c r="CJ1034" s="762">
        <v>0</v>
      </c>
      <c r="CK1034" s="762">
        <v>0</v>
      </c>
      <c r="CL1034" s="762">
        <v>0</v>
      </c>
      <c r="CM1034" s="762">
        <v>0</v>
      </c>
      <c r="CN1034" s="762">
        <v>0</v>
      </c>
      <c r="CO1034" s="762">
        <v>0</v>
      </c>
      <c r="CP1034" s="762">
        <v>0</v>
      </c>
      <c r="CQ1034" s="762">
        <v>0</v>
      </c>
      <c r="CR1034" s="762">
        <v>0</v>
      </c>
    </row>
    <row r="1035" spans="1:96" s="53" customFormat="1">
      <c r="A1035" s="709" t="s">
        <v>3</v>
      </c>
      <c r="B1035" s="721">
        <v>41934</v>
      </c>
      <c r="C1035" s="721">
        <v>2014</v>
      </c>
      <c r="D1035" s="709" t="s">
        <v>1</v>
      </c>
      <c r="E1035" s="713" t="s">
        <v>674</v>
      </c>
      <c r="F1035" s="713" t="s">
        <v>673</v>
      </c>
      <c r="G1035" s="723" t="s">
        <v>58</v>
      </c>
      <c r="H1035" s="713" t="s">
        <v>675</v>
      </c>
      <c r="I1035" s="723" t="s">
        <v>5</v>
      </c>
      <c r="J1035" s="713" t="s">
        <v>376</v>
      </c>
      <c r="K1035" s="713">
        <v>9</v>
      </c>
      <c r="L1035" s="713" t="s">
        <v>671</v>
      </c>
      <c r="M1035" s="766" t="s">
        <v>694</v>
      </c>
      <c r="N1035" s="765">
        <v>12</v>
      </c>
      <c r="O1035" s="765">
        <v>3</v>
      </c>
      <c r="P1035" s="765">
        <v>0.36842105263157893</v>
      </c>
      <c r="Q1035" s="735" t="s">
        <v>58</v>
      </c>
      <c r="R1035" s="713" t="s">
        <v>58</v>
      </c>
      <c r="S1035" s="713" t="s">
        <v>58</v>
      </c>
      <c r="T1035" s="713" t="s">
        <v>58</v>
      </c>
      <c r="U1035" s="713">
        <v>0.51300000000000001</v>
      </c>
      <c r="V1035" s="764">
        <v>1330.722</v>
      </c>
      <c r="W1035" s="764">
        <v>0.40235129637802974</v>
      </c>
      <c r="X1035" s="764">
        <v>1099.4118922600073</v>
      </c>
      <c r="Y1035" s="764">
        <v>6943.6540563789931</v>
      </c>
      <c r="Z1035" s="764">
        <v>6553.9089307501436</v>
      </c>
      <c r="AA1035" s="764">
        <v>1037.7022473687728</v>
      </c>
      <c r="AB1035" s="764">
        <v>0.38003828315386073</v>
      </c>
      <c r="AC1035" s="714">
        <v>0.82617698682369967</v>
      </c>
      <c r="AD1035" s="714">
        <v>0.7843105192554185</v>
      </c>
      <c r="AE1035" s="714" t="s">
        <v>58</v>
      </c>
      <c r="AF1035" s="713" t="s">
        <v>58</v>
      </c>
      <c r="AG1035" s="713" t="s">
        <v>58</v>
      </c>
      <c r="AH1035" s="713">
        <v>0.94387031345969796</v>
      </c>
      <c r="AI1035" s="714" t="s">
        <v>58</v>
      </c>
      <c r="AJ1035" s="713" t="s">
        <v>58</v>
      </c>
      <c r="AK1035" s="713" t="s">
        <v>58</v>
      </c>
      <c r="AL1035" s="713">
        <v>0.94454345387965444</v>
      </c>
      <c r="AM1035" s="714" t="s">
        <v>58</v>
      </c>
      <c r="AN1035" s="713" t="s">
        <v>58</v>
      </c>
      <c r="AO1035" s="713" t="s">
        <v>58</v>
      </c>
      <c r="AP1035" s="713">
        <v>73</v>
      </c>
      <c r="AQ1035" s="747">
        <v>657</v>
      </c>
      <c r="AR1035" s="747"/>
      <c r="AS1035" s="709">
        <v>0</v>
      </c>
      <c r="AT1035" s="763">
        <v>0</v>
      </c>
      <c r="AU1035" s="763">
        <v>0</v>
      </c>
      <c r="AV1035" s="763">
        <v>0.38003828315386073</v>
      </c>
      <c r="AW1035" s="763">
        <v>0.38003828315386073</v>
      </c>
      <c r="AX1035" s="763">
        <v>0.38003828315386073</v>
      </c>
      <c r="AY1035" s="763">
        <v>0.14001410431984343</v>
      </c>
      <c r="AZ1035" s="763">
        <v>0.14001410431984343</v>
      </c>
      <c r="BA1035" s="763">
        <v>0.14001410431984343</v>
      </c>
      <c r="BB1035" s="763">
        <v>0.14001410431984343</v>
      </c>
      <c r="BC1035" s="763">
        <v>0.14001410431984343</v>
      </c>
      <c r="BD1035" s="763">
        <v>0.14001410431984343</v>
      </c>
      <c r="BE1035" s="763">
        <v>0.14001410431984343</v>
      </c>
      <c r="BF1035" s="763">
        <v>0.14001410431984343</v>
      </c>
      <c r="BG1035" s="763">
        <v>0.14001410431984343</v>
      </c>
      <c r="BH1035" s="763">
        <v>0</v>
      </c>
      <c r="BI1035" s="763">
        <v>0</v>
      </c>
      <c r="BJ1035" s="763">
        <v>0</v>
      </c>
      <c r="BK1035" s="763">
        <v>0</v>
      </c>
      <c r="BL1035" s="763">
        <v>0</v>
      </c>
      <c r="BM1035" s="763">
        <v>0</v>
      </c>
      <c r="BN1035" s="763">
        <v>0</v>
      </c>
      <c r="BO1035" s="763">
        <v>0</v>
      </c>
      <c r="BP1035" s="763">
        <v>0</v>
      </c>
      <c r="BQ1035" s="763">
        <v>0</v>
      </c>
      <c r="BR1035" s="763">
        <v>0</v>
      </c>
      <c r="BS1035" s="763">
        <v>0</v>
      </c>
      <c r="BT1035" s="762">
        <v>0</v>
      </c>
      <c r="BU1035" s="762">
        <v>0</v>
      </c>
      <c r="BV1035" s="762">
        <v>1037.7022473687728</v>
      </c>
      <c r="BW1035" s="762">
        <v>1037.7022473687728</v>
      </c>
      <c r="BX1035" s="762">
        <v>1037.7022473687728</v>
      </c>
      <c r="BY1035" s="762">
        <v>382.31135429375837</v>
      </c>
      <c r="BZ1035" s="762">
        <v>382.31135429375837</v>
      </c>
      <c r="CA1035" s="762">
        <v>382.31135429375837</v>
      </c>
      <c r="CB1035" s="762">
        <v>382.31135429375837</v>
      </c>
      <c r="CC1035" s="762">
        <v>382.31135429375837</v>
      </c>
      <c r="CD1035" s="762">
        <v>382.31135429375837</v>
      </c>
      <c r="CE1035" s="762">
        <v>382.31135429375837</v>
      </c>
      <c r="CF1035" s="762">
        <v>382.31135429375837</v>
      </c>
      <c r="CG1035" s="762">
        <v>382.31135429375837</v>
      </c>
      <c r="CH1035" s="762">
        <v>0</v>
      </c>
      <c r="CI1035" s="762">
        <v>0</v>
      </c>
      <c r="CJ1035" s="762">
        <v>0</v>
      </c>
      <c r="CK1035" s="762">
        <v>0</v>
      </c>
      <c r="CL1035" s="762">
        <v>0</v>
      </c>
      <c r="CM1035" s="762">
        <v>0</v>
      </c>
      <c r="CN1035" s="762">
        <v>0</v>
      </c>
      <c r="CO1035" s="762">
        <v>0</v>
      </c>
      <c r="CP1035" s="762">
        <v>0</v>
      </c>
      <c r="CQ1035" s="762">
        <v>0</v>
      </c>
      <c r="CR1035" s="762">
        <v>0</v>
      </c>
    </row>
    <row r="1036" spans="1:96" s="53" customFormat="1">
      <c r="A1036" s="709" t="s">
        <v>3</v>
      </c>
      <c r="B1036" s="721">
        <v>41934</v>
      </c>
      <c r="C1036" s="721">
        <v>2014</v>
      </c>
      <c r="D1036" s="709" t="s">
        <v>1</v>
      </c>
      <c r="E1036" s="713" t="s">
        <v>674</v>
      </c>
      <c r="F1036" s="713" t="s">
        <v>673</v>
      </c>
      <c r="G1036" s="723" t="s">
        <v>58</v>
      </c>
      <c r="H1036" s="713" t="s">
        <v>695</v>
      </c>
      <c r="I1036" s="723" t="s">
        <v>5</v>
      </c>
      <c r="J1036" s="713" t="s">
        <v>376</v>
      </c>
      <c r="K1036" s="713">
        <v>5</v>
      </c>
      <c r="L1036" s="713" t="s">
        <v>671</v>
      </c>
      <c r="M1036" s="766" t="s">
        <v>694</v>
      </c>
      <c r="N1036" s="765">
        <v>11</v>
      </c>
      <c r="O1036" s="765" t="s">
        <v>7</v>
      </c>
      <c r="P1036" s="765">
        <v>1</v>
      </c>
      <c r="Q1036" s="735" t="s">
        <v>58</v>
      </c>
      <c r="R1036" s="713" t="s">
        <v>58</v>
      </c>
      <c r="S1036" s="713" t="s">
        <v>58</v>
      </c>
      <c r="T1036" s="713" t="s">
        <v>58</v>
      </c>
      <c r="U1036" s="713">
        <v>0.26250000000000001</v>
      </c>
      <c r="V1036" s="764">
        <v>809.02499999999998</v>
      </c>
      <c r="W1036" s="764">
        <v>0.20588151130454738</v>
      </c>
      <c r="X1036" s="764">
        <v>668.39783676504362</v>
      </c>
      <c r="Y1036" s="764">
        <v>7352.3762044154801</v>
      </c>
      <c r="Z1036" s="764">
        <v>6939.6896327352633</v>
      </c>
      <c r="AA1036" s="764">
        <v>630.88087570320579</v>
      </c>
      <c r="AB1036" s="764">
        <v>0.1944640337775603</v>
      </c>
      <c r="AC1036" s="714">
        <v>0.82617698682369967</v>
      </c>
      <c r="AD1036" s="714">
        <v>0.7843105192554185</v>
      </c>
      <c r="AE1036" s="714" t="s">
        <v>58</v>
      </c>
      <c r="AF1036" s="713" t="s">
        <v>58</v>
      </c>
      <c r="AG1036" s="713" t="s">
        <v>58</v>
      </c>
      <c r="AH1036" s="713">
        <v>0.94387031345969796</v>
      </c>
      <c r="AI1036" s="714" t="s">
        <v>58</v>
      </c>
      <c r="AJ1036" s="713" t="s">
        <v>58</v>
      </c>
      <c r="AK1036" s="713" t="s">
        <v>58</v>
      </c>
      <c r="AL1036" s="713">
        <v>0.94454345387965444</v>
      </c>
      <c r="AM1036" s="714" t="s">
        <v>58</v>
      </c>
      <c r="AN1036" s="713" t="s">
        <v>58</v>
      </c>
      <c r="AO1036" s="713" t="s">
        <v>58</v>
      </c>
      <c r="AP1036" s="713">
        <v>47</v>
      </c>
      <c r="AQ1036" s="747">
        <v>235</v>
      </c>
      <c r="AR1036" s="747"/>
      <c r="AS1036" s="709">
        <v>0</v>
      </c>
      <c r="AT1036" s="763">
        <v>0</v>
      </c>
      <c r="AU1036" s="763">
        <v>0</v>
      </c>
      <c r="AV1036" s="763">
        <v>0.1944640337775603</v>
      </c>
      <c r="AW1036" s="763">
        <v>0.1944640337775603</v>
      </c>
      <c r="AX1036" s="763">
        <v>0.1944640337775603</v>
      </c>
      <c r="AY1036" s="763">
        <v>0.1944640337775603</v>
      </c>
      <c r="AZ1036" s="763">
        <v>0.1944640337775603</v>
      </c>
      <c r="BA1036" s="763">
        <v>0.1944640337775603</v>
      </c>
      <c r="BB1036" s="763">
        <v>0.1944640337775603</v>
      </c>
      <c r="BC1036" s="763">
        <v>0.1944640337775603</v>
      </c>
      <c r="BD1036" s="763">
        <v>0.1944640337775603</v>
      </c>
      <c r="BE1036" s="763">
        <v>0.1944640337775603</v>
      </c>
      <c r="BF1036" s="763">
        <v>0.1944640337775603</v>
      </c>
      <c r="BG1036" s="763">
        <v>0</v>
      </c>
      <c r="BH1036" s="763">
        <v>0</v>
      </c>
      <c r="BI1036" s="763">
        <v>0</v>
      </c>
      <c r="BJ1036" s="763">
        <v>0</v>
      </c>
      <c r="BK1036" s="763">
        <v>0</v>
      </c>
      <c r="BL1036" s="763">
        <v>0</v>
      </c>
      <c r="BM1036" s="763">
        <v>0</v>
      </c>
      <c r="BN1036" s="763">
        <v>0</v>
      </c>
      <c r="BO1036" s="763">
        <v>0</v>
      </c>
      <c r="BP1036" s="763">
        <v>0</v>
      </c>
      <c r="BQ1036" s="763">
        <v>0</v>
      </c>
      <c r="BR1036" s="763">
        <v>0</v>
      </c>
      <c r="BS1036" s="763">
        <v>0</v>
      </c>
      <c r="BT1036" s="762">
        <v>0</v>
      </c>
      <c r="BU1036" s="762">
        <v>0</v>
      </c>
      <c r="BV1036" s="762">
        <v>630.88087570320579</v>
      </c>
      <c r="BW1036" s="762">
        <v>630.88087570320579</v>
      </c>
      <c r="BX1036" s="762">
        <v>630.88087570320579</v>
      </c>
      <c r="BY1036" s="762">
        <v>630.88087570320579</v>
      </c>
      <c r="BZ1036" s="762">
        <v>630.88087570320579</v>
      </c>
      <c r="CA1036" s="762">
        <v>630.88087570320579</v>
      </c>
      <c r="CB1036" s="762">
        <v>630.88087570320579</v>
      </c>
      <c r="CC1036" s="762">
        <v>630.88087570320579</v>
      </c>
      <c r="CD1036" s="762">
        <v>630.88087570320579</v>
      </c>
      <c r="CE1036" s="762">
        <v>630.88087570320579</v>
      </c>
      <c r="CF1036" s="762">
        <v>630.88087570320579</v>
      </c>
      <c r="CG1036" s="762">
        <v>0</v>
      </c>
      <c r="CH1036" s="762">
        <v>0</v>
      </c>
      <c r="CI1036" s="762">
        <v>0</v>
      </c>
      <c r="CJ1036" s="762">
        <v>0</v>
      </c>
      <c r="CK1036" s="762">
        <v>0</v>
      </c>
      <c r="CL1036" s="762">
        <v>0</v>
      </c>
      <c r="CM1036" s="762">
        <v>0</v>
      </c>
      <c r="CN1036" s="762">
        <v>0</v>
      </c>
      <c r="CO1036" s="762">
        <v>0</v>
      </c>
      <c r="CP1036" s="762">
        <v>0</v>
      </c>
      <c r="CQ1036" s="762">
        <v>0</v>
      </c>
      <c r="CR1036" s="762">
        <v>0</v>
      </c>
    </row>
    <row r="1037" spans="1:96" s="53" customFormat="1">
      <c r="A1037" s="709" t="s">
        <v>3</v>
      </c>
      <c r="B1037" s="721">
        <v>41962</v>
      </c>
      <c r="C1037" s="721">
        <v>2014</v>
      </c>
      <c r="D1037" s="709" t="s">
        <v>1</v>
      </c>
      <c r="E1037" s="713" t="s">
        <v>674</v>
      </c>
      <c r="F1037" s="713" t="s">
        <v>685</v>
      </c>
      <c r="G1037" s="723" t="s">
        <v>58</v>
      </c>
      <c r="H1037" s="713" t="s">
        <v>677</v>
      </c>
      <c r="I1037" s="723" t="s">
        <v>5</v>
      </c>
      <c r="J1037" s="713" t="s">
        <v>376</v>
      </c>
      <c r="K1037" s="713">
        <v>1</v>
      </c>
      <c r="L1037" s="713" t="s">
        <v>671</v>
      </c>
      <c r="M1037" s="766" t="s">
        <v>692</v>
      </c>
      <c r="N1037" s="765">
        <v>0</v>
      </c>
      <c r="O1037" s="765">
        <v>0</v>
      </c>
      <c r="P1037" s="765">
        <v>0</v>
      </c>
      <c r="Q1037" s="735" t="s">
        <v>58</v>
      </c>
      <c r="R1037" s="713" t="s">
        <v>58</v>
      </c>
      <c r="S1037" s="713" t="s">
        <v>58</v>
      </c>
      <c r="T1037" s="713" t="s">
        <v>58</v>
      </c>
      <c r="U1037" s="713">
        <v>0</v>
      </c>
      <c r="V1037" s="764">
        <v>0</v>
      </c>
      <c r="W1037" s="764">
        <v>0</v>
      </c>
      <c r="X1037" s="764">
        <v>0</v>
      </c>
      <c r="Y1037" s="764">
        <v>0</v>
      </c>
      <c r="Z1037" s="764">
        <v>0</v>
      </c>
      <c r="AA1037" s="764">
        <v>0</v>
      </c>
      <c r="AB1037" s="764">
        <v>0</v>
      </c>
      <c r="AC1037" s="714">
        <v>0.82617698682369967</v>
      </c>
      <c r="AD1037" s="714">
        <v>0.7843105192554185</v>
      </c>
      <c r="AE1037" s="714" t="s">
        <v>58</v>
      </c>
      <c r="AF1037" s="713" t="s">
        <v>58</v>
      </c>
      <c r="AG1037" s="713" t="s">
        <v>58</v>
      </c>
      <c r="AH1037" s="713">
        <v>0.94387031345969796</v>
      </c>
      <c r="AI1037" s="714" t="s">
        <v>58</v>
      </c>
      <c r="AJ1037" s="713" t="s">
        <v>58</v>
      </c>
      <c r="AK1037" s="713" t="s">
        <v>58</v>
      </c>
      <c r="AL1037" s="713">
        <v>0.94454345387965444</v>
      </c>
      <c r="AM1037" s="714" t="s">
        <v>58</v>
      </c>
      <c r="AN1037" s="713" t="s">
        <v>58</v>
      </c>
      <c r="AO1037" s="713" t="s">
        <v>58</v>
      </c>
      <c r="AP1037" s="713">
        <v>51</v>
      </c>
      <c r="AQ1037" s="747">
        <v>51</v>
      </c>
      <c r="AR1037" s="747"/>
      <c r="AS1037" s="709">
        <v>0</v>
      </c>
      <c r="AT1037" s="763">
        <v>0</v>
      </c>
      <c r="AU1037" s="763">
        <v>0</v>
      </c>
      <c r="AV1037" s="763">
        <v>0</v>
      </c>
      <c r="AW1037" s="763">
        <v>0</v>
      </c>
      <c r="AX1037" s="763">
        <v>0</v>
      </c>
      <c r="AY1037" s="763">
        <v>0</v>
      </c>
      <c r="AZ1037" s="763">
        <v>0</v>
      </c>
      <c r="BA1037" s="763">
        <v>0</v>
      </c>
      <c r="BB1037" s="763">
        <v>0</v>
      </c>
      <c r="BC1037" s="763">
        <v>0</v>
      </c>
      <c r="BD1037" s="763">
        <v>0</v>
      </c>
      <c r="BE1037" s="763">
        <v>0</v>
      </c>
      <c r="BF1037" s="763">
        <v>0</v>
      </c>
      <c r="BG1037" s="763">
        <v>0</v>
      </c>
      <c r="BH1037" s="763">
        <v>0</v>
      </c>
      <c r="BI1037" s="763">
        <v>0</v>
      </c>
      <c r="BJ1037" s="763">
        <v>0</v>
      </c>
      <c r="BK1037" s="763">
        <v>0</v>
      </c>
      <c r="BL1037" s="763">
        <v>0</v>
      </c>
      <c r="BM1037" s="763">
        <v>0</v>
      </c>
      <c r="BN1037" s="763">
        <v>0</v>
      </c>
      <c r="BO1037" s="763">
        <v>0</v>
      </c>
      <c r="BP1037" s="763">
        <v>0</v>
      </c>
      <c r="BQ1037" s="763">
        <v>0</v>
      </c>
      <c r="BR1037" s="763">
        <v>0</v>
      </c>
      <c r="BS1037" s="763">
        <v>0</v>
      </c>
      <c r="BT1037" s="762">
        <v>0</v>
      </c>
      <c r="BU1037" s="762">
        <v>0</v>
      </c>
      <c r="BV1037" s="762">
        <v>0</v>
      </c>
      <c r="BW1037" s="762">
        <v>0</v>
      </c>
      <c r="BX1037" s="762">
        <v>0</v>
      </c>
      <c r="BY1037" s="762">
        <v>0</v>
      </c>
      <c r="BZ1037" s="762">
        <v>0</v>
      </c>
      <c r="CA1037" s="762">
        <v>0</v>
      </c>
      <c r="CB1037" s="762">
        <v>0</v>
      </c>
      <c r="CC1037" s="762">
        <v>0</v>
      </c>
      <c r="CD1037" s="762">
        <v>0</v>
      </c>
      <c r="CE1037" s="762">
        <v>0</v>
      </c>
      <c r="CF1037" s="762">
        <v>0</v>
      </c>
      <c r="CG1037" s="762">
        <v>0</v>
      </c>
      <c r="CH1037" s="762">
        <v>0</v>
      </c>
      <c r="CI1037" s="762">
        <v>0</v>
      </c>
      <c r="CJ1037" s="762">
        <v>0</v>
      </c>
      <c r="CK1037" s="762">
        <v>0</v>
      </c>
      <c r="CL1037" s="762">
        <v>0</v>
      </c>
      <c r="CM1037" s="762">
        <v>0</v>
      </c>
      <c r="CN1037" s="762">
        <v>0</v>
      </c>
      <c r="CO1037" s="762">
        <v>0</v>
      </c>
      <c r="CP1037" s="762">
        <v>0</v>
      </c>
      <c r="CQ1037" s="762">
        <v>0</v>
      </c>
      <c r="CR1037" s="762">
        <v>0</v>
      </c>
    </row>
    <row r="1038" spans="1:96" s="53" customFormat="1">
      <c r="A1038" s="709" t="s">
        <v>3</v>
      </c>
      <c r="B1038" s="721">
        <v>41962</v>
      </c>
      <c r="C1038" s="721">
        <v>2014</v>
      </c>
      <c r="D1038" s="709" t="s">
        <v>1</v>
      </c>
      <c r="E1038" s="713" t="s">
        <v>674</v>
      </c>
      <c r="F1038" s="713" t="s">
        <v>685</v>
      </c>
      <c r="G1038" s="723" t="s">
        <v>58</v>
      </c>
      <c r="H1038" s="713" t="s">
        <v>676</v>
      </c>
      <c r="I1038" s="723" t="s">
        <v>5</v>
      </c>
      <c r="J1038" s="713" t="s">
        <v>376</v>
      </c>
      <c r="K1038" s="713">
        <v>2</v>
      </c>
      <c r="L1038" s="713" t="s">
        <v>671</v>
      </c>
      <c r="M1038" s="766" t="s">
        <v>692</v>
      </c>
      <c r="N1038" s="765">
        <v>12</v>
      </c>
      <c r="O1038" s="765">
        <v>3</v>
      </c>
      <c r="P1038" s="765">
        <v>0.31578947368421051</v>
      </c>
      <c r="Q1038" s="735" t="s">
        <v>58</v>
      </c>
      <c r="R1038" s="713" t="s">
        <v>58</v>
      </c>
      <c r="S1038" s="713" t="s">
        <v>58</v>
      </c>
      <c r="T1038" s="713" t="s">
        <v>58</v>
      </c>
      <c r="U1038" s="713">
        <v>7.5999999999999998E-2</v>
      </c>
      <c r="V1038" s="764">
        <v>366.7</v>
      </c>
      <c r="W1038" s="764">
        <v>5.9607599463411813E-2</v>
      </c>
      <c r="X1038" s="764">
        <v>302.95910106825062</v>
      </c>
      <c r="Y1038" s="764">
        <v>1769.9189588724114</v>
      </c>
      <c r="Z1038" s="764">
        <v>1670.5739625091653</v>
      </c>
      <c r="AA1038" s="764">
        <v>285.95410169075802</v>
      </c>
      <c r="AB1038" s="764">
        <v>5.6301967874646031E-2</v>
      </c>
      <c r="AC1038" s="714">
        <v>0.82617698682369967</v>
      </c>
      <c r="AD1038" s="714">
        <v>0.7843105192554185</v>
      </c>
      <c r="AE1038" s="714" t="s">
        <v>58</v>
      </c>
      <c r="AF1038" s="713" t="s">
        <v>58</v>
      </c>
      <c r="AG1038" s="713" t="s">
        <v>58</v>
      </c>
      <c r="AH1038" s="713">
        <v>0.94387031345969796</v>
      </c>
      <c r="AI1038" s="714" t="s">
        <v>58</v>
      </c>
      <c r="AJ1038" s="713" t="s">
        <v>58</v>
      </c>
      <c r="AK1038" s="713" t="s">
        <v>58</v>
      </c>
      <c r="AL1038" s="713">
        <v>0.94454345387965444</v>
      </c>
      <c r="AM1038" s="714" t="s">
        <v>58</v>
      </c>
      <c r="AN1038" s="713" t="s">
        <v>58</v>
      </c>
      <c r="AO1038" s="713" t="s">
        <v>58</v>
      </c>
      <c r="AP1038" s="713">
        <v>57</v>
      </c>
      <c r="AQ1038" s="747">
        <v>114</v>
      </c>
      <c r="AR1038" s="747"/>
      <c r="AS1038" s="709">
        <v>0</v>
      </c>
      <c r="AT1038" s="763">
        <v>0</v>
      </c>
      <c r="AU1038" s="763">
        <v>0</v>
      </c>
      <c r="AV1038" s="763">
        <v>5.6301967874646031E-2</v>
      </c>
      <c r="AW1038" s="763">
        <v>5.6301967874646031E-2</v>
      </c>
      <c r="AX1038" s="763">
        <v>5.6301967874646031E-2</v>
      </c>
      <c r="AY1038" s="763">
        <v>1.77795688025198E-2</v>
      </c>
      <c r="AZ1038" s="763">
        <v>1.77795688025198E-2</v>
      </c>
      <c r="BA1038" s="763">
        <v>1.77795688025198E-2</v>
      </c>
      <c r="BB1038" s="763">
        <v>1.77795688025198E-2</v>
      </c>
      <c r="BC1038" s="763">
        <v>1.77795688025198E-2</v>
      </c>
      <c r="BD1038" s="763">
        <v>1.77795688025198E-2</v>
      </c>
      <c r="BE1038" s="763">
        <v>1.77795688025198E-2</v>
      </c>
      <c r="BF1038" s="763">
        <v>1.77795688025198E-2</v>
      </c>
      <c r="BG1038" s="763">
        <v>1.77795688025198E-2</v>
      </c>
      <c r="BH1038" s="763">
        <v>0</v>
      </c>
      <c r="BI1038" s="763">
        <v>0</v>
      </c>
      <c r="BJ1038" s="763">
        <v>0</v>
      </c>
      <c r="BK1038" s="763">
        <v>0</v>
      </c>
      <c r="BL1038" s="763">
        <v>0</v>
      </c>
      <c r="BM1038" s="763">
        <v>0</v>
      </c>
      <c r="BN1038" s="763">
        <v>0</v>
      </c>
      <c r="BO1038" s="763">
        <v>0</v>
      </c>
      <c r="BP1038" s="763">
        <v>0</v>
      </c>
      <c r="BQ1038" s="763">
        <v>0</v>
      </c>
      <c r="BR1038" s="763">
        <v>0</v>
      </c>
      <c r="BS1038" s="763">
        <v>0</v>
      </c>
      <c r="BT1038" s="762">
        <v>0</v>
      </c>
      <c r="BU1038" s="762">
        <v>0</v>
      </c>
      <c r="BV1038" s="762">
        <v>285.95410169075802</v>
      </c>
      <c r="BW1038" s="762">
        <v>285.95410169075802</v>
      </c>
      <c r="BX1038" s="762">
        <v>285.95410169075802</v>
      </c>
      <c r="BY1038" s="762">
        <v>90.301295270765692</v>
      </c>
      <c r="BZ1038" s="762">
        <v>90.301295270765692</v>
      </c>
      <c r="CA1038" s="762">
        <v>90.301295270765692</v>
      </c>
      <c r="CB1038" s="762">
        <v>90.301295270765692</v>
      </c>
      <c r="CC1038" s="762">
        <v>90.301295270765692</v>
      </c>
      <c r="CD1038" s="762">
        <v>90.301295270765692</v>
      </c>
      <c r="CE1038" s="762">
        <v>90.301295270765692</v>
      </c>
      <c r="CF1038" s="762">
        <v>90.301295270765692</v>
      </c>
      <c r="CG1038" s="762">
        <v>90.301295270765692</v>
      </c>
      <c r="CH1038" s="762">
        <v>0</v>
      </c>
      <c r="CI1038" s="762">
        <v>0</v>
      </c>
      <c r="CJ1038" s="762">
        <v>0</v>
      </c>
      <c r="CK1038" s="762">
        <v>0</v>
      </c>
      <c r="CL1038" s="762">
        <v>0</v>
      </c>
      <c r="CM1038" s="762">
        <v>0</v>
      </c>
      <c r="CN1038" s="762">
        <v>0</v>
      </c>
      <c r="CO1038" s="762">
        <v>0</v>
      </c>
      <c r="CP1038" s="762">
        <v>0</v>
      </c>
      <c r="CQ1038" s="762">
        <v>0</v>
      </c>
      <c r="CR1038" s="762">
        <v>0</v>
      </c>
    </row>
    <row r="1039" spans="1:96" s="53" customFormat="1">
      <c r="A1039" s="709" t="s">
        <v>3</v>
      </c>
      <c r="B1039" s="721">
        <v>41962</v>
      </c>
      <c r="C1039" s="721">
        <v>2014</v>
      </c>
      <c r="D1039" s="709" t="s">
        <v>1</v>
      </c>
      <c r="E1039" s="713" t="s">
        <v>674</v>
      </c>
      <c r="F1039" s="713" t="s">
        <v>685</v>
      </c>
      <c r="G1039" s="723" t="s">
        <v>58</v>
      </c>
      <c r="H1039" s="713" t="s">
        <v>693</v>
      </c>
      <c r="I1039" s="723" t="s">
        <v>5</v>
      </c>
      <c r="J1039" s="713" t="s">
        <v>376</v>
      </c>
      <c r="K1039" s="713">
        <v>19</v>
      </c>
      <c r="L1039" s="713" t="s">
        <v>671</v>
      </c>
      <c r="M1039" s="766" t="s">
        <v>692</v>
      </c>
      <c r="N1039" s="765">
        <v>11</v>
      </c>
      <c r="O1039" s="765" t="s">
        <v>7</v>
      </c>
      <c r="P1039" s="765">
        <v>1</v>
      </c>
      <c r="Q1039" s="735" t="s">
        <v>58</v>
      </c>
      <c r="R1039" s="713" t="s">
        <v>58</v>
      </c>
      <c r="S1039" s="713" t="s">
        <v>58</v>
      </c>
      <c r="T1039" s="713" t="s">
        <v>58</v>
      </c>
      <c r="U1039" s="713">
        <v>1.3585</v>
      </c>
      <c r="V1039" s="764">
        <v>6554.7624999999998</v>
      </c>
      <c r="W1039" s="764">
        <v>1.0654858404084862</v>
      </c>
      <c r="X1039" s="764">
        <v>5415.3939315949801</v>
      </c>
      <c r="Y1039" s="764">
        <v>59569.333247544782</v>
      </c>
      <c r="Z1039" s="764">
        <v>56225.725244945301</v>
      </c>
      <c r="AA1039" s="764">
        <v>5111.4295677222999</v>
      </c>
      <c r="AB1039" s="764">
        <v>1.0063976757592978</v>
      </c>
      <c r="AC1039" s="714">
        <v>0.82617698682369967</v>
      </c>
      <c r="AD1039" s="714">
        <v>0.7843105192554185</v>
      </c>
      <c r="AE1039" s="714" t="s">
        <v>58</v>
      </c>
      <c r="AF1039" s="713" t="s">
        <v>58</v>
      </c>
      <c r="AG1039" s="713" t="s">
        <v>58</v>
      </c>
      <c r="AH1039" s="713">
        <v>0.94387031345969796</v>
      </c>
      <c r="AI1039" s="714" t="s">
        <v>58</v>
      </c>
      <c r="AJ1039" s="713" t="s">
        <v>58</v>
      </c>
      <c r="AK1039" s="713" t="s">
        <v>58</v>
      </c>
      <c r="AL1039" s="713">
        <v>0.94454345387965444</v>
      </c>
      <c r="AM1039" s="714" t="s">
        <v>58</v>
      </c>
      <c r="AN1039" s="713" t="s">
        <v>58</v>
      </c>
      <c r="AO1039" s="713" t="s">
        <v>58</v>
      </c>
      <c r="AP1039" s="713">
        <v>52</v>
      </c>
      <c r="AQ1039" s="747">
        <v>988</v>
      </c>
      <c r="AR1039" s="747"/>
      <c r="AS1039" s="709">
        <v>0</v>
      </c>
      <c r="AT1039" s="763">
        <v>0</v>
      </c>
      <c r="AU1039" s="763">
        <v>0</v>
      </c>
      <c r="AV1039" s="763">
        <v>1.0063976757592978</v>
      </c>
      <c r="AW1039" s="763">
        <v>1.0063976757592978</v>
      </c>
      <c r="AX1039" s="763">
        <v>1.0063976757592978</v>
      </c>
      <c r="AY1039" s="763">
        <v>1.0063976757592978</v>
      </c>
      <c r="AZ1039" s="763">
        <v>1.0063976757592978</v>
      </c>
      <c r="BA1039" s="763">
        <v>1.0063976757592978</v>
      </c>
      <c r="BB1039" s="763">
        <v>1.0063976757592978</v>
      </c>
      <c r="BC1039" s="763">
        <v>1.0063976757592978</v>
      </c>
      <c r="BD1039" s="763">
        <v>1.0063976757592978</v>
      </c>
      <c r="BE1039" s="763">
        <v>1.0063976757592978</v>
      </c>
      <c r="BF1039" s="763">
        <v>1.0063976757592978</v>
      </c>
      <c r="BG1039" s="763">
        <v>0</v>
      </c>
      <c r="BH1039" s="763">
        <v>0</v>
      </c>
      <c r="BI1039" s="763">
        <v>0</v>
      </c>
      <c r="BJ1039" s="763">
        <v>0</v>
      </c>
      <c r="BK1039" s="763">
        <v>0</v>
      </c>
      <c r="BL1039" s="763">
        <v>0</v>
      </c>
      <c r="BM1039" s="763">
        <v>0</v>
      </c>
      <c r="BN1039" s="763">
        <v>0</v>
      </c>
      <c r="BO1039" s="763">
        <v>0</v>
      </c>
      <c r="BP1039" s="763">
        <v>0</v>
      </c>
      <c r="BQ1039" s="763">
        <v>0</v>
      </c>
      <c r="BR1039" s="763">
        <v>0</v>
      </c>
      <c r="BS1039" s="763">
        <v>0</v>
      </c>
      <c r="BT1039" s="762">
        <v>0</v>
      </c>
      <c r="BU1039" s="762">
        <v>0</v>
      </c>
      <c r="BV1039" s="762">
        <v>5111.4295677222999</v>
      </c>
      <c r="BW1039" s="762">
        <v>5111.4295677222999</v>
      </c>
      <c r="BX1039" s="762">
        <v>5111.4295677222999</v>
      </c>
      <c r="BY1039" s="762">
        <v>5111.4295677222999</v>
      </c>
      <c r="BZ1039" s="762">
        <v>5111.4295677222999</v>
      </c>
      <c r="CA1039" s="762">
        <v>5111.4295677222999</v>
      </c>
      <c r="CB1039" s="762">
        <v>5111.4295677222999</v>
      </c>
      <c r="CC1039" s="762">
        <v>5111.4295677222999</v>
      </c>
      <c r="CD1039" s="762">
        <v>5111.4295677222999</v>
      </c>
      <c r="CE1039" s="762">
        <v>5111.4295677222999</v>
      </c>
      <c r="CF1039" s="762">
        <v>5111.4295677222999</v>
      </c>
      <c r="CG1039" s="762">
        <v>0</v>
      </c>
      <c r="CH1039" s="762">
        <v>0</v>
      </c>
      <c r="CI1039" s="762">
        <v>0</v>
      </c>
      <c r="CJ1039" s="762">
        <v>0</v>
      </c>
      <c r="CK1039" s="762">
        <v>0</v>
      </c>
      <c r="CL1039" s="762">
        <v>0</v>
      </c>
      <c r="CM1039" s="762">
        <v>0</v>
      </c>
      <c r="CN1039" s="762">
        <v>0</v>
      </c>
      <c r="CO1039" s="762">
        <v>0</v>
      </c>
      <c r="CP1039" s="762">
        <v>0</v>
      </c>
      <c r="CQ1039" s="762">
        <v>0</v>
      </c>
      <c r="CR1039" s="762">
        <v>0</v>
      </c>
    </row>
    <row r="1040" spans="1:96" s="53" customFormat="1">
      <c r="A1040" s="709" t="s">
        <v>3</v>
      </c>
      <c r="B1040" s="721">
        <v>41954</v>
      </c>
      <c r="C1040" s="721">
        <v>2014</v>
      </c>
      <c r="D1040" s="709" t="s">
        <v>1</v>
      </c>
      <c r="E1040" s="713" t="s">
        <v>674</v>
      </c>
      <c r="F1040" s="713" t="s">
        <v>689</v>
      </c>
      <c r="G1040" s="723" t="s">
        <v>58</v>
      </c>
      <c r="H1040" s="713" t="s">
        <v>677</v>
      </c>
      <c r="I1040" s="723" t="s">
        <v>5</v>
      </c>
      <c r="J1040" s="713" t="s">
        <v>376</v>
      </c>
      <c r="K1040" s="713">
        <v>1</v>
      </c>
      <c r="L1040" s="713" t="s">
        <v>671</v>
      </c>
      <c r="M1040" s="766" t="s">
        <v>691</v>
      </c>
      <c r="N1040" s="765">
        <v>0</v>
      </c>
      <c r="O1040" s="765">
        <v>0</v>
      </c>
      <c r="P1040" s="765">
        <v>0</v>
      </c>
      <c r="Q1040" s="735" t="s">
        <v>58</v>
      </c>
      <c r="R1040" s="713" t="s">
        <v>58</v>
      </c>
      <c r="S1040" s="713" t="s">
        <v>58</v>
      </c>
      <c r="T1040" s="713" t="s">
        <v>58</v>
      </c>
      <c r="U1040" s="713">
        <v>0</v>
      </c>
      <c r="V1040" s="764">
        <v>0</v>
      </c>
      <c r="W1040" s="764">
        <v>0</v>
      </c>
      <c r="X1040" s="764">
        <v>0</v>
      </c>
      <c r="Y1040" s="764">
        <v>0</v>
      </c>
      <c r="Z1040" s="764">
        <v>0</v>
      </c>
      <c r="AA1040" s="764">
        <v>0</v>
      </c>
      <c r="AB1040" s="764">
        <v>0</v>
      </c>
      <c r="AC1040" s="714">
        <v>0.82617698682369967</v>
      </c>
      <c r="AD1040" s="714">
        <v>0.7843105192554185</v>
      </c>
      <c r="AE1040" s="714" t="s">
        <v>58</v>
      </c>
      <c r="AF1040" s="713" t="s">
        <v>58</v>
      </c>
      <c r="AG1040" s="713" t="s">
        <v>58</v>
      </c>
      <c r="AH1040" s="713">
        <v>0.94387031345969796</v>
      </c>
      <c r="AI1040" s="714" t="s">
        <v>58</v>
      </c>
      <c r="AJ1040" s="713" t="s">
        <v>58</v>
      </c>
      <c r="AK1040" s="713" t="s">
        <v>58</v>
      </c>
      <c r="AL1040" s="713">
        <v>0.94454345387965444</v>
      </c>
      <c r="AM1040" s="714" t="s">
        <v>58</v>
      </c>
      <c r="AN1040" s="713" t="s">
        <v>58</v>
      </c>
      <c r="AO1040" s="713" t="s">
        <v>58</v>
      </c>
      <c r="AP1040" s="713">
        <v>51</v>
      </c>
      <c r="AQ1040" s="747">
        <v>51</v>
      </c>
      <c r="AR1040" s="747"/>
      <c r="AS1040" s="709">
        <v>0</v>
      </c>
      <c r="AT1040" s="763">
        <v>0</v>
      </c>
      <c r="AU1040" s="763">
        <v>0</v>
      </c>
      <c r="AV1040" s="763">
        <v>0</v>
      </c>
      <c r="AW1040" s="763">
        <v>0</v>
      </c>
      <c r="AX1040" s="763">
        <v>0</v>
      </c>
      <c r="AY1040" s="763">
        <v>0</v>
      </c>
      <c r="AZ1040" s="763">
        <v>0</v>
      </c>
      <c r="BA1040" s="763">
        <v>0</v>
      </c>
      <c r="BB1040" s="763">
        <v>0</v>
      </c>
      <c r="BC1040" s="763">
        <v>0</v>
      </c>
      <c r="BD1040" s="763">
        <v>0</v>
      </c>
      <c r="BE1040" s="763">
        <v>0</v>
      </c>
      <c r="BF1040" s="763">
        <v>0</v>
      </c>
      <c r="BG1040" s="763">
        <v>0</v>
      </c>
      <c r="BH1040" s="763">
        <v>0</v>
      </c>
      <c r="BI1040" s="763">
        <v>0</v>
      </c>
      <c r="BJ1040" s="763">
        <v>0</v>
      </c>
      <c r="BK1040" s="763">
        <v>0</v>
      </c>
      <c r="BL1040" s="763">
        <v>0</v>
      </c>
      <c r="BM1040" s="763">
        <v>0</v>
      </c>
      <c r="BN1040" s="763">
        <v>0</v>
      </c>
      <c r="BO1040" s="763">
        <v>0</v>
      </c>
      <c r="BP1040" s="763">
        <v>0</v>
      </c>
      <c r="BQ1040" s="763">
        <v>0</v>
      </c>
      <c r="BR1040" s="763">
        <v>0</v>
      </c>
      <c r="BS1040" s="763">
        <v>0</v>
      </c>
      <c r="BT1040" s="762">
        <v>0</v>
      </c>
      <c r="BU1040" s="762">
        <v>0</v>
      </c>
      <c r="BV1040" s="762">
        <v>0</v>
      </c>
      <c r="BW1040" s="762">
        <v>0</v>
      </c>
      <c r="BX1040" s="762">
        <v>0</v>
      </c>
      <c r="BY1040" s="762">
        <v>0</v>
      </c>
      <c r="BZ1040" s="762">
        <v>0</v>
      </c>
      <c r="CA1040" s="762">
        <v>0</v>
      </c>
      <c r="CB1040" s="762">
        <v>0</v>
      </c>
      <c r="CC1040" s="762">
        <v>0</v>
      </c>
      <c r="CD1040" s="762">
        <v>0</v>
      </c>
      <c r="CE1040" s="762">
        <v>0</v>
      </c>
      <c r="CF1040" s="762">
        <v>0</v>
      </c>
      <c r="CG1040" s="762">
        <v>0</v>
      </c>
      <c r="CH1040" s="762">
        <v>0</v>
      </c>
      <c r="CI1040" s="762">
        <v>0</v>
      </c>
      <c r="CJ1040" s="762">
        <v>0</v>
      </c>
      <c r="CK1040" s="762">
        <v>0</v>
      </c>
      <c r="CL1040" s="762">
        <v>0</v>
      </c>
      <c r="CM1040" s="762">
        <v>0</v>
      </c>
      <c r="CN1040" s="762">
        <v>0</v>
      </c>
      <c r="CO1040" s="762">
        <v>0</v>
      </c>
      <c r="CP1040" s="762">
        <v>0</v>
      </c>
      <c r="CQ1040" s="762">
        <v>0</v>
      </c>
      <c r="CR1040" s="762">
        <v>0</v>
      </c>
    </row>
    <row r="1041" spans="1:96" s="53" customFormat="1">
      <c r="A1041" s="709" t="s">
        <v>3</v>
      </c>
      <c r="B1041" s="721">
        <v>41954</v>
      </c>
      <c r="C1041" s="721">
        <v>2014</v>
      </c>
      <c r="D1041" s="709" t="s">
        <v>1</v>
      </c>
      <c r="E1041" s="713" t="s">
        <v>674</v>
      </c>
      <c r="F1041" s="713" t="s">
        <v>689</v>
      </c>
      <c r="G1041" s="723" t="s">
        <v>58</v>
      </c>
      <c r="H1041" s="713" t="s">
        <v>686</v>
      </c>
      <c r="I1041" s="723" t="s">
        <v>5</v>
      </c>
      <c r="J1041" s="713" t="s">
        <v>376</v>
      </c>
      <c r="K1041" s="713">
        <v>5</v>
      </c>
      <c r="L1041" s="713" t="s">
        <v>671</v>
      </c>
      <c r="M1041" s="766" t="s">
        <v>691</v>
      </c>
      <c r="N1041" s="765">
        <v>12</v>
      </c>
      <c r="O1041" s="765">
        <v>3</v>
      </c>
      <c r="P1041" s="765">
        <v>1.6393442622950821E-2</v>
      </c>
      <c r="Q1041" s="735" t="s">
        <v>58</v>
      </c>
      <c r="R1041" s="713" t="s">
        <v>58</v>
      </c>
      <c r="S1041" s="713" t="s">
        <v>58</v>
      </c>
      <c r="T1041" s="713" t="s">
        <v>58</v>
      </c>
      <c r="U1041" s="713">
        <v>0.30499999999999999</v>
      </c>
      <c r="V1041" s="764">
        <v>992.16499999999996</v>
      </c>
      <c r="W1041" s="764">
        <v>0.23921470837290268</v>
      </c>
      <c r="X1041" s="764">
        <v>819.70389013193585</v>
      </c>
      <c r="Y1041" s="764">
        <v>2580.0515886119952</v>
      </c>
      <c r="Z1041" s="764">
        <v>2435.2341016853957</v>
      </c>
      <c r="AA1041" s="764">
        <v>773.69416772296415</v>
      </c>
      <c r="AB1041" s="764">
        <v>0.2259486868653558</v>
      </c>
      <c r="AC1041" s="714">
        <v>0.82617698682369967</v>
      </c>
      <c r="AD1041" s="714">
        <v>0.7843105192554185</v>
      </c>
      <c r="AE1041" s="714" t="s">
        <v>58</v>
      </c>
      <c r="AF1041" s="713" t="s">
        <v>58</v>
      </c>
      <c r="AG1041" s="713" t="s">
        <v>58</v>
      </c>
      <c r="AH1041" s="713">
        <v>0.94387031345969796</v>
      </c>
      <c r="AI1041" s="714" t="s">
        <v>58</v>
      </c>
      <c r="AJ1041" s="713" t="s">
        <v>58</v>
      </c>
      <c r="AK1041" s="713" t="s">
        <v>58</v>
      </c>
      <c r="AL1041" s="713">
        <v>0.94454345387965444</v>
      </c>
      <c r="AM1041" s="714" t="s">
        <v>58</v>
      </c>
      <c r="AN1041" s="713" t="s">
        <v>58</v>
      </c>
      <c r="AO1041" s="713" t="s">
        <v>58</v>
      </c>
      <c r="AP1041" s="713">
        <v>119</v>
      </c>
      <c r="AQ1041" s="747">
        <v>595</v>
      </c>
      <c r="AR1041" s="747"/>
      <c r="AS1041" s="709">
        <v>0</v>
      </c>
      <c r="AT1041" s="763">
        <v>0</v>
      </c>
      <c r="AU1041" s="763">
        <v>0</v>
      </c>
      <c r="AV1041" s="763">
        <v>0.2259486868653558</v>
      </c>
      <c r="AW1041" s="763">
        <v>0.2259486868653558</v>
      </c>
      <c r="AX1041" s="763">
        <v>0.2259486868653558</v>
      </c>
      <c r="AY1041" s="763">
        <v>3.704076833858292E-3</v>
      </c>
      <c r="AZ1041" s="763">
        <v>3.704076833858292E-3</v>
      </c>
      <c r="BA1041" s="763">
        <v>3.704076833858292E-3</v>
      </c>
      <c r="BB1041" s="763">
        <v>3.704076833858292E-3</v>
      </c>
      <c r="BC1041" s="763">
        <v>3.704076833858292E-3</v>
      </c>
      <c r="BD1041" s="763">
        <v>3.704076833858292E-3</v>
      </c>
      <c r="BE1041" s="763">
        <v>3.704076833858292E-3</v>
      </c>
      <c r="BF1041" s="763">
        <v>3.704076833858292E-3</v>
      </c>
      <c r="BG1041" s="763">
        <v>3.704076833858292E-3</v>
      </c>
      <c r="BH1041" s="763">
        <v>0</v>
      </c>
      <c r="BI1041" s="763">
        <v>0</v>
      </c>
      <c r="BJ1041" s="763">
        <v>0</v>
      </c>
      <c r="BK1041" s="763">
        <v>0</v>
      </c>
      <c r="BL1041" s="763">
        <v>0</v>
      </c>
      <c r="BM1041" s="763">
        <v>0</v>
      </c>
      <c r="BN1041" s="763">
        <v>0</v>
      </c>
      <c r="BO1041" s="763">
        <v>0</v>
      </c>
      <c r="BP1041" s="763">
        <v>0</v>
      </c>
      <c r="BQ1041" s="763">
        <v>0</v>
      </c>
      <c r="BR1041" s="763">
        <v>0</v>
      </c>
      <c r="BS1041" s="763">
        <v>0</v>
      </c>
      <c r="BT1041" s="762">
        <v>0</v>
      </c>
      <c r="BU1041" s="762">
        <v>0</v>
      </c>
      <c r="BV1041" s="762">
        <v>773.69416772296415</v>
      </c>
      <c r="BW1041" s="762">
        <v>773.69416772296415</v>
      </c>
      <c r="BX1041" s="762">
        <v>773.69416772296415</v>
      </c>
      <c r="BY1041" s="762">
        <v>12.683510946278101</v>
      </c>
      <c r="BZ1041" s="762">
        <v>12.683510946278101</v>
      </c>
      <c r="CA1041" s="762">
        <v>12.683510946278101</v>
      </c>
      <c r="CB1041" s="762">
        <v>12.683510946278101</v>
      </c>
      <c r="CC1041" s="762">
        <v>12.683510946278101</v>
      </c>
      <c r="CD1041" s="762">
        <v>12.683510946278101</v>
      </c>
      <c r="CE1041" s="762">
        <v>12.683510946278101</v>
      </c>
      <c r="CF1041" s="762">
        <v>12.683510946278101</v>
      </c>
      <c r="CG1041" s="762">
        <v>12.683510946278101</v>
      </c>
      <c r="CH1041" s="762">
        <v>0</v>
      </c>
      <c r="CI1041" s="762">
        <v>0</v>
      </c>
      <c r="CJ1041" s="762">
        <v>0</v>
      </c>
      <c r="CK1041" s="762">
        <v>0</v>
      </c>
      <c r="CL1041" s="762">
        <v>0</v>
      </c>
      <c r="CM1041" s="762">
        <v>0</v>
      </c>
      <c r="CN1041" s="762">
        <v>0</v>
      </c>
      <c r="CO1041" s="762">
        <v>0</v>
      </c>
      <c r="CP1041" s="762">
        <v>0</v>
      </c>
      <c r="CQ1041" s="762">
        <v>0</v>
      </c>
      <c r="CR1041" s="762">
        <v>0</v>
      </c>
    </row>
    <row r="1042" spans="1:96" s="53" customFormat="1">
      <c r="A1042" s="709" t="s">
        <v>3</v>
      </c>
      <c r="B1042" s="721">
        <v>41954</v>
      </c>
      <c r="C1042" s="721">
        <v>2014</v>
      </c>
      <c r="D1042" s="709" t="s">
        <v>1</v>
      </c>
      <c r="E1042" s="713" t="s">
        <v>674</v>
      </c>
      <c r="F1042" s="713" t="s">
        <v>689</v>
      </c>
      <c r="G1042" s="723" t="s">
        <v>58</v>
      </c>
      <c r="H1042" s="713" t="s">
        <v>682</v>
      </c>
      <c r="I1042" s="723" t="s">
        <v>5</v>
      </c>
      <c r="J1042" s="713" t="s">
        <v>376</v>
      </c>
      <c r="K1042" s="713">
        <v>1</v>
      </c>
      <c r="L1042" s="713" t="s">
        <v>671</v>
      </c>
      <c r="M1042" s="766" t="s">
        <v>691</v>
      </c>
      <c r="N1042" s="765">
        <v>12</v>
      </c>
      <c r="O1042" s="765">
        <v>3</v>
      </c>
      <c r="P1042" s="765">
        <v>0.4</v>
      </c>
      <c r="Q1042" s="735" t="s">
        <v>58</v>
      </c>
      <c r="R1042" s="713" t="s">
        <v>58</v>
      </c>
      <c r="S1042" s="713" t="s">
        <v>58</v>
      </c>
      <c r="T1042" s="713" t="s">
        <v>58</v>
      </c>
      <c r="U1042" s="713">
        <v>2.5000000000000001E-2</v>
      </c>
      <c r="V1042" s="764">
        <v>81.325000000000003</v>
      </c>
      <c r="W1042" s="764">
        <v>1.9607762981385463E-2</v>
      </c>
      <c r="X1042" s="764">
        <v>67.188843453437372</v>
      </c>
      <c r="Y1042" s="764">
        <v>443.44636679268672</v>
      </c>
      <c r="Z1042" s="764">
        <v>418.55586122717739</v>
      </c>
      <c r="AA1042" s="764">
        <v>63.41755473139051</v>
      </c>
      <c r="AB1042" s="764">
        <v>1.8520384169291457E-2</v>
      </c>
      <c r="AC1042" s="714">
        <v>0.82617698682369967</v>
      </c>
      <c r="AD1042" s="714">
        <v>0.7843105192554185</v>
      </c>
      <c r="AE1042" s="714" t="s">
        <v>58</v>
      </c>
      <c r="AF1042" s="713" t="s">
        <v>58</v>
      </c>
      <c r="AG1042" s="713" t="s">
        <v>58</v>
      </c>
      <c r="AH1042" s="713">
        <v>0.94387031345969796</v>
      </c>
      <c r="AI1042" s="714" t="s">
        <v>58</v>
      </c>
      <c r="AJ1042" s="713" t="s">
        <v>58</v>
      </c>
      <c r="AK1042" s="713" t="s">
        <v>58</v>
      </c>
      <c r="AL1042" s="713">
        <v>0.94454345387965444</v>
      </c>
      <c r="AM1042" s="714" t="s">
        <v>58</v>
      </c>
      <c r="AN1042" s="713" t="s">
        <v>58</v>
      </c>
      <c r="AO1042" s="713" t="s">
        <v>58</v>
      </c>
      <c r="AP1042" s="713">
        <v>47</v>
      </c>
      <c r="AQ1042" s="747">
        <v>47</v>
      </c>
      <c r="AR1042" s="747"/>
      <c r="AS1042" s="709">
        <v>0</v>
      </c>
      <c r="AT1042" s="763">
        <v>0</v>
      </c>
      <c r="AU1042" s="763">
        <v>0</v>
      </c>
      <c r="AV1042" s="763">
        <v>1.8520384169291457E-2</v>
      </c>
      <c r="AW1042" s="763">
        <v>1.8520384169291457E-2</v>
      </c>
      <c r="AX1042" s="763">
        <v>1.8520384169291457E-2</v>
      </c>
      <c r="AY1042" s="763">
        <v>7.4081536677165832E-3</v>
      </c>
      <c r="AZ1042" s="763">
        <v>7.4081536677165832E-3</v>
      </c>
      <c r="BA1042" s="763">
        <v>7.4081536677165832E-3</v>
      </c>
      <c r="BB1042" s="763">
        <v>7.4081536677165832E-3</v>
      </c>
      <c r="BC1042" s="763">
        <v>7.4081536677165832E-3</v>
      </c>
      <c r="BD1042" s="763">
        <v>7.4081536677165832E-3</v>
      </c>
      <c r="BE1042" s="763">
        <v>7.4081536677165832E-3</v>
      </c>
      <c r="BF1042" s="763">
        <v>7.4081536677165832E-3</v>
      </c>
      <c r="BG1042" s="763">
        <v>7.4081536677165832E-3</v>
      </c>
      <c r="BH1042" s="763">
        <v>0</v>
      </c>
      <c r="BI1042" s="763">
        <v>0</v>
      </c>
      <c r="BJ1042" s="763">
        <v>0</v>
      </c>
      <c r="BK1042" s="763">
        <v>0</v>
      </c>
      <c r="BL1042" s="763">
        <v>0</v>
      </c>
      <c r="BM1042" s="763">
        <v>0</v>
      </c>
      <c r="BN1042" s="763">
        <v>0</v>
      </c>
      <c r="BO1042" s="763">
        <v>0</v>
      </c>
      <c r="BP1042" s="763">
        <v>0</v>
      </c>
      <c r="BQ1042" s="763">
        <v>0</v>
      </c>
      <c r="BR1042" s="763">
        <v>0</v>
      </c>
      <c r="BS1042" s="763">
        <v>0</v>
      </c>
      <c r="BT1042" s="762">
        <v>0</v>
      </c>
      <c r="BU1042" s="762">
        <v>0</v>
      </c>
      <c r="BV1042" s="762">
        <v>63.41755473139051</v>
      </c>
      <c r="BW1042" s="762">
        <v>63.41755473139051</v>
      </c>
      <c r="BX1042" s="762">
        <v>63.41755473139051</v>
      </c>
      <c r="BY1042" s="762">
        <v>25.367021892556206</v>
      </c>
      <c r="BZ1042" s="762">
        <v>25.367021892556206</v>
      </c>
      <c r="CA1042" s="762">
        <v>25.367021892556206</v>
      </c>
      <c r="CB1042" s="762">
        <v>25.367021892556206</v>
      </c>
      <c r="CC1042" s="762">
        <v>25.367021892556206</v>
      </c>
      <c r="CD1042" s="762">
        <v>25.367021892556206</v>
      </c>
      <c r="CE1042" s="762">
        <v>25.367021892556206</v>
      </c>
      <c r="CF1042" s="762">
        <v>25.367021892556206</v>
      </c>
      <c r="CG1042" s="762">
        <v>25.367021892556206</v>
      </c>
      <c r="CH1042" s="762">
        <v>0</v>
      </c>
      <c r="CI1042" s="762">
        <v>0</v>
      </c>
      <c r="CJ1042" s="762">
        <v>0</v>
      </c>
      <c r="CK1042" s="762">
        <v>0</v>
      </c>
      <c r="CL1042" s="762">
        <v>0</v>
      </c>
      <c r="CM1042" s="762">
        <v>0</v>
      </c>
      <c r="CN1042" s="762">
        <v>0</v>
      </c>
      <c r="CO1042" s="762">
        <v>0</v>
      </c>
      <c r="CP1042" s="762">
        <v>0</v>
      </c>
      <c r="CQ1042" s="762">
        <v>0</v>
      </c>
      <c r="CR1042" s="762">
        <v>0</v>
      </c>
    </row>
    <row r="1043" spans="1:96" s="53" customFormat="1">
      <c r="A1043" s="709" t="s">
        <v>3</v>
      </c>
      <c r="B1043" s="721">
        <v>41954</v>
      </c>
      <c r="C1043" s="721">
        <v>2014</v>
      </c>
      <c r="D1043" s="709" t="s">
        <v>1</v>
      </c>
      <c r="E1043" s="713" t="s">
        <v>674</v>
      </c>
      <c r="F1043" s="713" t="s">
        <v>689</v>
      </c>
      <c r="G1043" s="723" t="s">
        <v>58</v>
      </c>
      <c r="H1043" s="713" t="s">
        <v>676</v>
      </c>
      <c r="I1043" s="723" t="s">
        <v>5</v>
      </c>
      <c r="J1043" s="713" t="s">
        <v>376</v>
      </c>
      <c r="K1043" s="713">
        <v>3</v>
      </c>
      <c r="L1043" s="713" t="s">
        <v>671</v>
      </c>
      <c r="M1043" s="766" t="s">
        <v>691</v>
      </c>
      <c r="N1043" s="765">
        <v>12</v>
      </c>
      <c r="O1043" s="765">
        <v>3</v>
      </c>
      <c r="P1043" s="765">
        <v>0.31578947368421051</v>
      </c>
      <c r="Q1043" s="735" t="s">
        <v>58</v>
      </c>
      <c r="R1043" s="713" t="s">
        <v>58</v>
      </c>
      <c r="S1043" s="713" t="s">
        <v>58</v>
      </c>
      <c r="T1043" s="713" t="s">
        <v>58</v>
      </c>
      <c r="U1043" s="713">
        <v>0.114</v>
      </c>
      <c r="V1043" s="764">
        <v>370.84199999999998</v>
      </c>
      <c r="W1043" s="764">
        <v>8.941139919511773E-2</v>
      </c>
      <c r="X1043" s="764">
        <v>306.38112614767442</v>
      </c>
      <c r="Y1043" s="764">
        <v>1789.9107895995717</v>
      </c>
      <c r="Z1043" s="764">
        <v>1689.4436580442432</v>
      </c>
      <c r="AA1043" s="764">
        <v>289.1840495751407</v>
      </c>
      <c r="AB1043" s="764">
        <v>8.445295181196906E-2</v>
      </c>
      <c r="AC1043" s="714">
        <v>0.82617698682369967</v>
      </c>
      <c r="AD1043" s="714">
        <v>0.7843105192554185</v>
      </c>
      <c r="AE1043" s="714" t="s">
        <v>58</v>
      </c>
      <c r="AF1043" s="713" t="s">
        <v>58</v>
      </c>
      <c r="AG1043" s="713" t="s">
        <v>58</v>
      </c>
      <c r="AH1043" s="713">
        <v>0.94387031345969796</v>
      </c>
      <c r="AI1043" s="714" t="s">
        <v>58</v>
      </c>
      <c r="AJ1043" s="713" t="s">
        <v>58</v>
      </c>
      <c r="AK1043" s="713" t="s">
        <v>58</v>
      </c>
      <c r="AL1043" s="713">
        <v>0.94454345387965444</v>
      </c>
      <c r="AM1043" s="714" t="s">
        <v>58</v>
      </c>
      <c r="AN1043" s="713" t="s">
        <v>58</v>
      </c>
      <c r="AO1043" s="713" t="s">
        <v>58</v>
      </c>
      <c r="AP1043" s="713">
        <v>57</v>
      </c>
      <c r="AQ1043" s="747">
        <v>171</v>
      </c>
      <c r="AR1043" s="747"/>
      <c r="AS1043" s="709">
        <v>0</v>
      </c>
      <c r="AT1043" s="763">
        <v>0</v>
      </c>
      <c r="AU1043" s="763">
        <v>0</v>
      </c>
      <c r="AV1043" s="763">
        <v>8.445295181196906E-2</v>
      </c>
      <c r="AW1043" s="763">
        <v>8.445295181196906E-2</v>
      </c>
      <c r="AX1043" s="763">
        <v>8.445295181196906E-2</v>
      </c>
      <c r="AY1043" s="763">
        <v>2.6669353203779701E-2</v>
      </c>
      <c r="AZ1043" s="763">
        <v>2.6669353203779701E-2</v>
      </c>
      <c r="BA1043" s="763">
        <v>2.6669353203779701E-2</v>
      </c>
      <c r="BB1043" s="763">
        <v>2.6669353203779701E-2</v>
      </c>
      <c r="BC1043" s="763">
        <v>2.6669353203779701E-2</v>
      </c>
      <c r="BD1043" s="763">
        <v>2.6669353203779701E-2</v>
      </c>
      <c r="BE1043" s="763">
        <v>2.6669353203779701E-2</v>
      </c>
      <c r="BF1043" s="763">
        <v>2.6669353203779701E-2</v>
      </c>
      <c r="BG1043" s="763">
        <v>2.6669353203779701E-2</v>
      </c>
      <c r="BH1043" s="763">
        <v>0</v>
      </c>
      <c r="BI1043" s="763">
        <v>0</v>
      </c>
      <c r="BJ1043" s="763">
        <v>0</v>
      </c>
      <c r="BK1043" s="763">
        <v>0</v>
      </c>
      <c r="BL1043" s="763">
        <v>0</v>
      </c>
      <c r="BM1043" s="763">
        <v>0</v>
      </c>
      <c r="BN1043" s="763">
        <v>0</v>
      </c>
      <c r="BO1043" s="763">
        <v>0</v>
      </c>
      <c r="BP1043" s="763">
        <v>0</v>
      </c>
      <c r="BQ1043" s="763">
        <v>0</v>
      </c>
      <c r="BR1043" s="763">
        <v>0</v>
      </c>
      <c r="BS1043" s="763">
        <v>0</v>
      </c>
      <c r="BT1043" s="762">
        <v>0</v>
      </c>
      <c r="BU1043" s="762">
        <v>0</v>
      </c>
      <c r="BV1043" s="762">
        <v>289.1840495751407</v>
      </c>
      <c r="BW1043" s="762">
        <v>289.1840495751407</v>
      </c>
      <c r="BX1043" s="762">
        <v>289.1840495751407</v>
      </c>
      <c r="BY1043" s="762">
        <v>91.321278813202326</v>
      </c>
      <c r="BZ1043" s="762">
        <v>91.321278813202326</v>
      </c>
      <c r="CA1043" s="762">
        <v>91.321278813202326</v>
      </c>
      <c r="CB1043" s="762">
        <v>91.321278813202326</v>
      </c>
      <c r="CC1043" s="762">
        <v>91.321278813202326</v>
      </c>
      <c r="CD1043" s="762">
        <v>91.321278813202326</v>
      </c>
      <c r="CE1043" s="762">
        <v>91.321278813202326</v>
      </c>
      <c r="CF1043" s="762">
        <v>91.321278813202326</v>
      </c>
      <c r="CG1043" s="762">
        <v>91.321278813202326</v>
      </c>
      <c r="CH1043" s="762">
        <v>0</v>
      </c>
      <c r="CI1043" s="762">
        <v>0</v>
      </c>
      <c r="CJ1043" s="762">
        <v>0</v>
      </c>
      <c r="CK1043" s="762">
        <v>0</v>
      </c>
      <c r="CL1043" s="762">
        <v>0</v>
      </c>
      <c r="CM1043" s="762">
        <v>0</v>
      </c>
      <c r="CN1043" s="762">
        <v>0</v>
      </c>
      <c r="CO1043" s="762">
        <v>0</v>
      </c>
      <c r="CP1043" s="762">
        <v>0</v>
      </c>
      <c r="CQ1043" s="762">
        <v>0</v>
      </c>
      <c r="CR1043" s="762">
        <v>0</v>
      </c>
    </row>
    <row r="1044" spans="1:96" s="53" customFormat="1">
      <c r="A1044" s="709" t="s">
        <v>3</v>
      </c>
      <c r="B1044" s="721">
        <v>41954</v>
      </c>
      <c r="C1044" s="721">
        <v>2014</v>
      </c>
      <c r="D1044" s="709" t="s">
        <v>1</v>
      </c>
      <c r="E1044" s="713" t="s">
        <v>674</v>
      </c>
      <c r="F1044" s="713" t="s">
        <v>689</v>
      </c>
      <c r="G1044" s="723" t="s">
        <v>58</v>
      </c>
      <c r="H1044" s="713" t="s">
        <v>675</v>
      </c>
      <c r="I1044" s="723" t="s">
        <v>5</v>
      </c>
      <c r="J1044" s="713" t="s">
        <v>376</v>
      </c>
      <c r="K1044" s="713">
        <v>7</v>
      </c>
      <c r="L1044" s="713" t="s">
        <v>671</v>
      </c>
      <c r="M1044" s="766" t="s">
        <v>691</v>
      </c>
      <c r="N1044" s="765">
        <v>12</v>
      </c>
      <c r="O1044" s="765">
        <v>3</v>
      </c>
      <c r="P1044" s="765">
        <v>0.36842105263157893</v>
      </c>
      <c r="Q1044" s="735" t="s">
        <v>58</v>
      </c>
      <c r="R1044" s="713" t="s">
        <v>58</v>
      </c>
      <c r="S1044" s="713" t="s">
        <v>58</v>
      </c>
      <c r="T1044" s="713" t="s">
        <v>58</v>
      </c>
      <c r="U1044" s="713">
        <v>0.39900000000000002</v>
      </c>
      <c r="V1044" s="764">
        <v>1297.9469999999999</v>
      </c>
      <c r="W1044" s="764">
        <v>0.31293989718291204</v>
      </c>
      <c r="X1044" s="764">
        <v>1072.3339415168602</v>
      </c>
      <c r="Y1044" s="764">
        <v>6772.635420106486</v>
      </c>
      <c r="Z1044" s="764">
        <v>6392.4895169241618</v>
      </c>
      <c r="AA1044" s="764">
        <v>1012.1441735129923</v>
      </c>
      <c r="AB1044" s="764">
        <v>0.29558533134189169</v>
      </c>
      <c r="AC1044" s="714">
        <v>0.82617698682369967</v>
      </c>
      <c r="AD1044" s="714">
        <v>0.7843105192554185</v>
      </c>
      <c r="AE1044" s="714" t="s">
        <v>58</v>
      </c>
      <c r="AF1044" s="713" t="s">
        <v>58</v>
      </c>
      <c r="AG1044" s="713" t="s">
        <v>58</v>
      </c>
      <c r="AH1044" s="713">
        <v>0.94387031345969796</v>
      </c>
      <c r="AI1044" s="714" t="s">
        <v>58</v>
      </c>
      <c r="AJ1044" s="713" t="s">
        <v>58</v>
      </c>
      <c r="AK1044" s="713" t="s">
        <v>58</v>
      </c>
      <c r="AL1044" s="713">
        <v>0.94454345387965444</v>
      </c>
      <c r="AM1044" s="714" t="s">
        <v>58</v>
      </c>
      <c r="AN1044" s="713" t="s">
        <v>58</v>
      </c>
      <c r="AO1044" s="713" t="s">
        <v>58</v>
      </c>
      <c r="AP1044" s="713">
        <v>73</v>
      </c>
      <c r="AQ1044" s="747">
        <v>511</v>
      </c>
      <c r="AR1044" s="747"/>
      <c r="AS1044" s="709">
        <v>0</v>
      </c>
      <c r="AT1044" s="763">
        <v>0</v>
      </c>
      <c r="AU1044" s="763">
        <v>0</v>
      </c>
      <c r="AV1044" s="763">
        <v>0.29558533134189169</v>
      </c>
      <c r="AW1044" s="763">
        <v>0.29558533134189169</v>
      </c>
      <c r="AX1044" s="763">
        <v>0.29558533134189169</v>
      </c>
      <c r="AY1044" s="763">
        <v>0.10889985891543377</v>
      </c>
      <c r="AZ1044" s="763">
        <v>0.10889985891543377</v>
      </c>
      <c r="BA1044" s="763">
        <v>0.10889985891543377</v>
      </c>
      <c r="BB1044" s="763">
        <v>0.10889985891543377</v>
      </c>
      <c r="BC1044" s="763">
        <v>0.10889985891543377</v>
      </c>
      <c r="BD1044" s="763">
        <v>0.10889985891543377</v>
      </c>
      <c r="BE1044" s="763">
        <v>0.10889985891543377</v>
      </c>
      <c r="BF1044" s="763">
        <v>0.10889985891543377</v>
      </c>
      <c r="BG1044" s="763">
        <v>0.10889985891543377</v>
      </c>
      <c r="BH1044" s="763">
        <v>0</v>
      </c>
      <c r="BI1044" s="763">
        <v>0</v>
      </c>
      <c r="BJ1044" s="763">
        <v>0</v>
      </c>
      <c r="BK1044" s="763">
        <v>0</v>
      </c>
      <c r="BL1044" s="763">
        <v>0</v>
      </c>
      <c r="BM1044" s="763">
        <v>0</v>
      </c>
      <c r="BN1044" s="763">
        <v>0</v>
      </c>
      <c r="BO1044" s="763">
        <v>0</v>
      </c>
      <c r="BP1044" s="763">
        <v>0</v>
      </c>
      <c r="BQ1044" s="763">
        <v>0</v>
      </c>
      <c r="BR1044" s="763">
        <v>0</v>
      </c>
      <c r="BS1044" s="763">
        <v>0</v>
      </c>
      <c r="BT1044" s="762">
        <v>0</v>
      </c>
      <c r="BU1044" s="762">
        <v>0</v>
      </c>
      <c r="BV1044" s="762">
        <v>1012.1441735129923</v>
      </c>
      <c r="BW1044" s="762">
        <v>1012.1441735129923</v>
      </c>
      <c r="BX1044" s="762">
        <v>1012.1441735129923</v>
      </c>
      <c r="BY1044" s="762">
        <v>372.89522182057613</v>
      </c>
      <c r="BZ1044" s="762">
        <v>372.89522182057613</v>
      </c>
      <c r="CA1044" s="762">
        <v>372.89522182057613</v>
      </c>
      <c r="CB1044" s="762">
        <v>372.89522182057613</v>
      </c>
      <c r="CC1044" s="762">
        <v>372.89522182057613</v>
      </c>
      <c r="CD1044" s="762">
        <v>372.89522182057613</v>
      </c>
      <c r="CE1044" s="762">
        <v>372.89522182057613</v>
      </c>
      <c r="CF1044" s="762">
        <v>372.89522182057613</v>
      </c>
      <c r="CG1044" s="762">
        <v>372.89522182057613</v>
      </c>
      <c r="CH1044" s="762">
        <v>0</v>
      </c>
      <c r="CI1044" s="762">
        <v>0</v>
      </c>
      <c r="CJ1044" s="762">
        <v>0</v>
      </c>
      <c r="CK1044" s="762">
        <v>0</v>
      </c>
      <c r="CL1044" s="762">
        <v>0</v>
      </c>
      <c r="CM1044" s="762">
        <v>0</v>
      </c>
      <c r="CN1044" s="762">
        <v>0</v>
      </c>
      <c r="CO1044" s="762">
        <v>0</v>
      </c>
      <c r="CP1044" s="762">
        <v>0</v>
      </c>
      <c r="CQ1044" s="762">
        <v>0</v>
      </c>
      <c r="CR1044" s="762">
        <v>0</v>
      </c>
    </row>
    <row r="1045" spans="1:96" s="53" customFormat="1">
      <c r="A1045" s="709" t="s">
        <v>3</v>
      </c>
      <c r="B1045" s="721">
        <v>41934</v>
      </c>
      <c r="C1045" s="721">
        <v>2014</v>
      </c>
      <c r="D1045" s="709" t="s">
        <v>1</v>
      </c>
      <c r="E1045" s="713" t="s">
        <v>674</v>
      </c>
      <c r="F1045" s="713" t="s">
        <v>689</v>
      </c>
      <c r="G1045" s="723" t="s">
        <v>58</v>
      </c>
      <c r="H1045" s="713" t="s">
        <v>690</v>
      </c>
      <c r="I1045" s="723" t="s">
        <v>5</v>
      </c>
      <c r="J1045" s="713" t="s">
        <v>376</v>
      </c>
      <c r="K1045" s="713">
        <v>2</v>
      </c>
      <c r="L1045" s="713" t="s">
        <v>671</v>
      </c>
      <c r="M1045" s="766" t="s">
        <v>687</v>
      </c>
      <c r="N1045" s="765">
        <v>3</v>
      </c>
      <c r="O1045" s="765" t="s">
        <v>7</v>
      </c>
      <c r="P1045" s="765">
        <v>1</v>
      </c>
      <c r="Q1045" s="735" t="s">
        <v>58</v>
      </c>
      <c r="R1045" s="713" t="s">
        <v>58</v>
      </c>
      <c r="S1045" s="713" t="s">
        <v>58</v>
      </c>
      <c r="T1045" s="713" t="s">
        <v>58</v>
      </c>
      <c r="U1045" s="713">
        <v>0.09</v>
      </c>
      <c r="V1045" s="764">
        <v>334.89</v>
      </c>
      <c r="W1045" s="764">
        <v>7.0587946732987669E-2</v>
      </c>
      <c r="X1045" s="764">
        <v>276.67841111738875</v>
      </c>
      <c r="Y1045" s="764">
        <v>830.03523335216619</v>
      </c>
      <c r="Z1045" s="764">
        <v>783.44561588670263</v>
      </c>
      <c r="AA1045" s="764">
        <v>261.14853862890089</v>
      </c>
      <c r="AB1045" s="764">
        <v>6.6673383009449236E-2</v>
      </c>
      <c r="AC1045" s="714">
        <v>0.82617698682369967</v>
      </c>
      <c r="AD1045" s="714">
        <v>0.7843105192554185</v>
      </c>
      <c r="AE1045" s="714" t="s">
        <v>58</v>
      </c>
      <c r="AF1045" s="713" t="s">
        <v>58</v>
      </c>
      <c r="AG1045" s="713" t="s">
        <v>58</v>
      </c>
      <c r="AH1045" s="713">
        <v>0.94387031345969796</v>
      </c>
      <c r="AI1045" s="714" t="s">
        <v>58</v>
      </c>
      <c r="AJ1045" s="713" t="s">
        <v>58</v>
      </c>
      <c r="AK1045" s="713" t="s">
        <v>58</v>
      </c>
      <c r="AL1045" s="713">
        <v>0.94454345387965444</v>
      </c>
      <c r="AM1045" s="714" t="s">
        <v>58</v>
      </c>
      <c r="AN1045" s="713" t="s">
        <v>58</v>
      </c>
      <c r="AO1045" s="713" t="s">
        <v>58</v>
      </c>
      <c r="AP1045" s="713">
        <v>13</v>
      </c>
      <c r="AQ1045" s="747">
        <v>26</v>
      </c>
      <c r="AR1045" s="747"/>
      <c r="AS1045" s="709">
        <v>0</v>
      </c>
      <c r="AT1045" s="763">
        <v>0</v>
      </c>
      <c r="AU1045" s="763">
        <v>0</v>
      </c>
      <c r="AV1045" s="763">
        <v>6.6673383009449236E-2</v>
      </c>
      <c r="AW1045" s="763">
        <v>6.6673383009449236E-2</v>
      </c>
      <c r="AX1045" s="763">
        <v>6.6673383009449236E-2</v>
      </c>
      <c r="AY1045" s="763">
        <v>0</v>
      </c>
      <c r="AZ1045" s="763">
        <v>0</v>
      </c>
      <c r="BA1045" s="763">
        <v>0</v>
      </c>
      <c r="BB1045" s="763">
        <v>0</v>
      </c>
      <c r="BC1045" s="763">
        <v>0</v>
      </c>
      <c r="BD1045" s="763">
        <v>0</v>
      </c>
      <c r="BE1045" s="763">
        <v>0</v>
      </c>
      <c r="BF1045" s="763">
        <v>0</v>
      </c>
      <c r="BG1045" s="763">
        <v>0</v>
      </c>
      <c r="BH1045" s="763">
        <v>0</v>
      </c>
      <c r="BI1045" s="763">
        <v>0</v>
      </c>
      <c r="BJ1045" s="763">
        <v>0</v>
      </c>
      <c r="BK1045" s="763">
        <v>0</v>
      </c>
      <c r="BL1045" s="763">
        <v>0</v>
      </c>
      <c r="BM1045" s="763">
        <v>0</v>
      </c>
      <c r="BN1045" s="763">
        <v>0</v>
      </c>
      <c r="BO1045" s="763">
        <v>0</v>
      </c>
      <c r="BP1045" s="763">
        <v>0</v>
      </c>
      <c r="BQ1045" s="763">
        <v>0</v>
      </c>
      <c r="BR1045" s="763">
        <v>0</v>
      </c>
      <c r="BS1045" s="763">
        <v>0</v>
      </c>
      <c r="BT1045" s="762">
        <v>0</v>
      </c>
      <c r="BU1045" s="762">
        <v>0</v>
      </c>
      <c r="BV1045" s="762">
        <v>261.14853862890089</v>
      </c>
      <c r="BW1045" s="762">
        <v>261.14853862890089</v>
      </c>
      <c r="BX1045" s="762">
        <v>261.14853862890089</v>
      </c>
      <c r="BY1045" s="762">
        <v>0</v>
      </c>
      <c r="BZ1045" s="762">
        <v>0</v>
      </c>
      <c r="CA1045" s="762">
        <v>0</v>
      </c>
      <c r="CB1045" s="762">
        <v>0</v>
      </c>
      <c r="CC1045" s="762">
        <v>0</v>
      </c>
      <c r="CD1045" s="762">
        <v>0</v>
      </c>
      <c r="CE1045" s="762">
        <v>0</v>
      </c>
      <c r="CF1045" s="762">
        <v>0</v>
      </c>
      <c r="CG1045" s="762">
        <v>0</v>
      </c>
      <c r="CH1045" s="762">
        <v>0</v>
      </c>
      <c r="CI1045" s="762">
        <v>0</v>
      </c>
      <c r="CJ1045" s="762">
        <v>0</v>
      </c>
      <c r="CK1045" s="762">
        <v>0</v>
      </c>
      <c r="CL1045" s="762">
        <v>0</v>
      </c>
      <c r="CM1045" s="762">
        <v>0</v>
      </c>
      <c r="CN1045" s="762">
        <v>0</v>
      </c>
      <c r="CO1045" s="762">
        <v>0</v>
      </c>
      <c r="CP1045" s="762">
        <v>0</v>
      </c>
      <c r="CQ1045" s="762">
        <v>0</v>
      </c>
      <c r="CR1045" s="762">
        <v>0</v>
      </c>
    </row>
    <row r="1046" spans="1:96" s="53" customFormat="1">
      <c r="A1046" s="709" t="s">
        <v>3</v>
      </c>
      <c r="B1046" s="721">
        <v>41934</v>
      </c>
      <c r="C1046" s="721">
        <v>2014</v>
      </c>
      <c r="D1046" s="709" t="s">
        <v>1</v>
      </c>
      <c r="E1046" s="713" t="s">
        <v>674</v>
      </c>
      <c r="F1046" s="713" t="s">
        <v>689</v>
      </c>
      <c r="G1046" s="723" t="s">
        <v>58</v>
      </c>
      <c r="H1046" s="713" t="s">
        <v>677</v>
      </c>
      <c r="I1046" s="723" t="s">
        <v>5</v>
      </c>
      <c r="J1046" s="713" t="s">
        <v>376</v>
      </c>
      <c r="K1046" s="713">
        <v>1</v>
      </c>
      <c r="L1046" s="713" t="s">
        <v>671</v>
      </c>
      <c r="M1046" s="766" t="s">
        <v>687</v>
      </c>
      <c r="N1046" s="765">
        <v>0</v>
      </c>
      <c r="O1046" s="765">
        <v>0</v>
      </c>
      <c r="P1046" s="765">
        <v>0</v>
      </c>
      <c r="Q1046" s="735" t="s">
        <v>58</v>
      </c>
      <c r="R1046" s="713" t="s">
        <v>58</v>
      </c>
      <c r="S1046" s="713" t="s">
        <v>58</v>
      </c>
      <c r="T1046" s="713" t="s">
        <v>58</v>
      </c>
      <c r="U1046" s="713">
        <v>0</v>
      </c>
      <c r="V1046" s="764">
        <v>0</v>
      </c>
      <c r="W1046" s="764">
        <v>0</v>
      </c>
      <c r="X1046" s="764">
        <v>0</v>
      </c>
      <c r="Y1046" s="764">
        <v>0</v>
      </c>
      <c r="Z1046" s="764">
        <v>0</v>
      </c>
      <c r="AA1046" s="764">
        <v>0</v>
      </c>
      <c r="AB1046" s="764">
        <v>0</v>
      </c>
      <c r="AC1046" s="714">
        <v>0.82617698682369967</v>
      </c>
      <c r="AD1046" s="714">
        <v>0.7843105192554185</v>
      </c>
      <c r="AE1046" s="714" t="s">
        <v>58</v>
      </c>
      <c r="AF1046" s="713" t="s">
        <v>58</v>
      </c>
      <c r="AG1046" s="713" t="s">
        <v>58</v>
      </c>
      <c r="AH1046" s="713">
        <v>0.94387031345969796</v>
      </c>
      <c r="AI1046" s="714" t="s">
        <v>58</v>
      </c>
      <c r="AJ1046" s="713" t="s">
        <v>58</v>
      </c>
      <c r="AK1046" s="713" t="s">
        <v>58</v>
      </c>
      <c r="AL1046" s="713">
        <v>0.94454345387965444</v>
      </c>
      <c r="AM1046" s="714" t="s">
        <v>58</v>
      </c>
      <c r="AN1046" s="713" t="s">
        <v>58</v>
      </c>
      <c r="AO1046" s="713" t="s">
        <v>58</v>
      </c>
      <c r="AP1046" s="713">
        <v>51</v>
      </c>
      <c r="AQ1046" s="747">
        <v>51</v>
      </c>
      <c r="AR1046" s="747"/>
      <c r="AS1046" s="709">
        <v>0</v>
      </c>
      <c r="AT1046" s="763">
        <v>0</v>
      </c>
      <c r="AU1046" s="763">
        <v>0</v>
      </c>
      <c r="AV1046" s="763">
        <v>0</v>
      </c>
      <c r="AW1046" s="763">
        <v>0</v>
      </c>
      <c r="AX1046" s="763">
        <v>0</v>
      </c>
      <c r="AY1046" s="763">
        <v>0</v>
      </c>
      <c r="AZ1046" s="763">
        <v>0</v>
      </c>
      <c r="BA1046" s="763">
        <v>0</v>
      </c>
      <c r="BB1046" s="763">
        <v>0</v>
      </c>
      <c r="BC1046" s="763">
        <v>0</v>
      </c>
      <c r="BD1046" s="763">
        <v>0</v>
      </c>
      <c r="BE1046" s="763">
        <v>0</v>
      </c>
      <c r="BF1046" s="763">
        <v>0</v>
      </c>
      <c r="BG1046" s="763">
        <v>0</v>
      </c>
      <c r="BH1046" s="763">
        <v>0</v>
      </c>
      <c r="BI1046" s="763">
        <v>0</v>
      </c>
      <c r="BJ1046" s="763">
        <v>0</v>
      </c>
      <c r="BK1046" s="763">
        <v>0</v>
      </c>
      <c r="BL1046" s="763">
        <v>0</v>
      </c>
      <c r="BM1046" s="763">
        <v>0</v>
      </c>
      <c r="BN1046" s="763">
        <v>0</v>
      </c>
      <c r="BO1046" s="763">
        <v>0</v>
      </c>
      <c r="BP1046" s="763">
        <v>0</v>
      </c>
      <c r="BQ1046" s="763">
        <v>0</v>
      </c>
      <c r="BR1046" s="763">
        <v>0</v>
      </c>
      <c r="BS1046" s="763">
        <v>0</v>
      </c>
      <c r="BT1046" s="762">
        <v>0</v>
      </c>
      <c r="BU1046" s="762">
        <v>0</v>
      </c>
      <c r="BV1046" s="762">
        <v>0</v>
      </c>
      <c r="BW1046" s="762">
        <v>0</v>
      </c>
      <c r="BX1046" s="762">
        <v>0</v>
      </c>
      <c r="BY1046" s="762">
        <v>0</v>
      </c>
      <c r="BZ1046" s="762">
        <v>0</v>
      </c>
      <c r="CA1046" s="762">
        <v>0</v>
      </c>
      <c r="CB1046" s="762">
        <v>0</v>
      </c>
      <c r="CC1046" s="762">
        <v>0</v>
      </c>
      <c r="CD1046" s="762">
        <v>0</v>
      </c>
      <c r="CE1046" s="762">
        <v>0</v>
      </c>
      <c r="CF1046" s="762">
        <v>0</v>
      </c>
      <c r="CG1046" s="762">
        <v>0</v>
      </c>
      <c r="CH1046" s="762">
        <v>0</v>
      </c>
      <c r="CI1046" s="762">
        <v>0</v>
      </c>
      <c r="CJ1046" s="762">
        <v>0</v>
      </c>
      <c r="CK1046" s="762">
        <v>0</v>
      </c>
      <c r="CL1046" s="762">
        <v>0</v>
      </c>
      <c r="CM1046" s="762">
        <v>0</v>
      </c>
      <c r="CN1046" s="762">
        <v>0</v>
      </c>
      <c r="CO1046" s="762">
        <v>0</v>
      </c>
      <c r="CP1046" s="762">
        <v>0</v>
      </c>
      <c r="CQ1046" s="762">
        <v>0</v>
      </c>
      <c r="CR1046" s="762">
        <v>0</v>
      </c>
    </row>
    <row r="1047" spans="1:96" s="53" customFormat="1">
      <c r="A1047" s="709" t="s">
        <v>3</v>
      </c>
      <c r="B1047" s="721">
        <v>41934</v>
      </c>
      <c r="C1047" s="721">
        <v>2014</v>
      </c>
      <c r="D1047" s="709" t="s">
        <v>1</v>
      </c>
      <c r="E1047" s="713" t="s">
        <v>674</v>
      </c>
      <c r="F1047" s="713" t="s">
        <v>689</v>
      </c>
      <c r="G1047" s="723" t="s">
        <v>58</v>
      </c>
      <c r="H1047" s="713" t="s">
        <v>676</v>
      </c>
      <c r="I1047" s="723" t="s">
        <v>5</v>
      </c>
      <c r="J1047" s="713" t="s">
        <v>376</v>
      </c>
      <c r="K1047" s="713">
        <v>5</v>
      </c>
      <c r="L1047" s="713" t="s">
        <v>671</v>
      </c>
      <c r="M1047" s="766" t="s">
        <v>687</v>
      </c>
      <c r="N1047" s="765">
        <v>12</v>
      </c>
      <c r="O1047" s="765">
        <v>3</v>
      </c>
      <c r="P1047" s="765">
        <v>0.31578947368421051</v>
      </c>
      <c r="Q1047" s="735" t="s">
        <v>58</v>
      </c>
      <c r="R1047" s="713" t="s">
        <v>58</v>
      </c>
      <c r="S1047" s="713" t="s">
        <v>58</v>
      </c>
      <c r="T1047" s="713" t="s">
        <v>58</v>
      </c>
      <c r="U1047" s="713">
        <v>0.19</v>
      </c>
      <c r="V1047" s="764">
        <v>618.07000000000005</v>
      </c>
      <c r="W1047" s="764">
        <v>0.14901899865852955</v>
      </c>
      <c r="X1047" s="764">
        <v>510.63521024612407</v>
      </c>
      <c r="Y1047" s="764">
        <v>2983.1846493326193</v>
      </c>
      <c r="Z1047" s="764">
        <v>2815.7394300737387</v>
      </c>
      <c r="AA1047" s="764">
        <v>481.9734159585679</v>
      </c>
      <c r="AB1047" s="764">
        <v>0.1407549196866151</v>
      </c>
      <c r="AC1047" s="714">
        <v>0.82617698682369967</v>
      </c>
      <c r="AD1047" s="714">
        <v>0.7843105192554185</v>
      </c>
      <c r="AE1047" s="714" t="s">
        <v>58</v>
      </c>
      <c r="AF1047" s="713" t="s">
        <v>58</v>
      </c>
      <c r="AG1047" s="713" t="s">
        <v>58</v>
      </c>
      <c r="AH1047" s="713">
        <v>0.94387031345969796</v>
      </c>
      <c r="AI1047" s="714" t="s">
        <v>58</v>
      </c>
      <c r="AJ1047" s="713" t="s">
        <v>58</v>
      </c>
      <c r="AK1047" s="713" t="s">
        <v>58</v>
      </c>
      <c r="AL1047" s="713">
        <v>0.94454345387965444</v>
      </c>
      <c r="AM1047" s="714" t="s">
        <v>58</v>
      </c>
      <c r="AN1047" s="713" t="s">
        <v>58</v>
      </c>
      <c r="AO1047" s="713" t="s">
        <v>58</v>
      </c>
      <c r="AP1047" s="713">
        <v>57</v>
      </c>
      <c r="AQ1047" s="747">
        <v>285</v>
      </c>
      <c r="AR1047" s="747"/>
      <c r="AS1047" s="709">
        <v>0</v>
      </c>
      <c r="AT1047" s="763">
        <v>0</v>
      </c>
      <c r="AU1047" s="763">
        <v>0</v>
      </c>
      <c r="AV1047" s="763">
        <v>0.1407549196866151</v>
      </c>
      <c r="AW1047" s="763">
        <v>0.1407549196866151</v>
      </c>
      <c r="AX1047" s="763">
        <v>0.1407549196866151</v>
      </c>
      <c r="AY1047" s="763">
        <v>4.4448922006299504E-2</v>
      </c>
      <c r="AZ1047" s="763">
        <v>4.4448922006299504E-2</v>
      </c>
      <c r="BA1047" s="763">
        <v>4.4448922006299504E-2</v>
      </c>
      <c r="BB1047" s="763">
        <v>4.4448922006299504E-2</v>
      </c>
      <c r="BC1047" s="763">
        <v>4.4448922006299504E-2</v>
      </c>
      <c r="BD1047" s="763">
        <v>4.4448922006299504E-2</v>
      </c>
      <c r="BE1047" s="763">
        <v>4.4448922006299504E-2</v>
      </c>
      <c r="BF1047" s="763">
        <v>4.4448922006299504E-2</v>
      </c>
      <c r="BG1047" s="763">
        <v>4.4448922006299504E-2</v>
      </c>
      <c r="BH1047" s="763">
        <v>0</v>
      </c>
      <c r="BI1047" s="763">
        <v>0</v>
      </c>
      <c r="BJ1047" s="763">
        <v>0</v>
      </c>
      <c r="BK1047" s="763">
        <v>0</v>
      </c>
      <c r="BL1047" s="763">
        <v>0</v>
      </c>
      <c r="BM1047" s="763">
        <v>0</v>
      </c>
      <c r="BN1047" s="763">
        <v>0</v>
      </c>
      <c r="BO1047" s="763">
        <v>0</v>
      </c>
      <c r="BP1047" s="763">
        <v>0</v>
      </c>
      <c r="BQ1047" s="763">
        <v>0</v>
      </c>
      <c r="BR1047" s="763">
        <v>0</v>
      </c>
      <c r="BS1047" s="763">
        <v>0</v>
      </c>
      <c r="BT1047" s="762">
        <v>0</v>
      </c>
      <c r="BU1047" s="762">
        <v>0</v>
      </c>
      <c r="BV1047" s="762">
        <v>481.9734159585679</v>
      </c>
      <c r="BW1047" s="762">
        <v>481.9734159585679</v>
      </c>
      <c r="BX1047" s="762">
        <v>481.9734159585679</v>
      </c>
      <c r="BY1047" s="762">
        <v>152.20213135533723</v>
      </c>
      <c r="BZ1047" s="762">
        <v>152.20213135533723</v>
      </c>
      <c r="CA1047" s="762">
        <v>152.20213135533723</v>
      </c>
      <c r="CB1047" s="762">
        <v>152.20213135533723</v>
      </c>
      <c r="CC1047" s="762">
        <v>152.20213135533723</v>
      </c>
      <c r="CD1047" s="762">
        <v>152.20213135533723</v>
      </c>
      <c r="CE1047" s="762">
        <v>152.20213135533723</v>
      </c>
      <c r="CF1047" s="762">
        <v>152.20213135533723</v>
      </c>
      <c r="CG1047" s="762">
        <v>152.20213135533723</v>
      </c>
      <c r="CH1047" s="762">
        <v>0</v>
      </c>
      <c r="CI1047" s="762">
        <v>0</v>
      </c>
      <c r="CJ1047" s="762">
        <v>0</v>
      </c>
      <c r="CK1047" s="762">
        <v>0</v>
      </c>
      <c r="CL1047" s="762">
        <v>0</v>
      </c>
      <c r="CM1047" s="762">
        <v>0</v>
      </c>
      <c r="CN1047" s="762">
        <v>0</v>
      </c>
      <c r="CO1047" s="762">
        <v>0</v>
      </c>
      <c r="CP1047" s="762">
        <v>0</v>
      </c>
      <c r="CQ1047" s="762">
        <v>0</v>
      </c>
      <c r="CR1047" s="762">
        <v>0</v>
      </c>
    </row>
    <row r="1048" spans="1:96" s="53" customFormat="1">
      <c r="A1048" s="709" t="s">
        <v>3</v>
      </c>
      <c r="B1048" s="721">
        <v>41934</v>
      </c>
      <c r="C1048" s="721">
        <v>2014</v>
      </c>
      <c r="D1048" s="709" t="s">
        <v>1</v>
      </c>
      <c r="E1048" s="713" t="s">
        <v>674</v>
      </c>
      <c r="F1048" s="713" t="s">
        <v>689</v>
      </c>
      <c r="G1048" s="723" t="s">
        <v>58</v>
      </c>
      <c r="H1048" s="713" t="s">
        <v>684</v>
      </c>
      <c r="I1048" s="723" t="s">
        <v>5</v>
      </c>
      <c r="J1048" s="713" t="s">
        <v>376</v>
      </c>
      <c r="K1048" s="713">
        <v>18</v>
      </c>
      <c r="L1048" s="713" t="s">
        <v>671</v>
      </c>
      <c r="M1048" s="766" t="s">
        <v>687</v>
      </c>
      <c r="N1048" s="765">
        <v>11</v>
      </c>
      <c r="O1048" s="765">
        <v>2</v>
      </c>
      <c r="P1048" s="765">
        <v>0.43976996379393668</v>
      </c>
      <c r="Q1048" s="735" t="s">
        <v>58</v>
      </c>
      <c r="R1048" s="713" t="s">
        <v>58</v>
      </c>
      <c r="S1048" s="713" t="s">
        <v>58</v>
      </c>
      <c r="T1048" s="713" t="s">
        <v>58</v>
      </c>
      <c r="U1048" s="713">
        <v>1.224</v>
      </c>
      <c r="V1048" s="764">
        <v>4554.5039999999999</v>
      </c>
      <c r="W1048" s="764">
        <v>0.95999607556863242</v>
      </c>
      <c r="X1048" s="764">
        <v>3762.8263911964873</v>
      </c>
      <c r="Y1048" s="764">
        <v>22418.655014767111</v>
      </c>
      <c r="Z1048" s="764">
        <v>21160.302936133063</v>
      </c>
      <c r="AA1048" s="764">
        <v>3551.6201253530526</v>
      </c>
      <c r="AB1048" s="764">
        <v>0.90675800892850977</v>
      </c>
      <c r="AC1048" s="714">
        <v>0.82617698682369967</v>
      </c>
      <c r="AD1048" s="714">
        <v>0.7843105192554185</v>
      </c>
      <c r="AE1048" s="714" t="s">
        <v>58</v>
      </c>
      <c r="AF1048" s="713" t="s">
        <v>58</v>
      </c>
      <c r="AG1048" s="713" t="s">
        <v>58</v>
      </c>
      <c r="AH1048" s="713">
        <v>0.94387031345969796</v>
      </c>
      <c r="AI1048" s="714" t="s">
        <v>58</v>
      </c>
      <c r="AJ1048" s="713" t="s">
        <v>58</v>
      </c>
      <c r="AK1048" s="713" t="s">
        <v>58</v>
      </c>
      <c r="AL1048" s="713">
        <v>0.94454345387965444</v>
      </c>
      <c r="AM1048" s="714" t="s">
        <v>58</v>
      </c>
      <c r="AN1048" s="713" t="s">
        <v>58</v>
      </c>
      <c r="AO1048" s="713" t="s">
        <v>58</v>
      </c>
      <c r="AP1048" s="713">
        <v>48</v>
      </c>
      <c r="AQ1048" s="747">
        <v>864</v>
      </c>
      <c r="AR1048" s="747"/>
      <c r="AS1048" s="709">
        <v>0</v>
      </c>
      <c r="AT1048" s="763">
        <v>0</v>
      </c>
      <c r="AU1048" s="763">
        <v>0</v>
      </c>
      <c r="AV1048" s="763">
        <v>0.90675800892850977</v>
      </c>
      <c r="AW1048" s="763">
        <v>0.90675800892850977</v>
      </c>
      <c r="AX1048" s="763">
        <v>0.39876493675635288</v>
      </c>
      <c r="AY1048" s="763">
        <v>0.39876493675635288</v>
      </c>
      <c r="AZ1048" s="763">
        <v>0.39876493675635288</v>
      </c>
      <c r="BA1048" s="763">
        <v>0.39876493675635288</v>
      </c>
      <c r="BB1048" s="763">
        <v>0.39876493675635288</v>
      </c>
      <c r="BC1048" s="763">
        <v>0.39876493675635288</v>
      </c>
      <c r="BD1048" s="763">
        <v>0.39876493675635288</v>
      </c>
      <c r="BE1048" s="763">
        <v>0.39876493675635288</v>
      </c>
      <c r="BF1048" s="763">
        <v>0.39876493675635288</v>
      </c>
      <c r="BG1048" s="763">
        <v>0</v>
      </c>
      <c r="BH1048" s="763">
        <v>0</v>
      </c>
      <c r="BI1048" s="763">
        <v>0</v>
      </c>
      <c r="BJ1048" s="763">
        <v>0</v>
      </c>
      <c r="BK1048" s="763">
        <v>0</v>
      </c>
      <c r="BL1048" s="763">
        <v>0</v>
      </c>
      <c r="BM1048" s="763">
        <v>0</v>
      </c>
      <c r="BN1048" s="763">
        <v>0</v>
      </c>
      <c r="BO1048" s="763">
        <v>0</v>
      </c>
      <c r="BP1048" s="763">
        <v>0</v>
      </c>
      <c r="BQ1048" s="763">
        <v>0</v>
      </c>
      <c r="BR1048" s="763">
        <v>0</v>
      </c>
      <c r="BS1048" s="763">
        <v>0</v>
      </c>
      <c r="BT1048" s="762">
        <v>0</v>
      </c>
      <c r="BU1048" s="762">
        <v>0</v>
      </c>
      <c r="BV1048" s="762">
        <v>3551.6201253530526</v>
      </c>
      <c r="BW1048" s="762">
        <v>3551.6201253530526</v>
      </c>
      <c r="BX1048" s="762">
        <v>1561.8958539363289</v>
      </c>
      <c r="BY1048" s="762">
        <v>1561.8958539363289</v>
      </c>
      <c r="BZ1048" s="762">
        <v>1561.8958539363289</v>
      </c>
      <c r="CA1048" s="762">
        <v>1561.8958539363289</v>
      </c>
      <c r="CB1048" s="762">
        <v>1561.8958539363289</v>
      </c>
      <c r="CC1048" s="762">
        <v>1561.8958539363289</v>
      </c>
      <c r="CD1048" s="762">
        <v>1561.8958539363289</v>
      </c>
      <c r="CE1048" s="762">
        <v>1561.8958539363289</v>
      </c>
      <c r="CF1048" s="762">
        <v>1561.8958539363289</v>
      </c>
      <c r="CG1048" s="762">
        <v>0</v>
      </c>
      <c r="CH1048" s="762">
        <v>0</v>
      </c>
      <c r="CI1048" s="762">
        <v>0</v>
      </c>
      <c r="CJ1048" s="762">
        <v>0</v>
      </c>
      <c r="CK1048" s="762">
        <v>0</v>
      </c>
      <c r="CL1048" s="762">
        <v>0</v>
      </c>
      <c r="CM1048" s="762">
        <v>0</v>
      </c>
      <c r="CN1048" s="762">
        <v>0</v>
      </c>
      <c r="CO1048" s="762">
        <v>0</v>
      </c>
      <c r="CP1048" s="762">
        <v>0</v>
      </c>
      <c r="CQ1048" s="762">
        <v>0</v>
      </c>
      <c r="CR1048" s="762">
        <v>0</v>
      </c>
    </row>
    <row r="1049" spans="1:96" s="53" customFormat="1">
      <c r="A1049" s="709" t="s">
        <v>3</v>
      </c>
      <c r="B1049" s="721">
        <v>41934</v>
      </c>
      <c r="C1049" s="721">
        <v>2014</v>
      </c>
      <c r="D1049" s="709" t="s">
        <v>1</v>
      </c>
      <c r="E1049" s="713" t="s">
        <v>674</v>
      </c>
      <c r="F1049" s="713" t="s">
        <v>689</v>
      </c>
      <c r="G1049" s="723" t="s">
        <v>58</v>
      </c>
      <c r="H1049" s="713" t="s">
        <v>688</v>
      </c>
      <c r="I1049" s="723" t="s">
        <v>5</v>
      </c>
      <c r="J1049" s="713" t="s">
        <v>376</v>
      </c>
      <c r="K1049" s="713">
        <v>5</v>
      </c>
      <c r="L1049" s="713" t="s">
        <v>671</v>
      </c>
      <c r="M1049" s="766" t="s">
        <v>687</v>
      </c>
      <c r="N1049" s="765">
        <v>11</v>
      </c>
      <c r="O1049" s="765" t="s">
        <v>7</v>
      </c>
      <c r="P1049" s="765">
        <v>1</v>
      </c>
      <c r="Q1049" s="735" t="s">
        <v>58</v>
      </c>
      <c r="R1049" s="713" t="s">
        <v>58</v>
      </c>
      <c r="S1049" s="713" t="s">
        <v>58</v>
      </c>
      <c r="T1049" s="713" t="s">
        <v>58</v>
      </c>
      <c r="U1049" s="713">
        <v>0.17</v>
      </c>
      <c r="V1049" s="764">
        <v>632.57000000000005</v>
      </c>
      <c r="W1049" s="764">
        <v>0.13333278827342118</v>
      </c>
      <c r="X1049" s="764">
        <v>522.61477655506769</v>
      </c>
      <c r="Y1049" s="764">
        <v>5748.7625421057446</v>
      </c>
      <c r="Z1049" s="764">
        <v>5426.0863026227189</v>
      </c>
      <c r="AA1049" s="764">
        <v>493.28057296570177</v>
      </c>
      <c r="AB1049" s="764">
        <v>0.12593861235118192</v>
      </c>
      <c r="AC1049" s="714">
        <v>0.82617698682369967</v>
      </c>
      <c r="AD1049" s="714">
        <v>0.7843105192554185</v>
      </c>
      <c r="AE1049" s="714" t="s">
        <v>58</v>
      </c>
      <c r="AF1049" s="713" t="s">
        <v>58</v>
      </c>
      <c r="AG1049" s="713" t="s">
        <v>58</v>
      </c>
      <c r="AH1049" s="713">
        <v>0.94387031345969796</v>
      </c>
      <c r="AI1049" s="714" t="s">
        <v>58</v>
      </c>
      <c r="AJ1049" s="713" t="s">
        <v>58</v>
      </c>
      <c r="AK1049" s="713" t="s">
        <v>58</v>
      </c>
      <c r="AL1049" s="713">
        <v>0.94454345387965444</v>
      </c>
      <c r="AM1049" s="714" t="s">
        <v>58</v>
      </c>
      <c r="AN1049" s="713" t="s">
        <v>58</v>
      </c>
      <c r="AO1049" s="713" t="s">
        <v>58</v>
      </c>
      <c r="AP1049" s="713">
        <v>47</v>
      </c>
      <c r="AQ1049" s="747">
        <v>235</v>
      </c>
      <c r="AR1049" s="747"/>
      <c r="AS1049" s="709">
        <v>0</v>
      </c>
      <c r="AT1049" s="763">
        <v>0</v>
      </c>
      <c r="AU1049" s="763">
        <v>0</v>
      </c>
      <c r="AV1049" s="763">
        <v>0.12593861235118192</v>
      </c>
      <c r="AW1049" s="763">
        <v>0.12593861235118192</v>
      </c>
      <c r="AX1049" s="763">
        <v>0.12593861235118192</v>
      </c>
      <c r="AY1049" s="763">
        <v>0.12593861235118192</v>
      </c>
      <c r="AZ1049" s="763">
        <v>0.12593861235118192</v>
      </c>
      <c r="BA1049" s="763">
        <v>0.12593861235118192</v>
      </c>
      <c r="BB1049" s="763">
        <v>0.12593861235118192</v>
      </c>
      <c r="BC1049" s="763">
        <v>0.12593861235118192</v>
      </c>
      <c r="BD1049" s="763">
        <v>0.12593861235118192</v>
      </c>
      <c r="BE1049" s="763">
        <v>0.12593861235118192</v>
      </c>
      <c r="BF1049" s="763">
        <v>0.12593861235118192</v>
      </c>
      <c r="BG1049" s="763">
        <v>0</v>
      </c>
      <c r="BH1049" s="763">
        <v>0</v>
      </c>
      <c r="BI1049" s="763">
        <v>0</v>
      </c>
      <c r="BJ1049" s="763">
        <v>0</v>
      </c>
      <c r="BK1049" s="763">
        <v>0</v>
      </c>
      <c r="BL1049" s="763">
        <v>0</v>
      </c>
      <c r="BM1049" s="763">
        <v>0</v>
      </c>
      <c r="BN1049" s="763">
        <v>0</v>
      </c>
      <c r="BO1049" s="763">
        <v>0</v>
      </c>
      <c r="BP1049" s="763">
        <v>0</v>
      </c>
      <c r="BQ1049" s="763">
        <v>0</v>
      </c>
      <c r="BR1049" s="763">
        <v>0</v>
      </c>
      <c r="BS1049" s="763">
        <v>0</v>
      </c>
      <c r="BT1049" s="762">
        <v>0</v>
      </c>
      <c r="BU1049" s="762">
        <v>0</v>
      </c>
      <c r="BV1049" s="762">
        <v>493.28057296570177</v>
      </c>
      <c r="BW1049" s="762">
        <v>493.28057296570177</v>
      </c>
      <c r="BX1049" s="762">
        <v>493.28057296570177</v>
      </c>
      <c r="BY1049" s="762">
        <v>493.28057296570177</v>
      </c>
      <c r="BZ1049" s="762">
        <v>493.28057296570177</v>
      </c>
      <c r="CA1049" s="762">
        <v>493.28057296570177</v>
      </c>
      <c r="CB1049" s="762">
        <v>493.28057296570177</v>
      </c>
      <c r="CC1049" s="762">
        <v>493.28057296570177</v>
      </c>
      <c r="CD1049" s="762">
        <v>493.28057296570177</v>
      </c>
      <c r="CE1049" s="762">
        <v>493.28057296570177</v>
      </c>
      <c r="CF1049" s="762">
        <v>493.28057296570177</v>
      </c>
      <c r="CG1049" s="762">
        <v>0</v>
      </c>
      <c r="CH1049" s="762">
        <v>0</v>
      </c>
      <c r="CI1049" s="762">
        <v>0</v>
      </c>
      <c r="CJ1049" s="762">
        <v>0</v>
      </c>
      <c r="CK1049" s="762">
        <v>0</v>
      </c>
      <c r="CL1049" s="762">
        <v>0</v>
      </c>
      <c r="CM1049" s="762">
        <v>0</v>
      </c>
      <c r="CN1049" s="762">
        <v>0</v>
      </c>
      <c r="CO1049" s="762">
        <v>0</v>
      </c>
      <c r="CP1049" s="762">
        <v>0</v>
      </c>
      <c r="CQ1049" s="762">
        <v>0</v>
      </c>
      <c r="CR1049" s="762">
        <v>0</v>
      </c>
    </row>
    <row r="1050" spans="1:96" s="53" customFormat="1">
      <c r="A1050" s="709" t="s">
        <v>3</v>
      </c>
      <c r="B1050" s="721">
        <v>41934</v>
      </c>
      <c r="C1050" s="721">
        <v>2014</v>
      </c>
      <c r="D1050" s="709" t="s">
        <v>1</v>
      </c>
      <c r="E1050" s="713" t="s">
        <v>674</v>
      </c>
      <c r="F1050" s="713" t="s">
        <v>685</v>
      </c>
      <c r="G1050" s="723" t="s">
        <v>58</v>
      </c>
      <c r="H1050" s="713" t="s">
        <v>677</v>
      </c>
      <c r="I1050" s="723" t="s">
        <v>5</v>
      </c>
      <c r="J1050" s="713" t="s">
        <v>376</v>
      </c>
      <c r="K1050" s="713">
        <v>1</v>
      </c>
      <c r="L1050" s="713" t="s">
        <v>671</v>
      </c>
      <c r="M1050" s="766" t="s">
        <v>683</v>
      </c>
      <c r="N1050" s="765">
        <v>0</v>
      </c>
      <c r="O1050" s="765">
        <v>0</v>
      </c>
      <c r="P1050" s="765">
        <v>0</v>
      </c>
      <c r="Q1050" s="735" t="s">
        <v>58</v>
      </c>
      <c r="R1050" s="713" t="s">
        <v>58</v>
      </c>
      <c r="S1050" s="713" t="s">
        <v>58</v>
      </c>
      <c r="T1050" s="713" t="s">
        <v>58</v>
      </c>
      <c r="U1050" s="713">
        <v>0</v>
      </c>
      <c r="V1050" s="764">
        <v>0</v>
      </c>
      <c r="W1050" s="764">
        <v>0</v>
      </c>
      <c r="X1050" s="764">
        <v>0</v>
      </c>
      <c r="Y1050" s="764">
        <v>0</v>
      </c>
      <c r="Z1050" s="764">
        <v>0</v>
      </c>
      <c r="AA1050" s="764">
        <v>0</v>
      </c>
      <c r="AB1050" s="764">
        <v>0</v>
      </c>
      <c r="AC1050" s="714">
        <v>0.82617698682369967</v>
      </c>
      <c r="AD1050" s="714">
        <v>0.7843105192554185</v>
      </c>
      <c r="AE1050" s="714" t="s">
        <v>58</v>
      </c>
      <c r="AF1050" s="713" t="s">
        <v>58</v>
      </c>
      <c r="AG1050" s="713" t="s">
        <v>58</v>
      </c>
      <c r="AH1050" s="713">
        <v>0.94387031345969796</v>
      </c>
      <c r="AI1050" s="714" t="s">
        <v>58</v>
      </c>
      <c r="AJ1050" s="713" t="s">
        <v>58</v>
      </c>
      <c r="AK1050" s="713" t="s">
        <v>58</v>
      </c>
      <c r="AL1050" s="713">
        <v>0.94454345387965444</v>
      </c>
      <c r="AM1050" s="714" t="s">
        <v>58</v>
      </c>
      <c r="AN1050" s="713" t="s">
        <v>58</v>
      </c>
      <c r="AO1050" s="713" t="s">
        <v>58</v>
      </c>
      <c r="AP1050" s="713">
        <v>51</v>
      </c>
      <c r="AQ1050" s="747">
        <v>51</v>
      </c>
      <c r="AR1050" s="747"/>
      <c r="AS1050" s="709">
        <v>0</v>
      </c>
      <c r="AT1050" s="763">
        <v>0</v>
      </c>
      <c r="AU1050" s="763">
        <v>0</v>
      </c>
      <c r="AV1050" s="763">
        <v>0</v>
      </c>
      <c r="AW1050" s="763">
        <v>0</v>
      </c>
      <c r="AX1050" s="763">
        <v>0</v>
      </c>
      <c r="AY1050" s="763">
        <v>0</v>
      </c>
      <c r="AZ1050" s="763">
        <v>0</v>
      </c>
      <c r="BA1050" s="763">
        <v>0</v>
      </c>
      <c r="BB1050" s="763">
        <v>0</v>
      </c>
      <c r="BC1050" s="763">
        <v>0</v>
      </c>
      <c r="BD1050" s="763">
        <v>0</v>
      </c>
      <c r="BE1050" s="763">
        <v>0</v>
      </c>
      <c r="BF1050" s="763">
        <v>0</v>
      </c>
      <c r="BG1050" s="763">
        <v>0</v>
      </c>
      <c r="BH1050" s="763">
        <v>0</v>
      </c>
      <c r="BI1050" s="763">
        <v>0</v>
      </c>
      <c r="BJ1050" s="763">
        <v>0</v>
      </c>
      <c r="BK1050" s="763">
        <v>0</v>
      </c>
      <c r="BL1050" s="763">
        <v>0</v>
      </c>
      <c r="BM1050" s="763">
        <v>0</v>
      </c>
      <c r="BN1050" s="763">
        <v>0</v>
      </c>
      <c r="BO1050" s="763">
        <v>0</v>
      </c>
      <c r="BP1050" s="763">
        <v>0</v>
      </c>
      <c r="BQ1050" s="763">
        <v>0</v>
      </c>
      <c r="BR1050" s="763">
        <v>0</v>
      </c>
      <c r="BS1050" s="763">
        <v>0</v>
      </c>
      <c r="BT1050" s="762">
        <v>0</v>
      </c>
      <c r="BU1050" s="762">
        <v>0</v>
      </c>
      <c r="BV1050" s="762">
        <v>0</v>
      </c>
      <c r="BW1050" s="762">
        <v>0</v>
      </c>
      <c r="BX1050" s="762">
        <v>0</v>
      </c>
      <c r="BY1050" s="762">
        <v>0</v>
      </c>
      <c r="BZ1050" s="762">
        <v>0</v>
      </c>
      <c r="CA1050" s="762">
        <v>0</v>
      </c>
      <c r="CB1050" s="762">
        <v>0</v>
      </c>
      <c r="CC1050" s="762">
        <v>0</v>
      </c>
      <c r="CD1050" s="762">
        <v>0</v>
      </c>
      <c r="CE1050" s="762">
        <v>0</v>
      </c>
      <c r="CF1050" s="762">
        <v>0</v>
      </c>
      <c r="CG1050" s="762">
        <v>0</v>
      </c>
      <c r="CH1050" s="762">
        <v>0</v>
      </c>
      <c r="CI1050" s="762">
        <v>0</v>
      </c>
      <c r="CJ1050" s="762">
        <v>0</v>
      </c>
      <c r="CK1050" s="762">
        <v>0</v>
      </c>
      <c r="CL1050" s="762">
        <v>0</v>
      </c>
      <c r="CM1050" s="762">
        <v>0</v>
      </c>
      <c r="CN1050" s="762">
        <v>0</v>
      </c>
      <c r="CO1050" s="762">
        <v>0</v>
      </c>
      <c r="CP1050" s="762">
        <v>0</v>
      </c>
      <c r="CQ1050" s="762">
        <v>0</v>
      </c>
      <c r="CR1050" s="762">
        <v>0</v>
      </c>
    </row>
    <row r="1051" spans="1:96" s="53" customFormat="1">
      <c r="A1051" s="709" t="s">
        <v>3</v>
      </c>
      <c r="B1051" s="721">
        <v>41934</v>
      </c>
      <c r="C1051" s="721">
        <v>2014</v>
      </c>
      <c r="D1051" s="709" t="s">
        <v>1</v>
      </c>
      <c r="E1051" s="713" t="s">
        <v>674</v>
      </c>
      <c r="F1051" s="713" t="s">
        <v>685</v>
      </c>
      <c r="G1051" s="723" t="s">
        <v>58</v>
      </c>
      <c r="H1051" s="713" t="s">
        <v>686</v>
      </c>
      <c r="I1051" s="723" t="s">
        <v>5</v>
      </c>
      <c r="J1051" s="713" t="s">
        <v>376</v>
      </c>
      <c r="K1051" s="713">
        <v>2</v>
      </c>
      <c r="L1051" s="713" t="s">
        <v>671</v>
      </c>
      <c r="M1051" s="766" t="s">
        <v>683</v>
      </c>
      <c r="N1051" s="765">
        <v>12</v>
      </c>
      <c r="O1051" s="765">
        <v>3</v>
      </c>
      <c r="P1051" s="765">
        <v>1.6393442622950821E-2</v>
      </c>
      <c r="Q1051" s="735" t="s">
        <v>58</v>
      </c>
      <c r="R1051" s="713" t="s">
        <v>58</v>
      </c>
      <c r="S1051" s="713" t="s">
        <v>58</v>
      </c>
      <c r="T1051" s="713" t="s">
        <v>58</v>
      </c>
      <c r="U1051" s="713">
        <v>0.122</v>
      </c>
      <c r="V1051" s="764">
        <v>588.65</v>
      </c>
      <c r="W1051" s="764">
        <v>9.5685883349161074E-2</v>
      </c>
      <c r="X1051" s="764">
        <v>486.32908329377079</v>
      </c>
      <c r="Y1051" s="764">
        <v>1530.7407211869509</v>
      </c>
      <c r="Z1051" s="764">
        <v>1444.8207243322515</v>
      </c>
      <c r="AA1051" s="764">
        <v>459.03158429305898</v>
      </c>
      <c r="AB1051" s="764">
        <v>9.0379474746142316E-2</v>
      </c>
      <c r="AC1051" s="714">
        <v>0.82617698682369967</v>
      </c>
      <c r="AD1051" s="714">
        <v>0.7843105192554185</v>
      </c>
      <c r="AE1051" s="714" t="s">
        <v>58</v>
      </c>
      <c r="AF1051" s="713" t="s">
        <v>58</v>
      </c>
      <c r="AG1051" s="713" t="s">
        <v>58</v>
      </c>
      <c r="AH1051" s="713">
        <v>0.94387031345969796</v>
      </c>
      <c r="AI1051" s="714" t="s">
        <v>58</v>
      </c>
      <c r="AJ1051" s="713" t="s">
        <v>58</v>
      </c>
      <c r="AK1051" s="713" t="s">
        <v>58</v>
      </c>
      <c r="AL1051" s="713">
        <v>0.94454345387965444</v>
      </c>
      <c r="AM1051" s="714" t="s">
        <v>58</v>
      </c>
      <c r="AN1051" s="713" t="s">
        <v>58</v>
      </c>
      <c r="AO1051" s="713" t="s">
        <v>58</v>
      </c>
      <c r="AP1051" s="713">
        <v>119</v>
      </c>
      <c r="AQ1051" s="747">
        <v>238</v>
      </c>
      <c r="AR1051" s="747"/>
      <c r="AS1051" s="709">
        <v>0</v>
      </c>
      <c r="AT1051" s="763">
        <v>0</v>
      </c>
      <c r="AU1051" s="763">
        <v>0</v>
      </c>
      <c r="AV1051" s="763">
        <v>9.0379474746142316E-2</v>
      </c>
      <c r="AW1051" s="763">
        <v>9.0379474746142316E-2</v>
      </c>
      <c r="AX1051" s="763">
        <v>9.0379474746142316E-2</v>
      </c>
      <c r="AY1051" s="763">
        <v>1.4816307335433166E-3</v>
      </c>
      <c r="AZ1051" s="763">
        <v>1.4816307335433166E-3</v>
      </c>
      <c r="BA1051" s="763">
        <v>1.4816307335433166E-3</v>
      </c>
      <c r="BB1051" s="763">
        <v>1.4816307335433166E-3</v>
      </c>
      <c r="BC1051" s="763">
        <v>1.4816307335433166E-3</v>
      </c>
      <c r="BD1051" s="763">
        <v>1.4816307335433166E-3</v>
      </c>
      <c r="BE1051" s="763">
        <v>1.4816307335433166E-3</v>
      </c>
      <c r="BF1051" s="763">
        <v>1.4816307335433166E-3</v>
      </c>
      <c r="BG1051" s="763">
        <v>1.4816307335433166E-3</v>
      </c>
      <c r="BH1051" s="763">
        <v>0</v>
      </c>
      <c r="BI1051" s="763">
        <v>0</v>
      </c>
      <c r="BJ1051" s="763">
        <v>0</v>
      </c>
      <c r="BK1051" s="763">
        <v>0</v>
      </c>
      <c r="BL1051" s="763">
        <v>0</v>
      </c>
      <c r="BM1051" s="763">
        <v>0</v>
      </c>
      <c r="BN1051" s="763">
        <v>0</v>
      </c>
      <c r="BO1051" s="763">
        <v>0</v>
      </c>
      <c r="BP1051" s="763">
        <v>0</v>
      </c>
      <c r="BQ1051" s="763">
        <v>0</v>
      </c>
      <c r="BR1051" s="763">
        <v>0</v>
      </c>
      <c r="BS1051" s="763">
        <v>0</v>
      </c>
      <c r="BT1051" s="762">
        <v>0</v>
      </c>
      <c r="BU1051" s="762">
        <v>0</v>
      </c>
      <c r="BV1051" s="762">
        <v>459.03158429305898</v>
      </c>
      <c r="BW1051" s="762">
        <v>459.03158429305898</v>
      </c>
      <c r="BX1051" s="762">
        <v>459.03158429305898</v>
      </c>
      <c r="BY1051" s="762">
        <v>7.5251079392304758</v>
      </c>
      <c r="BZ1051" s="762">
        <v>7.5251079392304758</v>
      </c>
      <c r="CA1051" s="762">
        <v>7.5251079392304758</v>
      </c>
      <c r="CB1051" s="762">
        <v>7.5251079392304758</v>
      </c>
      <c r="CC1051" s="762">
        <v>7.5251079392304758</v>
      </c>
      <c r="CD1051" s="762">
        <v>7.5251079392304758</v>
      </c>
      <c r="CE1051" s="762">
        <v>7.5251079392304758</v>
      </c>
      <c r="CF1051" s="762">
        <v>7.5251079392304758</v>
      </c>
      <c r="CG1051" s="762">
        <v>7.5251079392304758</v>
      </c>
      <c r="CH1051" s="762">
        <v>0</v>
      </c>
      <c r="CI1051" s="762">
        <v>0</v>
      </c>
      <c r="CJ1051" s="762">
        <v>0</v>
      </c>
      <c r="CK1051" s="762">
        <v>0</v>
      </c>
      <c r="CL1051" s="762">
        <v>0</v>
      </c>
      <c r="CM1051" s="762">
        <v>0</v>
      </c>
      <c r="CN1051" s="762">
        <v>0</v>
      </c>
      <c r="CO1051" s="762">
        <v>0</v>
      </c>
      <c r="CP1051" s="762">
        <v>0</v>
      </c>
      <c r="CQ1051" s="762">
        <v>0</v>
      </c>
      <c r="CR1051" s="762">
        <v>0</v>
      </c>
    </row>
    <row r="1052" spans="1:96" s="53" customFormat="1">
      <c r="A1052" s="709" t="s">
        <v>3</v>
      </c>
      <c r="B1052" s="721">
        <v>41934</v>
      </c>
      <c r="C1052" s="721">
        <v>2014</v>
      </c>
      <c r="D1052" s="709" t="s">
        <v>1</v>
      </c>
      <c r="E1052" s="713" t="s">
        <v>674</v>
      </c>
      <c r="F1052" s="713" t="s">
        <v>685</v>
      </c>
      <c r="G1052" s="723" t="s">
        <v>58</v>
      </c>
      <c r="H1052" s="713" t="s">
        <v>676</v>
      </c>
      <c r="I1052" s="723" t="s">
        <v>5</v>
      </c>
      <c r="J1052" s="713" t="s">
        <v>376</v>
      </c>
      <c r="K1052" s="713">
        <v>7</v>
      </c>
      <c r="L1052" s="713" t="s">
        <v>671</v>
      </c>
      <c r="M1052" s="766" t="s">
        <v>683</v>
      </c>
      <c r="N1052" s="765">
        <v>12</v>
      </c>
      <c r="O1052" s="765">
        <v>3</v>
      </c>
      <c r="P1052" s="765">
        <v>0.31578947368421051</v>
      </c>
      <c r="Q1052" s="735" t="s">
        <v>58</v>
      </c>
      <c r="R1052" s="713" t="s">
        <v>58</v>
      </c>
      <c r="S1052" s="713" t="s">
        <v>58</v>
      </c>
      <c r="T1052" s="713" t="s">
        <v>58</v>
      </c>
      <c r="U1052" s="713">
        <v>0.26600000000000001</v>
      </c>
      <c r="V1052" s="764">
        <v>1283.45</v>
      </c>
      <c r="W1052" s="764">
        <v>0.20862659812194137</v>
      </c>
      <c r="X1052" s="764">
        <v>1060.3568537388774</v>
      </c>
      <c r="Y1052" s="764">
        <v>6194.7163560534409</v>
      </c>
      <c r="Z1052" s="764">
        <v>5847.0088687820789</v>
      </c>
      <c r="AA1052" s="764">
        <v>1000.8393559176533</v>
      </c>
      <c r="AB1052" s="764">
        <v>0.19705688756126113</v>
      </c>
      <c r="AC1052" s="714">
        <v>0.82617698682369967</v>
      </c>
      <c r="AD1052" s="714">
        <v>0.7843105192554185</v>
      </c>
      <c r="AE1052" s="714" t="s">
        <v>58</v>
      </c>
      <c r="AF1052" s="713" t="s">
        <v>58</v>
      </c>
      <c r="AG1052" s="713" t="s">
        <v>58</v>
      </c>
      <c r="AH1052" s="713">
        <v>0.94387031345969796</v>
      </c>
      <c r="AI1052" s="714" t="s">
        <v>58</v>
      </c>
      <c r="AJ1052" s="713" t="s">
        <v>58</v>
      </c>
      <c r="AK1052" s="713" t="s">
        <v>58</v>
      </c>
      <c r="AL1052" s="713">
        <v>0.94454345387965444</v>
      </c>
      <c r="AM1052" s="714" t="s">
        <v>58</v>
      </c>
      <c r="AN1052" s="713" t="s">
        <v>58</v>
      </c>
      <c r="AO1052" s="713" t="s">
        <v>58</v>
      </c>
      <c r="AP1052" s="713">
        <v>57</v>
      </c>
      <c r="AQ1052" s="747">
        <v>399</v>
      </c>
      <c r="AR1052" s="747"/>
      <c r="AS1052" s="709">
        <v>0</v>
      </c>
      <c r="AT1052" s="763">
        <v>0</v>
      </c>
      <c r="AU1052" s="763">
        <v>0</v>
      </c>
      <c r="AV1052" s="763">
        <v>0.19705688756126113</v>
      </c>
      <c r="AW1052" s="763">
        <v>0.19705688756126113</v>
      </c>
      <c r="AX1052" s="763">
        <v>0.19705688756126113</v>
      </c>
      <c r="AY1052" s="763">
        <v>6.2228490808819301E-2</v>
      </c>
      <c r="AZ1052" s="763">
        <v>6.2228490808819301E-2</v>
      </c>
      <c r="BA1052" s="763">
        <v>6.2228490808819301E-2</v>
      </c>
      <c r="BB1052" s="763">
        <v>6.2228490808819301E-2</v>
      </c>
      <c r="BC1052" s="763">
        <v>6.2228490808819301E-2</v>
      </c>
      <c r="BD1052" s="763">
        <v>6.2228490808819301E-2</v>
      </c>
      <c r="BE1052" s="763">
        <v>6.2228490808819301E-2</v>
      </c>
      <c r="BF1052" s="763">
        <v>6.2228490808819301E-2</v>
      </c>
      <c r="BG1052" s="763">
        <v>6.2228490808819301E-2</v>
      </c>
      <c r="BH1052" s="763">
        <v>0</v>
      </c>
      <c r="BI1052" s="763">
        <v>0</v>
      </c>
      <c r="BJ1052" s="763">
        <v>0</v>
      </c>
      <c r="BK1052" s="763">
        <v>0</v>
      </c>
      <c r="BL1052" s="763">
        <v>0</v>
      </c>
      <c r="BM1052" s="763">
        <v>0</v>
      </c>
      <c r="BN1052" s="763">
        <v>0</v>
      </c>
      <c r="BO1052" s="763">
        <v>0</v>
      </c>
      <c r="BP1052" s="763">
        <v>0</v>
      </c>
      <c r="BQ1052" s="763">
        <v>0</v>
      </c>
      <c r="BR1052" s="763">
        <v>0</v>
      </c>
      <c r="BS1052" s="763">
        <v>0</v>
      </c>
      <c r="BT1052" s="762">
        <v>0</v>
      </c>
      <c r="BU1052" s="762">
        <v>0</v>
      </c>
      <c r="BV1052" s="762">
        <v>1000.8393559176533</v>
      </c>
      <c r="BW1052" s="762">
        <v>1000.8393559176533</v>
      </c>
      <c r="BX1052" s="762">
        <v>1000.8393559176533</v>
      </c>
      <c r="BY1052" s="762">
        <v>316.05453344767994</v>
      </c>
      <c r="BZ1052" s="762">
        <v>316.05453344767994</v>
      </c>
      <c r="CA1052" s="762">
        <v>316.05453344767994</v>
      </c>
      <c r="CB1052" s="762">
        <v>316.05453344767994</v>
      </c>
      <c r="CC1052" s="762">
        <v>316.05453344767994</v>
      </c>
      <c r="CD1052" s="762">
        <v>316.05453344767994</v>
      </c>
      <c r="CE1052" s="762">
        <v>316.05453344767994</v>
      </c>
      <c r="CF1052" s="762">
        <v>316.05453344767994</v>
      </c>
      <c r="CG1052" s="762">
        <v>316.05453344767994</v>
      </c>
      <c r="CH1052" s="762">
        <v>0</v>
      </c>
      <c r="CI1052" s="762">
        <v>0</v>
      </c>
      <c r="CJ1052" s="762">
        <v>0</v>
      </c>
      <c r="CK1052" s="762">
        <v>0</v>
      </c>
      <c r="CL1052" s="762">
        <v>0</v>
      </c>
      <c r="CM1052" s="762">
        <v>0</v>
      </c>
      <c r="CN1052" s="762">
        <v>0</v>
      </c>
      <c r="CO1052" s="762">
        <v>0</v>
      </c>
      <c r="CP1052" s="762">
        <v>0</v>
      </c>
      <c r="CQ1052" s="762">
        <v>0</v>
      </c>
      <c r="CR1052" s="762">
        <v>0</v>
      </c>
    </row>
    <row r="1053" spans="1:96" s="53" customFormat="1">
      <c r="A1053" s="709" t="s">
        <v>3</v>
      </c>
      <c r="B1053" s="721">
        <v>41934</v>
      </c>
      <c r="C1053" s="721">
        <v>2014</v>
      </c>
      <c r="D1053" s="709" t="s">
        <v>1</v>
      </c>
      <c r="E1053" s="713" t="s">
        <v>674</v>
      </c>
      <c r="F1053" s="713" t="s">
        <v>685</v>
      </c>
      <c r="G1053" s="723" t="s">
        <v>58</v>
      </c>
      <c r="H1053" s="713" t="s">
        <v>684</v>
      </c>
      <c r="I1053" s="723" t="s">
        <v>5</v>
      </c>
      <c r="J1053" s="713" t="s">
        <v>376</v>
      </c>
      <c r="K1053" s="713">
        <v>1</v>
      </c>
      <c r="L1053" s="713" t="s">
        <v>671</v>
      </c>
      <c r="M1053" s="766" t="s">
        <v>683</v>
      </c>
      <c r="N1053" s="765">
        <v>11</v>
      </c>
      <c r="O1053" s="765">
        <v>2</v>
      </c>
      <c r="P1053" s="765">
        <v>0.43976996379393668</v>
      </c>
      <c r="Q1053" s="735" t="s">
        <v>58</v>
      </c>
      <c r="R1053" s="713" t="s">
        <v>58</v>
      </c>
      <c r="S1053" s="713" t="s">
        <v>58</v>
      </c>
      <c r="T1053" s="713" t="s">
        <v>58</v>
      </c>
      <c r="U1053" s="713">
        <v>6.8000000000000005E-2</v>
      </c>
      <c r="V1053" s="764">
        <v>328.1</v>
      </c>
      <c r="W1053" s="764">
        <v>5.3333115309368469E-2</v>
      </c>
      <c r="X1053" s="764">
        <v>271.06866937685584</v>
      </c>
      <c r="Y1053" s="764">
        <v>1615.008069011486</v>
      </c>
      <c r="Z1053" s="764">
        <v>1524.3581723378129</v>
      </c>
      <c r="AA1053" s="764">
        <v>255.85366993383616</v>
      </c>
      <c r="AB1053" s="764">
        <v>5.0375444940472767E-2</v>
      </c>
      <c r="AC1053" s="714">
        <v>0.82617698682369967</v>
      </c>
      <c r="AD1053" s="714">
        <v>0.7843105192554185</v>
      </c>
      <c r="AE1053" s="714" t="s">
        <v>58</v>
      </c>
      <c r="AF1053" s="713" t="s">
        <v>58</v>
      </c>
      <c r="AG1053" s="713" t="s">
        <v>58</v>
      </c>
      <c r="AH1053" s="713">
        <v>0.94387031345969796</v>
      </c>
      <c r="AI1053" s="714" t="s">
        <v>58</v>
      </c>
      <c r="AJ1053" s="713" t="s">
        <v>58</v>
      </c>
      <c r="AK1053" s="713" t="s">
        <v>58</v>
      </c>
      <c r="AL1053" s="713">
        <v>0.94454345387965444</v>
      </c>
      <c r="AM1053" s="714" t="s">
        <v>58</v>
      </c>
      <c r="AN1053" s="713" t="s">
        <v>58</v>
      </c>
      <c r="AO1053" s="713" t="s">
        <v>58</v>
      </c>
      <c r="AP1053" s="713">
        <v>48</v>
      </c>
      <c r="AQ1053" s="747">
        <v>48</v>
      </c>
      <c r="AR1053" s="747"/>
      <c r="AS1053" s="709">
        <v>0</v>
      </c>
      <c r="AT1053" s="763">
        <v>0</v>
      </c>
      <c r="AU1053" s="763">
        <v>0</v>
      </c>
      <c r="AV1053" s="763">
        <v>5.0375444940472767E-2</v>
      </c>
      <c r="AW1053" s="763">
        <v>5.0375444940472767E-2</v>
      </c>
      <c r="AX1053" s="763">
        <v>2.2153607597575158E-2</v>
      </c>
      <c r="AY1053" s="763">
        <v>2.2153607597575158E-2</v>
      </c>
      <c r="AZ1053" s="763">
        <v>2.2153607597575158E-2</v>
      </c>
      <c r="BA1053" s="763">
        <v>2.2153607597575158E-2</v>
      </c>
      <c r="BB1053" s="763">
        <v>2.2153607597575158E-2</v>
      </c>
      <c r="BC1053" s="763">
        <v>2.2153607597575158E-2</v>
      </c>
      <c r="BD1053" s="763">
        <v>2.2153607597575158E-2</v>
      </c>
      <c r="BE1053" s="763">
        <v>2.2153607597575158E-2</v>
      </c>
      <c r="BF1053" s="763">
        <v>2.2153607597575158E-2</v>
      </c>
      <c r="BG1053" s="763">
        <v>0</v>
      </c>
      <c r="BH1053" s="763">
        <v>0</v>
      </c>
      <c r="BI1053" s="763">
        <v>0</v>
      </c>
      <c r="BJ1053" s="763">
        <v>0</v>
      </c>
      <c r="BK1053" s="763">
        <v>0</v>
      </c>
      <c r="BL1053" s="763">
        <v>0</v>
      </c>
      <c r="BM1053" s="763">
        <v>0</v>
      </c>
      <c r="BN1053" s="763">
        <v>0</v>
      </c>
      <c r="BO1053" s="763">
        <v>0</v>
      </c>
      <c r="BP1053" s="763">
        <v>0</v>
      </c>
      <c r="BQ1053" s="763">
        <v>0</v>
      </c>
      <c r="BR1053" s="763">
        <v>0</v>
      </c>
      <c r="BS1053" s="763">
        <v>0</v>
      </c>
      <c r="BT1053" s="762">
        <v>0</v>
      </c>
      <c r="BU1053" s="762">
        <v>0</v>
      </c>
      <c r="BV1053" s="762">
        <v>255.85366993383616</v>
      </c>
      <c r="BW1053" s="762">
        <v>255.85366993383616</v>
      </c>
      <c r="BX1053" s="762">
        <v>112.51675916334895</v>
      </c>
      <c r="BY1053" s="762">
        <v>112.51675916334895</v>
      </c>
      <c r="BZ1053" s="762">
        <v>112.51675916334895</v>
      </c>
      <c r="CA1053" s="762">
        <v>112.51675916334895</v>
      </c>
      <c r="CB1053" s="762">
        <v>112.51675916334895</v>
      </c>
      <c r="CC1053" s="762">
        <v>112.51675916334895</v>
      </c>
      <c r="CD1053" s="762">
        <v>112.51675916334895</v>
      </c>
      <c r="CE1053" s="762">
        <v>112.51675916334895</v>
      </c>
      <c r="CF1053" s="762">
        <v>112.51675916334895</v>
      </c>
      <c r="CG1053" s="762">
        <v>0</v>
      </c>
      <c r="CH1053" s="762">
        <v>0</v>
      </c>
      <c r="CI1053" s="762">
        <v>0</v>
      </c>
      <c r="CJ1053" s="762">
        <v>0</v>
      </c>
      <c r="CK1053" s="762">
        <v>0</v>
      </c>
      <c r="CL1053" s="762">
        <v>0</v>
      </c>
      <c r="CM1053" s="762">
        <v>0</v>
      </c>
      <c r="CN1053" s="762">
        <v>0</v>
      </c>
      <c r="CO1053" s="762">
        <v>0</v>
      </c>
      <c r="CP1053" s="762">
        <v>0</v>
      </c>
      <c r="CQ1053" s="762">
        <v>0</v>
      </c>
      <c r="CR1053" s="762">
        <v>0</v>
      </c>
    </row>
    <row r="1054" spans="1:96" s="53" customFormat="1">
      <c r="A1054" s="709" t="s">
        <v>3</v>
      </c>
      <c r="B1054" s="721">
        <v>41963</v>
      </c>
      <c r="C1054" s="721">
        <v>2014</v>
      </c>
      <c r="D1054" s="709" t="s">
        <v>1</v>
      </c>
      <c r="E1054" s="713" t="s">
        <v>674</v>
      </c>
      <c r="F1054" s="713" t="s">
        <v>681</v>
      </c>
      <c r="G1054" s="723" t="s">
        <v>58</v>
      </c>
      <c r="H1054" s="713" t="s">
        <v>677</v>
      </c>
      <c r="I1054" s="723" t="s">
        <v>5</v>
      </c>
      <c r="J1054" s="713" t="s">
        <v>376</v>
      </c>
      <c r="K1054" s="713">
        <v>1</v>
      </c>
      <c r="L1054" s="713" t="s">
        <v>671</v>
      </c>
      <c r="M1054" s="766" t="s">
        <v>679</v>
      </c>
      <c r="N1054" s="765">
        <v>0</v>
      </c>
      <c r="O1054" s="765">
        <v>0</v>
      </c>
      <c r="P1054" s="765">
        <v>0</v>
      </c>
      <c r="Q1054" s="735" t="s">
        <v>58</v>
      </c>
      <c r="R1054" s="713" t="s">
        <v>58</v>
      </c>
      <c r="S1054" s="713" t="s">
        <v>58</v>
      </c>
      <c r="T1054" s="713" t="s">
        <v>58</v>
      </c>
      <c r="U1054" s="713">
        <v>0</v>
      </c>
      <c r="V1054" s="764">
        <v>0</v>
      </c>
      <c r="W1054" s="764">
        <v>0</v>
      </c>
      <c r="X1054" s="764">
        <v>0</v>
      </c>
      <c r="Y1054" s="764">
        <v>0</v>
      </c>
      <c r="Z1054" s="764">
        <v>0</v>
      </c>
      <c r="AA1054" s="764">
        <v>0</v>
      </c>
      <c r="AB1054" s="764">
        <v>0</v>
      </c>
      <c r="AC1054" s="714">
        <v>0.82617698682369967</v>
      </c>
      <c r="AD1054" s="714">
        <v>0.7843105192554185</v>
      </c>
      <c r="AE1054" s="714" t="s">
        <v>58</v>
      </c>
      <c r="AF1054" s="713" t="s">
        <v>58</v>
      </c>
      <c r="AG1054" s="713" t="s">
        <v>58</v>
      </c>
      <c r="AH1054" s="713">
        <v>0.94387031345969796</v>
      </c>
      <c r="AI1054" s="714" t="s">
        <v>58</v>
      </c>
      <c r="AJ1054" s="713" t="s">
        <v>58</v>
      </c>
      <c r="AK1054" s="713" t="s">
        <v>58</v>
      </c>
      <c r="AL1054" s="713">
        <v>0.94454345387965444</v>
      </c>
      <c r="AM1054" s="714" t="s">
        <v>58</v>
      </c>
      <c r="AN1054" s="713" t="s">
        <v>58</v>
      </c>
      <c r="AO1054" s="713" t="s">
        <v>58</v>
      </c>
      <c r="AP1054" s="713">
        <v>51</v>
      </c>
      <c r="AQ1054" s="747">
        <v>51</v>
      </c>
      <c r="AR1054" s="747"/>
      <c r="AS1054" s="709">
        <v>0</v>
      </c>
      <c r="AT1054" s="763">
        <v>0</v>
      </c>
      <c r="AU1054" s="763">
        <v>0</v>
      </c>
      <c r="AV1054" s="763">
        <v>0</v>
      </c>
      <c r="AW1054" s="763">
        <v>0</v>
      </c>
      <c r="AX1054" s="763">
        <v>0</v>
      </c>
      <c r="AY1054" s="763">
        <v>0</v>
      </c>
      <c r="AZ1054" s="763">
        <v>0</v>
      </c>
      <c r="BA1054" s="763">
        <v>0</v>
      </c>
      <c r="BB1054" s="763">
        <v>0</v>
      </c>
      <c r="BC1054" s="763">
        <v>0</v>
      </c>
      <c r="BD1054" s="763">
        <v>0</v>
      </c>
      <c r="BE1054" s="763">
        <v>0</v>
      </c>
      <c r="BF1054" s="763">
        <v>0</v>
      </c>
      <c r="BG1054" s="763">
        <v>0</v>
      </c>
      <c r="BH1054" s="763">
        <v>0</v>
      </c>
      <c r="BI1054" s="763">
        <v>0</v>
      </c>
      <c r="BJ1054" s="763">
        <v>0</v>
      </c>
      <c r="BK1054" s="763">
        <v>0</v>
      </c>
      <c r="BL1054" s="763">
        <v>0</v>
      </c>
      <c r="BM1054" s="763">
        <v>0</v>
      </c>
      <c r="BN1054" s="763">
        <v>0</v>
      </c>
      <c r="BO1054" s="763">
        <v>0</v>
      </c>
      <c r="BP1054" s="763">
        <v>0</v>
      </c>
      <c r="BQ1054" s="763">
        <v>0</v>
      </c>
      <c r="BR1054" s="763">
        <v>0</v>
      </c>
      <c r="BS1054" s="763">
        <v>0</v>
      </c>
      <c r="BT1054" s="762">
        <v>0</v>
      </c>
      <c r="BU1054" s="762">
        <v>0</v>
      </c>
      <c r="BV1054" s="762">
        <v>0</v>
      </c>
      <c r="BW1054" s="762">
        <v>0</v>
      </c>
      <c r="BX1054" s="762">
        <v>0</v>
      </c>
      <c r="BY1054" s="762">
        <v>0</v>
      </c>
      <c r="BZ1054" s="762">
        <v>0</v>
      </c>
      <c r="CA1054" s="762">
        <v>0</v>
      </c>
      <c r="CB1054" s="762">
        <v>0</v>
      </c>
      <c r="CC1054" s="762">
        <v>0</v>
      </c>
      <c r="CD1054" s="762">
        <v>0</v>
      </c>
      <c r="CE1054" s="762">
        <v>0</v>
      </c>
      <c r="CF1054" s="762">
        <v>0</v>
      </c>
      <c r="CG1054" s="762">
        <v>0</v>
      </c>
      <c r="CH1054" s="762">
        <v>0</v>
      </c>
      <c r="CI1054" s="762">
        <v>0</v>
      </c>
      <c r="CJ1054" s="762">
        <v>0</v>
      </c>
      <c r="CK1054" s="762">
        <v>0</v>
      </c>
      <c r="CL1054" s="762">
        <v>0</v>
      </c>
      <c r="CM1054" s="762">
        <v>0</v>
      </c>
      <c r="CN1054" s="762">
        <v>0</v>
      </c>
      <c r="CO1054" s="762">
        <v>0</v>
      </c>
      <c r="CP1054" s="762">
        <v>0</v>
      </c>
      <c r="CQ1054" s="762">
        <v>0</v>
      </c>
      <c r="CR1054" s="762">
        <v>0</v>
      </c>
    </row>
    <row r="1055" spans="1:96" s="53" customFormat="1">
      <c r="A1055" s="709" t="s">
        <v>3</v>
      </c>
      <c r="B1055" s="721">
        <v>41963</v>
      </c>
      <c r="C1055" s="721">
        <v>2014</v>
      </c>
      <c r="D1055" s="709" t="s">
        <v>1</v>
      </c>
      <c r="E1055" s="713" t="s">
        <v>674</v>
      </c>
      <c r="F1055" s="713" t="s">
        <v>681</v>
      </c>
      <c r="G1055" s="723" t="s">
        <v>58</v>
      </c>
      <c r="H1055" s="713" t="s">
        <v>682</v>
      </c>
      <c r="I1055" s="723" t="s">
        <v>5</v>
      </c>
      <c r="J1055" s="713" t="s">
        <v>376</v>
      </c>
      <c r="K1055" s="713">
        <v>1</v>
      </c>
      <c r="L1055" s="713" t="s">
        <v>671</v>
      </c>
      <c r="M1055" s="766" t="s">
        <v>679</v>
      </c>
      <c r="N1055" s="765">
        <v>12</v>
      </c>
      <c r="O1055" s="765">
        <v>3</v>
      </c>
      <c r="P1055" s="765">
        <v>0.4</v>
      </c>
      <c r="Q1055" s="735" t="s">
        <v>58</v>
      </c>
      <c r="R1055" s="713" t="s">
        <v>58</v>
      </c>
      <c r="S1055" s="713" t="s">
        <v>58</v>
      </c>
      <c r="T1055" s="713" t="s">
        <v>58</v>
      </c>
      <c r="U1055" s="713">
        <v>2.5000000000000001E-2</v>
      </c>
      <c r="V1055" s="764">
        <v>81.325000000000003</v>
      </c>
      <c r="W1055" s="764">
        <v>1.9607762981385463E-2</v>
      </c>
      <c r="X1055" s="764">
        <v>67.188843453437372</v>
      </c>
      <c r="Y1055" s="764">
        <v>443.44636679268672</v>
      </c>
      <c r="Z1055" s="764">
        <v>418.55586122717739</v>
      </c>
      <c r="AA1055" s="764">
        <v>63.41755473139051</v>
      </c>
      <c r="AB1055" s="764">
        <v>1.8520384169291457E-2</v>
      </c>
      <c r="AC1055" s="714">
        <v>0.82617698682369967</v>
      </c>
      <c r="AD1055" s="714">
        <v>0.7843105192554185</v>
      </c>
      <c r="AE1055" s="714" t="s">
        <v>58</v>
      </c>
      <c r="AF1055" s="713" t="s">
        <v>58</v>
      </c>
      <c r="AG1055" s="713" t="s">
        <v>58</v>
      </c>
      <c r="AH1055" s="713">
        <v>0.94387031345969796</v>
      </c>
      <c r="AI1055" s="714" t="s">
        <v>58</v>
      </c>
      <c r="AJ1055" s="713" t="s">
        <v>58</v>
      </c>
      <c r="AK1055" s="713" t="s">
        <v>58</v>
      </c>
      <c r="AL1055" s="713">
        <v>0.94454345387965444</v>
      </c>
      <c r="AM1055" s="714" t="s">
        <v>58</v>
      </c>
      <c r="AN1055" s="713" t="s">
        <v>58</v>
      </c>
      <c r="AO1055" s="713" t="s">
        <v>58</v>
      </c>
      <c r="AP1055" s="713">
        <v>47</v>
      </c>
      <c r="AQ1055" s="747">
        <v>47</v>
      </c>
      <c r="AR1055" s="747"/>
      <c r="AS1055" s="709">
        <v>0</v>
      </c>
      <c r="AT1055" s="763">
        <v>0</v>
      </c>
      <c r="AU1055" s="763">
        <v>0</v>
      </c>
      <c r="AV1055" s="763">
        <v>1.8520384169291457E-2</v>
      </c>
      <c r="AW1055" s="763">
        <v>1.8520384169291457E-2</v>
      </c>
      <c r="AX1055" s="763">
        <v>1.8520384169291457E-2</v>
      </c>
      <c r="AY1055" s="763">
        <v>7.4081536677165832E-3</v>
      </c>
      <c r="AZ1055" s="763">
        <v>7.4081536677165832E-3</v>
      </c>
      <c r="BA1055" s="763">
        <v>7.4081536677165832E-3</v>
      </c>
      <c r="BB1055" s="763">
        <v>7.4081536677165832E-3</v>
      </c>
      <c r="BC1055" s="763">
        <v>7.4081536677165832E-3</v>
      </c>
      <c r="BD1055" s="763">
        <v>7.4081536677165832E-3</v>
      </c>
      <c r="BE1055" s="763">
        <v>7.4081536677165832E-3</v>
      </c>
      <c r="BF1055" s="763">
        <v>7.4081536677165832E-3</v>
      </c>
      <c r="BG1055" s="763">
        <v>7.4081536677165832E-3</v>
      </c>
      <c r="BH1055" s="763">
        <v>0</v>
      </c>
      <c r="BI1055" s="763">
        <v>0</v>
      </c>
      <c r="BJ1055" s="763">
        <v>0</v>
      </c>
      <c r="BK1055" s="763">
        <v>0</v>
      </c>
      <c r="BL1055" s="763">
        <v>0</v>
      </c>
      <c r="BM1055" s="763">
        <v>0</v>
      </c>
      <c r="BN1055" s="763">
        <v>0</v>
      </c>
      <c r="BO1055" s="763">
        <v>0</v>
      </c>
      <c r="BP1055" s="763">
        <v>0</v>
      </c>
      <c r="BQ1055" s="763">
        <v>0</v>
      </c>
      <c r="BR1055" s="763">
        <v>0</v>
      </c>
      <c r="BS1055" s="763">
        <v>0</v>
      </c>
      <c r="BT1055" s="762">
        <v>0</v>
      </c>
      <c r="BU1055" s="762">
        <v>0</v>
      </c>
      <c r="BV1055" s="762">
        <v>63.41755473139051</v>
      </c>
      <c r="BW1055" s="762">
        <v>63.41755473139051</v>
      </c>
      <c r="BX1055" s="762">
        <v>63.41755473139051</v>
      </c>
      <c r="BY1055" s="762">
        <v>25.367021892556206</v>
      </c>
      <c r="BZ1055" s="762">
        <v>25.367021892556206</v>
      </c>
      <c r="CA1055" s="762">
        <v>25.367021892556206</v>
      </c>
      <c r="CB1055" s="762">
        <v>25.367021892556206</v>
      </c>
      <c r="CC1055" s="762">
        <v>25.367021892556206</v>
      </c>
      <c r="CD1055" s="762">
        <v>25.367021892556206</v>
      </c>
      <c r="CE1055" s="762">
        <v>25.367021892556206</v>
      </c>
      <c r="CF1055" s="762">
        <v>25.367021892556206</v>
      </c>
      <c r="CG1055" s="762">
        <v>25.367021892556206</v>
      </c>
      <c r="CH1055" s="762">
        <v>0</v>
      </c>
      <c r="CI1055" s="762">
        <v>0</v>
      </c>
      <c r="CJ1055" s="762">
        <v>0</v>
      </c>
      <c r="CK1055" s="762">
        <v>0</v>
      </c>
      <c r="CL1055" s="762">
        <v>0</v>
      </c>
      <c r="CM1055" s="762">
        <v>0</v>
      </c>
      <c r="CN1055" s="762">
        <v>0</v>
      </c>
      <c r="CO1055" s="762">
        <v>0</v>
      </c>
      <c r="CP1055" s="762">
        <v>0</v>
      </c>
      <c r="CQ1055" s="762">
        <v>0</v>
      </c>
      <c r="CR1055" s="762">
        <v>0</v>
      </c>
    </row>
    <row r="1056" spans="1:96" s="53" customFormat="1">
      <c r="A1056" s="709" t="s">
        <v>3</v>
      </c>
      <c r="B1056" s="721">
        <v>41963</v>
      </c>
      <c r="C1056" s="721">
        <v>2014</v>
      </c>
      <c r="D1056" s="709" t="s">
        <v>1</v>
      </c>
      <c r="E1056" s="713" t="s">
        <v>674</v>
      </c>
      <c r="F1056" s="713" t="s">
        <v>681</v>
      </c>
      <c r="G1056" s="723" t="s">
        <v>58</v>
      </c>
      <c r="H1056" s="713" t="s">
        <v>676</v>
      </c>
      <c r="I1056" s="723" t="s">
        <v>5</v>
      </c>
      <c r="J1056" s="713" t="s">
        <v>376</v>
      </c>
      <c r="K1056" s="713">
        <v>6</v>
      </c>
      <c r="L1056" s="713" t="s">
        <v>671</v>
      </c>
      <c r="M1056" s="766" t="s">
        <v>679</v>
      </c>
      <c r="N1056" s="765">
        <v>12</v>
      </c>
      <c r="O1056" s="765">
        <v>3</v>
      </c>
      <c r="P1056" s="765">
        <v>0.31578947368421051</v>
      </c>
      <c r="Q1056" s="735" t="s">
        <v>58</v>
      </c>
      <c r="R1056" s="713" t="s">
        <v>58</v>
      </c>
      <c r="S1056" s="713" t="s">
        <v>58</v>
      </c>
      <c r="T1056" s="713" t="s">
        <v>58</v>
      </c>
      <c r="U1056" s="713">
        <v>0.22800000000000001</v>
      </c>
      <c r="V1056" s="764">
        <v>741.68399999999997</v>
      </c>
      <c r="W1056" s="764">
        <v>0.17882279839023546</v>
      </c>
      <c r="X1056" s="764">
        <v>612.76225229534884</v>
      </c>
      <c r="Y1056" s="764">
        <v>3579.8215791991433</v>
      </c>
      <c r="Z1056" s="764">
        <v>3378.8873160884864</v>
      </c>
      <c r="AA1056" s="764">
        <v>578.36809915028141</v>
      </c>
      <c r="AB1056" s="764">
        <v>0.16890590362393812</v>
      </c>
      <c r="AC1056" s="714">
        <v>0.82617698682369967</v>
      </c>
      <c r="AD1056" s="714">
        <v>0.7843105192554185</v>
      </c>
      <c r="AE1056" s="714" t="s">
        <v>58</v>
      </c>
      <c r="AF1056" s="713" t="s">
        <v>58</v>
      </c>
      <c r="AG1056" s="713" t="s">
        <v>58</v>
      </c>
      <c r="AH1056" s="713">
        <v>0.94387031345969796</v>
      </c>
      <c r="AI1056" s="714" t="s">
        <v>58</v>
      </c>
      <c r="AJ1056" s="713" t="s">
        <v>58</v>
      </c>
      <c r="AK1056" s="713" t="s">
        <v>58</v>
      </c>
      <c r="AL1056" s="713">
        <v>0.94454345387965444</v>
      </c>
      <c r="AM1056" s="714" t="s">
        <v>58</v>
      </c>
      <c r="AN1056" s="713" t="s">
        <v>58</v>
      </c>
      <c r="AO1056" s="713" t="s">
        <v>58</v>
      </c>
      <c r="AP1056" s="713">
        <v>57</v>
      </c>
      <c r="AQ1056" s="747">
        <v>342</v>
      </c>
      <c r="AR1056" s="747"/>
      <c r="AS1056" s="709">
        <v>0</v>
      </c>
      <c r="AT1056" s="763">
        <v>0</v>
      </c>
      <c r="AU1056" s="763">
        <v>0</v>
      </c>
      <c r="AV1056" s="763">
        <v>0.16890590362393812</v>
      </c>
      <c r="AW1056" s="763">
        <v>0.16890590362393812</v>
      </c>
      <c r="AX1056" s="763">
        <v>0.16890590362393812</v>
      </c>
      <c r="AY1056" s="763">
        <v>5.3338706407559403E-2</v>
      </c>
      <c r="AZ1056" s="763">
        <v>5.3338706407559403E-2</v>
      </c>
      <c r="BA1056" s="763">
        <v>5.3338706407559403E-2</v>
      </c>
      <c r="BB1056" s="763">
        <v>5.3338706407559403E-2</v>
      </c>
      <c r="BC1056" s="763">
        <v>5.3338706407559403E-2</v>
      </c>
      <c r="BD1056" s="763">
        <v>5.3338706407559403E-2</v>
      </c>
      <c r="BE1056" s="763">
        <v>5.3338706407559403E-2</v>
      </c>
      <c r="BF1056" s="763">
        <v>5.3338706407559403E-2</v>
      </c>
      <c r="BG1056" s="763">
        <v>5.3338706407559403E-2</v>
      </c>
      <c r="BH1056" s="763">
        <v>0</v>
      </c>
      <c r="BI1056" s="763">
        <v>0</v>
      </c>
      <c r="BJ1056" s="763">
        <v>0</v>
      </c>
      <c r="BK1056" s="763">
        <v>0</v>
      </c>
      <c r="BL1056" s="763">
        <v>0</v>
      </c>
      <c r="BM1056" s="763">
        <v>0</v>
      </c>
      <c r="BN1056" s="763">
        <v>0</v>
      </c>
      <c r="BO1056" s="763">
        <v>0</v>
      </c>
      <c r="BP1056" s="763">
        <v>0</v>
      </c>
      <c r="BQ1056" s="763">
        <v>0</v>
      </c>
      <c r="BR1056" s="763">
        <v>0</v>
      </c>
      <c r="BS1056" s="763">
        <v>0</v>
      </c>
      <c r="BT1056" s="762">
        <v>0</v>
      </c>
      <c r="BU1056" s="762">
        <v>0</v>
      </c>
      <c r="BV1056" s="762">
        <v>578.36809915028141</v>
      </c>
      <c r="BW1056" s="762">
        <v>578.36809915028141</v>
      </c>
      <c r="BX1056" s="762">
        <v>578.36809915028141</v>
      </c>
      <c r="BY1056" s="762">
        <v>182.64255762640465</v>
      </c>
      <c r="BZ1056" s="762">
        <v>182.64255762640465</v>
      </c>
      <c r="CA1056" s="762">
        <v>182.64255762640465</v>
      </c>
      <c r="CB1056" s="762">
        <v>182.64255762640465</v>
      </c>
      <c r="CC1056" s="762">
        <v>182.64255762640465</v>
      </c>
      <c r="CD1056" s="762">
        <v>182.64255762640465</v>
      </c>
      <c r="CE1056" s="762">
        <v>182.64255762640465</v>
      </c>
      <c r="CF1056" s="762">
        <v>182.64255762640465</v>
      </c>
      <c r="CG1056" s="762">
        <v>182.64255762640465</v>
      </c>
      <c r="CH1056" s="762">
        <v>0</v>
      </c>
      <c r="CI1056" s="762">
        <v>0</v>
      </c>
      <c r="CJ1056" s="762">
        <v>0</v>
      </c>
      <c r="CK1056" s="762">
        <v>0</v>
      </c>
      <c r="CL1056" s="762">
        <v>0</v>
      </c>
      <c r="CM1056" s="762">
        <v>0</v>
      </c>
      <c r="CN1056" s="762">
        <v>0</v>
      </c>
      <c r="CO1056" s="762">
        <v>0</v>
      </c>
      <c r="CP1056" s="762">
        <v>0</v>
      </c>
      <c r="CQ1056" s="762">
        <v>0</v>
      </c>
      <c r="CR1056" s="762">
        <v>0</v>
      </c>
    </row>
    <row r="1057" spans="1:96" s="53" customFormat="1">
      <c r="A1057" s="709" t="s">
        <v>3</v>
      </c>
      <c r="B1057" s="721">
        <v>41963</v>
      </c>
      <c r="C1057" s="721">
        <v>2014</v>
      </c>
      <c r="D1057" s="709" t="s">
        <v>1</v>
      </c>
      <c r="E1057" s="713" t="s">
        <v>674</v>
      </c>
      <c r="F1057" s="713" t="s">
        <v>681</v>
      </c>
      <c r="G1057" s="723" t="s">
        <v>58</v>
      </c>
      <c r="H1057" s="713" t="s">
        <v>680</v>
      </c>
      <c r="I1057" s="723" t="s">
        <v>5</v>
      </c>
      <c r="J1057" s="713" t="s">
        <v>376</v>
      </c>
      <c r="K1057" s="713">
        <v>20</v>
      </c>
      <c r="L1057" s="713" t="s">
        <v>671</v>
      </c>
      <c r="M1057" s="766" t="s">
        <v>679</v>
      </c>
      <c r="N1057" s="765">
        <v>11</v>
      </c>
      <c r="O1057" s="765" t="s">
        <v>7</v>
      </c>
      <c r="P1057" s="765">
        <v>1</v>
      </c>
      <c r="Q1057" s="735" t="s">
        <v>58</v>
      </c>
      <c r="R1057" s="713" t="s">
        <v>58</v>
      </c>
      <c r="S1057" s="713" t="s">
        <v>58</v>
      </c>
      <c r="T1057" s="713" t="s">
        <v>58</v>
      </c>
      <c r="U1057" s="713">
        <v>1.03</v>
      </c>
      <c r="V1057" s="764">
        <v>3832.63</v>
      </c>
      <c r="W1057" s="764">
        <v>0.80783983483308119</v>
      </c>
      <c r="X1057" s="764">
        <v>3166.4307050101161</v>
      </c>
      <c r="Y1057" s="764">
        <v>34830.737755111273</v>
      </c>
      <c r="Z1057" s="764">
        <v>32875.699362949417</v>
      </c>
      <c r="AA1057" s="764">
        <v>2988.6999420863108</v>
      </c>
      <c r="AB1057" s="764">
        <v>0.76303982777480805</v>
      </c>
      <c r="AC1057" s="714">
        <v>0.82617698682369967</v>
      </c>
      <c r="AD1057" s="714">
        <v>0.7843105192554185</v>
      </c>
      <c r="AE1057" s="714" t="s">
        <v>58</v>
      </c>
      <c r="AF1057" s="713" t="s">
        <v>58</v>
      </c>
      <c r="AG1057" s="713" t="s">
        <v>58</v>
      </c>
      <c r="AH1057" s="713">
        <v>0.94387031345969796</v>
      </c>
      <c r="AI1057" s="714" t="s">
        <v>58</v>
      </c>
      <c r="AJ1057" s="713" t="s">
        <v>58</v>
      </c>
      <c r="AK1057" s="713" t="s">
        <v>58</v>
      </c>
      <c r="AL1057" s="713">
        <v>0.94454345387965444</v>
      </c>
      <c r="AM1057" s="714" t="s">
        <v>58</v>
      </c>
      <c r="AN1057" s="713" t="s">
        <v>58</v>
      </c>
      <c r="AO1057" s="713" t="s">
        <v>58</v>
      </c>
      <c r="AP1057" s="713">
        <v>52</v>
      </c>
      <c r="AQ1057" s="747">
        <v>1040</v>
      </c>
      <c r="AR1057" s="747"/>
      <c r="AS1057" s="709">
        <v>0</v>
      </c>
      <c r="AT1057" s="763">
        <v>0</v>
      </c>
      <c r="AU1057" s="763">
        <v>0</v>
      </c>
      <c r="AV1057" s="763">
        <v>0.76303982777480805</v>
      </c>
      <c r="AW1057" s="763">
        <v>0.76303982777480805</v>
      </c>
      <c r="AX1057" s="763">
        <v>0.76303982777480805</v>
      </c>
      <c r="AY1057" s="763">
        <v>0.76303982777480805</v>
      </c>
      <c r="AZ1057" s="763">
        <v>0.76303982777480805</v>
      </c>
      <c r="BA1057" s="763">
        <v>0.76303982777480805</v>
      </c>
      <c r="BB1057" s="763">
        <v>0.76303982777480805</v>
      </c>
      <c r="BC1057" s="763">
        <v>0.76303982777480805</v>
      </c>
      <c r="BD1057" s="763">
        <v>0.76303982777480805</v>
      </c>
      <c r="BE1057" s="763">
        <v>0.76303982777480805</v>
      </c>
      <c r="BF1057" s="763">
        <v>0.76303982777480805</v>
      </c>
      <c r="BG1057" s="763">
        <v>0</v>
      </c>
      <c r="BH1057" s="763">
        <v>0</v>
      </c>
      <c r="BI1057" s="763">
        <v>0</v>
      </c>
      <c r="BJ1057" s="763">
        <v>0</v>
      </c>
      <c r="BK1057" s="763">
        <v>0</v>
      </c>
      <c r="BL1057" s="763">
        <v>0</v>
      </c>
      <c r="BM1057" s="763">
        <v>0</v>
      </c>
      <c r="BN1057" s="763">
        <v>0</v>
      </c>
      <c r="BO1057" s="763">
        <v>0</v>
      </c>
      <c r="BP1057" s="763">
        <v>0</v>
      </c>
      <c r="BQ1057" s="763">
        <v>0</v>
      </c>
      <c r="BR1057" s="763">
        <v>0</v>
      </c>
      <c r="BS1057" s="763">
        <v>0</v>
      </c>
      <c r="BT1057" s="762">
        <v>0</v>
      </c>
      <c r="BU1057" s="762">
        <v>0</v>
      </c>
      <c r="BV1057" s="762">
        <v>2988.6999420863108</v>
      </c>
      <c r="BW1057" s="762">
        <v>2988.6999420863108</v>
      </c>
      <c r="BX1057" s="762">
        <v>2988.6999420863108</v>
      </c>
      <c r="BY1057" s="762">
        <v>2988.6999420863108</v>
      </c>
      <c r="BZ1057" s="762">
        <v>2988.6999420863108</v>
      </c>
      <c r="CA1057" s="762">
        <v>2988.6999420863108</v>
      </c>
      <c r="CB1057" s="762">
        <v>2988.6999420863108</v>
      </c>
      <c r="CC1057" s="762">
        <v>2988.6999420863108</v>
      </c>
      <c r="CD1057" s="762">
        <v>2988.6999420863108</v>
      </c>
      <c r="CE1057" s="762">
        <v>2988.6999420863108</v>
      </c>
      <c r="CF1057" s="762">
        <v>2988.6999420863108</v>
      </c>
      <c r="CG1057" s="762">
        <v>0</v>
      </c>
      <c r="CH1057" s="762">
        <v>0</v>
      </c>
      <c r="CI1057" s="762">
        <v>0</v>
      </c>
      <c r="CJ1057" s="762">
        <v>0</v>
      </c>
      <c r="CK1057" s="762">
        <v>0</v>
      </c>
      <c r="CL1057" s="762">
        <v>0</v>
      </c>
      <c r="CM1057" s="762">
        <v>0</v>
      </c>
      <c r="CN1057" s="762">
        <v>0</v>
      </c>
      <c r="CO1057" s="762">
        <v>0</v>
      </c>
      <c r="CP1057" s="762">
        <v>0</v>
      </c>
      <c r="CQ1057" s="762">
        <v>0</v>
      </c>
      <c r="CR1057" s="762">
        <v>0</v>
      </c>
    </row>
    <row r="1058" spans="1:96" s="53" customFormat="1">
      <c r="A1058" s="709" t="s">
        <v>3</v>
      </c>
      <c r="B1058" s="721">
        <v>41968</v>
      </c>
      <c r="C1058" s="721">
        <v>2014</v>
      </c>
      <c r="D1058" s="709" t="s">
        <v>1</v>
      </c>
      <c r="E1058" s="713" t="s">
        <v>674</v>
      </c>
      <c r="F1058" s="713" t="s">
        <v>673</v>
      </c>
      <c r="G1058" s="723" t="s">
        <v>58</v>
      </c>
      <c r="H1058" s="713" t="s">
        <v>678</v>
      </c>
      <c r="I1058" s="723" t="s">
        <v>5</v>
      </c>
      <c r="J1058" s="713" t="s">
        <v>376</v>
      </c>
      <c r="K1058" s="713">
        <v>11</v>
      </c>
      <c r="L1058" s="713" t="s">
        <v>671</v>
      </c>
      <c r="M1058" s="766" t="s">
        <v>670</v>
      </c>
      <c r="N1058" s="765">
        <v>3</v>
      </c>
      <c r="O1058" s="765">
        <v>2</v>
      </c>
      <c r="P1058" s="765">
        <v>0.6149863305954828</v>
      </c>
      <c r="Q1058" s="735" t="s">
        <v>58</v>
      </c>
      <c r="R1058" s="713" t="s">
        <v>58</v>
      </c>
      <c r="S1058" s="713" t="s">
        <v>58</v>
      </c>
      <c r="T1058" s="713" t="s">
        <v>58</v>
      </c>
      <c r="U1058" s="713">
        <v>0.51700000000000002</v>
      </c>
      <c r="V1058" s="764">
        <v>1593.394</v>
      </c>
      <c r="W1058" s="764">
        <v>0.40548853845505145</v>
      </c>
      <c r="X1058" s="764">
        <v>1316.425453742962</v>
      </c>
      <c r="Y1058" s="764">
        <v>3442.4345667858015</v>
      </c>
      <c r="Z1058" s="764">
        <v>3249.2117936166142</v>
      </c>
      <c r="AA1058" s="764">
        <v>1242.5349056706946</v>
      </c>
      <c r="AB1058" s="764">
        <v>0.38300154462094738</v>
      </c>
      <c r="AC1058" s="714">
        <v>0.82617698682369967</v>
      </c>
      <c r="AD1058" s="714">
        <v>0.7843105192554185</v>
      </c>
      <c r="AE1058" s="714" t="s">
        <v>58</v>
      </c>
      <c r="AF1058" s="713" t="s">
        <v>58</v>
      </c>
      <c r="AG1058" s="713" t="s">
        <v>58</v>
      </c>
      <c r="AH1058" s="713">
        <v>0.94387031345969796</v>
      </c>
      <c r="AI1058" s="714" t="s">
        <v>58</v>
      </c>
      <c r="AJ1058" s="713" t="s">
        <v>58</v>
      </c>
      <c r="AK1058" s="713" t="s">
        <v>58</v>
      </c>
      <c r="AL1058" s="713">
        <v>0.94454345387965444</v>
      </c>
      <c r="AM1058" s="714" t="s">
        <v>58</v>
      </c>
      <c r="AN1058" s="713" t="s">
        <v>58</v>
      </c>
      <c r="AO1058" s="713" t="s">
        <v>58</v>
      </c>
      <c r="AP1058" s="713">
        <v>8</v>
      </c>
      <c r="AQ1058" s="747">
        <v>88</v>
      </c>
      <c r="AR1058" s="747"/>
      <c r="AS1058" s="709">
        <v>0</v>
      </c>
      <c r="AT1058" s="763">
        <v>0</v>
      </c>
      <c r="AU1058" s="763">
        <v>0</v>
      </c>
      <c r="AV1058" s="763">
        <v>0.38300154462094738</v>
      </c>
      <c r="AW1058" s="763">
        <v>0.38300154462094738</v>
      </c>
      <c r="AX1058" s="763">
        <v>0.23554071453883851</v>
      </c>
      <c r="AY1058" s="763">
        <v>0</v>
      </c>
      <c r="AZ1058" s="763">
        <v>0</v>
      </c>
      <c r="BA1058" s="763">
        <v>0</v>
      </c>
      <c r="BB1058" s="763">
        <v>0</v>
      </c>
      <c r="BC1058" s="763">
        <v>0</v>
      </c>
      <c r="BD1058" s="763">
        <v>0</v>
      </c>
      <c r="BE1058" s="763">
        <v>0</v>
      </c>
      <c r="BF1058" s="763">
        <v>0</v>
      </c>
      <c r="BG1058" s="763">
        <v>0</v>
      </c>
      <c r="BH1058" s="763">
        <v>0</v>
      </c>
      <c r="BI1058" s="763">
        <v>0</v>
      </c>
      <c r="BJ1058" s="763">
        <v>0</v>
      </c>
      <c r="BK1058" s="763">
        <v>0</v>
      </c>
      <c r="BL1058" s="763">
        <v>0</v>
      </c>
      <c r="BM1058" s="763">
        <v>0</v>
      </c>
      <c r="BN1058" s="763">
        <v>0</v>
      </c>
      <c r="BO1058" s="763">
        <v>0</v>
      </c>
      <c r="BP1058" s="763">
        <v>0</v>
      </c>
      <c r="BQ1058" s="763">
        <v>0</v>
      </c>
      <c r="BR1058" s="763">
        <v>0</v>
      </c>
      <c r="BS1058" s="763">
        <v>0</v>
      </c>
      <c r="BT1058" s="762">
        <v>0</v>
      </c>
      <c r="BU1058" s="762">
        <v>0</v>
      </c>
      <c r="BV1058" s="762">
        <v>1242.5349056706946</v>
      </c>
      <c r="BW1058" s="762">
        <v>1242.5349056706946</v>
      </c>
      <c r="BX1058" s="762">
        <v>764.14198227522479</v>
      </c>
      <c r="BY1058" s="762">
        <v>0</v>
      </c>
      <c r="BZ1058" s="762">
        <v>0</v>
      </c>
      <c r="CA1058" s="762">
        <v>0</v>
      </c>
      <c r="CB1058" s="762">
        <v>0</v>
      </c>
      <c r="CC1058" s="762">
        <v>0</v>
      </c>
      <c r="CD1058" s="762">
        <v>0</v>
      </c>
      <c r="CE1058" s="762">
        <v>0</v>
      </c>
      <c r="CF1058" s="762">
        <v>0</v>
      </c>
      <c r="CG1058" s="762">
        <v>0</v>
      </c>
      <c r="CH1058" s="762">
        <v>0</v>
      </c>
      <c r="CI1058" s="762">
        <v>0</v>
      </c>
      <c r="CJ1058" s="762">
        <v>0</v>
      </c>
      <c r="CK1058" s="762">
        <v>0</v>
      </c>
      <c r="CL1058" s="762">
        <v>0</v>
      </c>
      <c r="CM1058" s="762">
        <v>0</v>
      </c>
      <c r="CN1058" s="762">
        <v>0</v>
      </c>
      <c r="CO1058" s="762">
        <v>0</v>
      </c>
      <c r="CP1058" s="762">
        <v>0</v>
      </c>
      <c r="CQ1058" s="762">
        <v>0</v>
      </c>
      <c r="CR1058" s="762">
        <v>0</v>
      </c>
    </row>
    <row r="1059" spans="1:96" s="53" customFormat="1">
      <c r="A1059" s="709" t="s">
        <v>3</v>
      </c>
      <c r="B1059" s="721">
        <v>41968</v>
      </c>
      <c r="C1059" s="721">
        <v>2014</v>
      </c>
      <c r="D1059" s="709" t="s">
        <v>1</v>
      </c>
      <c r="E1059" s="713" t="s">
        <v>674</v>
      </c>
      <c r="F1059" s="713" t="s">
        <v>673</v>
      </c>
      <c r="G1059" s="723" t="s">
        <v>58</v>
      </c>
      <c r="H1059" s="713" t="s">
        <v>677</v>
      </c>
      <c r="I1059" s="723" t="s">
        <v>5</v>
      </c>
      <c r="J1059" s="713" t="s">
        <v>376</v>
      </c>
      <c r="K1059" s="713">
        <v>1</v>
      </c>
      <c r="L1059" s="713" t="s">
        <v>671</v>
      </c>
      <c r="M1059" s="766" t="s">
        <v>670</v>
      </c>
      <c r="N1059" s="765">
        <v>0</v>
      </c>
      <c r="O1059" s="765">
        <v>0</v>
      </c>
      <c r="P1059" s="765">
        <v>0</v>
      </c>
      <c r="Q1059" s="735" t="s">
        <v>58</v>
      </c>
      <c r="R1059" s="713" t="s">
        <v>58</v>
      </c>
      <c r="S1059" s="713" t="s">
        <v>58</v>
      </c>
      <c r="T1059" s="713" t="s">
        <v>58</v>
      </c>
      <c r="U1059" s="713">
        <v>0</v>
      </c>
      <c r="V1059" s="764">
        <v>0</v>
      </c>
      <c r="W1059" s="764">
        <v>0</v>
      </c>
      <c r="X1059" s="764">
        <v>0</v>
      </c>
      <c r="Y1059" s="764">
        <v>0</v>
      </c>
      <c r="Z1059" s="764">
        <v>0</v>
      </c>
      <c r="AA1059" s="764">
        <v>0</v>
      </c>
      <c r="AB1059" s="764">
        <v>0</v>
      </c>
      <c r="AC1059" s="714">
        <v>0.82617698682369967</v>
      </c>
      <c r="AD1059" s="714">
        <v>0.7843105192554185</v>
      </c>
      <c r="AE1059" s="714" t="s">
        <v>58</v>
      </c>
      <c r="AF1059" s="713" t="s">
        <v>58</v>
      </c>
      <c r="AG1059" s="713" t="s">
        <v>58</v>
      </c>
      <c r="AH1059" s="713">
        <v>0.94387031345969796</v>
      </c>
      <c r="AI1059" s="714" t="s">
        <v>58</v>
      </c>
      <c r="AJ1059" s="713" t="s">
        <v>58</v>
      </c>
      <c r="AK1059" s="713" t="s">
        <v>58</v>
      </c>
      <c r="AL1059" s="713">
        <v>0.94454345387965444</v>
      </c>
      <c r="AM1059" s="714" t="s">
        <v>58</v>
      </c>
      <c r="AN1059" s="713" t="s">
        <v>58</v>
      </c>
      <c r="AO1059" s="713" t="s">
        <v>58</v>
      </c>
      <c r="AP1059" s="713">
        <v>51</v>
      </c>
      <c r="AQ1059" s="747">
        <v>51</v>
      </c>
      <c r="AR1059" s="747"/>
      <c r="AS1059" s="709">
        <v>0</v>
      </c>
      <c r="AT1059" s="763">
        <v>0</v>
      </c>
      <c r="AU1059" s="763">
        <v>0</v>
      </c>
      <c r="AV1059" s="763">
        <v>0</v>
      </c>
      <c r="AW1059" s="763">
        <v>0</v>
      </c>
      <c r="AX1059" s="763">
        <v>0</v>
      </c>
      <c r="AY1059" s="763">
        <v>0</v>
      </c>
      <c r="AZ1059" s="763">
        <v>0</v>
      </c>
      <c r="BA1059" s="763">
        <v>0</v>
      </c>
      <c r="BB1059" s="763">
        <v>0</v>
      </c>
      <c r="BC1059" s="763">
        <v>0</v>
      </c>
      <c r="BD1059" s="763">
        <v>0</v>
      </c>
      <c r="BE1059" s="763">
        <v>0</v>
      </c>
      <c r="BF1059" s="763">
        <v>0</v>
      </c>
      <c r="BG1059" s="763">
        <v>0</v>
      </c>
      <c r="BH1059" s="763">
        <v>0</v>
      </c>
      <c r="BI1059" s="763">
        <v>0</v>
      </c>
      <c r="BJ1059" s="763">
        <v>0</v>
      </c>
      <c r="BK1059" s="763">
        <v>0</v>
      </c>
      <c r="BL1059" s="763">
        <v>0</v>
      </c>
      <c r="BM1059" s="763">
        <v>0</v>
      </c>
      <c r="BN1059" s="763">
        <v>0</v>
      </c>
      <c r="BO1059" s="763">
        <v>0</v>
      </c>
      <c r="BP1059" s="763">
        <v>0</v>
      </c>
      <c r="BQ1059" s="763">
        <v>0</v>
      </c>
      <c r="BR1059" s="763">
        <v>0</v>
      </c>
      <c r="BS1059" s="763">
        <v>0</v>
      </c>
      <c r="BT1059" s="762">
        <v>0</v>
      </c>
      <c r="BU1059" s="762">
        <v>0</v>
      </c>
      <c r="BV1059" s="762">
        <v>0</v>
      </c>
      <c r="BW1059" s="762">
        <v>0</v>
      </c>
      <c r="BX1059" s="762">
        <v>0</v>
      </c>
      <c r="BY1059" s="762">
        <v>0</v>
      </c>
      <c r="BZ1059" s="762">
        <v>0</v>
      </c>
      <c r="CA1059" s="762">
        <v>0</v>
      </c>
      <c r="CB1059" s="762">
        <v>0</v>
      </c>
      <c r="CC1059" s="762">
        <v>0</v>
      </c>
      <c r="CD1059" s="762">
        <v>0</v>
      </c>
      <c r="CE1059" s="762">
        <v>0</v>
      </c>
      <c r="CF1059" s="762">
        <v>0</v>
      </c>
      <c r="CG1059" s="762">
        <v>0</v>
      </c>
      <c r="CH1059" s="762">
        <v>0</v>
      </c>
      <c r="CI1059" s="762">
        <v>0</v>
      </c>
      <c r="CJ1059" s="762">
        <v>0</v>
      </c>
      <c r="CK1059" s="762">
        <v>0</v>
      </c>
      <c r="CL1059" s="762">
        <v>0</v>
      </c>
      <c r="CM1059" s="762">
        <v>0</v>
      </c>
      <c r="CN1059" s="762">
        <v>0</v>
      </c>
      <c r="CO1059" s="762">
        <v>0</v>
      </c>
      <c r="CP1059" s="762">
        <v>0</v>
      </c>
      <c r="CQ1059" s="762">
        <v>0</v>
      </c>
      <c r="CR1059" s="762">
        <v>0</v>
      </c>
    </row>
    <row r="1060" spans="1:96" s="53" customFormat="1">
      <c r="A1060" s="709" t="s">
        <v>3</v>
      </c>
      <c r="B1060" s="721">
        <v>41968</v>
      </c>
      <c r="C1060" s="721">
        <v>2014</v>
      </c>
      <c r="D1060" s="709" t="s">
        <v>1</v>
      </c>
      <c r="E1060" s="713" t="s">
        <v>674</v>
      </c>
      <c r="F1060" s="713" t="s">
        <v>673</v>
      </c>
      <c r="G1060" s="723" t="s">
        <v>58</v>
      </c>
      <c r="H1060" s="713" t="s">
        <v>676</v>
      </c>
      <c r="I1060" s="723" t="s">
        <v>5</v>
      </c>
      <c r="J1060" s="713" t="s">
        <v>376</v>
      </c>
      <c r="K1060" s="713">
        <v>16</v>
      </c>
      <c r="L1060" s="713" t="s">
        <v>671</v>
      </c>
      <c r="M1060" s="766" t="s">
        <v>670</v>
      </c>
      <c r="N1060" s="765">
        <v>12</v>
      </c>
      <c r="O1060" s="765">
        <v>3</v>
      </c>
      <c r="P1060" s="765">
        <v>0.31578947368421051</v>
      </c>
      <c r="Q1060" s="735" t="s">
        <v>58</v>
      </c>
      <c r="R1060" s="713" t="s">
        <v>58</v>
      </c>
      <c r="S1060" s="713" t="s">
        <v>58</v>
      </c>
      <c r="T1060" s="713" t="s">
        <v>58</v>
      </c>
      <c r="U1060" s="713">
        <v>0.60799999999999998</v>
      </c>
      <c r="V1060" s="764">
        <v>1577.152</v>
      </c>
      <c r="W1060" s="764">
        <v>0.4768607957072945</v>
      </c>
      <c r="X1060" s="764">
        <v>1303.0066871229715</v>
      </c>
      <c r="Y1060" s="764">
        <v>7612.3022247710433</v>
      </c>
      <c r="Z1060" s="764">
        <v>7185.0260870446009</v>
      </c>
      <c r="AA1060" s="764">
        <v>1229.8693302148417</v>
      </c>
      <c r="AB1060" s="764">
        <v>0.45041574299716824</v>
      </c>
      <c r="AC1060" s="714">
        <v>0.82617698682369967</v>
      </c>
      <c r="AD1060" s="714">
        <v>0.7843105192554185</v>
      </c>
      <c r="AE1060" s="714" t="s">
        <v>58</v>
      </c>
      <c r="AF1060" s="713" t="s">
        <v>58</v>
      </c>
      <c r="AG1060" s="713" t="s">
        <v>58</v>
      </c>
      <c r="AH1060" s="713">
        <v>0.94387031345969796</v>
      </c>
      <c r="AI1060" s="714" t="s">
        <v>58</v>
      </c>
      <c r="AJ1060" s="713" t="s">
        <v>58</v>
      </c>
      <c r="AK1060" s="713" t="s">
        <v>58</v>
      </c>
      <c r="AL1060" s="713">
        <v>0.94454345387965444</v>
      </c>
      <c r="AM1060" s="714" t="s">
        <v>58</v>
      </c>
      <c r="AN1060" s="713" t="s">
        <v>58</v>
      </c>
      <c r="AO1060" s="713" t="s">
        <v>58</v>
      </c>
      <c r="AP1060" s="713">
        <v>57</v>
      </c>
      <c r="AQ1060" s="747">
        <v>912</v>
      </c>
      <c r="AR1060" s="747"/>
      <c r="AS1060" s="709">
        <v>0</v>
      </c>
      <c r="AT1060" s="763">
        <v>0</v>
      </c>
      <c r="AU1060" s="763">
        <v>0</v>
      </c>
      <c r="AV1060" s="763">
        <v>0.45041574299716824</v>
      </c>
      <c r="AW1060" s="763">
        <v>0.45041574299716824</v>
      </c>
      <c r="AX1060" s="763">
        <v>0.45041574299716824</v>
      </c>
      <c r="AY1060" s="763">
        <v>0.1422365504201584</v>
      </c>
      <c r="AZ1060" s="763">
        <v>0.1422365504201584</v>
      </c>
      <c r="BA1060" s="763">
        <v>0.1422365504201584</v>
      </c>
      <c r="BB1060" s="763">
        <v>0.1422365504201584</v>
      </c>
      <c r="BC1060" s="763">
        <v>0.1422365504201584</v>
      </c>
      <c r="BD1060" s="763">
        <v>0.1422365504201584</v>
      </c>
      <c r="BE1060" s="763">
        <v>0.1422365504201584</v>
      </c>
      <c r="BF1060" s="763">
        <v>0.1422365504201584</v>
      </c>
      <c r="BG1060" s="763">
        <v>0.1422365504201584</v>
      </c>
      <c r="BH1060" s="763">
        <v>0</v>
      </c>
      <c r="BI1060" s="763">
        <v>0</v>
      </c>
      <c r="BJ1060" s="763">
        <v>0</v>
      </c>
      <c r="BK1060" s="763">
        <v>0</v>
      </c>
      <c r="BL1060" s="763">
        <v>0</v>
      </c>
      <c r="BM1060" s="763">
        <v>0</v>
      </c>
      <c r="BN1060" s="763">
        <v>0</v>
      </c>
      <c r="BO1060" s="763">
        <v>0</v>
      </c>
      <c r="BP1060" s="763">
        <v>0</v>
      </c>
      <c r="BQ1060" s="763">
        <v>0</v>
      </c>
      <c r="BR1060" s="763">
        <v>0</v>
      </c>
      <c r="BS1060" s="763">
        <v>0</v>
      </c>
      <c r="BT1060" s="762">
        <v>0</v>
      </c>
      <c r="BU1060" s="762">
        <v>0</v>
      </c>
      <c r="BV1060" s="762">
        <v>1229.8693302148417</v>
      </c>
      <c r="BW1060" s="762">
        <v>1229.8693302148417</v>
      </c>
      <c r="BX1060" s="762">
        <v>1229.8693302148417</v>
      </c>
      <c r="BY1060" s="762">
        <v>388.37978848889736</v>
      </c>
      <c r="BZ1060" s="762">
        <v>388.37978848889736</v>
      </c>
      <c r="CA1060" s="762">
        <v>388.37978848889736</v>
      </c>
      <c r="CB1060" s="762">
        <v>388.37978848889736</v>
      </c>
      <c r="CC1060" s="762">
        <v>388.37978848889736</v>
      </c>
      <c r="CD1060" s="762">
        <v>388.37978848889736</v>
      </c>
      <c r="CE1060" s="762">
        <v>388.37978848889736</v>
      </c>
      <c r="CF1060" s="762">
        <v>388.37978848889736</v>
      </c>
      <c r="CG1060" s="762">
        <v>388.37978848889736</v>
      </c>
      <c r="CH1060" s="762">
        <v>0</v>
      </c>
      <c r="CI1060" s="762">
        <v>0</v>
      </c>
      <c r="CJ1060" s="762">
        <v>0</v>
      </c>
      <c r="CK1060" s="762">
        <v>0</v>
      </c>
      <c r="CL1060" s="762">
        <v>0</v>
      </c>
      <c r="CM1060" s="762">
        <v>0</v>
      </c>
      <c r="CN1060" s="762">
        <v>0</v>
      </c>
      <c r="CO1060" s="762">
        <v>0</v>
      </c>
      <c r="CP1060" s="762">
        <v>0</v>
      </c>
      <c r="CQ1060" s="762">
        <v>0</v>
      </c>
      <c r="CR1060" s="762">
        <v>0</v>
      </c>
    </row>
    <row r="1061" spans="1:96" s="53" customFormat="1">
      <c r="A1061" s="709" t="s">
        <v>3</v>
      </c>
      <c r="B1061" s="721">
        <v>41968</v>
      </c>
      <c r="C1061" s="721">
        <v>2014</v>
      </c>
      <c r="D1061" s="709" t="s">
        <v>1</v>
      </c>
      <c r="E1061" s="713" t="s">
        <v>674</v>
      </c>
      <c r="F1061" s="713" t="s">
        <v>673</v>
      </c>
      <c r="G1061" s="723" t="s">
        <v>58</v>
      </c>
      <c r="H1061" s="713" t="s">
        <v>675</v>
      </c>
      <c r="I1061" s="723" t="s">
        <v>5</v>
      </c>
      <c r="J1061" s="713" t="s">
        <v>376</v>
      </c>
      <c r="K1061" s="713">
        <v>5</v>
      </c>
      <c r="L1061" s="713" t="s">
        <v>671</v>
      </c>
      <c r="M1061" s="766" t="s">
        <v>670</v>
      </c>
      <c r="N1061" s="765">
        <v>12</v>
      </c>
      <c r="O1061" s="765">
        <v>3</v>
      </c>
      <c r="P1061" s="765">
        <v>0.36842105263157893</v>
      </c>
      <c r="Q1061" s="735" t="s">
        <v>58</v>
      </c>
      <c r="R1061" s="713" t="s">
        <v>58</v>
      </c>
      <c r="S1061" s="713" t="s">
        <v>58</v>
      </c>
      <c r="T1061" s="713" t="s">
        <v>58</v>
      </c>
      <c r="U1061" s="713">
        <v>0.28499999999999998</v>
      </c>
      <c r="V1061" s="764">
        <v>739.29</v>
      </c>
      <c r="W1061" s="764">
        <v>0.22352849798779428</v>
      </c>
      <c r="X1061" s="764">
        <v>610.78438458889286</v>
      </c>
      <c r="Y1061" s="764">
        <v>3857.5855868772178</v>
      </c>
      <c r="Z1061" s="764">
        <v>3641.0605170834124</v>
      </c>
      <c r="AA1061" s="764">
        <v>576.50124853820705</v>
      </c>
      <c r="AB1061" s="764">
        <v>0.21113237952992259</v>
      </c>
      <c r="AC1061" s="714">
        <v>0.82617698682369967</v>
      </c>
      <c r="AD1061" s="714">
        <v>0.7843105192554185</v>
      </c>
      <c r="AE1061" s="714" t="s">
        <v>58</v>
      </c>
      <c r="AF1061" s="713" t="s">
        <v>58</v>
      </c>
      <c r="AG1061" s="713" t="s">
        <v>58</v>
      </c>
      <c r="AH1061" s="713">
        <v>0.94387031345969796</v>
      </c>
      <c r="AI1061" s="714" t="s">
        <v>58</v>
      </c>
      <c r="AJ1061" s="713" t="s">
        <v>58</v>
      </c>
      <c r="AK1061" s="713" t="s">
        <v>58</v>
      </c>
      <c r="AL1061" s="713">
        <v>0.94454345387965444</v>
      </c>
      <c r="AM1061" s="714" t="s">
        <v>58</v>
      </c>
      <c r="AN1061" s="713" t="s">
        <v>58</v>
      </c>
      <c r="AO1061" s="713" t="s">
        <v>58</v>
      </c>
      <c r="AP1061" s="713">
        <v>73</v>
      </c>
      <c r="AQ1061" s="747">
        <v>365</v>
      </c>
      <c r="AR1061" s="747"/>
      <c r="AS1061" s="709">
        <v>0</v>
      </c>
      <c r="AT1061" s="763">
        <v>0</v>
      </c>
      <c r="AU1061" s="763">
        <v>0</v>
      </c>
      <c r="AV1061" s="763">
        <v>0.21113237952992259</v>
      </c>
      <c r="AW1061" s="763">
        <v>0.21113237952992259</v>
      </c>
      <c r="AX1061" s="763">
        <v>0.21113237952992259</v>
      </c>
      <c r="AY1061" s="763">
        <v>7.7785613511024101E-2</v>
      </c>
      <c r="AZ1061" s="763">
        <v>7.7785613511024101E-2</v>
      </c>
      <c r="BA1061" s="763">
        <v>7.7785613511024101E-2</v>
      </c>
      <c r="BB1061" s="763">
        <v>7.7785613511024101E-2</v>
      </c>
      <c r="BC1061" s="763">
        <v>7.7785613511024101E-2</v>
      </c>
      <c r="BD1061" s="763">
        <v>7.7785613511024101E-2</v>
      </c>
      <c r="BE1061" s="763">
        <v>7.7785613511024101E-2</v>
      </c>
      <c r="BF1061" s="763">
        <v>7.7785613511024101E-2</v>
      </c>
      <c r="BG1061" s="763">
        <v>7.7785613511024101E-2</v>
      </c>
      <c r="BH1061" s="763">
        <v>0</v>
      </c>
      <c r="BI1061" s="763">
        <v>0</v>
      </c>
      <c r="BJ1061" s="763">
        <v>0</v>
      </c>
      <c r="BK1061" s="763">
        <v>0</v>
      </c>
      <c r="BL1061" s="763">
        <v>0</v>
      </c>
      <c r="BM1061" s="763">
        <v>0</v>
      </c>
      <c r="BN1061" s="763">
        <v>0</v>
      </c>
      <c r="BO1061" s="763">
        <v>0</v>
      </c>
      <c r="BP1061" s="763">
        <v>0</v>
      </c>
      <c r="BQ1061" s="763">
        <v>0</v>
      </c>
      <c r="BR1061" s="763">
        <v>0</v>
      </c>
      <c r="BS1061" s="763">
        <v>0</v>
      </c>
      <c r="BT1061" s="762">
        <v>0</v>
      </c>
      <c r="BU1061" s="762">
        <v>0</v>
      </c>
      <c r="BV1061" s="762">
        <v>576.50124853820705</v>
      </c>
      <c r="BW1061" s="762">
        <v>576.50124853820705</v>
      </c>
      <c r="BX1061" s="762">
        <v>576.50124853820705</v>
      </c>
      <c r="BY1061" s="762">
        <v>212.39519682986574</v>
      </c>
      <c r="BZ1061" s="762">
        <v>212.39519682986574</v>
      </c>
      <c r="CA1061" s="762">
        <v>212.39519682986574</v>
      </c>
      <c r="CB1061" s="762">
        <v>212.39519682986574</v>
      </c>
      <c r="CC1061" s="762">
        <v>212.39519682986574</v>
      </c>
      <c r="CD1061" s="762">
        <v>212.39519682986574</v>
      </c>
      <c r="CE1061" s="762">
        <v>212.39519682986574</v>
      </c>
      <c r="CF1061" s="762">
        <v>212.39519682986574</v>
      </c>
      <c r="CG1061" s="762">
        <v>212.39519682986574</v>
      </c>
      <c r="CH1061" s="762">
        <v>0</v>
      </c>
      <c r="CI1061" s="762">
        <v>0</v>
      </c>
      <c r="CJ1061" s="762">
        <v>0</v>
      </c>
      <c r="CK1061" s="762">
        <v>0</v>
      </c>
      <c r="CL1061" s="762">
        <v>0</v>
      </c>
      <c r="CM1061" s="762">
        <v>0</v>
      </c>
      <c r="CN1061" s="762">
        <v>0</v>
      </c>
      <c r="CO1061" s="762">
        <v>0</v>
      </c>
      <c r="CP1061" s="762">
        <v>0</v>
      </c>
      <c r="CQ1061" s="762">
        <v>0</v>
      </c>
      <c r="CR1061" s="762">
        <v>0</v>
      </c>
    </row>
    <row r="1062" spans="1:96" s="53" customFormat="1">
      <c r="A1062" s="709" t="s">
        <v>3</v>
      </c>
      <c r="B1062" s="721">
        <v>41968</v>
      </c>
      <c r="C1062" s="721">
        <v>2014</v>
      </c>
      <c r="D1062" s="709" t="s">
        <v>1</v>
      </c>
      <c r="E1062" s="713" t="s">
        <v>674</v>
      </c>
      <c r="F1062" s="713" t="s">
        <v>673</v>
      </c>
      <c r="G1062" s="723" t="s">
        <v>58</v>
      </c>
      <c r="H1062" s="713" t="s">
        <v>675</v>
      </c>
      <c r="I1062" s="723" t="s">
        <v>5</v>
      </c>
      <c r="J1062" s="713" t="s">
        <v>376</v>
      </c>
      <c r="K1062" s="713">
        <v>8</v>
      </c>
      <c r="L1062" s="713" t="s">
        <v>671</v>
      </c>
      <c r="M1062" s="766" t="s">
        <v>670</v>
      </c>
      <c r="N1062" s="765">
        <v>12</v>
      </c>
      <c r="O1062" s="765">
        <v>3</v>
      </c>
      <c r="P1062" s="765">
        <v>0.36842105263157893</v>
      </c>
      <c r="Q1062" s="735" t="s">
        <v>58</v>
      </c>
      <c r="R1062" s="713" t="s">
        <v>58</v>
      </c>
      <c r="S1062" s="713" t="s">
        <v>58</v>
      </c>
      <c r="T1062" s="713" t="s">
        <v>58</v>
      </c>
      <c r="U1062" s="713">
        <v>0.45600000000000002</v>
      </c>
      <c r="V1062" s="764">
        <v>1182.864</v>
      </c>
      <c r="W1062" s="764">
        <v>0.35764559678047092</v>
      </c>
      <c r="X1062" s="764">
        <v>977.25501534222872</v>
      </c>
      <c r="Y1062" s="764">
        <v>6172.1369390035488</v>
      </c>
      <c r="Z1062" s="764">
        <v>5825.6968273334605</v>
      </c>
      <c r="AA1062" s="764">
        <v>922.4019976611313</v>
      </c>
      <c r="AB1062" s="764">
        <v>0.33781180724787624</v>
      </c>
      <c r="AC1062" s="714">
        <v>0.82617698682369967</v>
      </c>
      <c r="AD1062" s="714">
        <v>0.7843105192554185</v>
      </c>
      <c r="AE1062" s="714" t="s">
        <v>58</v>
      </c>
      <c r="AF1062" s="713" t="s">
        <v>58</v>
      </c>
      <c r="AG1062" s="713" t="s">
        <v>58</v>
      </c>
      <c r="AH1062" s="713">
        <v>0.94387031345969796</v>
      </c>
      <c r="AI1062" s="714" t="s">
        <v>58</v>
      </c>
      <c r="AJ1062" s="713" t="s">
        <v>58</v>
      </c>
      <c r="AK1062" s="713" t="s">
        <v>58</v>
      </c>
      <c r="AL1062" s="713">
        <v>0.94454345387965444</v>
      </c>
      <c r="AM1062" s="714" t="s">
        <v>58</v>
      </c>
      <c r="AN1062" s="713" t="s">
        <v>58</v>
      </c>
      <c r="AO1062" s="713" t="s">
        <v>58</v>
      </c>
      <c r="AP1062" s="713">
        <v>17</v>
      </c>
      <c r="AQ1062" s="747">
        <v>136</v>
      </c>
      <c r="AR1062" s="747"/>
      <c r="AS1062" s="709">
        <v>0</v>
      </c>
      <c r="AT1062" s="763">
        <v>0</v>
      </c>
      <c r="AU1062" s="763">
        <v>0</v>
      </c>
      <c r="AV1062" s="763">
        <v>0.33781180724787624</v>
      </c>
      <c r="AW1062" s="763">
        <v>0.33781180724787624</v>
      </c>
      <c r="AX1062" s="763">
        <v>0.33781180724787624</v>
      </c>
      <c r="AY1062" s="763">
        <v>0.1244569816176386</v>
      </c>
      <c r="AZ1062" s="763">
        <v>0.1244569816176386</v>
      </c>
      <c r="BA1062" s="763">
        <v>0.1244569816176386</v>
      </c>
      <c r="BB1062" s="763">
        <v>0.1244569816176386</v>
      </c>
      <c r="BC1062" s="763">
        <v>0.1244569816176386</v>
      </c>
      <c r="BD1062" s="763">
        <v>0.1244569816176386</v>
      </c>
      <c r="BE1062" s="763">
        <v>0.1244569816176386</v>
      </c>
      <c r="BF1062" s="763">
        <v>0.1244569816176386</v>
      </c>
      <c r="BG1062" s="763">
        <v>0.1244569816176386</v>
      </c>
      <c r="BH1062" s="763">
        <v>0</v>
      </c>
      <c r="BI1062" s="763">
        <v>0</v>
      </c>
      <c r="BJ1062" s="763">
        <v>0</v>
      </c>
      <c r="BK1062" s="763">
        <v>0</v>
      </c>
      <c r="BL1062" s="763">
        <v>0</v>
      </c>
      <c r="BM1062" s="763">
        <v>0</v>
      </c>
      <c r="BN1062" s="763">
        <v>0</v>
      </c>
      <c r="BO1062" s="763">
        <v>0</v>
      </c>
      <c r="BP1062" s="763">
        <v>0</v>
      </c>
      <c r="BQ1062" s="763">
        <v>0</v>
      </c>
      <c r="BR1062" s="763">
        <v>0</v>
      </c>
      <c r="BS1062" s="763">
        <v>0</v>
      </c>
      <c r="BT1062" s="762">
        <v>0</v>
      </c>
      <c r="BU1062" s="762">
        <v>0</v>
      </c>
      <c r="BV1062" s="762">
        <v>922.4019976611313</v>
      </c>
      <c r="BW1062" s="762">
        <v>922.4019976611313</v>
      </c>
      <c r="BX1062" s="762">
        <v>922.4019976611313</v>
      </c>
      <c r="BY1062" s="762">
        <v>339.83231492778521</v>
      </c>
      <c r="BZ1062" s="762">
        <v>339.83231492778521</v>
      </c>
      <c r="CA1062" s="762">
        <v>339.83231492778521</v>
      </c>
      <c r="CB1062" s="762">
        <v>339.83231492778521</v>
      </c>
      <c r="CC1062" s="762">
        <v>339.83231492778521</v>
      </c>
      <c r="CD1062" s="762">
        <v>339.83231492778521</v>
      </c>
      <c r="CE1062" s="762">
        <v>339.83231492778521</v>
      </c>
      <c r="CF1062" s="762">
        <v>339.83231492778521</v>
      </c>
      <c r="CG1062" s="762">
        <v>339.83231492778521</v>
      </c>
      <c r="CH1062" s="762">
        <v>0</v>
      </c>
      <c r="CI1062" s="762">
        <v>0</v>
      </c>
      <c r="CJ1062" s="762">
        <v>0</v>
      </c>
      <c r="CK1062" s="762">
        <v>0</v>
      </c>
      <c r="CL1062" s="762">
        <v>0</v>
      </c>
      <c r="CM1062" s="762">
        <v>0</v>
      </c>
      <c r="CN1062" s="762">
        <v>0</v>
      </c>
      <c r="CO1062" s="762">
        <v>0</v>
      </c>
      <c r="CP1062" s="762">
        <v>0</v>
      </c>
      <c r="CQ1062" s="762">
        <v>0</v>
      </c>
      <c r="CR1062" s="762">
        <v>0</v>
      </c>
    </row>
    <row r="1063" spans="1:96" s="53" customFormat="1">
      <c r="A1063" s="709" t="s">
        <v>3</v>
      </c>
      <c r="B1063" s="721">
        <v>41968</v>
      </c>
      <c r="C1063" s="721">
        <v>2014</v>
      </c>
      <c r="D1063" s="709" t="s">
        <v>1</v>
      </c>
      <c r="E1063" s="713" t="s">
        <v>674</v>
      </c>
      <c r="F1063" s="713" t="s">
        <v>673</v>
      </c>
      <c r="G1063" s="723" t="s">
        <v>58</v>
      </c>
      <c r="H1063" s="713" t="s">
        <v>672</v>
      </c>
      <c r="I1063" s="723" t="s">
        <v>5</v>
      </c>
      <c r="J1063" s="713" t="s">
        <v>376</v>
      </c>
      <c r="K1063" s="713">
        <v>1</v>
      </c>
      <c r="L1063" s="713" t="s">
        <v>671</v>
      </c>
      <c r="M1063" s="766" t="s">
        <v>670</v>
      </c>
      <c r="N1063" s="765">
        <v>11</v>
      </c>
      <c r="O1063" s="765" t="s">
        <v>7</v>
      </c>
      <c r="P1063" s="765">
        <v>1</v>
      </c>
      <c r="Q1063" s="735" t="s">
        <v>58</v>
      </c>
      <c r="R1063" s="713" t="s">
        <v>58</v>
      </c>
      <c r="S1063" s="713" t="s">
        <v>58</v>
      </c>
      <c r="T1063" s="713" t="s">
        <v>58</v>
      </c>
      <c r="U1063" s="713">
        <v>3.2500000000000001E-2</v>
      </c>
      <c r="V1063" s="764">
        <v>100.16500000000001</v>
      </c>
      <c r="W1063" s="764">
        <v>2.5490091875801108E-2</v>
      </c>
      <c r="X1063" s="764">
        <v>82.754017885195879</v>
      </c>
      <c r="Y1063" s="764">
        <v>910.29419673715461</v>
      </c>
      <c r="Z1063" s="764">
        <v>859.19966881484208</v>
      </c>
      <c r="AA1063" s="764">
        <v>78.109060801349287</v>
      </c>
      <c r="AB1063" s="764">
        <v>2.40764994200789E-2</v>
      </c>
      <c r="AC1063" s="714">
        <v>0.82617698682369967</v>
      </c>
      <c r="AD1063" s="714">
        <v>0.7843105192554185</v>
      </c>
      <c r="AE1063" s="714" t="s">
        <v>58</v>
      </c>
      <c r="AF1063" s="713" t="s">
        <v>58</v>
      </c>
      <c r="AG1063" s="713" t="s">
        <v>58</v>
      </c>
      <c r="AH1063" s="713">
        <v>0.94387031345969796</v>
      </c>
      <c r="AI1063" s="714" t="s">
        <v>58</v>
      </c>
      <c r="AJ1063" s="713" t="s">
        <v>58</v>
      </c>
      <c r="AK1063" s="713" t="s">
        <v>58</v>
      </c>
      <c r="AL1063" s="713">
        <v>0.94454345387965444</v>
      </c>
      <c r="AM1063" s="714" t="s">
        <v>58</v>
      </c>
      <c r="AN1063" s="713" t="s">
        <v>58</v>
      </c>
      <c r="AO1063" s="713" t="s">
        <v>58</v>
      </c>
      <c r="AP1063" s="713">
        <v>50</v>
      </c>
      <c r="AQ1063" s="747">
        <v>50</v>
      </c>
      <c r="AR1063" s="747"/>
      <c r="AS1063" s="709">
        <v>0</v>
      </c>
      <c r="AT1063" s="763">
        <v>0</v>
      </c>
      <c r="AU1063" s="763">
        <v>0</v>
      </c>
      <c r="AV1063" s="763">
        <v>2.40764994200789E-2</v>
      </c>
      <c r="AW1063" s="763">
        <v>2.40764994200789E-2</v>
      </c>
      <c r="AX1063" s="763">
        <v>2.40764994200789E-2</v>
      </c>
      <c r="AY1063" s="763">
        <v>2.40764994200789E-2</v>
      </c>
      <c r="AZ1063" s="763">
        <v>2.40764994200789E-2</v>
      </c>
      <c r="BA1063" s="763">
        <v>2.40764994200789E-2</v>
      </c>
      <c r="BB1063" s="763">
        <v>2.40764994200789E-2</v>
      </c>
      <c r="BC1063" s="763">
        <v>2.40764994200789E-2</v>
      </c>
      <c r="BD1063" s="763">
        <v>2.40764994200789E-2</v>
      </c>
      <c r="BE1063" s="763">
        <v>2.40764994200789E-2</v>
      </c>
      <c r="BF1063" s="763">
        <v>2.40764994200789E-2</v>
      </c>
      <c r="BG1063" s="763">
        <v>0</v>
      </c>
      <c r="BH1063" s="763">
        <v>0</v>
      </c>
      <c r="BI1063" s="763">
        <v>0</v>
      </c>
      <c r="BJ1063" s="763">
        <v>0</v>
      </c>
      <c r="BK1063" s="763">
        <v>0</v>
      </c>
      <c r="BL1063" s="763">
        <v>0</v>
      </c>
      <c r="BM1063" s="763">
        <v>0</v>
      </c>
      <c r="BN1063" s="763">
        <v>0</v>
      </c>
      <c r="BO1063" s="763">
        <v>0</v>
      </c>
      <c r="BP1063" s="763">
        <v>0</v>
      </c>
      <c r="BQ1063" s="763">
        <v>0</v>
      </c>
      <c r="BR1063" s="763">
        <v>0</v>
      </c>
      <c r="BS1063" s="763">
        <v>0</v>
      </c>
      <c r="BT1063" s="762">
        <v>0</v>
      </c>
      <c r="BU1063" s="762">
        <v>0</v>
      </c>
      <c r="BV1063" s="762">
        <v>78.109060801349287</v>
      </c>
      <c r="BW1063" s="762">
        <v>78.109060801349287</v>
      </c>
      <c r="BX1063" s="762">
        <v>78.109060801349287</v>
      </c>
      <c r="BY1063" s="762">
        <v>78.109060801349287</v>
      </c>
      <c r="BZ1063" s="762">
        <v>78.109060801349287</v>
      </c>
      <c r="CA1063" s="762">
        <v>78.109060801349287</v>
      </c>
      <c r="CB1063" s="762">
        <v>78.109060801349287</v>
      </c>
      <c r="CC1063" s="762">
        <v>78.109060801349287</v>
      </c>
      <c r="CD1063" s="762">
        <v>78.109060801349287</v>
      </c>
      <c r="CE1063" s="762">
        <v>78.109060801349287</v>
      </c>
      <c r="CF1063" s="762">
        <v>78.109060801349287</v>
      </c>
      <c r="CG1063" s="762">
        <v>0</v>
      </c>
      <c r="CH1063" s="762">
        <v>0</v>
      </c>
      <c r="CI1063" s="762">
        <v>0</v>
      </c>
      <c r="CJ1063" s="762">
        <v>0</v>
      </c>
      <c r="CK1063" s="762">
        <v>0</v>
      </c>
      <c r="CL1063" s="762">
        <v>0</v>
      </c>
      <c r="CM1063" s="762">
        <v>0</v>
      </c>
      <c r="CN1063" s="762">
        <v>0</v>
      </c>
      <c r="CO1063" s="762">
        <v>0</v>
      </c>
      <c r="CP1063" s="762">
        <v>0</v>
      </c>
      <c r="CQ1063" s="762">
        <v>0</v>
      </c>
      <c r="CR1063" s="762">
        <v>0</v>
      </c>
    </row>
    <row r="1064" spans="1:96" s="53" customFormat="1">
      <c r="A1064" s="753" t="s">
        <v>3</v>
      </c>
      <c r="B1064" s="761">
        <v>41547</v>
      </c>
      <c r="C1064" s="751">
        <v>2013</v>
      </c>
      <c r="D1064" s="751" t="s">
        <v>1</v>
      </c>
      <c r="E1064" s="751" t="s">
        <v>11</v>
      </c>
      <c r="F1064" s="751" t="s">
        <v>457</v>
      </c>
      <c r="G1064" s="751" t="s">
        <v>656</v>
      </c>
      <c r="H1064" s="751" t="s">
        <v>669</v>
      </c>
      <c r="I1064" s="751" t="s">
        <v>5</v>
      </c>
      <c r="J1064" s="751"/>
      <c r="K1064" s="751">
        <v>146</v>
      </c>
      <c r="L1064" s="760" t="s">
        <v>651</v>
      </c>
      <c r="M1064" s="760" t="s">
        <v>666</v>
      </c>
      <c r="N1064" s="760">
        <v>15</v>
      </c>
      <c r="O1064" s="706"/>
      <c r="P1064" s="706"/>
      <c r="Q1064" s="706"/>
      <c r="R1064" s="706"/>
      <c r="S1064" s="706"/>
      <c r="T1064" s="706"/>
      <c r="U1064" s="759">
        <v>1.1679999999999999</v>
      </c>
      <c r="V1064" s="750">
        <v>3029.7919999999999</v>
      </c>
      <c r="W1064" s="741">
        <v>0.89936000000000005</v>
      </c>
      <c r="X1064" s="749">
        <v>2972.56</v>
      </c>
      <c r="Y1064" s="750">
        <v>44588.4</v>
      </c>
      <c r="Z1064" s="719">
        <v>24077.736000000001</v>
      </c>
      <c r="AA1064" s="719">
        <v>1605.1824000000001</v>
      </c>
      <c r="AB1064" s="758">
        <v>0.48565440000000004</v>
      </c>
      <c r="AC1064" s="757">
        <v>0.98111025443330768</v>
      </c>
      <c r="AD1064" s="757">
        <v>0.77000000000000013</v>
      </c>
      <c r="AE1064" s="737">
        <v>0.46</v>
      </c>
      <c r="AF1064" s="751">
        <v>0</v>
      </c>
      <c r="AG1064" s="751">
        <v>0</v>
      </c>
      <c r="AH1064" s="737">
        <v>0.54</v>
      </c>
      <c r="AI1064" s="737">
        <v>0.46</v>
      </c>
      <c r="AJ1064" s="737">
        <v>0</v>
      </c>
      <c r="AK1064" s="737">
        <v>0</v>
      </c>
      <c r="AL1064" s="737">
        <v>0.54</v>
      </c>
      <c r="AM1064" s="755"/>
      <c r="AN1064" s="755"/>
      <c r="AO1064" s="755"/>
      <c r="AP1064" s="747">
        <v>4.7866182523736622</v>
      </c>
      <c r="AQ1064" s="756">
        <v>698.84626484655473</v>
      </c>
      <c r="AR1064" s="755"/>
      <c r="AS1064" s="755"/>
      <c r="AT1064" s="755"/>
      <c r="AU1064" s="710">
        <v>0.48565440000000004</v>
      </c>
      <c r="AV1064" s="710">
        <v>0.48565440000000004</v>
      </c>
      <c r="AW1064" s="710">
        <v>0.48565440000000004</v>
      </c>
      <c r="AX1064" s="710">
        <v>0.48565440000000004</v>
      </c>
      <c r="AY1064" s="710">
        <v>0.48565440000000004</v>
      </c>
      <c r="AZ1064" s="710">
        <v>0.48565440000000004</v>
      </c>
      <c r="BA1064" s="710">
        <v>0.48565440000000004</v>
      </c>
      <c r="BB1064" s="710">
        <v>0.48565440000000004</v>
      </c>
      <c r="BC1064" s="710">
        <v>0.48565440000000004</v>
      </c>
      <c r="BD1064" s="710">
        <v>0.48565440000000004</v>
      </c>
      <c r="BE1064" s="710">
        <v>0.48565440000000004</v>
      </c>
      <c r="BF1064" s="710">
        <v>0.48565440000000004</v>
      </c>
      <c r="BG1064" s="710">
        <v>0.48565440000000004</v>
      </c>
      <c r="BH1064" s="710">
        <v>0.48565440000000004</v>
      </c>
      <c r="BI1064" s="710">
        <v>0.48565440000000004</v>
      </c>
      <c r="BJ1064" s="710">
        <v>0.48565440000000004</v>
      </c>
      <c r="BK1064" s="710">
        <v>0.48565440000000004</v>
      </c>
      <c r="BL1064" s="710">
        <v>0.48565440000000004</v>
      </c>
      <c r="BM1064" s="710">
        <v>0.48565440000000004</v>
      </c>
      <c r="BN1064" s="710">
        <v>0.48565440000000004</v>
      </c>
      <c r="BO1064" s="710">
        <v>0.48565440000000004</v>
      </c>
      <c r="BP1064" s="710">
        <v>0.48565440000000004</v>
      </c>
      <c r="BQ1064" s="710">
        <v>0.48565440000000004</v>
      </c>
      <c r="BR1064" s="710">
        <v>0.48565440000000004</v>
      </c>
      <c r="BS1064" s="755"/>
      <c r="BT1064" s="755"/>
      <c r="BU1064" s="707">
        <v>1605.1824000000001</v>
      </c>
      <c r="BV1064" s="754">
        <v>0</v>
      </c>
      <c r="BW1064" s="754">
        <v>0</v>
      </c>
      <c r="BX1064" s="754">
        <v>0</v>
      </c>
      <c r="BY1064" s="754">
        <v>0</v>
      </c>
      <c r="BZ1064" s="754">
        <v>0</v>
      </c>
      <c r="CA1064" s="754">
        <v>0</v>
      </c>
      <c r="CB1064" s="754">
        <v>0</v>
      </c>
      <c r="CC1064" s="754">
        <v>0</v>
      </c>
      <c r="CD1064" s="754">
        <v>0</v>
      </c>
      <c r="CE1064" s="754">
        <v>0</v>
      </c>
      <c r="CF1064" s="754">
        <v>1605.1824000000001</v>
      </c>
      <c r="CG1064" s="754">
        <v>1605.1824000000001</v>
      </c>
      <c r="CH1064" s="754">
        <v>1605.1824000000001</v>
      </c>
      <c r="CI1064" s="754">
        <v>1605.1824000000001</v>
      </c>
      <c r="CJ1064" s="754">
        <v>1605.1824000000001</v>
      </c>
      <c r="CK1064" s="754">
        <v>1605.1824000000001</v>
      </c>
      <c r="CL1064" s="754">
        <v>1605.1824000000001</v>
      </c>
      <c r="CM1064" s="754">
        <v>1605.1824000000001</v>
      </c>
      <c r="CN1064" s="754">
        <v>1605.1824000000001</v>
      </c>
      <c r="CO1064" s="754">
        <v>1605.1824000000001</v>
      </c>
      <c r="CP1064" s="754">
        <v>1605.1824000000001</v>
      </c>
      <c r="CQ1064" s="754">
        <v>1605.1824000000001</v>
      </c>
      <c r="CR1064" s="754">
        <v>1605.1824000000001</v>
      </c>
    </row>
    <row r="1065" spans="1:96" s="53" customFormat="1">
      <c r="A1065" s="753" t="s">
        <v>3</v>
      </c>
      <c r="B1065" s="761">
        <v>41547</v>
      </c>
      <c r="C1065" s="751">
        <v>2013</v>
      </c>
      <c r="D1065" s="751" t="s">
        <v>1</v>
      </c>
      <c r="E1065" s="751" t="s">
        <v>11</v>
      </c>
      <c r="F1065" s="751" t="s">
        <v>457</v>
      </c>
      <c r="G1065" s="751" t="s">
        <v>665</v>
      </c>
      <c r="H1065" s="751" t="s">
        <v>668</v>
      </c>
      <c r="I1065" s="751" t="s">
        <v>5</v>
      </c>
      <c r="J1065" s="751"/>
      <c r="K1065" s="751">
        <v>1</v>
      </c>
      <c r="L1065" s="760" t="s">
        <v>651</v>
      </c>
      <c r="M1065" s="760" t="s">
        <v>666</v>
      </c>
      <c r="N1065" s="760">
        <v>15</v>
      </c>
      <c r="O1065" s="706"/>
      <c r="P1065" s="706"/>
      <c r="Q1065" s="706"/>
      <c r="R1065" s="706"/>
      <c r="S1065" s="706"/>
      <c r="T1065" s="706"/>
      <c r="U1065" s="759">
        <v>1.4025000000000001</v>
      </c>
      <c r="V1065" s="750">
        <v>1402.9165</v>
      </c>
      <c r="W1065" s="741">
        <v>0.46066005039026675</v>
      </c>
      <c r="X1065" s="749">
        <v>772.72727272727354</v>
      </c>
      <c r="Y1065" s="750">
        <v>11590.909090909103</v>
      </c>
      <c r="Z1065" s="719">
        <v>6259.0909090909163</v>
      </c>
      <c r="AA1065" s="719">
        <v>417.27272727272776</v>
      </c>
      <c r="AB1065" s="758">
        <v>0.24875642721074406</v>
      </c>
      <c r="AC1065" s="757">
        <v>0.55080061623572996</v>
      </c>
      <c r="AD1065" s="757">
        <v>0.32845636391462868</v>
      </c>
      <c r="AE1065" s="737">
        <v>0.46</v>
      </c>
      <c r="AF1065" s="751">
        <v>0</v>
      </c>
      <c r="AG1065" s="751">
        <v>0</v>
      </c>
      <c r="AH1065" s="737">
        <v>0.54</v>
      </c>
      <c r="AI1065" s="737">
        <v>0.46</v>
      </c>
      <c r="AJ1065" s="737">
        <v>0</v>
      </c>
      <c r="AK1065" s="737">
        <v>0</v>
      </c>
      <c r="AL1065" s="737">
        <v>0.54</v>
      </c>
      <c r="AM1065" s="755"/>
      <c r="AN1065" s="755"/>
      <c r="AO1065" s="755"/>
      <c r="AP1065" s="747">
        <v>1024.5900000000001</v>
      </c>
      <c r="AQ1065" s="756">
        <v>1024.5900000000001</v>
      </c>
      <c r="AR1065" s="755"/>
      <c r="AS1065" s="755"/>
      <c r="AT1065" s="755"/>
      <c r="AU1065" s="710">
        <v>0.24875642721074406</v>
      </c>
      <c r="AV1065" s="710">
        <v>0.24875642721074406</v>
      </c>
      <c r="AW1065" s="710">
        <v>0.24875642721074406</v>
      </c>
      <c r="AX1065" s="710">
        <v>0.24875642721074406</v>
      </c>
      <c r="AY1065" s="710">
        <v>0.24875642721074406</v>
      </c>
      <c r="AZ1065" s="710">
        <v>0.24875642721074406</v>
      </c>
      <c r="BA1065" s="710">
        <v>0.24875642721074406</v>
      </c>
      <c r="BB1065" s="710">
        <v>0.24875642721074406</v>
      </c>
      <c r="BC1065" s="710">
        <v>0.24875642721074406</v>
      </c>
      <c r="BD1065" s="710">
        <v>0.24875642721074406</v>
      </c>
      <c r="BE1065" s="710">
        <v>0.24875642721074406</v>
      </c>
      <c r="BF1065" s="710">
        <v>0.24875642721074406</v>
      </c>
      <c r="BG1065" s="710">
        <v>0.24875642721074406</v>
      </c>
      <c r="BH1065" s="710">
        <v>0.24875642721074406</v>
      </c>
      <c r="BI1065" s="710">
        <v>0.24875642721074406</v>
      </c>
      <c r="BJ1065" s="710">
        <v>0.24875642721074406</v>
      </c>
      <c r="BK1065" s="710">
        <v>0.24875642721074406</v>
      </c>
      <c r="BL1065" s="710">
        <v>0.24875642721074406</v>
      </c>
      <c r="BM1065" s="710">
        <v>0.24875642721074406</v>
      </c>
      <c r="BN1065" s="710">
        <v>0.24875642721074406</v>
      </c>
      <c r="BO1065" s="710">
        <v>0.24875642721074406</v>
      </c>
      <c r="BP1065" s="710">
        <v>0.24875642721074406</v>
      </c>
      <c r="BQ1065" s="710">
        <v>0.24875642721074406</v>
      </c>
      <c r="BR1065" s="710">
        <v>0.24875642721074406</v>
      </c>
      <c r="BS1065" s="755"/>
      <c r="BT1065" s="755"/>
      <c r="BU1065" s="707">
        <v>417.27272727272776</v>
      </c>
      <c r="BV1065" s="754">
        <v>0</v>
      </c>
      <c r="BW1065" s="754">
        <v>0</v>
      </c>
      <c r="BX1065" s="754">
        <v>0</v>
      </c>
      <c r="BY1065" s="754">
        <v>0</v>
      </c>
      <c r="BZ1065" s="754">
        <v>0</v>
      </c>
      <c r="CA1065" s="754">
        <v>0</v>
      </c>
      <c r="CB1065" s="754">
        <v>0</v>
      </c>
      <c r="CC1065" s="754">
        <v>0</v>
      </c>
      <c r="CD1065" s="754">
        <v>0</v>
      </c>
      <c r="CE1065" s="754">
        <v>0</v>
      </c>
      <c r="CF1065" s="754">
        <v>417.27272727272776</v>
      </c>
      <c r="CG1065" s="754">
        <v>417.27272727272776</v>
      </c>
      <c r="CH1065" s="754">
        <v>417.27272727272776</v>
      </c>
      <c r="CI1065" s="754">
        <v>417.27272727272776</v>
      </c>
      <c r="CJ1065" s="754">
        <v>417.27272727272776</v>
      </c>
      <c r="CK1065" s="754">
        <v>417.27272727272776</v>
      </c>
      <c r="CL1065" s="754">
        <v>417.27272727272776</v>
      </c>
      <c r="CM1065" s="754">
        <v>417.27272727272776</v>
      </c>
      <c r="CN1065" s="754">
        <v>417.27272727272776</v>
      </c>
      <c r="CO1065" s="754">
        <v>417.27272727272776</v>
      </c>
      <c r="CP1065" s="754">
        <v>417.27272727272776</v>
      </c>
      <c r="CQ1065" s="754">
        <v>417.27272727272776</v>
      </c>
      <c r="CR1065" s="754">
        <v>417.27272727272776</v>
      </c>
    </row>
    <row r="1066" spans="1:96" s="53" customFormat="1">
      <c r="A1066" s="753" t="s">
        <v>3</v>
      </c>
      <c r="B1066" s="761">
        <v>41547</v>
      </c>
      <c r="C1066" s="751">
        <v>2013</v>
      </c>
      <c r="D1066" s="751" t="s">
        <v>1</v>
      </c>
      <c r="E1066" s="751" t="s">
        <v>11</v>
      </c>
      <c r="F1066" s="751" t="s">
        <v>457</v>
      </c>
      <c r="G1066" s="751" t="s">
        <v>665</v>
      </c>
      <c r="H1066" s="751" t="s">
        <v>667</v>
      </c>
      <c r="I1066" s="751" t="s">
        <v>5</v>
      </c>
      <c r="J1066" s="751"/>
      <c r="K1066" s="751">
        <v>5</v>
      </c>
      <c r="L1066" s="760" t="s">
        <v>651</v>
      </c>
      <c r="M1066" s="760" t="s">
        <v>666</v>
      </c>
      <c r="N1066" s="760">
        <v>15</v>
      </c>
      <c r="O1066" s="706"/>
      <c r="P1066" s="706"/>
      <c r="Q1066" s="706"/>
      <c r="R1066" s="706"/>
      <c r="S1066" s="706"/>
      <c r="T1066" s="706"/>
      <c r="U1066" s="759">
        <v>8.25</v>
      </c>
      <c r="V1066" s="750">
        <v>8252.4500000000007</v>
      </c>
      <c r="W1066" s="741">
        <v>2.7097650022956872</v>
      </c>
      <c r="X1066" s="749">
        <v>4545.4545454545505</v>
      </c>
      <c r="Y1066" s="750">
        <v>68181.818181818264</v>
      </c>
      <c r="Z1066" s="719">
        <v>36818.181818181867</v>
      </c>
      <c r="AA1066" s="719">
        <v>2454.5454545454572</v>
      </c>
      <c r="AB1066" s="758">
        <v>1.4632731012396711</v>
      </c>
      <c r="AC1066" s="757">
        <v>0.55080061623572996</v>
      </c>
      <c r="AD1066" s="757">
        <v>0.32845636391462874</v>
      </c>
      <c r="AE1066" s="737">
        <v>0.46</v>
      </c>
      <c r="AF1066" s="751">
        <v>0</v>
      </c>
      <c r="AG1066" s="751">
        <v>0</v>
      </c>
      <c r="AH1066" s="737">
        <v>0.54</v>
      </c>
      <c r="AI1066" s="737">
        <v>0.46</v>
      </c>
      <c r="AJ1066" s="737">
        <v>0</v>
      </c>
      <c r="AK1066" s="737">
        <v>0</v>
      </c>
      <c r="AL1066" s="737">
        <v>0.54</v>
      </c>
      <c r="AM1066" s="755"/>
      <c r="AN1066" s="755"/>
      <c r="AO1066" s="755"/>
      <c r="AP1066" s="747">
        <v>1205.4000000000001</v>
      </c>
      <c r="AQ1066" s="756">
        <v>6027</v>
      </c>
      <c r="AR1066" s="755"/>
      <c r="AS1066" s="755"/>
      <c r="AT1066" s="755"/>
      <c r="AU1066" s="710">
        <v>1.4632731012396711</v>
      </c>
      <c r="AV1066" s="710">
        <v>1.4632731012396711</v>
      </c>
      <c r="AW1066" s="710">
        <v>1.4632731012396711</v>
      </c>
      <c r="AX1066" s="710">
        <v>1.4632731012396711</v>
      </c>
      <c r="AY1066" s="710">
        <v>1.4632731012396711</v>
      </c>
      <c r="AZ1066" s="710">
        <v>1.4632731012396711</v>
      </c>
      <c r="BA1066" s="710">
        <v>1.4632731012396711</v>
      </c>
      <c r="BB1066" s="710">
        <v>1.4632731012396711</v>
      </c>
      <c r="BC1066" s="710">
        <v>1.4632731012396711</v>
      </c>
      <c r="BD1066" s="710">
        <v>1.4632731012396711</v>
      </c>
      <c r="BE1066" s="710">
        <v>1.4632731012396711</v>
      </c>
      <c r="BF1066" s="710">
        <v>1.4632731012396711</v>
      </c>
      <c r="BG1066" s="710">
        <v>1.4632731012396711</v>
      </c>
      <c r="BH1066" s="710">
        <v>1.4632731012396711</v>
      </c>
      <c r="BI1066" s="710">
        <v>1.4632731012396711</v>
      </c>
      <c r="BJ1066" s="710">
        <v>1.4632731012396711</v>
      </c>
      <c r="BK1066" s="710">
        <v>1.4632731012396711</v>
      </c>
      <c r="BL1066" s="710">
        <v>1.4632731012396711</v>
      </c>
      <c r="BM1066" s="710">
        <v>1.4632731012396711</v>
      </c>
      <c r="BN1066" s="710">
        <v>1.4632731012396711</v>
      </c>
      <c r="BO1066" s="710">
        <v>1.4632731012396711</v>
      </c>
      <c r="BP1066" s="710">
        <v>1.4632731012396711</v>
      </c>
      <c r="BQ1066" s="710">
        <v>1.4632731012396711</v>
      </c>
      <c r="BR1066" s="710">
        <v>1.4632731012396711</v>
      </c>
      <c r="BS1066" s="755"/>
      <c r="BT1066" s="755"/>
      <c r="BU1066" s="707">
        <v>2454.5454545454572</v>
      </c>
      <c r="BV1066" s="754">
        <v>0</v>
      </c>
      <c r="BW1066" s="754">
        <v>0</v>
      </c>
      <c r="BX1066" s="754">
        <v>0</v>
      </c>
      <c r="BY1066" s="754">
        <v>0</v>
      </c>
      <c r="BZ1066" s="754">
        <v>0</v>
      </c>
      <c r="CA1066" s="754">
        <v>0</v>
      </c>
      <c r="CB1066" s="754">
        <v>0</v>
      </c>
      <c r="CC1066" s="754">
        <v>0</v>
      </c>
      <c r="CD1066" s="754">
        <v>0</v>
      </c>
      <c r="CE1066" s="754">
        <v>0</v>
      </c>
      <c r="CF1066" s="754">
        <v>2454.5454545454572</v>
      </c>
      <c r="CG1066" s="754">
        <v>2454.5454545454572</v>
      </c>
      <c r="CH1066" s="754">
        <v>2454.5454545454572</v>
      </c>
      <c r="CI1066" s="754">
        <v>2454.5454545454572</v>
      </c>
      <c r="CJ1066" s="754">
        <v>2454.5454545454572</v>
      </c>
      <c r="CK1066" s="754">
        <v>2454.5454545454572</v>
      </c>
      <c r="CL1066" s="754">
        <v>2454.5454545454572</v>
      </c>
      <c r="CM1066" s="754">
        <v>2454.5454545454572</v>
      </c>
      <c r="CN1066" s="754">
        <v>2454.5454545454572</v>
      </c>
      <c r="CO1066" s="754">
        <v>2454.5454545454572</v>
      </c>
      <c r="CP1066" s="754">
        <v>2454.5454545454572</v>
      </c>
      <c r="CQ1066" s="754">
        <v>2454.5454545454572</v>
      </c>
      <c r="CR1066" s="754">
        <v>2454.5454545454572</v>
      </c>
    </row>
    <row r="1067" spans="1:96" s="53" customFormat="1">
      <c r="A1067" s="753" t="s">
        <v>3</v>
      </c>
      <c r="B1067" s="761">
        <v>41547</v>
      </c>
      <c r="C1067" s="751">
        <v>2013</v>
      </c>
      <c r="D1067" s="751" t="s">
        <v>1</v>
      </c>
      <c r="E1067" s="751" t="s">
        <v>11</v>
      </c>
      <c r="F1067" s="751" t="s">
        <v>457</v>
      </c>
      <c r="G1067" s="751" t="s">
        <v>665</v>
      </c>
      <c r="H1067" s="751" t="s">
        <v>667</v>
      </c>
      <c r="I1067" s="751" t="s">
        <v>5</v>
      </c>
      <c r="J1067" s="751"/>
      <c r="K1067" s="751">
        <v>4</v>
      </c>
      <c r="L1067" s="760" t="s">
        <v>651</v>
      </c>
      <c r="M1067" s="760" t="s">
        <v>666</v>
      </c>
      <c r="N1067" s="760">
        <v>15</v>
      </c>
      <c r="O1067" s="706"/>
      <c r="P1067" s="706"/>
      <c r="Q1067" s="706"/>
      <c r="R1067" s="706"/>
      <c r="S1067" s="706"/>
      <c r="T1067" s="706"/>
      <c r="U1067" s="759">
        <v>6.6000000000000005</v>
      </c>
      <c r="V1067" s="750">
        <v>6601.96</v>
      </c>
      <c r="W1067" s="741">
        <v>2.1678120018365497</v>
      </c>
      <c r="X1067" s="749">
        <v>3636.3636363636401</v>
      </c>
      <c r="Y1067" s="750">
        <v>54545.454545454602</v>
      </c>
      <c r="Z1067" s="719">
        <v>29454.545454545489</v>
      </c>
      <c r="AA1067" s="719">
        <v>1963.6363636363658</v>
      </c>
      <c r="AB1067" s="758">
        <v>1.1706184809917368</v>
      </c>
      <c r="AC1067" s="757">
        <v>0.55080061623572996</v>
      </c>
      <c r="AD1067" s="757">
        <v>0.32845636391462874</v>
      </c>
      <c r="AE1067" s="737">
        <v>0.46</v>
      </c>
      <c r="AF1067" s="751">
        <v>0</v>
      </c>
      <c r="AG1067" s="751">
        <v>0</v>
      </c>
      <c r="AH1067" s="737">
        <v>0.54</v>
      </c>
      <c r="AI1067" s="737">
        <v>0.46</v>
      </c>
      <c r="AJ1067" s="737">
        <v>0</v>
      </c>
      <c r="AK1067" s="737">
        <v>0</v>
      </c>
      <c r="AL1067" s="737">
        <v>0.54</v>
      </c>
      <c r="AM1067" s="755"/>
      <c r="AN1067" s="755"/>
      <c r="AO1067" s="755"/>
      <c r="AP1067" s="747">
        <v>1205.4000000000001</v>
      </c>
      <c r="AQ1067" s="756">
        <v>4821.6000000000004</v>
      </c>
      <c r="AR1067" s="755"/>
      <c r="AS1067" s="755"/>
      <c r="AT1067" s="755"/>
      <c r="AU1067" s="710">
        <v>1.1706184809917368</v>
      </c>
      <c r="AV1067" s="710">
        <v>1.1706184809917368</v>
      </c>
      <c r="AW1067" s="710">
        <v>1.1706184809917368</v>
      </c>
      <c r="AX1067" s="710">
        <v>1.1706184809917368</v>
      </c>
      <c r="AY1067" s="710">
        <v>1.1706184809917368</v>
      </c>
      <c r="AZ1067" s="710">
        <v>1.1706184809917368</v>
      </c>
      <c r="BA1067" s="710">
        <v>1.1706184809917368</v>
      </c>
      <c r="BB1067" s="710">
        <v>1.1706184809917368</v>
      </c>
      <c r="BC1067" s="710">
        <v>1.1706184809917368</v>
      </c>
      <c r="BD1067" s="710">
        <v>1.1706184809917368</v>
      </c>
      <c r="BE1067" s="710">
        <v>1.1706184809917368</v>
      </c>
      <c r="BF1067" s="710">
        <v>1.1706184809917368</v>
      </c>
      <c r="BG1067" s="710">
        <v>1.1706184809917368</v>
      </c>
      <c r="BH1067" s="710">
        <v>1.1706184809917368</v>
      </c>
      <c r="BI1067" s="710">
        <v>1.1706184809917368</v>
      </c>
      <c r="BJ1067" s="710">
        <v>1.1706184809917368</v>
      </c>
      <c r="BK1067" s="710">
        <v>1.1706184809917368</v>
      </c>
      <c r="BL1067" s="710">
        <v>1.1706184809917368</v>
      </c>
      <c r="BM1067" s="710">
        <v>1.1706184809917368</v>
      </c>
      <c r="BN1067" s="710">
        <v>1.1706184809917368</v>
      </c>
      <c r="BO1067" s="710">
        <v>1.1706184809917368</v>
      </c>
      <c r="BP1067" s="710">
        <v>1.1706184809917368</v>
      </c>
      <c r="BQ1067" s="710">
        <v>1.1706184809917368</v>
      </c>
      <c r="BR1067" s="710">
        <v>1.1706184809917368</v>
      </c>
      <c r="BS1067" s="755"/>
      <c r="BT1067" s="755"/>
      <c r="BU1067" s="707">
        <v>1963.6363636363658</v>
      </c>
      <c r="BV1067" s="754">
        <v>0</v>
      </c>
      <c r="BW1067" s="754">
        <v>0</v>
      </c>
      <c r="BX1067" s="754">
        <v>0</v>
      </c>
      <c r="BY1067" s="754">
        <v>0</v>
      </c>
      <c r="BZ1067" s="754">
        <v>0</v>
      </c>
      <c r="CA1067" s="754">
        <v>0</v>
      </c>
      <c r="CB1067" s="754">
        <v>0</v>
      </c>
      <c r="CC1067" s="754">
        <v>0</v>
      </c>
      <c r="CD1067" s="754">
        <v>0</v>
      </c>
      <c r="CE1067" s="754">
        <v>0</v>
      </c>
      <c r="CF1067" s="754">
        <v>1963.6363636363658</v>
      </c>
      <c r="CG1067" s="754">
        <v>1963.6363636363658</v>
      </c>
      <c r="CH1067" s="754">
        <v>1963.6363636363658</v>
      </c>
      <c r="CI1067" s="754">
        <v>1963.6363636363658</v>
      </c>
      <c r="CJ1067" s="754">
        <v>1963.6363636363658</v>
      </c>
      <c r="CK1067" s="754">
        <v>1963.6363636363658</v>
      </c>
      <c r="CL1067" s="754">
        <v>1963.6363636363658</v>
      </c>
      <c r="CM1067" s="754">
        <v>1963.6363636363658</v>
      </c>
      <c r="CN1067" s="754">
        <v>1963.6363636363658</v>
      </c>
      <c r="CO1067" s="754">
        <v>1963.6363636363658</v>
      </c>
      <c r="CP1067" s="754">
        <v>1963.6363636363658</v>
      </c>
      <c r="CQ1067" s="754">
        <v>1963.6363636363658</v>
      </c>
      <c r="CR1067" s="754">
        <v>1963.6363636363658</v>
      </c>
    </row>
    <row r="1068" spans="1:96" s="53" customFormat="1">
      <c r="A1068" s="753" t="s">
        <v>3</v>
      </c>
      <c r="B1068" s="752">
        <v>41886</v>
      </c>
      <c r="C1068" s="751">
        <v>2014</v>
      </c>
      <c r="D1068" s="751" t="s">
        <v>1</v>
      </c>
      <c r="E1068" s="751" t="s">
        <v>11</v>
      </c>
      <c r="F1068" s="751" t="s">
        <v>457</v>
      </c>
      <c r="G1068" s="751" t="s">
        <v>665</v>
      </c>
      <c r="H1068" s="751" t="s">
        <v>664</v>
      </c>
      <c r="I1068" s="751" t="s">
        <v>5</v>
      </c>
      <c r="J1068" s="751"/>
      <c r="K1068" s="751">
        <v>191</v>
      </c>
      <c r="L1068" s="743" t="s">
        <v>651</v>
      </c>
      <c r="M1068" s="743" t="s">
        <v>663</v>
      </c>
      <c r="N1068" s="743">
        <v>12</v>
      </c>
      <c r="O1068" s="706"/>
      <c r="P1068" s="706"/>
      <c r="Q1068" s="706"/>
      <c r="R1068" s="706"/>
      <c r="S1068" s="706"/>
      <c r="T1068" s="706"/>
      <c r="U1068" s="741">
        <v>5.5</v>
      </c>
      <c r="V1068" s="750">
        <v>11078</v>
      </c>
      <c r="W1068" s="741">
        <v>4.2650299999999994</v>
      </c>
      <c r="X1068" s="749">
        <v>11078</v>
      </c>
      <c r="Y1068" s="739">
        <v>132936</v>
      </c>
      <c r="Z1068" s="739">
        <v>71785.440000000002</v>
      </c>
      <c r="AA1068" s="739">
        <v>5982.1200000000008</v>
      </c>
      <c r="AB1068" s="738">
        <v>2.3031161999999998</v>
      </c>
      <c r="AC1068" s="748">
        <v>1</v>
      </c>
      <c r="AD1068" s="748">
        <v>0.77545999999999993</v>
      </c>
      <c r="AE1068" s="737">
        <v>0.46</v>
      </c>
      <c r="AF1068" s="737">
        <v>0</v>
      </c>
      <c r="AG1068" s="737">
        <v>0</v>
      </c>
      <c r="AH1068" s="735">
        <v>0.54</v>
      </c>
      <c r="AI1068" s="736">
        <v>0.46</v>
      </c>
      <c r="AJ1068" s="736">
        <v>0</v>
      </c>
      <c r="AK1068" s="736">
        <v>0</v>
      </c>
      <c r="AL1068" s="735">
        <v>0.54</v>
      </c>
      <c r="AM1068" s="706"/>
      <c r="AN1068" s="706"/>
      <c r="AO1068" s="706"/>
      <c r="AP1068" s="747"/>
      <c r="AQ1068" s="733">
        <v>0</v>
      </c>
      <c r="AR1068" s="706"/>
      <c r="AS1068" s="706"/>
      <c r="AT1068" s="706"/>
      <c r="AU1068" s="710"/>
      <c r="AV1068" s="710">
        <v>2.3031161999999998</v>
      </c>
      <c r="AW1068" s="710">
        <v>2.3031161999999998</v>
      </c>
      <c r="AX1068" s="710">
        <v>2.3031161999999998</v>
      </c>
      <c r="AY1068" s="710">
        <v>2.3031161999999998</v>
      </c>
      <c r="AZ1068" s="710">
        <v>2.3031161999999998</v>
      </c>
      <c r="BA1068" s="710">
        <v>2.3031161999999998</v>
      </c>
      <c r="BB1068" s="710">
        <v>2.3031161999999998</v>
      </c>
      <c r="BC1068" s="710">
        <v>2.3031161999999998</v>
      </c>
      <c r="BD1068" s="710">
        <v>2.3031161999999998</v>
      </c>
      <c r="BE1068" s="710">
        <v>2.3031161999999998</v>
      </c>
      <c r="BF1068" s="710">
        <v>2.3031161999999998</v>
      </c>
      <c r="BG1068" s="710">
        <v>2.3031161999999998</v>
      </c>
      <c r="BH1068" s="710">
        <v>0</v>
      </c>
      <c r="BI1068" s="710">
        <v>0</v>
      </c>
      <c r="BJ1068" s="710">
        <v>0</v>
      </c>
      <c r="BK1068" s="710">
        <v>0</v>
      </c>
      <c r="BL1068" s="710">
        <v>0</v>
      </c>
      <c r="BM1068" s="710">
        <v>0</v>
      </c>
      <c r="BN1068" s="710">
        <v>0</v>
      </c>
      <c r="BO1068" s="710">
        <v>0</v>
      </c>
      <c r="BP1068" s="710"/>
      <c r="BQ1068" s="710"/>
      <c r="BR1068" s="710"/>
      <c r="BS1068" s="706"/>
      <c r="BT1068" s="706"/>
      <c r="BU1068" s="708"/>
      <c r="BV1068" s="708">
        <v>5982.1200000000008</v>
      </c>
      <c r="BW1068" s="708">
        <v>5982.1200000000008</v>
      </c>
      <c r="BX1068" s="708">
        <v>5982.1200000000008</v>
      </c>
      <c r="BY1068" s="708">
        <v>5982.1200000000008</v>
      </c>
      <c r="BZ1068" s="708">
        <v>5982.1200000000008</v>
      </c>
      <c r="CA1068" s="708">
        <v>5982.1200000000008</v>
      </c>
      <c r="CB1068" s="708">
        <v>5982.1200000000008</v>
      </c>
      <c r="CC1068" s="708">
        <v>5982.1200000000008</v>
      </c>
      <c r="CD1068" s="708">
        <v>5982.1200000000008</v>
      </c>
      <c r="CE1068" s="708">
        <v>5982.1200000000008</v>
      </c>
      <c r="CF1068" s="708">
        <v>5982.1200000000008</v>
      </c>
      <c r="CG1068" s="708">
        <v>5982.1200000000008</v>
      </c>
      <c r="CH1068" s="708">
        <v>0</v>
      </c>
      <c r="CI1068" s="708">
        <v>0</v>
      </c>
      <c r="CJ1068" s="708">
        <v>0</v>
      </c>
      <c r="CK1068" s="708">
        <v>0</v>
      </c>
      <c r="CL1068" s="708">
        <v>0</v>
      </c>
      <c r="CM1068" s="708">
        <v>0</v>
      </c>
      <c r="CN1068" s="708">
        <v>0</v>
      </c>
      <c r="CO1068" s="708">
        <v>0</v>
      </c>
      <c r="CP1068" s="708">
        <v>0</v>
      </c>
      <c r="CQ1068" s="708">
        <v>0</v>
      </c>
      <c r="CR1068" s="708">
        <v>0</v>
      </c>
    </row>
    <row r="1069" spans="1:96" s="53" customFormat="1">
      <c r="A1069" s="743" t="s">
        <v>3</v>
      </c>
      <c r="B1069" s="743" t="s">
        <v>662</v>
      </c>
      <c r="C1069" s="743">
        <v>2014</v>
      </c>
      <c r="D1069" s="746" t="s">
        <v>1</v>
      </c>
      <c r="E1069" s="746" t="s">
        <v>11</v>
      </c>
      <c r="F1069" s="746" t="s">
        <v>457</v>
      </c>
      <c r="G1069" s="746" t="s">
        <v>661</v>
      </c>
      <c r="H1069" s="745" t="s">
        <v>660</v>
      </c>
      <c r="I1069" s="746" t="s">
        <v>5</v>
      </c>
      <c r="J1069" s="706"/>
      <c r="K1069" s="706">
        <v>1</v>
      </c>
      <c r="L1069" s="745" t="s">
        <v>651</v>
      </c>
      <c r="M1069" s="744" t="s">
        <v>659</v>
      </c>
      <c r="N1069" s="743">
        <v>15</v>
      </c>
      <c r="O1069" s="706"/>
      <c r="P1069" s="706"/>
      <c r="Q1069" s="706"/>
      <c r="R1069" s="706"/>
      <c r="S1069" s="706"/>
      <c r="T1069" s="706"/>
      <c r="U1069" s="741">
        <v>86.3</v>
      </c>
      <c r="V1069" s="742">
        <v>146194.9</v>
      </c>
      <c r="W1069" s="741">
        <v>86.3</v>
      </c>
      <c r="X1069" s="740">
        <v>146194.9</v>
      </c>
      <c r="Y1069" s="739">
        <v>2192923.5</v>
      </c>
      <c r="Z1069" s="739">
        <v>1184178.6900000002</v>
      </c>
      <c r="AA1069" s="739">
        <v>78945.245999999999</v>
      </c>
      <c r="AB1069" s="738">
        <v>46.602000000000004</v>
      </c>
      <c r="AC1069" s="717">
        <v>1</v>
      </c>
      <c r="AD1069" s="717">
        <v>1</v>
      </c>
      <c r="AE1069" s="737">
        <v>0.46</v>
      </c>
      <c r="AF1069" s="737">
        <v>0</v>
      </c>
      <c r="AG1069" s="737">
        <v>0</v>
      </c>
      <c r="AH1069" s="735">
        <v>0.54</v>
      </c>
      <c r="AI1069" s="736">
        <v>0.46</v>
      </c>
      <c r="AJ1069" s="736">
        <v>0</v>
      </c>
      <c r="AK1069" s="736">
        <v>0</v>
      </c>
      <c r="AL1069" s="735">
        <v>0.54</v>
      </c>
      <c r="AM1069" s="706"/>
      <c r="AN1069" s="706"/>
      <c r="AO1069" s="706"/>
      <c r="AP1069" s="734" t="s">
        <v>150</v>
      </c>
      <c r="AQ1069" s="733">
        <v>125600</v>
      </c>
      <c r="AR1069" s="706"/>
      <c r="AS1069" s="706"/>
      <c r="AT1069" s="706"/>
      <c r="AU1069" s="710"/>
      <c r="AV1069" s="710">
        <v>46.602000000000004</v>
      </c>
      <c r="AW1069" s="710">
        <v>46.602000000000004</v>
      </c>
      <c r="AX1069" s="710">
        <v>46.602000000000004</v>
      </c>
      <c r="AY1069" s="710">
        <v>46.602000000000004</v>
      </c>
      <c r="AZ1069" s="710">
        <v>46.602000000000004</v>
      </c>
      <c r="BA1069" s="710">
        <v>46.602000000000004</v>
      </c>
      <c r="BB1069" s="710">
        <v>46.602000000000004</v>
      </c>
      <c r="BC1069" s="710">
        <v>46.602000000000004</v>
      </c>
      <c r="BD1069" s="710">
        <v>46.602000000000004</v>
      </c>
      <c r="BE1069" s="710">
        <v>46.602000000000004</v>
      </c>
      <c r="BF1069" s="710">
        <v>46.602000000000004</v>
      </c>
      <c r="BG1069" s="710">
        <v>46.602000000000004</v>
      </c>
      <c r="BH1069" s="710">
        <v>46.602000000000004</v>
      </c>
      <c r="BI1069" s="710">
        <v>46.602000000000004</v>
      </c>
      <c r="BJ1069" s="710">
        <v>46.602000000000004</v>
      </c>
      <c r="BK1069" s="710">
        <v>0</v>
      </c>
      <c r="BL1069" s="710">
        <v>0</v>
      </c>
      <c r="BM1069" s="710">
        <v>0</v>
      </c>
      <c r="BN1069" s="710">
        <v>0</v>
      </c>
      <c r="BO1069" s="710">
        <v>0</v>
      </c>
      <c r="BP1069" s="710"/>
      <c r="BQ1069" s="710"/>
      <c r="BR1069" s="710"/>
      <c r="BS1069" s="706"/>
      <c r="BT1069" s="706"/>
      <c r="BU1069" s="708"/>
      <c r="BV1069" s="708">
        <v>78945.245999999999</v>
      </c>
      <c r="BW1069" s="708">
        <v>78945.245999999999</v>
      </c>
      <c r="BX1069" s="708">
        <v>78945.245999999999</v>
      </c>
      <c r="BY1069" s="708">
        <v>78945.245999999999</v>
      </c>
      <c r="BZ1069" s="708">
        <v>78945.245999999999</v>
      </c>
      <c r="CA1069" s="708">
        <v>78945.245999999999</v>
      </c>
      <c r="CB1069" s="708">
        <v>78945.245999999999</v>
      </c>
      <c r="CC1069" s="708">
        <v>78945.245999999999</v>
      </c>
      <c r="CD1069" s="708">
        <v>78945.245999999999</v>
      </c>
      <c r="CE1069" s="708">
        <v>78945.245999999999</v>
      </c>
      <c r="CF1069" s="708">
        <v>78945.245999999999</v>
      </c>
      <c r="CG1069" s="708">
        <v>78945.245999999999</v>
      </c>
      <c r="CH1069" s="708">
        <v>78945.245999999999</v>
      </c>
      <c r="CI1069" s="708">
        <v>78945.245999999999</v>
      </c>
      <c r="CJ1069" s="708">
        <v>78945.245999999999</v>
      </c>
      <c r="CK1069" s="708">
        <v>0</v>
      </c>
      <c r="CL1069" s="708">
        <v>0</v>
      </c>
      <c r="CM1069" s="708">
        <v>0</v>
      </c>
      <c r="CN1069" s="708">
        <v>0</v>
      </c>
      <c r="CO1069" s="708">
        <v>0</v>
      </c>
      <c r="CP1069" s="708">
        <v>0</v>
      </c>
      <c r="CQ1069" s="708">
        <v>0</v>
      </c>
      <c r="CR1069" s="708">
        <v>0</v>
      </c>
    </row>
    <row r="1070" spans="1:96" s="53" customFormat="1">
      <c r="A1070" s="724" t="s">
        <v>3</v>
      </c>
      <c r="B1070" s="731">
        <v>40715</v>
      </c>
      <c r="C1070" s="730">
        <v>2011</v>
      </c>
      <c r="D1070" s="724" t="s">
        <v>1</v>
      </c>
      <c r="E1070" s="724" t="s">
        <v>243</v>
      </c>
      <c r="F1070" s="724" t="s">
        <v>457</v>
      </c>
      <c r="G1070" s="726"/>
      <c r="H1070" s="726"/>
      <c r="I1070" s="724" t="s">
        <v>5</v>
      </c>
      <c r="J1070" s="724" t="s">
        <v>376</v>
      </c>
      <c r="K1070" s="706"/>
      <c r="L1070" s="729"/>
      <c r="M1070" s="726"/>
      <c r="N1070" s="724">
        <v>4</v>
      </c>
      <c r="O1070" s="728"/>
      <c r="P1070" s="728"/>
      <c r="Q1070" s="727"/>
      <c r="R1070" s="727"/>
      <c r="S1070" s="727"/>
      <c r="T1070" s="727"/>
      <c r="U1070" s="727">
        <v>0.37213939210376878</v>
      </c>
      <c r="V1070" s="727">
        <v>1809.689010226728</v>
      </c>
      <c r="W1070" s="725">
        <v>0.36284386448412148</v>
      </c>
      <c r="X1070" s="725">
        <v>1800.7686071128498</v>
      </c>
      <c r="Y1070" s="726">
        <v>7203.0744284513994</v>
      </c>
      <c r="Z1070" s="726">
        <v>4888.1624756195179</v>
      </c>
      <c r="AA1070" s="726">
        <v>4888.1624756195179</v>
      </c>
      <c r="AB1070" s="725">
        <v>0.24677522544319305</v>
      </c>
      <c r="AC1070" s="726">
        <v>0.99507075355850205</v>
      </c>
      <c r="AD1070" s="726">
        <v>0.97502138226459156</v>
      </c>
      <c r="AE1070" s="726"/>
      <c r="AF1070" s="725"/>
      <c r="AG1070" s="726"/>
      <c r="AH1070" s="726">
        <v>0.67862168080782026</v>
      </c>
      <c r="AI1070" s="726"/>
      <c r="AJ1070" s="726"/>
      <c r="AK1070" s="726"/>
      <c r="AL1070" s="725">
        <v>0.68011409203253115</v>
      </c>
      <c r="AM1070" s="706"/>
      <c r="AN1070" s="706"/>
      <c r="AO1070" s="706"/>
      <c r="AP1070" s="706"/>
      <c r="AQ1070" s="706"/>
      <c r="AR1070" s="706"/>
      <c r="AS1070" s="724">
        <v>0.24677522544319305</v>
      </c>
      <c r="AT1070" s="724">
        <v>0.24677522544319305</v>
      </c>
      <c r="AU1070" s="724">
        <v>0.24677522544319305</v>
      </c>
      <c r="AV1070" s="724">
        <v>0.24677522544319305</v>
      </c>
      <c r="AW1070" s="706"/>
      <c r="AX1070" s="706"/>
      <c r="AY1070" s="706"/>
      <c r="AZ1070" s="706"/>
      <c r="BA1070" s="706"/>
      <c r="BB1070" s="706"/>
      <c r="BC1070" s="706"/>
      <c r="BD1070" s="706"/>
      <c r="BE1070" s="706"/>
      <c r="BF1070" s="706"/>
      <c r="BG1070" s="706"/>
      <c r="BH1070" s="706"/>
      <c r="BI1070" s="706"/>
      <c r="BJ1070" s="706"/>
      <c r="BK1070" s="706"/>
      <c r="BL1070" s="706"/>
      <c r="BM1070" s="706"/>
      <c r="BN1070" s="706"/>
      <c r="BO1070" s="706"/>
      <c r="BP1070" s="706"/>
      <c r="BQ1070" s="732"/>
      <c r="BR1070" s="732"/>
      <c r="BS1070" s="724">
        <v>1222.0406189048795</v>
      </c>
      <c r="BT1070" s="724">
        <v>1222.0406189048795</v>
      </c>
      <c r="BU1070" s="724">
        <v>1222.0406189048795</v>
      </c>
      <c r="BV1070" s="724">
        <v>1222.0406189048795</v>
      </c>
      <c r="BW1070" s="706"/>
      <c r="BX1070" s="706"/>
      <c r="BY1070" s="706"/>
      <c r="BZ1070" s="706"/>
      <c r="CA1070" s="706"/>
      <c r="CB1070" s="706"/>
      <c r="CC1070" s="706"/>
      <c r="CD1070" s="706"/>
      <c r="CE1070" s="706"/>
      <c r="CF1070" s="706"/>
      <c r="CG1070" s="706"/>
      <c r="CH1070" s="706"/>
      <c r="CI1070" s="706"/>
      <c r="CJ1070" s="706"/>
      <c r="CK1070" s="706"/>
      <c r="CL1070" s="706"/>
      <c r="CM1070" s="706"/>
      <c r="CN1070" s="706"/>
      <c r="CO1070" s="706"/>
      <c r="CP1070" s="706"/>
      <c r="CQ1070" s="706"/>
      <c r="CR1070" s="706"/>
    </row>
    <row r="1071" spans="1:96" s="53" customFormat="1">
      <c r="A1071" s="724" t="s">
        <v>3</v>
      </c>
      <c r="B1071" s="731">
        <v>40744</v>
      </c>
      <c r="C1071" s="730">
        <v>2011</v>
      </c>
      <c r="D1071" s="724" t="s">
        <v>1</v>
      </c>
      <c r="E1071" s="724" t="s">
        <v>243</v>
      </c>
      <c r="F1071" s="724" t="s">
        <v>457</v>
      </c>
      <c r="G1071" s="726"/>
      <c r="H1071" s="726"/>
      <c r="I1071" s="724" t="s">
        <v>5</v>
      </c>
      <c r="J1071" s="724" t="s">
        <v>376</v>
      </c>
      <c r="K1071" s="706"/>
      <c r="L1071" s="729"/>
      <c r="M1071" s="726"/>
      <c r="N1071" s="724">
        <v>4</v>
      </c>
      <c r="O1071" s="728"/>
      <c r="P1071" s="728"/>
      <c r="Q1071" s="727"/>
      <c r="R1071" s="727"/>
      <c r="S1071" s="727"/>
      <c r="T1071" s="727"/>
      <c r="U1071" s="727">
        <v>0.37213939210376878</v>
      </c>
      <c r="V1071" s="727">
        <v>1809.689010226728</v>
      </c>
      <c r="W1071" s="725">
        <v>0.36284386448412148</v>
      </c>
      <c r="X1071" s="725">
        <v>1800.7686071128498</v>
      </c>
      <c r="Y1071" s="726">
        <v>7203.0744284513994</v>
      </c>
      <c r="Z1071" s="726">
        <v>4888.1624756195179</v>
      </c>
      <c r="AA1071" s="726">
        <v>4888.1624756195179</v>
      </c>
      <c r="AB1071" s="725">
        <v>0.24677522544319305</v>
      </c>
      <c r="AC1071" s="726">
        <v>0.99507075355850205</v>
      </c>
      <c r="AD1071" s="726">
        <v>0.97502138226459156</v>
      </c>
      <c r="AE1071" s="726"/>
      <c r="AF1071" s="725"/>
      <c r="AG1071" s="726"/>
      <c r="AH1071" s="726">
        <v>0.67862168080782026</v>
      </c>
      <c r="AI1071" s="726"/>
      <c r="AJ1071" s="726"/>
      <c r="AK1071" s="726"/>
      <c r="AL1071" s="725">
        <v>0.68011409203253115</v>
      </c>
      <c r="AM1071" s="706"/>
      <c r="AN1071" s="706"/>
      <c r="AO1071" s="706"/>
      <c r="AP1071" s="706"/>
      <c r="AQ1071" s="706"/>
      <c r="AR1071" s="706"/>
      <c r="AS1071" s="724">
        <v>0.24677522544319305</v>
      </c>
      <c r="AT1071" s="724">
        <v>0.24677522544319305</v>
      </c>
      <c r="AU1071" s="724">
        <v>0.24677522544319305</v>
      </c>
      <c r="AV1071" s="724">
        <v>0.24677522544319305</v>
      </c>
      <c r="AW1071" s="706"/>
      <c r="AX1071" s="706"/>
      <c r="AY1071" s="706"/>
      <c r="AZ1071" s="706"/>
      <c r="BA1071" s="706"/>
      <c r="BB1071" s="706"/>
      <c r="BC1071" s="706"/>
      <c r="BD1071" s="706"/>
      <c r="BE1071" s="706"/>
      <c r="BF1071" s="706"/>
      <c r="BG1071" s="706"/>
      <c r="BH1071" s="706"/>
      <c r="BI1071" s="706"/>
      <c r="BJ1071" s="706"/>
      <c r="BK1071" s="706"/>
      <c r="BL1071" s="706"/>
      <c r="BM1071" s="706"/>
      <c r="BN1071" s="706"/>
      <c r="BO1071" s="706"/>
      <c r="BP1071" s="706"/>
      <c r="BQ1071" s="732"/>
      <c r="BR1071" s="732"/>
      <c r="BS1071" s="724">
        <v>1222.0406189048795</v>
      </c>
      <c r="BT1071" s="724">
        <v>1222.0406189048795</v>
      </c>
      <c r="BU1071" s="724">
        <v>1222.0406189048795</v>
      </c>
      <c r="BV1071" s="724">
        <v>1222.0406189048795</v>
      </c>
      <c r="BW1071" s="706"/>
      <c r="BX1071" s="706"/>
      <c r="BY1071" s="706"/>
      <c r="BZ1071" s="706"/>
      <c r="CA1071" s="706"/>
      <c r="CB1071" s="706"/>
      <c r="CC1071" s="706"/>
      <c r="CD1071" s="706"/>
      <c r="CE1071" s="706"/>
      <c r="CF1071" s="706"/>
      <c r="CG1071" s="706"/>
      <c r="CH1071" s="706"/>
      <c r="CI1071" s="706"/>
      <c r="CJ1071" s="706"/>
      <c r="CK1071" s="706"/>
      <c r="CL1071" s="706"/>
      <c r="CM1071" s="706"/>
      <c r="CN1071" s="706"/>
      <c r="CO1071" s="706"/>
      <c r="CP1071" s="706"/>
      <c r="CQ1071" s="706"/>
      <c r="CR1071" s="706"/>
    </row>
    <row r="1072" spans="1:96" s="53" customFormat="1">
      <c r="A1072" s="724" t="s">
        <v>3</v>
      </c>
      <c r="B1072" s="731">
        <v>41059</v>
      </c>
      <c r="C1072" s="730">
        <v>2012</v>
      </c>
      <c r="D1072" s="724" t="s">
        <v>1</v>
      </c>
      <c r="E1072" s="724" t="s">
        <v>243</v>
      </c>
      <c r="F1072" s="724" t="s">
        <v>457</v>
      </c>
      <c r="G1072" s="726"/>
      <c r="H1072" s="726"/>
      <c r="I1072" s="724" t="s">
        <v>5</v>
      </c>
      <c r="J1072" s="724" t="s">
        <v>376</v>
      </c>
      <c r="K1072" s="706"/>
      <c r="L1072" s="729"/>
      <c r="M1072" s="726"/>
      <c r="N1072" s="724">
        <v>4</v>
      </c>
      <c r="O1072" s="728"/>
      <c r="P1072" s="728"/>
      <c r="Q1072" s="727"/>
      <c r="R1072" s="727"/>
      <c r="S1072" s="727"/>
      <c r="T1072" s="727"/>
      <c r="U1072" s="727">
        <v>0.26008078291018766</v>
      </c>
      <c r="V1072" s="727">
        <v>1264.7554776262114</v>
      </c>
      <c r="W1072" s="725">
        <v>0.25358432445354834</v>
      </c>
      <c r="X1072" s="725">
        <v>1258.5211861887574</v>
      </c>
      <c r="Y1072" s="726">
        <v>5034.0847447550295</v>
      </c>
      <c r="Z1072" s="726">
        <v>3416.239050814665</v>
      </c>
      <c r="AA1072" s="726">
        <v>2562.1792881109986</v>
      </c>
      <c r="AB1072" s="725">
        <v>0.1724662725794078</v>
      </c>
      <c r="AC1072" s="726">
        <v>0.99507075355850205</v>
      </c>
      <c r="AD1072" s="726">
        <v>0.97502138226459156</v>
      </c>
      <c r="AE1072" s="726"/>
      <c r="AF1072" s="725"/>
      <c r="AG1072" s="726"/>
      <c r="AH1072" s="726">
        <v>0.67862168080782026</v>
      </c>
      <c r="AI1072" s="726"/>
      <c r="AJ1072" s="726"/>
      <c r="AK1072" s="726"/>
      <c r="AL1072" s="725">
        <v>0.68011409203253115</v>
      </c>
      <c r="AM1072" s="706"/>
      <c r="AN1072" s="706"/>
      <c r="AO1072" s="706"/>
      <c r="AP1072" s="706"/>
      <c r="AQ1072" s="706"/>
      <c r="AR1072" s="706"/>
      <c r="AS1072" s="706"/>
      <c r="AT1072" s="724">
        <v>0.1724662725794078</v>
      </c>
      <c r="AU1072" s="724">
        <v>0.1724662725794078</v>
      </c>
      <c r="AV1072" s="724">
        <v>0.1724662725794078</v>
      </c>
      <c r="AW1072" s="724">
        <v>0.1724662725794078</v>
      </c>
      <c r="AX1072" s="706"/>
      <c r="AY1072" s="706"/>
      <c r="AZ1072" s="706"/>
      <c r="BA1072" s="706"/>
      <c r="BB1072" s="706"/>
      <c r="BC1072" s="706"/>
      <c r="BD1072" s="706"/>
      <c r="BE1072" s="706"/>
      <c r="BF1072" s="706"/>
      <c r="BG1072" s="706"/>
      <c r="BH1072" s="706"/>
      <c r="BI1072" s="706"/>
      <c r="BJ1072" s="706"/>
      <c r="BK1072" s="706"/>
      <c r="BL1072" s="706"/>
      <c r="BM1072" s="706"/>
      <c r="BN1072" s="706"/>
      <c r="BO1072" s="706"/>
      <c r="BP1072" s="706"/>
      <c r="BQ1072" s="706"/>
      <c r="BR1072" s="706"/>
      <c r="BS1072" s="706"/>
      <c r="BT1072" s="724">
        <v>854.05976270366625</v>
      </c>
      <c r="BU1072" s="724">
        <v>854.05976270366625</v>
      </c>
      <c r="BV1072" s="724">
        <v>854.05976270366625</v>
      </c>
      <c r="BW1072" s="724">
        <v>854.05976270366625</v>
      </c>
      <c r="BX1072" s="706"/>
      <c r="BY1072" s="706"/>
      <c r="BZ1072" s="706"/>
      <c r="CA1072" s="706"/>
      <c r="CB1072" s="706"/>
      <c r="CC1072" s="706"/>
      <c r="CD1072" s="706"/>
      <c r="CE1072" s="706"/>
      <c r="CF1072" s="706"/>
      <c r="CG1072" s="706"/>
      <c r="CH1072" s="706"/>
      <c r="CI1072" s="706"/>
      <c r="CJ1072" s="706"/>
      <c r="CK1072" s="706"/>
      <c r="CL1072" s="706"/>
      <c r="CM1072" s="706"/>
      <c r="CN1072" s="706"/>
      <c r="CO1072" s="706"/>
      <c r="CP1072" s="706"/>
      <c r="CQ1072" s="706"/>
      <c r="CR1072" s="706"/>
    </row>
    <row r="1073" spans="1:96" s="53" customFormat="1">
      <c r="A1073" s="724" t="s">
        <v>3</v>
      </c>
      <c r="B1073" s="731">
        <v>41059</v>
      </c>
      <c r="C1073" s="730">
        <v>2012</v>
      </c>
      <c r="D1073" s="724" t="s">
        <v>1</v>
      </c>
      <c r="E1073" s="724" t="s">
        <v>243</v>
      </c>
      <c r="F1073" s="724" t="s">
        <v>457</v>
      </c>
      <c r="G1073" s="726"/>
      <c r="H1073" s="726"/>
      <c r="I1073" s="724" t="s">
        <v>5</v>
      </c>
      <c r="J1073" s="724" t="s">
        <v>376</v>
      </c>
      <c r="K1073" s="706"/>
      <c r="L1073" s="729"/>
      <c r="M1073" s="726"/>
      <c r="N1073" s="724">
        <v>4</v>
      </c>
      <c r="O1073" s="728"/>
      <c r="P1073" s="728"/>
      <c r="Q1073" s="727"/>
      <c r="R1073" s="727"/>
      <c r="S1073" s="727"/>
      <c r="T1073" s="727"/>
      <c r="U1073" s="727">
        <v>0.26008078291018766</v>
      </c>
      <c r="V1073" s="727">
        <v>1264.7554776262114</v>
      </c>
      <c r="W1073" s="725">
        <v>0.25358432445354834</v>
      </c>
      <c r="X1073" s="725">
        <v>1258.5211861887574</v>
      </c>
      <c r="Y1073" s="726">
        <v>5034.0847447550295</v>
      </c>
      <c r="Z1073" s="726">
        <v>3416.239050814665</v>
      </c>
      <c r="AA1073" s="726">
        <v>2562.1792881109986</v>
      </c>
      <c r="AB1073" s="725">
        <v>0.1724662725794078</v>
      </c>
      <c r="AC1073" s="726">
        <v>0.99507075355850205</v>
      </c>
      <c r="AD1073" s="726">
        <v>0.97502138226459156</v>
      </c>
      <c r="AE1073" s="726"/>
      <c r="AF1073" s="725"/>
      <c r="AG1073" s="726"/>
      <c r="AH1073" s="726">
        <v>0.67862168080782026</v>
      </c>
      <c r="AI1073" s="726"/>
      <c r="AJ1073" s="726"/>
      <c r="AK1073" s="726"/>
      <c r="AL1073" s="725">
        <v>0.68011409203253115</v>
      </c>
      <c r="AM1073" s="706"/>
      <c r="AN1073" s="706"/>
      <c r="AO1073" s="706"/>
      <c r="AP1073" s="706"/>
      <c r="AQ1073" s="706"/>
      <c r="AR1073" s="706"/>
      <c r="AS1073" s="706"/>
      <c r="AT1073" s="724">
        <v>0.1724662725794078</v>
      </c>
      <c r="AU1073" s="724">
        <v>0.1724662725794078</v>
      </c>
      <c r="AV1073" s="724">
        <v>0.1724662725794078</v>
      </c>
      <c r="AW1073" s="724">
        <v>0.1724662725794078</v>
      </c>
      <c r="AX1073" s="706"/>
      <c r="AY1073" s="706"/>
      <c r="AZ1073" s="706"/>
      <c r="BA1073" s="706"/>
      <c r="BB1073" s="706"/>
      <c r="BC1073" s="706"/>
      <c r="BD1073" s="706"/>
      <c r="BE1073" s="706"/>
      <c r="BF1073" s="706"/>
      <c r="BG1073" s="706"/>
      <c r="BH1073" s="706"/>
      <c r="BI1073" s="706"/>
      <c r="BJ1073" s="706"/>
      <c r="BK1073" s="706"/>
      <c r="BL1073" s="706"/>
      <c r="BM1073" s="706"/>
      <c r="BN1073" s="706"/>
      <c r="BO1073" s="706"/>
      <c r="BP1073" s="706"/>
      <c r="BQ1073" s="706"/>
      <c r="BR1073" s="706"/>
      <c r="BS1073" s="706"/>
      <c r="BT1073" s="724">
        <v>854.05976270366625</v>
      </c>
      <c r="BU1073" s="724">
        <v>854.05976270366625</v>
      </c>
      <c r="BV1073" s="724">
        <v>854.05976270366625</v>
      </c>
      <c r="BW1073" s="724">
        <v>854.05976270366625</v>
      </c>
      <c r="BX1073" s="706"/>
      <c r="BY1073" s="706"/>
      <c r="BZ1073" s="706"/>
      <c r="CA1073" s="706"/>
      <c r="CB1073" s="706"/>
      <c r="CC1073" s="706"/>
      <c r="CD1073" s="706"/>
      <c r="CE1073" s="706"/>
      <c r="CF1073" s="706"/>
      <c r="CG1073" s="706"/>
      <c r="CH1073" s="706"/>
      <c r="CI1073" s="706"/>
      <c r="CJ1073" s="706"/>
      <c r="CK1073" s="706"/>
      <c r="CL1073" s="706"/>
      <c r="CM1073" s="706"/>
      <c r="CN1073" s="706"/>
      <c r="CO1073" s="706"/>
      <c r="CP1073" s="706"/>
      <c r="CQ1073" s="706"/>
      <c r="CR1073" s="706"/>
    </row>
    <row r="1074" spans="1:96" s="53" customFormat="1">
      <c r="A1074" s="724" t="s">
        <v>3</v>
      </c>
      <c r="B1074" s="731">
        <v>41059</v>
      </c>
      <c r="C1074" s="730">
        <v>2012</v>
      </c>
      <c r="D1074" s="724" t="s">
        <v>1</v>
      </c>
      <c r="E1074" s="724" t="s">
        <v>243</v>
      </c>
      <c r="F1074" s="724" t="s">
        <v>457</v>
      </c>
      <c r="G1074" s="726"/>
      <c r="H1074" s="726"/>
      <c r="I1074" s="724" t="s">
        <v>5</v>
      </c>
      <c r="J1074" s="724" t="s">
        <v>376</v>
      </c>
      <c r="K1074" s="706"/>
      <c r="L1074" s="729"/>
      <c r="M1074" s="726"/>
      <c r="N1074" s="724">
        <v>4</v>
      </c>
      <c r="O1074" s="728"/>
      <c r="P1074" s="728"/>
      <c r="Q1074" s="727"/>
      <c r="R1074" s="727"/>
      <c r="S1074" s="727"/>
      <c r="T1074" s="727"/>
      <c r="U1074" s="727">
        <v>0.26008078291018766</v>
      </c>
      <c r="V1074" s="727">
        <v>1264.7554776262114</v>
      </c>
      <c r="W1074" s="725">
        <v>0.25358432445354834</v>
      </c>
      <c r="X1074" s="725">
        <v>1258.5211861887574</v>
      </c>
      <c r="Y1074" s="726">
        <v>5034.0847447550295</v>
      </c>
      <c r="Z1074" s="726">
        <v>3416.239050814665</v>
      </c>
      <c r="AA1074" s="726">
        <v>2562.1792881109986</v>
      </c>
      <c r="AB1074" s="725">
        <v>0.1724662725794078</v>
      </c>
      <c r="AC1074" s="726">
        <v>0.99507075355850205</v>
      </c>
      <c r="AD1074" s="726">
        <v>0.97502138226459156</v>
      </c>
      <c r="AE1074" s="726"/>
      <c r="AF1074" s="725"/>
      <c r="AG1074" s="726"/>
      <c r="AH1074" s="726">
        <v>0.67862168080782026</v>
      </c>
      <c r="AI1074" s="726"/>
      <c r="AJ1074" s="726"/>
      <c r="AK1074" s="726"/>
      <c r="AL1074" s="725">
        <v>0.68011409203253115</v>
      </c>
      <c r="AM1074" s="706"/>
      <c r="AN1074" s="706"/>
      <c r="AO1074" s="706"/>
      <c r="AP1074" s="706"/>
      <c r="AQ1074" s="706"/>
      <c r="AR1074" s="706"/>
      <c r="AS1074" s="706"/>
      <c r="AT1074" s="724">
        <v>0.1724662725794078</v>
      </c>
      <c r="AU1074" s="724">
        <v>0.1724662725794078</v>
      </c>
      <c r="AV1074" s="724">
        <v>0.1724662725794078</v>
      </c>
      <c r="AW1074" s="724">
        <v>0.1724662725794078</v>
      </c>
      <c r="AX1074" s="706"/>
      <c r="AY1074" s="706"/>
      <c r="AZ1074" s="706"/>
      <c r="BA1074" s="706"/>
      <c r="BB1074" s="706"/>
      <c r="BC1074" s="706"/>
      <c r="BD1074" s="706"/>
      <c r="BE1074" s="706"/>
      <c r="BF1074" s="706"/>
      <c r="BG1074" s="706"/>
      <c r="BH1074" s="706"/>
      <c r="BI1074" s="706"/>
      <c r="BJ1074" s="706"/>
      <c r="BK1074" s="706"/>
      <c r="BL1074" s="706"/>
      <c r="BM1074" s="706"/>
      <c r="BN1074" s="706"/>
      <c r="BO1074" s="706"/>
      <c r="BP1074" s="706"/>
      <c r="BQ1074" s="706"/>
      <c r="BR1074" s="706"/>
      <c r="BS1074" s="706"/>
      <c r="BT1074" s="724">
        <v>854.05976270366625</v>
      </c>
      <c r="BU1074" s="724">
        <v>854.05976270366625</v>
      </c>
      <c r="BV1074" s="724">
        <v>854.05976270366625</v>
      </c>
      <c r="BW1074" s="724">
        <v>854.05976270366625</v>
      </c>
      <c r="BX1074" s="706"/>
      <c r="BY1074" s="706"/>
      <c r="BZ1074" s="706"/>
      <c r="CA1074" s="706"/>
      <c r="CB1074" s="706"/>
      <c r="CC1074" s="706"/>
      <c r="CD1074" s="706"/>
      <c r="CE1074" s="706"/>
      <c r="CF1074" s="706"/>
      <c r="CG1074" s="706"/>
      <c r="CH1074" s="706"/>
      <c r="CI1074" s="706"/>
      <c r="CJ1074" s="706"/>
      <c r="CK1074" s="706"/>
      <c r="CL1074" s="706"/>
      <c r="CM1074" s="706"/>
      <c r="CN1074" s="706"/>
      <c r="CO1074" s="706"/>
      <c r="CP1074" s="706"/>
      <c r="CQ1074" s="706"/>
      <c r="CR1074" s="706"/>
    </row>
    <row r="1075" spans="1:96" s="53" customFormat="1">
      <c r="A1075" s="724" t="s">
        <v>3</v>
      </c>
      <c r="B1075" s="731">
        <v>41248</v>
      </c>
      <c r="C1075" s="730">
        <v>2012</v>
      </c>
      <c r="D1075" s="724" t="s">
        <v>1</v>
      </c>
      <c r="E1075" s="724" t="s">
        <v>243</v>
      </c>
      <c r="F1075" s="724" t="s">
        <v>457</v>
      </c>
      <c r="G1075" s="726"/>
      <c r="H1075" s="726"/>
      <c r="I1075" s="724" t="s">
        <v>5</v>
      </c>
      <c r="J1075" s="724" t="s">
        <v>376</v>
      </c>
      <c r="K1075" s="706"/>
      <c r="L1075" s="729"/>
      <c r="M1075" s="726"/>
      <c r="N1075" s="724">
        <v>4</v>
      </c>
      <c r="O1075" s="728"/>
      <c r="P1075" s="728"/>
      <c r="Q1075" s="727"/>
      <c r="R1075" s="727"/>
      <c r="S1075" s="727"/>
      <c r="T1075" s="727"/>
      <c r="U1075" s="727">
        <v>0.26008078291018766</v>
      </c>
      <c r="V1075" s="727">
        <v>1264.7554776262114</v>
      </c>
      <c r="W1075" s="725">
        <v>0.25358432445354834</v>
      </c>
      <c r="X1075" s="725">
        <v>1258.5211861887574</v>
      </c>
      <c r="Y1075" s="726">
        <v>5034.0847447550295</v>
      </c>
      <c r="Z1075" s="726">
        <v>3416.239050814665</v>
      </c>
      <c r="AA1075" s="726">
        <v>2562.1792881109986</v>
      </c>
      <c r="AB1075" s="725">
        <v>0.1724662725794078</v>
      </c>
      <c r="AC1075" s="726">
        <v>0.99507075355850205</v>
      </c>
      <c r="AD1075" s="726">
        <v>0.97502138226459156</v>
      </c>
      <c r="AE1075" s="726"/>
      <c r="AF1075" s="725"/>
      <c r="AG1075" s="726"/>
      <c r="AH1075" s="726">
        <v>0.67862168080782026</v>
      </c>
      <c r="AI1075" s="726"/>
      <c r="AJ1075" s="726"/>
      <c r="AK1075" s="726"/>
      <c r="AL1075" s="725">
        <v>0.68011409203253115</v>
      </c>
      <c r="AM1075" s="706"/>
      <c r="AN1075" s="706"/>
      <c r="AO1075" s="706"/>
      <c r="AP1075" s="706"/>
      <c r="AQ1075" s="706"/>
      <c r="AR1075" s="706"/>
      <c r="AS1075" s="706"/>
      <c r="AT1075" s="724">
        <v>0.1724662725794078</v>
      </c>
      <c r="AU1075" s="724">
        <v>0.1724662725794078</v>
      </c>
      <c r="AV1075" s="724">
        <v>0.1724662725794078</v>
      </c>
      <c r="AW1075" s="724">
        <v>0.1724662725794078</v>
      </c>
      <c r="AX1075" s="706"/>
      <c r="AY1075" s="706"/>
      <c r="AZ1075" s="706"/>
      <c r="BA1075" s="706"/>
      <c r="BB1075" s="706"/>
      <c r="BC1075" s="706"/>
      <c r="BD1075" s="706"/>
      <c r="BE1075" s="706"/>
      <c r="BF1075" s="706"/>
      <c r="BG1075" s="706"/>
      <c r="BH1075" s="706"/>
      <c r="BI1075" s="706"/>
      <c r="BJ1075" s="706"/>
      <c r="BK1075" s="706"/>
      <c r="BL1075" s="706"/>
      <c r="BM1075" s="706"/>
      <c r="BN1075" s="706"/>
      <c r="BO1075" s="706"/>
      <c r="BP1075" s="706"/>
      <c r="BQ1075" s="706"/>
      <c r="BR1075" s="706"/>
      <c r="BS1075" s="706"/>
      <c r="BT1075" s="724">
        <v>854.05976270366625</v>
      </c>
      <c r="BU1075" s="724">
        <v>854.05976270366625</v>
      </c>
      <c r="BV1075" s="724">
        <v>854.05976270366625</v>
      </c>
      <c r="BW1075" s="724">
        <v>854.05976270366625</v>
      </c>
      <c r="BX1075" s="706"/>
      <c r="BY1075" s="706"/>
      <c r="BZ1075" s="706"/>
      <c r="CA1075" s="706"/>
      <c r="CB1075" s="706"/>
      <c r="CC1075" s="706"/>
      <c r="CD1075" s="706"/>
      <c r="CE1075" s="706"/>
      <c r="CF1075" s="706"/>
      <c r="CG1075" s="706"/>
      <c r="CH1075" s="706"/>
      <c r="CI1075" s="706"/>
      <c r="CJ1075" s="706"/>
      <c r="CK1075" s="706"/>
      <c r="CL1075" s="706"/>
      <c r="CM1075" s="706"/>
      <c r="CN1075" s="706"/>
      <c r="CO1075" s="706"/>
      <c r="CP1075" s="706"/>
      <c r="CQ1075" s="706"/>
      <c r="CR1075" s="706"/>
    </row>
    <row r="1076" spans="1:96" s="53" customFormat="1">
      <c r="A1076" s="724" t="s">
        <v>3</v>
      </c>
      <c r="B1076" s="731">
        <v>40920</v>
      </c>
      <c r="C1076" s="730">
        <v>2012</v>
      </c>
      <c r="D1076" s="724" t="s">
        <v>1</v>
      </c>
      <c r="E1076" s="724" t="s">
        <v>243</v>
      </c>
      <c r="F1076" s="724" t="s">
        <v>457</v>
      </c>
      <c r="G1076" s="726"/>
      <c r="H1076" s="726"/>
      <c r="I1076" s="724" t="s">
        <v>5</v>
      </c>
      <c r="J1076" s="724" t="s">
        <v>376</v>
      </c>
      <c r="K1076" s="706"/>
      <c r="L1076" s="729"/>
      <c r="M1076" s="726"/>
      <c r="N1076" s="724">
        <v>4</v>
      </c>
      <c r="O1076" s="728"/>
      <c r="P1076" s="728"/>
      <c r="Q1076" s="727"/>
      <c r="R1076" s="727"/>
      <c r="S1076" s="727"/>
      <c r="T1076" s="727"/>
      <c r="U1076" s="727">
        <v>0.26008078291018766</v>
      </c>
      <c r="V1076" s="727">
        <v>1264.7554776262114</v>
      </c>
      <c r="W1076" s="725">
        <v>0.25358432445354834</v>
      </c>
      <c r="X1076" s="725">
        <v>1258.5211861887574</v>
      </c>
      <c r="Y1076" s="726">
        <v>5034.0847447550295</v>
      </c>
      <c r="Z1076" s="726">
        <v>3416.239050814665</v>
      </c>
      <c r="AA1076" s="726">
        <v>2562.1792881109986</v>
      </c>
      <c r="AB1076" s="725">
        <v>0.1724662725794078</v>
      </c>
      <c r="AC1076" s="726">
        <v>0.99507075355850205</v>
      </c>
      <c r="AD1076" s="726">
        <v>0.97502138226459156</v>
      </c>
      <c r="AE1076" s="726"/>
      <c r="AF1076" s="725"/>
      <c r="AG1076" s="726"/>
      <c r="AH1076" s="726">
        <v>0.67862168080782026</v>
      </c>
      <c r="AI1076" s="726"/>
      <c r="AJ1076" s="726"/>
      <c r="AK1076" s="726"/>
      <c r="AL1076" s="725">
        <v>0.68011409203253115</v>
      </c>
      <c r="AM1076" s="706"/>
      <c r="AN1076" s="706"/>
      <c r="AO1076" s="706"/>
      <c r="AP1076" s="706"/>
      <c r="AQ1076" s="706"/>
      <c r="AR1076" s="706"/>
      <c r="AS1076" s="706"/>
      <c r="AT1076" s="724">
        <v>0.1724662725794078</v>
      </c>
      <c r="AU1076" s="724">
        <v>0.1724662725794078</v>
      </c>
      <c r="AV1076" s="724">
        <v>0.1724662725794078</v>
      </c>
      <c r="AW1076" s="724">
        <v>0.1724662725794078</v>
      </c>
      <c r="AX1076" s="706"/>
      <c r="AY1076" s="706"/>
      <c r="AZ1076" s="706"/>
      <c r="BA1076" s="706"/>
      <c r="BB1076" s="706"/>
      <c r="BC1076" s="706"/>
      <c r="BD1076" s="706"/>
      <c r="BE1076" s="706"/>
      <c r="BF1076" s="706"/>
      <c r="BG1076" s="706"/>
      <c r="BH1076" s="706"/>
      <c r="BI1076" s="706"/>
      <c r="BJ1076" s="706"/>
      <c r="BK1076" s="706"/>
      <c r="BL1076" s="706"/>
      <c r="BM1076" s="706"/>
      <c r="BN1076" s="706"/>
      <c r="BO1076" s="706"/>
      <c r="BP1076" s="706"/>
      <c r="BQ1076" s="706"/>
      <c r="BR1076" s="706"/>
      <c r="BS1076" s="706"/>
      <c r="BT1076" s="724">
        <v>854.05976270366625</v>
      </c>
      <c r="BU1076" s="724">
        <v>854.05976270366625</v>
      </c>
      <c r="BV1076" s="724">
        <v>854.05976270366625</v>
      </c>
      <c r="BW1076" s="724">
        <v>854.05976270366625</v>
      </c>
      <c r="BX1076" s="706"/>
      <c r="BY1076" s="706"/>
      <c r="BZ1076" s="706"/>
      <c r="CA1076" s="706"/>
      <c r="CB1076" s="706"/>
      <c r="CC1076" s="706"/>
      <c r="CD1076" s="706"/>
      <c r="CE1076" s="706"/>
      <c r="CF1076" s="706"/>
      <c r="CG1076" s="706"/>
      <c r="CH1076" s="706"/>
      <c r="CI1076" s="706"/>
      <c r="CJ1076" s="706"/>
      <c r="CK1076" s="706"/>
      <c r="CL1076" s="706"/>
      <c r="CM1076" s="706"/>
      <c r="CN1076" s="706"/>
      <c r="CO1076" s="706"/>
      <c r="CP1076" s="706"/>
      <c r="CQ1076" s="706"/>
      <c r="CR1076" s="706"/>
    </row>
    <row r="1077" spans="1:96" s="53" customFormat="1">
      <c r="A1077" s="721" t="s">
        <v>3</v>
      </c>
      <c r="B1077" s="723">
        <v>41983</v>
      </c>
      <c r="C1077" s="721">
        <v>2014</v>
      </c>
      <c r="D1077" s="713" t="s">
        <v>1</v>
      </c>
      <c r="E1077" s="713" t="s">
        <v>243</v>
      </c>
      <c r="F1077" s="713" t="s">
        <v>1</v>
      </c>
      <c r="G1077" s="713"/>
      <c r="H1077" s="722"/>
      <c r="I1077" s="713" t="s">
        <v>5</v>
      </c>
      <c r="J1077" s="713" t="s">
        <v>376</v>
      </c>
      <c r="K1077" s="709">
        <v>1</v>
      </c>
      <c r="L1077" s="721" t="s">
        <v>651</v>
      </c>
      <c r="M1077" s="722"/>
      <c r="N1077" s="721">
        <v>4</v>
      </c>
      <c r="O1077" s="713"/>
      <c r="P1077" s="713"/>
      <c r="Q1077" s="713"/>
      <c r="R1077" s="713"/>
      <c r="S1077" s="713"/>
      <c r="T1077" s="713"/>
      <c r="U1077" s="718">
        <v>20.606514072254601</v>
      </c>
      <c r="V1077" s="718">
        <v>97570.760052970843</v>
      </c>
      <c r="W1077" s="720">
        <v>19.802860023436672</v>
      </c>
      <c r="X1077" s="708">
        <v>97278.047772811929</v>
      </c>
      <c r="Y1077" s="719">
        <v>389112.19109124772</v>
      </c>
      <c r="Z1077" s="719">
        <v>261094.28022222724</v>
      </c>
      <c r="AA1077" s="719">
        <v>65273.570055556811</v>
      </c>
      <c r="AB1077" s="718">
        <v>13.366930515819755</v>
      </c>
      <c r="AC1077" s="717">
        <v>0.997</v>
      </c>
      <c r="AD1077" s="717">
        <v>0.96099999999999997</v>
      </c>
      <c r="AE1077" s="716"/>
      <c r="AF1077" s="716"/>
      <c r="AG1077" s="713"/>
      <c r="AH1077" s="714">
        <v>0.67100000000000004</v>
      </c>
      <c r="AI1077" s="715"/>
      <c r="AJ1077" s="715"/>
      <c r="AK1077" s="715"/>
      <c r="AL1077" s="714">
        <v>0.67500000000000004</v>
      </c>
      <c r="AM1077" s="713"/>
      <c r="AN1077" s="713"/>
      <c r="AO1077" s="713"/>
      <c r="AP1077" s="712"/>
      <c r="AQ1077" s="711"/>
      <c r="AR1077" s="711"/>
      <c r="AS1077" s="709"/>
      <c r="AT1077" s="709"/>
      <c r="AU1077" s="710"/>
      <c r="AV1077" s="710">
        <v>13.366930515819753</v>
      </c>
      <c r="AW1077" s="710">
        <v>13.366930515819753</v>
      </c>
      <c r="AX1077" s="710">
        <v>13.366930515819753</v>
      </c>
      <c r="AY1077" s="710">
        <v>13.366930515819753</v>
      </c>
      <c r="AZ1077" s="710"/>
      <c r="BA1077" s="710"/>
      <c r="BB1077" s="710"/>
      <c r="BC1077" s="710"/>
      <c r="BD1077" s="710"/>
      <c r="BE1077" s="710"/>
      <c r="BF1077" s="710"/>
      <c r="BG1077" s="710"/>
      <c r="BH1077" s="710"/>
      <c r="BI1077" s="710"/>
      <c r="BJ1077" s="710"/>
      <c r="BK1077" s="710"/>
      <c r="BL1077" s="710"/>
      <c r="BM1077" s="710"/>
      <c r="BN1077" s="710"/>
      <c r="BO1077" s="710"/>
      <c r="BP1077" s="710"/>
      <c r="BQ1077" s="710"/>
      <c r="BR1077" s="710"/>
      <c r="BS1077" s="709"/>
      <c r="BT1077" s="709"/>
      <c r="BU1077" s="708"/>
      <c r="BV1077" s="707">
        <v>65273.570055556804</v>
      </c>
      <c r="BW1077" s="707">
        <v>65273.570055556804</v>
      </c>
      <c r="BX1077" s="707">
        <v>65273.570055556804</v>
      </c>
      <c r="BY1077" s="707">
        <v>65273.570055556804</v>
      </c>
      <c r="BZ1077" s="706"/>
      <c r="CA1077" s="706"/>
      <c r="CB1077" s="706"/>
      <c r="CC1077" s="706"/>
      <c r="CD1077" s="706"/>
      <c r="CE1077" s="706"/>
      <c r="CF1077" s="706"/>
      <c r="CG1077" s="706"/>
      <c r="CH1077" s="706"/>
      <c r="CI1077" s="706"/>
      <c r="CJ1077" s="706"/>
      <c r="CK1077" s="706"/>
      <c r="CL1077" s="706"/>
      <c r="CM1077" s="706"/>
      <c r="CN1077" s="706"/>
      <c r="CO1077" s="706"/>
      <c r="CP1077" s="706"/>
      <c r="CQ1077" s="706"/>
      <c r="CR1077" s="706"/>
    </row>
    <row r="1078" spans="1:96" s="53" customFormat="1">
      <c r="A1078" s="721" t="s">
        <v>3</v>
      </c>
      <c r="B1078" s="723">
        <v>41983</v>
      </c>
      <c r="C1078" s="721">
        <v>2014</v>
      </c>
      <c r="D1078" s="713" t="s">
        <v>1</v>
      </c>
      <c r="E1078" s="713" t="s">
        <v>243</v>
      </c>
      <c r="F1078" s="713" t="s">
        <v>1</v>
      </c>
      <c r="G1078" s="713"/>
      <c r="H1078" s="722"/>
      <c r="I1078" s="713" t="s">
        <v>5</v>
      </c>
      <c r="J1078" s="713" t="s">
        <v>376</v>
      </c>
      <c r="K1078" s="709">
        <v>1</v>
      </c>
      <c r="L1078" s="721" t="s">
        <v>651</v>
      </c>
      <c r="M1078" s="722"/>
      <c r="N1078" s="721">
        <v>4</v>
      </c>
      <c r="O1078" s="713"/>
      <c r="P1078" s="713"/>
      <c r="Q1078" s="713"/>
      <c r="R1078" s="713"/>
      <c r="S1078" s="713"/>
      <c r="T1078" s="713"/>
      <c r="U1078" s="718">
        <v>20.606514072254601</v>
      </c>
      <c r="V1078" s="718">
        <v>97570.760052970843</v>
      </c>
      <c r="W1078" s="720">
        <v>19.802860023436672</v>
      </c>
      <c r="X1078" s="708">
        <v>97278.047772811929</v>
      </c>
      <c r="Y1078" s="719">
        <v>389112.19109124772</v>
      </c>
      <c r="Z1078" s="719">
        <v>261094.28022222724</v>
      </c>
      <c r="AA1078" s="719">
        <v>65273.570055556811</v>
      </c>
      <c r="AB1078" s="718">
        <v>13.366930515819755</v>
      </c>
      <c r="AC1078" s="717">
        <v>0.997</v>
      </c>
      <c r="AD1078" s="717">
        <v>0.96099999999999997</v>
      </c>
      <c r="AE1078" s="716"/>
      <c r="AF1078" s="716"/>
      <c r="AG1078" s="713"/>
      <c r="AH1078" s="714">
        <v>0.67100000000000004</v>
      </c>
      <c r="AI1078" s="715"/>
      <c r="AJ1078" s="715"/>
      <c r="AK1078" s="715"/>
      <c r="AL1078" s="714">
        <v>0.67500000000000004</v>
      </c>
      <c r="AM1078" s="713"/>
      <c r="AN1078" s="713"/>
      <c r="AO1078" s="713"/>
      <c r="AP1078" s="712"/>
      <c r="AQ1078" s="711"/>
      <c r="AR1078" s="711"/>
      <c r="AS1078" s="709"/>
      <c r="AT1078" s="709"/>
      <c r="AU1078" s="710"/>
      <c r="AV1078" s="710">
        <v>13.366930515819753</v>
      </c>
      <c r="AW1078" s="710">
        <v>13.366930515819753</v>
      </c>
      <c r="AX1078" s="710">
        <v>13.366930515819753</v>
      </c>
      <c r="AY1078" s="710">
        <v>13.366930515819753</v>
      </c>
      <c r="AZ1078" s="710"/>
      <c r="BA1078" s="710"/>
      <c r="BB1078" s="710"/>
      <c r="BC1078" s="710"/>
      <c r="BD1078" s="710"/>
      <c r="BE1078" s="710"/>
      <c r="BF1078" s="710"/>
      <c r="BG1078" s="710"/>
      <c r="BH1078" s="710"/>
      <c r="BI1078" s="710"/>
      <c r="BJ1078" s="710"/>
      <c r="BK1078" s="710"/>
      <c r="BL1078" s="710"/>
      <c r="BM1078" s="710"/>
      <c r="BN1078" s="710"/>
      <c r="BO1078" s="710"/>
      <c r="BP1078" s="710"/>
      <c r="BQ1078" s="710"/>
      <c r="BR1078" s="710"/>
      <c r="BS1078" s="709"/>
      <c r="BT1078" s="709"/>
      <c r="BU1078" s="708"/>
      <c r="BV1078" s="707">
        <v>65273.570055556804</v>
      </c>
      <c r="BW1078" s="707">
        <v>65273.570055556804</v>
      </c>
      <c r="BX1078" s="707">
        <v>65273.570055556804</v>
      </c>
      <c r="BY1078" s="707">
        <v>65273.570055556804</v>
      </c>
      <c r="BZ1078" s="706"/>
      <c r="CA1078" s="706"/>
      <c r="CB1078" s="706"/>
      <c r="CC1078" s="706"/>
      <c r="CD1078" s="706"/>
      <c r="CE1078" s="706"/>
      <c r="CF1078" s="706"/>
      <c r="CG1078" s="706"/>
      <c r="CH1078" s="706"/>
      <c r="CI1078" s="706"/>
      <c r="CJ1078" s="706"/>
      <c r="CK1078" s="706"/>
      <c r="CL1078" s="706"/>
      <c r="CM1078" s="706"/>
      <c r="CN1078" s="706"/>
      <c r="CO1078" s="706"/>
      <c r="CP1078" s="706"/>
      <c r="CQ1078" s="706"/>
      <c r="CR1078" s="706"/>
    </row>
    <row r="1079" spans="1:96" s="53" customFormat="1">
      <c r="A1079" s="721" t="s">
        <v>3</v>
      </c>
      <c r="B1079" s="723">
        <v>42001</v>
      </c>
      <c r="C1079" s="721">
        <v>2014</v>
      </c>
      <c r="D1079" s="713" t="s">
        <v>1</v>
      </c>
      <c r="E1079" s="713" t="s">
        <v>243</v>
      </c>
      <c r="F1079" s="713" t="s">
        <v>1</v>
      </c>
      <c r="G1079" s="713"/>
      <c r="H1079" s="722"/>
      <c r="I1079" s="713" t="s">
        <v>5</v>
      </c>
      <c r="J1079" s="713" t="s">
        <v>376</v>
      </c>
      <c r="K1079" s="709">
        <v>1</v>
      </c>
      <c r="L1079" s="721" t="s">
        <v>651</v>
      </c>
      <c r="M1079" s="722"/>
      <c r="N1079" s="721">
        <v>4</v>
      </c>
      <c r="O1079" s="713"/>
      <c r="P1079" s="713"/>
      <c r="Q1079" s="713"/>
      <c r="R1079" s="713"/>
      <c r="S1079" s="713"/>
      <c r="T1079" s="713"/>
      <c r="U1079" s="718">
        <v>20.606514072254601</v>
      </c>
      <c r="V1079" s="718">
        <v>97570.760052970843</v>
      </c>
      <c r="W1079" s="720">
        <v>19.802860023436672</v>
      </c>
      <c r="X1079" s="708">
        <v>97278.047772811929</v>
      </c>
      <c r="Y1079" s="719">
        <v>389112.19109124772</v>
      </c>
      <c r="Z1079" s="719">
        <v>261094.28022222724</v>
      </c>
      <c r="AA1079" s="719">
        <v>65273.570055556811</v>
      </c>
      <c r="AB1079" s="718">
        <v>13.366930515819755</v>
      </c>
      <c r="AC1079" s="717">
        <v>0.997</v>
      </c>
      <c r="AD1079" s="717">
        <v>0.96099999999999997</v>
      </c>
      <c r="AE1079" s="716"/>
      <c r="AF1079" s="716"/>
      <c r="AG1079" s="713"/>
      <c r="AH1079" s="714">
        <v>0.67100000000000004</v>
      </c>
      <c r="AI1079" s="715"/>
      <c r="AJ1079" s="715"/>
      <c r="AK1079" s="715"/>
      <c r="AL1079" s="714">
        <v>0.67500000000000004</v>
      </c>
      <c r="AM1079" s="713"/>
      <c r="AN1079" s="713"/>
      <c r="AO1079" s="713"/>
      <c r="AP1079" s="712"/>
      <c r="AQ1079" s="711"/>
      <c r="AR1079" s="711"/>
      <c r="AS1079" s="709"/>
      <c r="AT1079" s="709"/>
      <c r="AU1079" s="710"/>
      <c r="AV1079" s="710">
        <v>13.366930515819753</v>
      </c>
      <c r="AW1079" s="710">
        <v>13.366930515819753</v>
      </c>
      <c r="AX1079" s="710">
        <v>13.366930515819753</v>
      </c>
      <c r="AY1079" s="710">
        <v>13.366930515819753</v>
      </c>
      <c r="AZ1079" s="710"/>
      <c r="BA1079" s="710"/>
      <c r="BB1079" s="710"/>
      <c r="BC1079" s="710"/>
      <c r="BD1079" s="710"/>
      <c r="BE1079" s="710"/>
      <c r="BF1079" s="710"/>
      <c r="BG1079" s="710"/>
      <c r="BH1079" s="710"/>
      <c r="BI1079" s="710"/>
      <c r="BJ1079" s="710"/>
      <c r="BK1079" s="710"/>
      <c r="BL1079" s="710"/>
      <c r="BM1079" s="710"/>
      <c r="BN1079" s="710"/>
      <c r="BO1079" s="710"/>
      <c r="BP1079" s="710"/>
      <c r="BQ1079" s="710"/>
      <c r="BR1079" s="710"/>
      <c r="BS1079" s="709"/>
      <c r="BT1079" s="709"/>
      <c r="BU1079" s="708"/>
      <c r="BV1079" s="707">
        <v>65273.570055556804</v>
      </c>
      <c r="BW1079" s="707">
        <v>65273.570055556804</v>
      </c>
      <c r="BX1079" s="707">
        <v>65273.570055556804</v>
      </c>
      <c r="BY1079" s="707">
        <v>65273.570055556804</v>
      </c>
      <c r="BZ1079" s="706"/>
      <c r="CA1079" s="706"/>
      <c r="CB1079" s="706"/>
      <c r="CC1079" s="706"/>
      <c r="CD1079" s="706"/>
      <c r="CE1079" s="706"/>
      <c r="CF1079" s="706"/>
      <c r="CG1079" s="706"/>
      <c r="CH1079" s="706"/>
      <c r="CI1079" s="706"/>
      <c r="CJ1079" s="706"/>
      <c r="CK1079" s="706"/>
      <c r="CL1079" s="706"/>
      <c r="CM1079" s="706"/>
      <c r="CN1079" s="706"/>
      <c r="CO1079" s="706"/>
      <c r="CP1079" s="706"/>
      <c r="CQ1079" s="706"/>
      <c r="CR1079" s="706"/>
    </row>
    <row r="1080" spans="1:96" s="53" customFormat="1">
      <c r="A1080" s="721" t="s">
        <v>3</v>
      </c>
      <c r="B1080" s="723">
        <v>41792</v>
      </c>
      <c r="C1080" s="721">
        <v>2014</v>
      </c>
      <c r="D1080" s="713" t="s">
        <v>1</v>
      </c>
      <c r="E1080" s="713" t="s">
        <v>243</v>
      </c>
      <c r="F1080" s="713" t="s">
        <v>1</v>
      </c>
      <c r="G1080" s="713"/>
      <c r="H1080" s="722"/>
      <c r="I1080" s="713" t="s">
        <v>5</v>
      </c>
      <c r="J1080" s="713" t="s">
        <v>376</v>
      </c>
      <c r="K1080" s="709">
        <v>1</v>
      </c>
      <c r="L1080" s="721" t="s">
        <v>651</v>
      </c>
      <c r="M1080" s="722"/>
      <c r="N1080" s="721">
        <v>4</v>
      </c>
      <c r="O1080" s="713"/>
      <c r="P1080" s="713"/>
      <c r="Q1080" s="713"/>
      <c r="R1080" s="713"/>
      <c r="S1080" s="713"/>
      <c r="T1080" s="713"/>
      <c r="U1080" s="718">
        <v>20.606514072254601</v>
      </c>
      <c r="V1080" s="718">
        <v>97570.760052970843</v>
      </c>
      <c r="W1080" s="720">
        <v>19.802860023436672</v>
      </c>
      <c r="X1080" s="708">
        <v>97278.047772811929</v>
      </c>
      <c r="Y1080" s="719">
        <v>389112.19109124772</v>
      </c>
      <c r="Z1080" s="719">
        <v>261094.28022222724</v>
      </c>
      <c r="AA1080" s="719">
        <v>65273.570055556811</v>
      </c>
      <c r="AB1080" s="718">
        <v>13.366930515819755</v>
      </c>
      <c r="AC1080" s="717">
        <v>0.997</v>
      </c>
      <c r="AD1080" s="717">
        <v>0.96099999999999997</v>
      </c>
      <c r="AE1080" s="716"/>
      <c r="AF1080" s="716"/>
      <c r="AG1080" s="713"/>
      <c r="AH1080" s="714">
        <v>0.67100000000000004</v>
      </c>
      <c r="AI1080" s="715"/>
      <c r="AJ1080" s="715"/>
      <c r="AK1080" s="715"/>
      <c r="AL1080" s="714">
        <v>0.67500000000000004</v>
      </c>
      <c r="AM1080" s="713"/>
      <c r="AN1080" s="713"/>
      <c r="AO1080" s="713"/>
      <c r="AP1080" s="712"/>
      <c r="AQ1080" s="711"/>
      <c r="AR1080" s="711"/>
      <c r="AS1080" s="709"/>
      <c r="AT1080" s="709"/>
      <c r="AU1080" s="710"/>
      <c r="AV1080" s="710">
        <v>13.366930515819753</v>
      </c>
      <c r="AW1080" s="710">
        <v>13.366930515819753</v>
      </c>
      <c r="AX1080" s="710">
        <v>13.366930515819753</v>
      </c>
      <c r="AY1080" s="710">
        <v>13.366930515819753</v>
      </c>
      <c r="AZ1080" s="710"/>
      <c r="BA1080" s="710"/>
      <c r="BB1080" s="710"/>
      <c r="BC1080" s="710"/>
      <c r="BD1080" s="710"/>
      <c r="BE1080" s="710"/>
      <c r="BF1080" s="710"/>
      <c r="BG1080" s="710"/>
      <c r="BH1080" s="710"/>
      <c r="BI1080" s="710"/>
      <c r="BJ1080" s="710"/>
      <c r="BK1080" s="710"/>
      <c r="BL1080" s="710"/>
      <c r="BM1080" s="710"/>
      <c r="BN1080" s="710"/>
      <c r="BO1080" s="710"/>
      <c r="BP1080" s="710"/>
      <c r="BQ1080" s="710"/>
      <c r="BR1080" s="710"/>
      <c r="BS1080" s="709"/>
      <c r="BT1080" s="709"/>
      <c r="BU1080" s="708"/>
      <c r="BV1080" s="707">
        <v>65273.570055556804</v>
      </c>
      <c r="BW1080" s="707">
        <v>65273.570055556804</v>
      </c>
      <c r="BX1080" s="707">
        <v>65273.570055556804</v>
      </c>
      <c r="BY1080" s="707">
        <v>65273.570055556804</v>
      </c>
      <c r="BZ1080" s="706"/>
      <c r="CA1080" s="706"/>
      <c r="CB1080" s="706"/>
      <c r="CC1080" s="706"/>
      <c r="CD1080" s="706"/>
      <c r="CE1080" s="706"/>
      <c r="CF1080" s="706"/>
      <c r="CG1080" s="706"/>
      <c r="CH1080" s="706"/>
      <c r="CI1080" s="706"/>
      <c r="CJ1080" s="706"/>
      <c r="CK1080" s="706"/>
      <c r="CL1080" s="706"/>
      <c r="CM1080" s="706"/>
      <c r="CN1080" s="706"/>
      <c r="CO1080" s="706"/>
      <c r="CP1080" s="706"/>
      <c r="CQ1080" s="706"/>
      <c r="CR1080" s="706"/>
    </row>
    <row r="1081" spans="1:96" s="53" customFormat="1">
      <c r="A1081" s="721" t="s">
        <v>3</v>
      </c>
      <c r="B1081" s="723">
        <v>41790</v>
      </c>
      <c r="C1081" s="721">
        <v>2014</v>
      </c>
      <c r="D1081" s="713" t="s">
        <v>1</v>
      </c>
      <c r="E1081" s="713" t="s">
        <v>243</v>
      </c>
      <c r="F1081" s="713" t="s">
        <v>1</v>
      </c>
      <c r="G1081" s="713"/>
      <c r="H1081" s="722"/>
      <c r="I1081" s="713" t="s">
        <v>5</v>
      </c>
      <c r="J1081" s="713" t="s">
        <v>376</v>
      </c>
      <c r="K1081" s="709">
        <v>1</v>
      </c>
      <c r="L1081" s="721" t="s">
        <v>651</v>
      </c>
      <c r="M1081" s="722"/>
      <c r="N1081" s="721">
        <v>4</v>
      </c>
      <c r="O1081" s="713"/>
      <c r="P1081" s="713"/>
      <c r="Q1081" s="713"/>
      <c r="R1081" s="713"/>
      <c r="S1081" s="713"/>
      <c r="T1081" s="713"/>
      <c r="U1081" s="718">
        <v>20.606514072254601</v>
      </c>
      <c r="V1081" s="718">
        <v>97570.760052970843</v>
      </c>
      <c r="W1081" s="720">
        <v>19.802860023436672</v>
      </c>
      <c r="X1081" s="708">
        <v>97278.047772811929</v>
      </c>
      <c r="Y1081" s="719">
        <v>389112.19109124772</v>
      </c>
      <c r="Z1081" s="719">
        <v>261094.28022222724</v>
      </c>
      <c r="AA1081" s="719">
        <v>65273.570055556811</v>
      </c>
      <c r="AB1081" s="718">
        <v>13.366930515819755</v>
      </c>
      <c r="AC1081" s="717">
        <v>0.997</v>
      </c>
      <c r="AD1081" s="717">
        <v>0.96099999999999997</v>
      </c>
      <c r="AE1081" s="716"/>
      <c r="AF1081" s="716"/>
      <c r="AG1081" s="713"/>
      <c r="AH1081" s="714">
        <v>0.67100000000000004</v>
      </c>
      <c r="AI1081" s="715"/>
      <c r="AJ1081" s="715"/>
      <c r="AK1081" s="715"/>
      <c r="AL1081" s="714">
        <v>0.67500000000000004</v>
      </c>
      <c r="AM1081" s="713"/>
      <c r="AN1081" s="713"/>
      <c r="AO1081" s="713"/>
      <c r="AP1081" s="712"/>
      <c r="AQ1081" s="711"/>
      <c r="AR1081" s="711"/>
      <c r="AS1081" s="709"/>
      <c r="AT1081" s="709"/>
      <c r="AU1081" s="710"/>
      <c r="AV1081" s="710">
        <v>13.366930515819753</v>
      </c>
      <c r="AW1081" s="710">
        <v>13.366930515819753</v>
      </c>
      <c r="AX1081" s="710">
        <v>13.366930515819753</v>
      </c>
      <c r="AY1081" s="710">
        <v>13.366930515819753</v>
      </c>
      <c r="AZ1081" s="710"/>
      <c r="BA1081" s="710"/>
      <c r="BB1081" s="710"/>
      <c r="BC1081" s="710"/>
      <c r="BD1081" s="710"/>
      <c r="BE1081" s="710"/>
      <c r="BF1081" s="710"/>
      <c r="BG1081" s="710"/>
      <c r="BH1081" s="710"/>
      <c r="BI1081" s="710"/>
      <c r="BJ1081" s="710"/>
      <c r="BK1081" s="710"/>
      <c r="BL1081" s="710"/>
      <c r="BM1081" s="710"/>
      <c r="BN1081" s="710"/>
      <c r="BO1081" s="710"/>
      <c r="BP1081" s="710"/>
      <c r="BQ1081" s="710"/>
      <c r="BR1081" s="710"/>
      <c r="BS1081" s="709"/>
      <c r="BT1081" s="709"/>
      <c r="BU1081" s="708"/>
      <c r="BV1081" s="707">
        <v>65273.570055556804</v>
      </c>
      <c r="BW1081" s="707">
        <v>65273.570055556804</v>
      </c>
      <c r="BX1081" s="707">
        <v>65273.570055556804</v>
      </c>
      <c r="BY1081" s="707">
        <v>65273.570055556804</v>
      </c>
      <c r="BZ1081" s="706"/>
      <c r="CA1081" s="706"/>
      <c r="CB1081" s="706"/>
      <c r="CC1081" s="706"/>
      <c r="CD1081" s="706"/>
      <c r="CE1081" s="706"/>
      <c r="CF1081" s="706"/>
      <c r="CG1081" s="706"/>
      <c r="CH1081" s="706"/>
      <c r="CI1081" s="706"/>
      <c r="CJ1081" s="706"/>
      <c r="CK1081" s="706"/>
      <c r="CL1081" s="706"/>
      <c r="CM1081" s="706"/>
      <c r="CN1081" s="706"/>
      <c r="CO1081" s="706"/>
      <c r="CP1081" s="706"/>
      <c r="CQ1081" s="706"/>
      <c r="CR1081" s="706"/>
    </row>
    <row r="1082" spans="1:96" s="53" customFormat="1">
      <c r="A1082" s="694" t="s">
        <v>3</v>
      </c>
      <c r="B1082" s="705">
        <v>41677</v>
      </c>
      <c r="C1082" s="694">
        <v>2014</v>
      </c>
      <c r="D1082" s="694" t="s">
        <v>657</v>
      </c>
      <c r="E1082" s="694" t="s">
        <v>657</v>
      </c>
      <c r="F1082" s="694" t="s">
        <v>17</v>
      </c>
      <c r="G1082" s="694" t="s">
        <v>656</v>
      </c>
      <c r="H1082" s="694" t="s">
        <v>5</v>
      </c>
      <c r="I1082" s="694" t="s">
        <v>655</v>
      </c>
      <c r="J1082" s="694">
        <v>8</v>
      </c>
      <c r="K1082" s="694" t="s">
        <v>654</v>
      </c>
      <c r="L1082" s="694" t="s">
        <v>653</v>
      </c>
      <c r="M1082" s="694">
        <v>15</v>
      </c>
      <c r="N1082" s="694">
        <v>5.8300000000000005E-2</v>
      </c>
      <c r="O1082" s="704">
        <v>1509</v>
      </c>
      <c r="P1082" s="704">
        <v>7.0936553280020465E-2</v>
      </c>
      <c r="Q1082" s="704">
        <v>1006.9147040520613</v>
      </c>
      <c r="R1082" s="704">
        <v>9520.2447509765625</v>
      </c>
      <c r="S1082" s="704">
        <v>9520.2447509765625</v>
      </c>
      <c r="T1082" s="704">
        <v>1992.578483581543</v>
      </c>
      <c r="U1082" s="704">
        <v>6.9836151029448956E-2</v>
      </c>
      <c r="V1082" s="704">
        <v>0.66727280616760254</v>
      </c>
      <c r="W1082" s="703">
        <v>1.2167505025863647</v>
      </c>
      <c r="X1082" s="703">
        <v>0</v>
      </c>
      <c r="Y1082" s="703">
        <v>0</v>
      </c>
      <c r="Z1082" s="703"/>
      <c r="AA1082" s="703">
        <v>1</v>
      </c>
      <c r="AB1082" s="703">
        <v>0</v>
      </c>
      <c r="AC1082" s="703">
        <v>0</v>
      </c>
      <c r="AD1082" s="703"/>
      <c r="AE1082" s="703">
        <v>1</v>
      </c>
      <c r="AF1082" s="703"/>
      <c r="AG1082" s="694"/>
      <c r="AH1082" s="694"/>
      <c r="AI1082" s="694"/>
      <c r="AJ1082" s="694">
        <v>775.80000002682209</v>
      </c>
      <c r="AK1082" s="702" t="s">
        <v>7</v>
      </c>
      <c r="AL1082" s="694">
        <v>0</v>
      </c>
      <c r="AM1082" s="701">
        <v>0</v>
      </c>
      <c r="AN1082" s="701">
        <v>0</v>
      </c>
      <c r="AO1082" s="701"/>
      <c r="AP1082" s="701"/>
      <c r="AQ1082" s="701"/>
      <c r="AR1082" s="701"/>
      <c r="AS1082" s="701"/>
      <c r="AT1082" s="701"/>
      <c r="AU1082" s="701"/>
      <c r="AV1082" s="701">
        <v>7.0936553820502013E-2</v>
      </c>
      <c r="AW1082" s="701">
        <v>6.9836151029448956E-2</v>
      </c>
      <c r="AX1082" s="701">
        <v>6.7148178291972727E-2</v>
      </c>
      <c r="AY1082" s="701">
        <v>6.6142041643615812E-2</v>
      </c>
      <c r="AZ1082" s="701">
        <v>6.5530444902833551E-2</v>
      </c>
      <c r="BA1082" s="701">
        <v>6.5530444902833551E-2</v>
      </c>
      <c r="BB1082" s="701">
        <v>6.5530444902833551E-2</v>
      </c>
      <c r="BC1082" s="701">
        <v>6.5530444902833551E-2</v>
      </c>
      <c r="BD1082" s="701">
        <v>5.0561388896312565E-2</v>
      </c>
      <c r="BE1082" s="701">
        <v>5.0561388896312565E-2</v>
      </c>
      <c r="BF1082" s="701">
        <v>1.5841500775422901E-2</v>
      </c>
      <c r="BG1082" s="701">
        <v>1.552499970421195E-2</v>
      </c>
      <c r="BH1082" s="701">
        <v>1.552499970421195E-2</v>
      </c>
      <c r="BI1082" s="701">
        <v>1.552499970421195E-2</v>
      </c>
      <c r="BJ1082" s="701">
        <v>1.552499970421195E-2</v>
      </c>
      <c r="BK1082" s="701">
        <v>0</v>
      </c>
      <c r="BL1082" s="701">
        <v>0</v>
      </c>
      <c r="BM1082" s="701">
        <v>0</v>
      </c>
      <c r="BN1082" s="701">
        <v>0</v>
      </c>
      <c r="BO1082" s="701">
        <v>0</v>
      </c>
      <c r="BP1082" s="701">
        <v>0</v>
      </c>
      <c r="BQ1082" s="701">
        <v>0</v>
      </c>
      <c r="BR1082" s="701">
        <v>0</v>
      </c>
      <c r="BS1082" s="701"/>
      <c r="BT1082" s="701"/>
      <c r="BU1082" s="701"/>
      <c r="BV1082" s="701">
        <v>1006.9146995544434</v>
      </c>
      <c r="BW1082" s="701">
        <v>985.66379165649414</v>
      </c>
      <c r="BX1082" s="701">
        <v>933.73909378051758</v>
      </c>
      <c r="BY1082" s="701">
        <v>914.40784454345703</v>
      </c>
      <c r="BZ1082" s="701">
        <v>902.68556976318359</v>
      </c>
      <c r="CA1082" s="701">
        <v>902.68556976318359</v>
      </c>
      <c r="CB1082" s="701">
        <v>902.68556976318359</v>
      </c>
      <c r="CC1082" s="701">
        <v>902.68556976318359</v>
      </c>
      <c r="CD1082" s="701">
        <v>614.06573486328125</v>
      </c>
      <c r="CE1082" s="701">
        <v>614.06573486328125</v>
      </c>
      <c r="CF1082" s="701">
        <v>327.64566040039062</v>
      </c>
      <c r="CG1082" s="701">
        <v>128.25</v>
      </c>
      <c r="CH1082" s="701">
        <v>128.25</v>
      </c>
      <c r="CI1082" s="701">
        <v>128.25</v>
      </c>
      <c r="CJ1082" s="701">
        <v>128.25</v>
      </c>
      <c r="CK1082" s="701">
        <v>0</v>
      </c>
      <c r="CL1082" s="701">
        <v>0</v>
      </c>
      <c r="CM1082" s="701">
        <v>0</v>
      </c>
      <c r="CN1082" s="701">
        <v>0</v>
      </c>
      <c r="CO1082" s="701">
        <v>0</v>
      </c>
      <c r="CP1082" s="701">
        <v>0</v>
      </c>
      <c r="CQ1082" s="701">
        <v>0</v>
      </c>
      <c r="CR1082" s="701">
        <v>0</v>
      </c>
    </row>
    <row r="1083" spans="1:96" s="53" customFormat="1">
      <c r="A1083" s="694" t="s">
        <v>3</v>
      </c>
      <c r="B1083" s="705">
        <v>41655</v>
      </c>
      <c r="C1083" s="694">
        <v>2014</v>
      </c>
      <c r="D1083" s="694" t="s">
        <v>657</v>
      </c>
      <c r="E1083" s="694" t="s">
        <v>657</v>
      </c>
      <c r="F1083" s="694" t="s">
        <v>17</v>
      </c>
      <c r="G1083" s="694" t="s">
        <v>656</v>
      </c>
      <c r="H1083" s="694" t="s">
        <v>5</v>
      </c>
      <c r="I1083" s="694" t="s">
        <v>655</v>
      </c>
      <c r="J1083" s="694">
        <v>3</v>
      </c>
      <c r="K1083" s="694" t="s">
        <v>654</v>
      </c>
      <c r="L1083" s="694" t="s">
        <v>653</v>
      </c>
      <c r="M1083" s="694">
        <v>14</v>
      </c>
      <c r="N1083" s="694">
        <v>9.8000000000000004E-2</v>
      </c>
      <c r="O1083" s="704">
        <v>880</v>
      </c>
      <c r="P1083" s="704">
        <v>8.7924878819051588E-2</v>
      </c>
      <c r="Q1083" s="704">
        <v>816.45222198512147</v>
      </c>
      <c r="R1083" s="704">
        <v>10132.539398193359</v>
      </c>
      <c r="S1083" s="704">
        <v>10132.539398193359</v>
      </c>
      <c r="T1083" s="704">
        <v>1632.9044494628906</v>
      </c>
      <c r="U1083" s="704">
        <v>8.7924881838262081E-2</v>
      </c>
      <c r="V1083" s="704">
        <v>0.92778658866882324</v>
      </c>
      <c r="W1083" s="703">
        <v>0.89719265699386597</v>
      </c>
      <c r="X1083" s="703">
        <v>0</v>
      </c>
      <c r="Y1083" s="703">
        <v>0</v>
      </c>
      <c r="Z1083" s="703"/>
      <c r="AA1083" s="703">
        <v>1</v>
      </c>
      <c r="AB1083" s="703">
        <v>0</v>
      </c>
      <c r="AC1083" s="703">
        <v>0</v>
      </c>
      <c r="AD1083" s="703"/>
      <c r="AE1083" s="703">
        <v>1</v>
      </c>
      <c r="AF1083" s="703"/>
      <c r="AG1083" s="694"/>
      <c r="AH1083" s="694"/>
      <c r="AI1083" s="694"/>
      <c r="AJ1083" s="694">
        <v>864</v>
      </c>
      <c r="AK1083" s="702" t="s">
        <v>7</v>
      </c>
      <c r="AL1083" s="694">
        <v>0</v>
      </c>
      <c r="AM1083" s="701">
        <v>0</v>
      </c>
      <c r="AN1083" s="701">
        <v>0</v>
      </c>
      <c r="AO1083" s="701"/>
      <c r="AP1083" s="701"/>
      <c r="AQ1083" s="701"/>
      <c r="AR1083" s="701"/>
      <c r="AS1083" s="701"/>
      <c r="AT1083" s="701"/>
      <c r="AU1083" s="701"/>
      <c r="AV1083" s="701">
        <v>8.7924881838262081E-2</v>
      </c>
      <c r="AW1083" s="701">
        <v>8.7924881838262081E-2</v>
      </c>
      <c r="AX1083" s="701">
        <v>8.700748672708869E-2</v>
      </c>
      <c r="AY1083" s="701">
        <v>8.6548789171501994E-2</v>
      </c>
      <c r="AZ1083" s="701">
        <v>8.6090091615915298E-2</v>
      </c>
      <c r="BA1083" s="701">
        <v>8.6090091615915298E-2</v>
      </c>
      <c r="BB1083" s="701">
        <v>8.2637867890298367E-2</v>
      </c>
      <c r="BC1083" s="701">
        <v>8.2637867890298367E-2</v>
      </c>
      <c r="BD1083" s="701">
        <v>7.9400002956390381E-2</v>
      </c>
      <c r="BE1083" s="701">
        <v>7.9400002956390381E-2</v>
      </c>
      <c r="BF1083" s="701">
        <v>7.9400002956390381E-2</v>
      </c>
      <c r="BG1083" s="701">
        <v>7.9400002956390381E-2</v>
      </c>
      <c r="BH1083" s="701">
        <v>7.9400002956390381E-2</v>
      </c>
      <c r="BI1083" s="701">
        <v>7.9400002956390381E-2</v>
      </c>
      <c r="BJ1083" s="701">
        <v>0</v>
      </c>
      <c r="BK1083" s="701">
        <v>0</v>
      </c>
      <c r="BL1083" s="701">
        <v>0</v>
      </c>
      <c r="BM1083" s="701">
        <v>0</v>
      </c>
      <c r="BN1083" s="701">
        <v>0</v>
      </c>
      <c r="BO1083" s="701">
        <v>0</v>
      </c>
      <c r="BP1083" s="701">
        <v>0</v>
      </c>
      <c r="BQ1083" s="701">
        <v>0</v>
      </c>
      <c r="BR1083" s="701">
        <v>0</v>
      </c>
      <c r="BS1083" s="701"/>
      <c r="BT1083" s="701"/>
      <c r="BU1083" s="701"/>
      <c r="BV1083" s="701">
        <v>816.45222473144531</v>
      </c>
      <c r="BW1083" s="701">
        <v>816.45222473144531</v>
      </c>
      <c r="BX1083" s="701">
        <v>798.86882019042969</v>
      </c>
      <c r="BY1083" s="701">
        <v>790.07711791992187</v>
      </c>
      <c r="BZ1083" s="701">
        <v>781.2854118347168</v>
      </c>
      <c r="CA1083" s="701">
        <v>781.2854118347168</v>
      </c>
      <c r="CB1083" s="701">
        <v>715.05907821655273</v>
      </c>
      <c r="CC1083" s="701">
        <v>715.05907821655273</v>
      </c>
      <c r="CD1083" s="701">
        <v>653</v>
      </c>
      <c r="CE1083" s="701">
        <v>653</v>
      </c>
      <c r="CF1083" s="701">
        <v>653</v>
      </c>
      <c r="CG1083" s="701">
        <v>653</v>
      </c>
      <c r="CH1083" s="701">
        <v>653</v>
      </c>
      <c r="CI1083" s="701">
        <v>653</v>
      </c>
      <c r="CJ1083" s="701">
        <v>0</v>
      </c>
      <c r="CK1083" s="701">
        <v>0</v>
      </c>
      <c r="CL1083" s="701">
        <v>0</v>
      </c>
      <c r="CM1083" s="701">
        <v>0</v>
      </c>
      <c r="CN1083" s="701">
        <v>0</v>
      </c>
      <c r="CO1083" s="701">
        <v>0</v>
      </c>
      <c r="CP1083" s="701">
        <v>0</v>
      </c>
      <c r="CQ1083" s="701">
        <v>0</v>
      </c>
      <c r="CR1083" s="701">
        <v>0</v>
      </c>
    </row>
    <row r="1084" spans="1:96" s="53" customFormat="1">
      <c r="A1084" s="694" t="s">
        <v>3</v>
      </c>
      <c r="B1084" s="705">
        <v>41687</v>
      </c>
      <c r="C1084" s="694">
        <v>2014</v>
      </c>
      <c r="D1084" s="694" t="s">
        <v>657</v>
      </c>
      <c r="E1084" s="694" t="s">
        <v>657</v>
      </c>
      <c r="F1084" s="694" t="s">
        <v>17</v>
      </c>
      <c r="G1084" s="694" t="s">
        <v>656</v>
      </c>
      <c r="H1084" s="694" t="s">
        <v>5</v>
      </c>
      <c r="I1084" s="694" t="s">
        <v>655</v>
      </c>
      <c r="J1084" s="694">
        <v>0</v>
      </c>
      <c r="K1084" s="694" t="s">
        <v>654</v>
      </c>
      <c r="L1084" s="694" t="s">
        <v>653</v>
      </c>
      <c r="M1084" s="694"/>
      <c r="N1084" s="694">
        <v>0</v>
      </c>
      <c r="O1084" s="704">
        <v>0</v>
      </c>
      <c r="P1084" s="704">
        <v>0</v>
      </c>
      <c r="Q1084" s="704">
        <v>0</v>
      </c>
      <c r="R1084" s="704">
        <v>0</v>
      </c>
      <c r="S1084" s="704">
        <v>0</v>
      </c>
      <c r="T1084" s="704">
        <v>0</v>
      </c>
      <c r="U1084" s="704">
        <v>0</v>
      </c>
      <c r="V1084" s="704"/>
      <c r="W1084" s="703"/>
      <c r="X1084" s="703"/>
      <c r="Y1084" s="703"/>
      <c r="Z1084" s="703"/>
      <c r="AA1084" s="703"/>
      <c r="AB1084" s="703"/>
      <c r="AC1084" s="703"/>
      <c r="AD1084" s="703"/>
      <c r="AE1084" s="703"/>
      <c r="AF1084" s="703"/>
      <c r="AG1084" s="694"/>
      <c r="AH1084" s="694"/>
      <c r="AI1084" s="694"/>
      <c r="AJ1084" s="694">
        <v>300</v>
      </c>
      <c r="AK1084" s="702" t="s">
        <v>7</v>
      </c>
      <c r="AL1084" s="694">
        <v>0</v>
      </c>
      <c r="AM1084" s="701">
        <v>0</v>
      </c>
      <c r="AN1084" s="701">
        <v>0</v>
      </c>
      <c r="AO1084" s="701"/>
      <c r="AP1084" s="701"/>
      <c r="AQ1084" s="701"/>
      <c r="AR1084" s="701"/>
      <c r="AS1084" s="701"/>
      <c r="AT1084" s="701"/>
      <c r="AU1084" s="701"/>
      <c r="AV1084" s="701">
        <v>0</v>
      </c>
      <c r="AW1084" s="701">
        <v>0</v>
      </c>
      <c r="AX1084" s="701">
        <v>0</v>
      </c>
      <c r="AY1084" s="701">
        <v>0</v>
      </c>
      <c r="AZ1084" s="701">
        <v>0</v>
      </c>
      <c r="BA1084" s="701">
        <v>0</v>
      </c>
      <c r="BB1084" s="701">
        <v>0</v>
      </c>
      <c r="BC1084" s="701">
        <v>0</v>
      </c>
      <c r="BD1084" s="701">
        <v>0</v>
      </c>
      <c r="BE1084" s="701">
        <v>0</v>
      </c>
      <c r="BF1084" s="701">
        <v>0</v>
      </c>
      <c r="BG1084" s="701">
        <v>0</v>
      </c>
      <c r="BH1084" s="701">
        <v>0</v>
      </c>
      <c r="BI1084" s="701">
        <v>0</v>
      </c>
      <c r="BJ1084" s="701">
        <v>0</v>
      </c>
      <c r="BK1084" s="701">
        <v>0</v>
      </c>
      <c r="BL1084" s="701">
        <v>0</v>
      </c>
      <c r="BM1084" s="701">
        <v>0</v>
      </c>
      <c r="BN1084" s="701">
        <v>0</v>
      </c>
      <c r="BO1084" s="701">
        <v>0</v>
      </c>
      <c r="BP1084" s="701">
        <v>0</v>
      </c>
      <c r="BQ1084" s="701">
        <v>0</v>
      </c>
      <c r="BR1084" s="701">
        <v>0</v>
      </c>
      <c r="BS1084" s="701"/>
      <c r="BT1084" s="701"/>
      <c r="BU1084" s="701"/>
      <c r="BV1084" s="701">
        <v>0</v>
      </c>
      <c r="BW1084" s="701">
        <v>0</v>
      </c>
      <c r="BX1084" s="701">
        <v>0</v>
      </c>
      <c r="BY1084" s="701">
        <v>0</v>
      </c>
      <c r="BZ1084" s="701">
        <v>0</v>
      </c>
      <c r="CA1084" s="701">
        <v>0</v>
      </c>
      <c r="CB1084" s="701">
        <v>0</v>
      </c>
      <c r="CC1084" s="701">
        <v>0</v>
      </c>
      <c r="CD1084" s="701">
        <v>0</v>
      </c>
      <c r="CE1084" s="701">
        <v>0</v>
      </c>
      <c r="CF1084" s="701">
        <v>0</v>
      </c>
      <c r="CG1084" s="701">
        <v>0</v>
      </c>
      <c r="CH1084" s="701">
        <v>0</v>
      </c>
      <c r="CI1084" s="701">
        <v>0</v>
      </c>
      <c r="CJ1084" s="701">
        <v>0</v>
      </c>
      <c r="CK1084" s="701">
        <v>0</v>
      </c>
      <c r="CL1084" s="701">
        <v>0</v>
      </c>
      <c r="CM1084" s="701">
        <v>0</v>
      </c>
      <c r="CN1084" s="701">
        <v>0</v>
      </c>
      <c r="CO1084" s="701">
        <v>0</v>
      </c>
      <c r="CP1084" s="701">
        <v>0</v>
      </c>
      <c r="CQ1084" s="701">
        <v>0</v>
      </c>
      <c r="CR1084" s="701">
        <v>0</v>
      </c>
    </row>
    <row r="1085" spans="1:96" s="53" customFormat="1">
      <c r="A1085" s="694" t="s">
        <v>3</v>
      </c>
      <c r="B1085" s="705">
        <v>41661</v>
      </c>
      <c r="C1085" s="694">
        <v>2014</v>
      </c>
      <c r="D1085" s="694" t="s">
        <v>657</v>
      </c>
      <c r="E1085" s="694" t="s">
        <v>657</v>
      </c>
      <c r="F1085" s="694" t="s">
        <v>17</v>
      </c>
      <c r="G1085" s="694" t="s">
        <v>656</v>
      </c>
      <c r="H1085" s="694" t="s">
        <v>5</v>
      </c>
      <c r="I1085" s="694" t="s">
        <v>655</v>
      </c>
      <c r="J1085" s="694">
        <v>3</v>
      </c>
      <c r="K1085" s="694" t="s">
        <v>654</v>
      </c>
      <c r="L1085" s="694" t="s">
        <v>653</v>
      </c>
      <c r="M1085" s="694">
        <v>15</v>
      </c>
      <c r="N1085" s="694">
        <v>3.9999999999999994E-2</v>
      </c>
      <c r="O1085" s="704">
        <v>854</v>
      </c>
      <c r="P1085" s="704">
        <v>5.1270167116262866E-2</v>
      </c>
      <c r="Q1085" s="704">
        <v>643.99449177507245</v>
      </c>
      <c r="R1085" s="704">
        <v>6270.4947662353516</v>
      </c>
      <c r="S1085" s="704">
        <v>6270.4947662353516</v>
      </c>
      <c r="T1085" s="704">
        <v>1287.9889869689941</v>
      </c>
      <c r="U1085" s="704">
        <v>5.1270167459733784E-2</v>
      </c>
      <c r="V1085" s="704">
        <v>0.75409191846847534</v>
      </c>
      <c r="W1085" s="703">
        <v>1.2817541360855103</v>
      </c>
      <c r="X1085" s="703">
        <v>0</v>
      </c>
      <c r="Y1085" s="703">
        <v>0</v>
      </c>
      <c r="Z1085" s="703"/>
      <c r="AA1085" s="703">
        <v>1</v>
      </c>
      <c r="AB1085" s="703">
        <v>0</v>
      </c>
      <c r="AC1085" s="703">
        <v>0</v>
      </c>
      <c r="AD1085" s="703"/>
      <c r="AE1085" s="703">
        <v>1</v>
      </c>
      <c r="AF1085" s="703"/>
      <c r="AG1085" s="694"/>
      <c r="AH1085" s="694"/>
      <c r="AI1085" s="694"/>
      <c r="AJ1085" s="694">
        <v>331.60000002384186</v>
      </c>
      <c r="AK1085" s="702" t="s">
        <v>7</v>
      </c>
      <c r="AL1085" s="694">
        <v>0</v>
      </c>
      <c r="AM1085" s="701">
        <v>0</v>
      </c>
      <c r="AN1085" s="701">
        <v>0</v>
      </c>
      <c r="AO1085" s="701"/>
      <c r="AP1085" s="701"/>
      <c r="AQ1085" s="701"/>
      <c r="AR1085" s="701"/>
      <c r="AS1085" s="701"/>
      <c r="AT1085" s="701"/>
      <c r="AU1085" s="701"/>
      <c r="AV1085" s="701">
        <v>5.1270167459733784E-2</v>
      </c>
      <c r="AW1085" s="701">
        <v>5.1270167459733784E-2</v>
      </c>
      <c r="AX1085" s="701">
        <v>4.7906385851092637E-2</v>
      </c>
      <c r="AY1085" s="701">
        <v>4.6224494581110775E-2</v>
      </c>
      <c r="AZ1085" s="701">
        <v>4.4542603311128914E-2</v>
      </c>
      <c r="BA1085" s="701">
        <v>4.4542603311128914E-2</v>
      </c>
      <c r="BB1085" s="701">
        <v>4.4542603311128914E-2</v>
      </c>
      <c r="BC1085" s="701">
        <v>4.4542603311128914E-2</v>
      </c>
      <c r="BD1085" s="701">
        <v>3.1050000339746475E-2</v>
      </c>
      <c r="BE1085" s="701">
        <v>3.1050000339746475E-2</v>
      </c>
      <c r="BF1085" s="701">
        <v>3.1050000339746475E-2</v>
      </c>
      <c r="BG1085" s="701">
        <v>3.1050000339746475E-2</v>
      </c>
      <c r="BH1085" s="701">
        <v>3.1050000339746475E-2</v>
      </c>
      <c r="BI1085" s="701">
        <v>3.1050000339746475E-2</v>
      </c>
      <c r="BJ1085" s="701">
        <v>3.1050000339746475E-2</v>
      </c>
      <c r="BK1085" s="701">
        <v>0</v>
      </c>
      <c r="BL1085" s="701">
        <v>0</v>
      </c>
      <c r="BM1085" s="701">
        <v>0</v>
      </c>
      <c r="BN1085" s="701">
        <v>0</v>
      </c>
      <c r="BO1085" s="701">
        <v>0</v>
      </c>
      <c r="BP1085" s="701">
        <v>0</v>
      </c>
      <c r="BQ1085" s="701">
        <v>0</v>
      </c>
      <c r="BR1085" s="701">
        <v>0</v>
      </c>
      <c r="BS1085" s="701"/>
      <c r="BT1085" s="701"/>
      <c r="BU1085" s="701"/>
      <c r="BV1085" s="701">
        <v>643.99449348449707</v>
      </c>
      <c r="BW1085" s="701">
        <v>643.99449348449707</v>
      </c>
      <c r="BX1085" s="701">
        <v>579.52202033996582</v>
      </c>
      <c r="BY1085" s="701">
        <v>547.28575325012207</v>
      </c>
      <c r="BZ1085" s="701">
        <v>515.04951667785645</v>
      </c>
      <c r="CA1085" s="701">
        <v>515.04951667785645</v>
      </c>
      <c r="CB1085" s="701">
        <v>515.04951667785645</v>
      </c>
      <c r="CC1085" s="701">
        <v>515.04951667785645</v>
      </c>
      <c r="CD1085" s="701">
        <v>256.5</v>
      </c>
      <c r="CE1085" s="701">
        <v>256.5</v>
      </c>
      <c r="CF1085" s="701">
        <v>256.5</v>
      </c>
      <c r="CG1085" s="701">
        <v>256.5</v>
      </c>
      <c r="CH1085" s="701">
        <v>256.5</v>
      </c>
      <c r="CI1085" s="701">
        <v>256.5</v>
      </c>
      <c r="CJ1085" s="701">
        <v>256.5</v>
      </c>
      <c r="CK1085" s="701">
        <v>0</v>
      </c>
      <c r="CL1085" s="701">
        <v>0</v>
      </c>
      <c r="CM1085" s="701">
        <v>0</v>
      </c>
      <c r="CN1085" s="701">
        <v>0</v>
      </c>
      <c r="CO1085" s="701">
        <v>0</v>
      </c>
      <c r="CP1085" s="701">
        <v>0</v>
      </c>
      <c r="CQ1085" s="701">
        <v>0</v>
      </c>
      <c r="CR1085" s="701">
        <v>0</v>
      </c>
    </row>
    <row r="1086" spans="1:96" s="53" customFormat="1">
      <c r="A1086" s="694" t="s">
        <v>3</v>
      </c>
      <c r="B1086" s="705">
        <v>41695</v>
      </c>
      <c r="C1086" s="694">
        <v>2014</v>
      </c>
      <c r="D1086" s="694" t="s">
        <v>657</v>
      </c>
      <c r="E1086" s="694" t="s">
        <v>657</v>
      </c>
      <c r="F1086" s="694" t="s">
        <v>17</v>
      </c>
      <c r="G1086" s="694" t="s">
        <v>656</v>
      </c>
      <c r="H1086" s="694" t="s">
        <v>5</v>
      </c>
      <c r="I1086" s="694" t="s">
        <v>655</v>
      </c>
      <c r="J1086" s="694">
        <v>4</v>
      </c>
      <c r="K1086" s="694" t="s">
        <v>654</v>
      </c>
      <c r="L1086" s="694" t="s">
        <v>653</v>
      </c>
      <c r="M1086" s="694">
        <v>15</v>
      </c>
      <c r="N1086" s="694">
        <v>3.9300000000000002E-2</v>
      </c>
      <c r="O1086" s="704">
        <v>940</v>
      </c>
      <c r="P1086" s="704">
        <v>4.9242585594533941E-2</v>
      </c>
      <c r="Q1086" s="704">
        <v>690.62246287878406</v>
      </c>
      <c r="R1086" s="704">
        <v>5936.4757995605469</v>
      </c>
      <c r="S1086" s="704">
        <v>5936.4757995605469</v>
      </c>
      <c r="T1086" s="704">
        <v>1380.2484893798828</v>
      </c>
      <c r="U1086" s="704">
        <v>4.9191416008397937E-2</v>
      </c>
      <c r="V1086" s="704">
        <v>0.73470473289489746</v>
      </c>
      <c r="W1086" s="703">
        <v>1.2529920339584351</v>
      </c>
      <c r="X1086" s="703">
        <v>0</v>
      </c>
      <c r="Y1086" s="703">
        <v>0</v>
      </c>
      <c r="Z1086" s="703"/>
      <c r="AA1086" s="703">
        <v>1</v>
      </c>
      <c r="AB1086" s="703">
        <v>0</v>
      </c>
      <c r="AC1086" s="703">
        <v>0</v>
      </c>
      <c r="AD1086" s="703"/>
      <c r="AE1086" s="703">
        <v>1</v>
      </c>
      <c r="AF1086" s="703"/>
      <c r="AG1086" s="694"/>
      <c r="AH1086" s="694"/>
      <c r="AI1086" s="694"/>
      <c r="AJ1086" s="694">
        <v>344.20000004768372</v>
      </c>
      <c r="AK1086" s="702" t="s">
        <v>7</v>
      </c>
      <c r="AL1086" s="694">
        <v>0</v>
      </c>
      <c r="AM1086" s="701">
        <v>0</v>
      </c>
      <c r="AN1086" s="701">
        <v>0</v>
      </c>
      <c r="AO1086" s="701"/>
      <c r="AP1086" s="701"/>
      <c r="AQ1086" s="701"/>
      <c r="AR1086" s="701"/>
      <c r="AS1086" s="701"/>
      <c r="AT1086" s="701"/>
      <c r="AU1086" s="701"/>
      <c r="AV1086" s="701">
        <v>4.9242584966123104E-2</v>
      </c>
      <c r="AW1086" s="701">
        <v>4.9191416008397937E-2</v>
      </c>
      <c r="AX1086" s="701">
        <v>4.572408040985465E-2</v>
      </c>
      <c r="AY1086" s="701">
        <v>4.4195089023560286E-2</v>
      </c>
      <c r="AZ1086" s="701">
        <v>4.2666096705943346E-2</v>
      </c>
      <c r="BA1086" s="701">
        <v>4.2666096705943346E-2</v>
      </c>
      <c r="BB1086" s="701">
        <v>3.5761649254709482E-2</v>
      </c>
      <c r="BC1086" s="701">
        <v>3.5761649254709482E-2</v>
      </c>
      <c r="BD1086" s="701">
        <v>2.3287499323487282E-2</v>
      </c>
      <c r="BE1086" s="701">
        <v>2.3287499323487282E-2</v>
      </c>
      <c r="BF1086" s="701">
        <v>2.3287499323487282E-2</v>
      </c>
      <c r="BG1086" s="701">
        <v>2.3287499323487282E-2</v>
      </c>
      <c r="BH1086" s="701">
        <v>2.3287499323487282E-2</v>
      </c>
      <c r="BI1086" s="701">
        <v>2.3287499323487282E-2</v>
      </c>
      <c r="BJ1086" s="701">
        <v>2.3287499323487282E-2</v>
      </c>
      <c r="BK1086" s="701">
        <v>0</v>
      </c>
      <c r="BL1086" s="701">
        <v>0</v>
      </c>
      <c r="BM1086" s="701">
        <v>0</v>
      </c>
      <c r="BN1086" s="701">
        <v>0</v>
      </c>
      <c r="BO1086" s="701">
        <v>0</v>
      </c>
      <c r="BP1086" s="701">
        <v>0</v>
      </c>
      <c r="BQ1086" s="701">
        <v>0</v>
      </c>
      <c r="BR1086" s="701">
        <v>0</v>
      </c>
      <c r="BS1086" s="701"/>
      <c r="BT1086" s="701"/>
      <c r="BU1086" s="701"/>
      <c r="BV1086" s="701">
        <v>690.62247085571289</v>
      </c>
      <c r="BW1086" s="701">
        <v>689.62602233886719</v>
      </c>
      <c r="BX1086" s="701">
        <v>623.04307174682617</v>
      </c>
      <c r="BY1086" s="701">
        <v>593.73740768432617</v>
      </c>
      <c r="BZ1086" s="701">
        <v>564.43172836303711</v>
      </c>
      <c r="CA1086" s="701">
        <v>564.43172836303711</v>
      </c>
      <c r="CB1086" s="701">
        <v>431.97906112670898</v>
      </c>
      <c r="CC1086" s="701">
        <v>431.97906112670898</v>
      </c>
      <c r="CD1086" s="701">
        <v>192.375</v>
      </c>
      <c r="CE1086" s="701">
        <v>192.375</v>
      </c>
      <c r="CF1086" s="701">
        <v>192.375</v>
      </c>
      <c r="CG1086" s="701">
        <v>192.375</v>
      </c>
      <c r="CH1086" s="701">
        <v>192.375</v>
      </c>
      <c r="CI1086" s="701">
        <v>192.375</v>
      </c>
      <c r="CJ1086" s="701">
        <v>192.375</v>
      </c>
      <c r="CK1086" s="701">
        <v>0</v>
      </c>
      <c r="CL1086" s="701">
        <v>0</v>
      </c>
      <c r="CM1086" s="701">
        <v>0</v>
      </c>
      <c r="CN1086" s="701">
        <v>0</v>
      </c>
      <c r="CO1086" s="701">
        <v>0</v>
      </c>
      <c r="CP1086" s="701">
        <v>0</v>
      </c>
      <c r="CQ1086" s="701">
        <v>0</v>
      </c>
      <c r="CR1086" s="701">
        <v>0</v>
      </c>
    </row>
    <row r="1087" spans="1:96" s="53" customFormat="1">
      <c r="A1087" s="694" t="s">
        <v>3</v>
      </c>
      <c r="B1087" s="705">
        <v>41698</v>
      </c>
      <c r="C1087" s="694">
        <v>2014</v>
      </c>
      <c r="D1087" s="694" t="s">
        <v>657</v>
      </c>
      <c r="E1087" s="694" t="s">
        <v>657</v>
      </c>
      <c r="F1087" s="694" t="s">
        <v>17</v>
      </c>
      <c r="G1087" s="694" t="s">
        <v>656</v>
      </c>
      <c r="H1087" s="694" t="s">
        <v>5</v>
      </c>
      <c r="I1087" s="694" t="s">
        <v>655</v>
      </c>
      <c r="J1087" s="694">
        <v>2</v>
      </c>
      <c r="K1087" s="694" t="s">
        <v>654</v>
      </c>
      <c r="L1087" s="694" t="s">
        <v>653</v>
      </c>
      <c r="M1087" s="694">
        <v>8</v>
      </c>
      <c r="N1087" s="694">
        <v>6.9999999999999993E-3</v>
      </c>
      <c r="O1087" s="704">
        <v>227</v>
      </c>
      <c r="P1087" s="704">
        <v>8.5248788190515935E-3</v>
      </c>
      <c r="Q1087" s="704">
        <v>163.45222198512147</v>
      </c>
      <c r="R1087" s="704">
        <v>990.53939819335937</v>
      </c>
      <c r="S1087" s="704">
        <v>990.53939819335937</v>
      </c>
      <c r="T1087" s="704">
        <v>326.90444946289062</v>
      </c>
      <c r="U1087" s="704">
        <v>8.5248788818717003E-3</v>
      </c>
      <c r="V1087" s="704">
        <v>0.72005385160446167</v>
      </c>
      <c r="W1087" s="703">
        <v>1.2178398370742798</v>
      </c>
      <c r="X1087" s="703">
        <v>0</v>
      </c>
      <c r="Y1087" s="703">
        <v>0</v>
      </c>
      <c r="Z1087" s="703"/>
      <c r="AA1087" s="703">
        <v>1</v>
      </c>
      <c r="AB1087" s="703">
        <v>0</v>
      </c>
      <c r="AC1087" s="703">
        <v>0</v>
      </c>
      <c r="AD1087" s="703"/>
      <c r="AE1087" s="703">
        <v>1</v>
      </c>
      <c r="AF1087" s="703"/>
      <c r="AG1087" s="694"/>
      <c r="AH1087" s="694"/>
      <c r="AI1087" s="694"/>
      <c r="AJ1087" s="694">
        <v>314</v>
      </c>
      <c r="AK1087" s="702" t="s">
        <v>7</v>
      </c>
      <c r="AL1087" s="694">
        <v>0</v>
      </c>
      <c r="AM1087" s="701">
        <v>0</v>
      </c>
      <c r="AN1087" s="701">
        <v>0</v>
      </c>
      <c r="AO1087" s="701"/>
      <c r="AP1087" s="701"/>
      <c r="AQ1087" s="701"/>
      <c r="AR1087" s="701"/>
      <c r="AS1087" s="701"/>
      <c r="AT1087" s="701"/>
      <c r="AU1087" s="701"/>
      <c r="AV1087" s="701">
        <v>8.5248788818717003E-3</v>
      </c>
      <c r="AW1087" s="701">
        <v>8.5248788818717003E-3</v>
      </c>
      <c r="AX1087" s="701">
        <v>7.6074837706983089E-3</v>
      </c>
      <c r="AY1087" s="701">
        <v>7.1487862151116133E-3</v>
      </c>
      <c r="AZ1087" s="701">
        <v>6.6900886595249176E-3</v>
      </c>
      <c r="BA1087" s="701">
        <v>6.6900886595249176E-3</v>
      </c>
      <c r="BB1087" s="701">
        <v>3.2378649339079857E-3</v>
      </c>
      <c r="BC1087" s="701">
        <v>3.2378649339079857E-3</v>
      </c>
      <c r="BD1087" s="701">
        <v>0</v>
      </c>
      <c r="BE1087" s="701">
        <v>0</v>
      </c>
      <c r="BF1087" s="701">
        <v>0</v>
      </c>
      <c r="BG1087" s="701">
        <v>0</v>
      </c>
      <c r="BH1087" s="701">
        <v>0</v>
      </c>
      <c r="BI1087" s="701">
        <v>0</v>
      </c>
      <c r="BJ1087" s="701">
        <v>0</v>
      </c>
      <c r="BK1087" s="701">
        <v>0</v>
      </c>
      <c r="BL1087" s="701">
        <v>0</v>
      </c>
      <c r="BM1087" s="701">
        <v>0</v>
      </c>
      <c r="BN1087" s="701">
        <v>0</v>
      </c>
      <c r="BO1087" s="701">
        <v>0</v>
      </c>
      <c r="BP1087" s="701">
        <v>0</v>
      </c>
      <c r="BQ1087" s="701">
        <v>0</v>
      </c>
      <c r="BR1087" s="701">
        <v>0</v>
      </c>
      <c r="BS1087" s="701"/>
      <c r="BT1087" s="701"/>
      <c r="BU1087" s="701"/>
      <c r="BV1087" s="701">
        <v>163.45222473144531</v>
      </c>
      <c r="BW1087" s="701">
        <v>163.45222473144531</v>
      </c>
      <c r="BX1087" s="701">
        <v>145.86882019042969</v>
      </c>
      <c r="BY1087" s="701">
        <v>137.07711791992187</v>
      </c>
      <c r="BZ1087" s="701">
        <v>128.2854118347168</v>
      </c>
      <c r="CA1087" s="701">
        <v>128.2854118347168</v>
      </c>
      <c r="CB1087" s="701">
        <v>62.059078216552734</v>
      </c>
      <c r="CC1087" s="701">
        <v>62.059078216552734</v>
      </c>
      <c r="CD1087" s="701">
        <v>0</v>
      </c>
      <c r="CE1087" s="701">
        <v>0</v>
      </c>
      <c r="CF1087" s="701">
        <v>0</v>
      </c>
      <c r="CG1087" s="701">
        <v>0</v>
      </c>
      <c r="CH1087" s="701">
        <v>0</v>
      </c>
      <c r="CI1087" s="701">
        <v>0</v>
      </c>
      <c r="CJ1087" s="701">
        <v>0</v>
      </c>
      <c r="CK1087" s="701">
        <v>0</v>
      </c>
      <c r="CL1087" s="701">
        <v>0</v>
      </c>
      <c r="CM1087" s="701">
        <v>0</v>
      </c>
      <c r="CN1087" s="701">
        <v>0</v>
      </c>
      <c r="CO1087" s="701">
        <v>0</v>
      </c>
      <c r="CP1087" s="701">
        <v>0</v>
      </c>
      <c r="CQ1087" s="701">
        <v>0</v>
      </c>
      <c r="CR1087" s="701">
        <v>0</v>
      </c>
    </row>
    <row r="1088" spans="1:96" s="53" customFormat="1">
      <c r="A1088" s="694" t="s">
        <v>3</v>
      </c>
      <c r="B1088" s="705">
        <v>41655</v>
      </c>
      <c r="C1088" s="694">
        <v>2014</v>
      </c>
      <c r="D1088" s="694" t="s">
        <v>657</v>
      </c>
      <c r="E1088" s="694" t="s">
        <v>657</v>
      </c>
      <c r="F1088" s="694" t="s">
        <v>17</v>
      </c>
      <c r="G1088" s="694" t="s">
        <v>656</v>
      </c>
      <c r="H1088" s="694" t="s">
        <v>5</v>
      </c>
      <c r="I1088" s="694" t="s">
        <v>655</v>
      </c>
      <c r="J1088" s="694">
        <v>4</v>
      </c>
      <c r="K1088" s="694" t="s">
        <v>654</v>
      </c>
      <c r="L1088" s="694" t="s">
        <v>653</v>
      </c>
      <c r="M1088" s="694">
        <v>15</v>
      </c>
      <c r="N1088" s="694">
        <v>5.57E-2</v>
      </c>
      <c r="O1088" s="704">
        <v>1226</v>
      </c>
      <c r="P1088" s="704">
        <v>6.3845010475544348E-2</v>
      </c>
      <c r="Q1088" s="704">
        <v>860.74225842333681</v>
      </c>
      <c r="R1088" s="704">
        <v>7270.4586791992187</v>
      </c>
      <c r="S1088" s="704">
        <v>7270.4586791992187</v>
      </c>
      <c r="T1088" s="704">
        <v>1721.4845275878906</v>
      </c>
      <c r="U1088" s="704">
        <v>6.3845009543001652E-2</v>
      </c>
      <c r="V1088" s="704">
        <v>0.70207363367080688</v>
      </c>
      <c r="W1088" s="703">
        <v>1.1462299823760986</v>
      </c>
      <c r="X1088" s="703">
        <v>0</v>
      </c>
      <c r="Y1088" s="703">
        <v>0</v>
      </c>
      <c r="Z1088" s="703"/>
      <c r="AA1088" s="703">
        <v>1</v>
      </c>
      <c r="AB1088" s="703">
        <v>0</v>
      </c>
      <c r="AC1088" s="703">
        <v>0</v>
      </c>
      <c r="AD1088" s="703"/>
      <c r="AE1088" s="703">
        <v>1</v>
      </c>
      <c r="AF1088" s="703"/>
      <c r="AG1088" s="694"/>
      <c r="AH1088" s="694"/>
      <c r="AI1088" s="694"/>
      <c r="AJ1088" s="694">
        <v>260.20000004768372</v>
      </c>
      <c r="AK1088" s="702" t="s">
        <v>7</v>
      </c>
      <c r="AL1088" s="694">
        <v>0</v>
      </c>
      <c r="AM1088" s="701">
        <v>0</v>
      </c>
      <c r="AN1088" s="701">
        <v>0</v>
      </c>
      <c r="AO1088" s="701"/>
      <c r="AP1088" s="701"/>
      <c r="AQ1088" s="701"/>
      <c r="AR1088" s="701"/>
      <c r="AS1088" s="701"/>
      <c r="AT1088" s="701"/>
      <c r="AU1088" s="701"/>
      <c r="AV1088" s="701">
        <v>6.3845009543001652E-2</v>
      </c>
      <c r="AW1088" s="701">
        <v>6.3845009543001652E-2</v>
      </c>
      <c r="AX1088" s="701">
        <v>5.95638332888484E-2</v>
      </c>
      <c r="AY1088" s="701">
        <v>5.74232442304492E-2</v>
      </c>
      <c r="AZ1088" s="701">
        <v>5.5282655172049999E-2</v>
      </c>
      <c r="BA1088" s="701">
        <v>5.5282655172049999E-2</v>
      </c>
      <c r="BB1088" s="701">
        <v>4.8378207720816135E-2</v>
      </c>
      <c r="BC1088" s="701">
        <v>4.8378207720816135E-2</v>
      </c>
      <c r="BD1088" s="701">
        <v>3.3268171362578869E-2</v>
      </c>
      <c r="BE1088" s="701">
        <v>3.3268171362578869E-2</v>
      </c>
      <c r="BF1088" s="701">
        <v>2.3287499323487282E-2</v>
      </c>
      <c r="BG1088" s="701">
        <v>2.3287499323487282E-2</v>
      </c>
      <c r="BH1088" s="701">
        <v>2.3287499323487282E-2</v>
      </c>
      <c r="BI1088" s="701">
        <v>2.3287499323487282E-2</v>
      </c>
      <c r="BJ1088" s="701">
        <v>2.3287499323487282E-2</v>
      </c>
      <c r="BK1088" s="701">
        <v>0</v>
      </c>
      <c r="BL1088" s="701">
        <v>0</v>
      </c>
      <c r="BM1088" s="701">
        <v>0</v>
      </c>
      <c r="BN1088" s="701">
        <v>0</v>
      </c>
      <c r="BO1088" s="701">
        <v>0</v>
      </c>
      <c r="BP1088" s="701">
        <v>0</v>
      </c>
      <c r="BQ1088" s="701">
        <v>0</v>
      </c>
      <c r="BR1088" s="701">
        <v>0</v>
      </c>
      <c r="BS1088" s="701"/>
      <c r="BT1088" s="701"/>
      <c r="BU1088" s="701"/>
      <c r="BV1088" s="701">
        <v>860.74226379394531</v>
      </c>
      <c r="BW1088" s="701">
        <v>860.74226379394531</v>
      </c>
      <c r="BX1088" s="701">
        <v>778.68635559082031</v>
      </c>
      <c r="BY1088" s="701">
        <v>737.65843200683594</v>
      </c>
      <c r="BZ1088" s="701">
        <v>696.63047790527344</v>
      </c>
      <c r="CA1088" s="701">
        <v>696.63047790527344</v>
      </c>
      <c r="CB1088" s="701">
        <v>564.17781066894531</v>
      </c>
      <c r="CC1088" s="701">
        <v>564.17781066894531</v>
      </c>
      <c r="CD1088" s="701">
        <v>274.56877136230469</v>
      </c>
      <c r="CE1088" s="701">
        <v>274.56877136230469</v>
      </c>
      <c r="CF1088" s="701">
        <v>192.375</v>
      </c>
      <c r="CG1088" s="701">
        <v>192.375</v>
      </c>
      <c r="CH1088" s="701">
        <v>192.375</v>
      </c>
      <c r="CI1088" s="701">
        <v>192.375</v>
      </c>
      <c r="CJ1088" s="701">
        <v>192.375</v>
      </c>
      <c r="CK1088" s="701">
        <v>0</v>
      </c>
      <c r="CL1088" s="701">
        <v>0</v>
      </c>
      <c r="CM1088" s="701">
        <v>0</v>
      </c>
      <c r="CN1088" s="701">
        <v>0</v>
      </c>
      <c r="CO1088" s="701">
        <v>0</v>
      </c>
      <c r="CP1088" s="701">
        <v>0</v>
      </c>
      <c r="CQ1088" s="701">
        <v>0</v>
      </c>
      <c r="CR1088" s="701">
        <v>0</v>
      </c>
    </row>
    <row r="1089" spans="1:96" s="53" customFormat="1">
      <c r="A1089" s="694" t="s">
        <v>3</v>
      </c>
      <c r="B1089" s="705">
        <v>41656</v>
      </c>
      <c r="C1089" s="694">
        <v>2014</v>
      </c>
      <c r="D1089" s="694" t="s">
        <v>657</v>
      </c>
      <c r="E1089" s="694" t="s">
        <v>657</v>
      </c>
      <c r="F1089" s="694" t="s">
        <v>17</v>
      </c>
      <c r="G1089" s="694" t="s">
        <v>656</v>
      </c>
      <c r="H1089" s="694" t="s">
        <v>5</v>
      </c>
      <c r="I1089" s="694" t="s">
        <v>655</v>
      </c>
      <c r="J1089" s="694">
        <v>4</v>
      </c>
      <c r="K1089" s="694" t="s">
        <v>654</v>
      </c>
      <c r="L1089" s="694" t="s">
        <v>653</v>
      </c>
      <c r="M1089" s="694">
        <v>15</v>
      </c>
      <c r="N1089" s="694">
        <v>3.4000000000000002E-2</v>
      </c>
      <c r="O1089" s="704">
        <v>823</v>
      </c>
      <c r="P1089" s="704">
        <v>4.1120032248195874E-2</v>
      </c>
      <c r="Q1089" s="704">
        <v>578.52473694124183</v>
      </c>
      <c r="R1089" s="704">
        <v>5022.7253723144531</v>
      </c>
      <c r="S1089" s="704">
        <v>5022.7253723144531</v>
      </c>
      <c r="T1089" s="704">
        <v>1154.0601348876953</v>
      </c>
      <c r="U1089" s="704">
        <v>4.0966524742543697E-2</v>
      </c>
      <c r="V1089" s="704">
        <v>0.7029462456703186</v>
      </c>
      <c r="W1089" s="703">
        <v>1.209412693977356</v>
      </c>
      <c r="X1089" s="703">
        <v>0</v>
      </c>
      <c r="Y1089" s="703">
        <v>0</v>
      </c>
      <c r="Z1089" s="703"/>
      <c r="AA1089" s="703">
        <v>1</v>
      </c>
      <c r="AB1089" s="703">
        <v>0</v>
      </c>
      <c r="AC1089" s="703">
        <v>0</v>
      </c>
      <c r="AD1089" s="703"/>
      <c r="AE1089" s="703">
        <v>1</v>
      </c>
      <c r="AF1089" s="703"/>
      <c r="AG1089" s="694"/>
      <c r="AH1089" s="694"/>
      <c r="AI1089" s="694"/>
      <c r="AJ1089" s="694">
        <v>244</v>
      </c>
      <c r="AK1089" s="702" t="s">
        <v>7</v>
      </c>
      <c r="AL1089" s="694">
        <v>0</v>
      </c>
      <c r="AM1089" s="701">
        <v>0</v>
      </c>
      <c r="AN1089" s="701">
        <v>0</v>
      </c>
      <c r="AO1089" s="701"/>
      <c r="AP1089" s="701"/>
      <c r="AQ1089" s="701"/>
      <c r="AR1089" s="701"/>
      <c r="AS1089" s="701"/>
      <c r="AT1089" s="701"/>
      <c r="AU1089" s="701"/>
      <c r="AV1089" s="701">
        <v>4.1120031848549843E-2</v>
      </c>
      <c r="AW1089" s="701">
        <v>4.0966524742543697E-2</v>
      </c>
      <c r="AX1089" s="701">
        <v>3.759788116440177E-2</v>
      </c>
      <c r="AY1089" s="701">
        <v>3.6527586635202169E-2</v>
      </c>
      <c r="AZ1089" s="701">
        <v>3.5457292106002569E-2</v>
      </c>
      <c r="BA1089" s="701">
        <v>3.5457292106002569E-2</v>
      </c>
      <c r="BB1089" s="701">
        <v>3.2005068380385637E-2</v>
      </c>
      <c r="BC1089" s="701">
        <v>3.2005068380385637E-2</v>
      </c>
      <c r="BD1089" s="701">
        <v>1.940624974668026E-2</v>
      </c>
      <c r="BE1089" s="701">
        <v>1.940624974668026E-2</v>
      </c>
      <c r="BF1089" s="701">
        <v>1.940624974668026E-2</v>
      </c>
      <c r="BG1089" s="701">
        <v>1.940624974668026E-2</v>
      </c>
      <c r="BH1089" s="701">
        <v>1.940624974668026E-2</v>
      </c>
      <c r="BI1089" s="701">
        <v>1.940624974668026E-2</v>
      </c>
      <c r="BJ1089" s="701">
        <v>1.940624974668026E-2</v>
      </c>
      <c r="BK1089" s="701">
        <v>0</v>
      </c>
      <c r="BL1089" s="701">
        <v>0</v>
      </c>
      <c r="BM1089" s="701">
        <v>0</v>
      </c>
      <c r="BN1089" s="701">
        <v>0</v>
      </c>
      <c r="BO1089" s="701">
        <v>0</v>
      </c>
      <c r="BP1089" s="701">
        <v>0</v>
      </c>
      <c r="BQ1089" s="701">
        <v>0</v>
      </c>
      <c r="BR1089" s="701">
        <v>0</v>
      </c>
      <c r="BS1089" s="701"/>
      <c r="BT1089" s="701"/>
      <c r="BU1089" s="701"/>
      <c r="BV1089" s="701">
        <v>578.52474212646484</v>
      </c>
      <c r="BW1089" s="701">
        <v>575.53539276123047</v>
      </c>
      <c r="BX1089" s="701">
        <v>510.59267425537109</v>
      </c>
      <c r="BY1089" s="701">
        <v>490.07871246337891</v>
      </c>
      <c r="BZ1089" s="701">
        <v>469.56473541259766</v>
      </c>
      <c r="CA1089" s="701">
        <v>469.56473541259766</v>
      </c>
      <c r="CB1089" s="701">
        <v>403.33840179443359</v>
      </c>
      <c r="CC1089" s="701">
        <v>403.33840179443359</v>
      </c>
      <c r="CD1089" s="701">
        <v>160.3125</v>
      </c>
      <c r="CE1089" s="701">
        <v>160.3125</v>
      </c>
      <c r="CF1089" s="701">
        <v>160.3125</v>
      </c>
      <c r="CG1089" s="701">
        <v>160.3125</v>
      </c>
      <c r="CH1089" s="701">
        <v>160.3125</v>
      </c>
      <c r="CI1089" s="701">
        <v>160.3125</v>
      </c>
      <c r="CJ1089" s="701">
        <v>160.3125</v>
      </c>
      <c r="CK1089" s="701">
        <v>0</v>
      </c>
      <c r="CL1089" s="701">
        <v>0</v>
      </c>
      <c r="CM1089" s="701">
        <v>0</v>
      </c>
      <c r="CN1089" s="701">
        <v>0</v>
      </c>
      <c r="CO1089" s="701">
        <v>0</v>
      </c>
      <c r="CP1089" s="701">
        <v>0</v>
      </c>
      <c r="CQ1089" s="701">
        <v>0</v>
      </c>
      <c r="CR1089" s="701">
        <v>0</v>
      </c>
    </row>
    <row r="1090" spans="1:96" s="53" customFormat="1">
      <c r="A1090" s="694" t="s">
        <v>3</v>
      </c>
      <c r="B1090" s="705">
        <v>41656</v>
      </c>
      <c r="C1090" s="694">
        <v>2014</v>
      </c>
      <c r="D1090" s="694" t="s">
        <v>657</v>
      </c>
      <c r="E1090" s="694" t="s">
        <v>657</v>
      </c>
      <c r="F1090" s="694" t="s">
        <v>17</v>
      </c>
      <c r="G1090" s="694" t="s">
        <v>656</v>
      </c>
      <c r="H1090" s="694" t="s">
        <v>5</v>
      </c>
      <c r="I1090" s="694" t="s">
        <v>655</v>
      </c>
      <c r="J1090" s="694">
        <v>2</v>
      </c>
      <c r="K1090" s="694" t="s">
        <v>654</v>
      </c>
      <c r="L1090" s="694" t="s">
        <v>653</v>
      </c>
      <c r="M1090" s="694">
        <v>8</v>
      </c>
      <c r="N1090" s="694">
        <v>1.26E-2</v>
      </c>
      <c r="O1090" s="704">
        <v>411</v>
      </c>
      <c r="P1090" s="704">
        <v>1.5288419039125584E-2</v>
      </c>
      <c r="Q1090" s="704">
        <v>293.08674286987298</v>
      </c>
      <c r="R1090" s="704">
        <v>1781.4479675292969</v>
      </c>
      <c r="S1090" s="704">
        <v>1781.4479675292969</v>
      </c>
      <c r="T1090" s="704">
        <v>586.17349243164062</v>
      </c>
      <c r="U1090" s="704">
        <v>1.5288419090211391E-2</v>
      </c>
      <c r="V1090" s="704">
        <v>0.71310645341873169</v>
      </c>
      <c r="W1090" s="703">
        <v>1.2133666276931763</v>
      </c>
      <c r="X1090" s="703">
        <v>0</v>
      </c>
      <c r="Y1090" s="703">
        <v>0</v>
      </c>
      <c r="Z1090" s="703"/>
      <c r="AA1090" s="703">
        <v>1</v>
      </c>
      <c r="AB1090" s="703">
        <v>0</v>
      </c>
      <c r="AC1090" s="703">
        <v>0</v>
      </c>
      <c r="AD1090" s="703"/>
      <c r="AE1090" s="703">
        <v>1</v>
      </c>
      <c r="AF1090" s="703"/>
      <c r="AG1090" s="694"/>
      <c r="AH1090" s="694"/>
      <c r="AI1090" s="694"/>
      <c r="AJ1090" s="694">
        <v>222</v>
      </c>
      <c r="AK1090" s="702" t="s">
        <v>7</v>
      </c>
      <c r="AL1090" s="694">
        <v>0</v>
      </c>
      <c r="AM1090" s="701">
        <v>0</v>
      </c>
      <c r="AN1090" s="701">
        <v>0</v>
      </c>
      <c r="AO1090" s="701"/>
      <c r="AP1090" s="701"/>
      <c r="AQ1090" s="701"/>
      <c r="AR1090" s="701"/>
      <c r="AS1090" s="701"/>
      <c r="AT1090" s="701"/>
      <c r="AU1090" s="701"/>
      <c r="AV1090" s="701">
        <v>1.5288419090211391E-2</v>
      </c>
      <c r="AW1090" s="701">
        <v>1.5288419090211391E-2</v>
      </c>
      <c r="AX1090" s="701">
        <v>1.3147830963134766E-2</v>
      </c>
      <c r="AY1090" s="701">
        <v>1.2077536433935165E-2</v>
      </c>
      <c r="AZ1090" s="701">
        <v>1.1007241904735565E-2</v>
      </c>
      <c r="BA1090" s="701">
        <v>1.1007241904735565E-2</v>
      </c>
      <c r="BB1090" s="701">
        <v>7.5550181791186333E-3</v>
      </c>
      <c r="BC1090" s="701">
        <v>7.5550181791186333E-3</v>
      </c>
      <c r="BD1090" s="701">
        <v>0</v>
      </c>
      <c r="BE1090" s="701">
        <v>0</v>
      </c>
      <c r="BF1090" s="701">
        <v>0</v>
      </c>
      <c r="BG1090" s="701">
        <v>0</v>
      </c>
      <c r="BH1090" s="701">
        <v>0</v>
      </c>
      <c r="BI1090" s="701">
        <v>0</v>
      </c>
      <c r="BJ1090" s="701">
        <v>0</v>
      </c>
      <c r="BK1090" s="701">
        <v>0</v>
      </c>
      <c r="BL1090" s="701">
        <v>0</v>
      </c>
      <c r="BM1090" s="701">
        <v>0</v>
      </c>
      <c r="BN1090" s="701">
        <v>0</v>
      </c>
      <c r="BO1090" s="701">
        <v>0</v>
      </c>
      <c r="BP1090" s="701">
        <v>0</v>
      </c>
      <c r="BQ1090" s="701">
        <v>0</v>
      </c>
      <c r="BR1090" s="701">
        <v>0</v>
      </c>
      <c r="BS1090" s="701"/>
      <c r="BT1090" s="701"/>
      <c r="BU1090" s="701"/>
      <c r="BV1090" s="701">
        <v>293.08674621582031</v>
      </c>
      <c r="BW1090" s="701">
        <v>293.08674621582031</v>
      </c>
      <c r="BX1090" s="701">
        <v>252.05879211425781</v>
      </c>
      <c r="BY1090" s="701">
        <v>231.54483032226562</v>
      </c>
      <c r="BZ1090" s="701">
        <v>211.03085327148437</v>
      </c>
      <c r="CA1090" s="701">
        <v>211.03085327148437</v>
      </c>
      <c r="CB1090" s="701">
        <v>144.80451965332031</v>
      </c>
      <c r="CC1090" s="701">
        <v>144.80451965332031</v>
      </c>
      <c r="CD1090" s="701">
        <v>0</v>
      </c>
      <c r="CE1090" s="701">
        <v>0</v>
      </c>
      <c r="CF1090" s="701">
        <v>0</v>
      </c>
      <c r="CG1090" s="701">
        <v>0</v>
      </c>
      <c r="CH1090" s="701">
        <v>0</v>
      </c>
      <c r="CI1090" s="701">
        <v>0</v>
      </c>
      <c r="CJ1090" s="701">
        <v>0</v>
      </c>
      <c r="CK1090" s="701">
        <v>0</v>
      </c>
      <c r="CL1090" s="701">
        <v>0</v>
      </c>
      <c r="CM1090" s="701">
        <v>0</v>
      </c>
      <c r="CN1090" s="701">
        <v>0</v>
      </c>
      <c r="CO1090" s="701">
        <v>0</v>
      </c>
      <c r="CP1090" s="701">
        <v>0</v>
      </c>
      <c r="CQ1090" s="701">
        <v>0</v>
      </c>
      <c r="CR1090" s="701">
        <v>0</v>
      </c>
    </row>
    <row r="1091" spans="1:96" s="53" customFormat="1">
      <c r="A1091" s="694" t="s">
        <v>3</v>
      </c>
      <c r="B1091" s="705">
        <v>41660</v>
      </c>
      <c r="C1091" s="694">
        <v>2014</v>
      </c>
      <c r="D1091" s="694" t="s">
        <v>657</v>
      </c>
      <c r="E1091" s="694" t="s">
        <v>657</v>
      </c>
      <c r="F1091" s="694" t="s">
        <v>17</v>
      </c>
      <c r="G1091" s="694" t="s">
        <v>656</v>
      </c>
      <c r="H1091" s="694" t="s">
        <v>5</v>
      </c>
      <c r="I1091" s="694" t="s">
        <v>655</v>
      </c>
      <c r="J1091" s="694">
        <v>4</v>
      </c>
      <c r="K1091" s="694" t="s">
        <v>654</v>
      </c>
      <c r="L1091" s="694" t="s">
        <v>653</v>
      </c>
      <c r="M1091" s="694">
        <v>8</v>
      </c>
      <c r="N1091" s="694">
        <v>2.5599999999999998E-2</v>
      </c>
      <c r="O1091" s="704">
        <v>830</v>
      </c>
      <c r="P1091" s="704">
        <v>2.97173048419501E-2</v>
      </c>
      <c r="Q1091" s="704">
        <v>570.95552024457947</v>
      </c>
      <c r="R1091" s="704">
        <v>3577.7105865478516</v>
      </c>
      <c r="S1091" s="704">
        <v>3577.7105865478516</v>
      </c>
      <c r="T1091" s="704">
        <v>1139.918155670166</v>
      </c>
      <c r="U1091" s="704">
        <v>2.9614966944791377E-2</v>
      </c>
      <c r="V1091" s="704">
        <v>0.68789821863174438</v>
      </c>
      <c r="W1091" s="703">
        <v>1.1608321666717529</v>
      </c>
      <c r="X1091" s="703">
        <v>0</v>
      </c>
      <c r="Y1091" s="703">
        <v>0</v>
      </c>
      <c r="Z1091" s="703"/>
      <c r="AA1091" s="703">
        <v>1</v>
      </c>
      <c r="AB1091" s="703">
        <v>0</v>
      </c>
      <c r="AC1091" s="703">
        <v>0</v>
      </c>
      <c r="AD1091" s="703"/>
      <c r="AE1091" s="703">
        <v>1</v>
      </c>
      <c r="AF1091" s="703"/>
      <c r="AG1091" s="694"/>
      <c r="AH1091" s="694"/>
      <c r="AI1091" s="694"/>
      <c r="AJ1091" s="694">
        <v>258</v>
      </c>
      <c r="AK1091" s="702" t="s">
        <v>7</v>
      </c>
      <c r="AL1091" s="694">
        <v>0</v>
      </c>
      <c r="AM1091" s="701">
        <v>0</v>
      </c>
      <c r="AN1091" s="701">
        <v>0</v>
      </c>
      <c r="AO1091" s="701"/>
      <c r="AP1091" s="701"/>
      <c r="AQ1091" s="701"/>
      <c r="AR1091" s="701"/>
      <c r="AS1091" s="701"/>
      <c r="AT1091" s="701"/>
      <c r="AU1091" s="701"/>
      <c r="AV1091" s="701">
        <v>2.9717304860241711E-2</v>
      </c>
      <c r="AW1091" s="701">
        <v>2.9614966944791377E-2</v>
      </c>
      <c r="AX1091" s="701">
        <v>2.5738279451616108E-2</v>
      </c>
      <c r="AY1091" s="701">
        <v>2.4209288065321743E-2</v>
      </c>
      <c r="AZ1091" s="701">
        <v>2.2680295747704804E-2</v>
      </c>
      <c r="BA1091" s="701">
        <v>2.2680295747704804E-2</v>
      </c>
      <c r="BB1091" s="701">
        <v>1.577584829647094E-2</v>
      </c>
      <c r="BC1091" s="701">
        <v>1.577584829647094E-2</v>
      </c>
      <c r="BD1091" s="701">
        <v>0</v>
      </c>
      <c r="BE1091" s="701">
        <v>0</v>
      </c>
      <c r="BF1091" s="701">
        <v>0</v>
      </c>
      <c r="BG1091" s="701">
        <v>0</v>
      </c>
      <c r="BH1091" s="701">
        <v>0</v>
      </c>
      <c r="BI1091" s="701">
        <v>0</v>
      </c>
      <c r="BJ1091" s="701">
        <v>0</v>
      </c>
      <c r="BK1091" s="701">
        <v>0</v>
      </c>
      <c r="BL1091" s="701">
        <v>0</v>
      </c>
      <c r="BM1091" s="701">
        <v>0</v>
      </c>
      <c r="BN1091" s="701">
        <v>0</v>
      </c>
      <c r="BO1091" s="701">
        <v>0</v>
      </c>
      <c r="BP1091" s="701">
        <v>0</v>
      </c>
      <c r="BQ1091" s="701">
        <v>0</v>
      </c>
      <c r="BR1091" s="701">
        <v>0</v>
      </c>
      <c r="BS1091" s="701"/>
      <c r="BT1091" s="701"/>
      <c r="BU1091" s="701"/>
      <c r="BV1091" s="701">
        <v>570.95553016662598</v>
      </c>
      <c r="BW1091" s="701">
        <v>568.96263313293457</v>
      </c>
      <c r="BX1091" s="701">
        <v>494.40809059143066</v>
      </c>
      <c r="BY1091" s="701">
        <v>465.10242652893066</v>
      </c>
      <c r="BZ1091" s="701">
        <v>435.7967472076416</v>
      </c>
      <c r="CA1091" s="701">
        <v>435.7967472076416</v>
      </c>
      <c r="CB1091" s="701">
        <v>303.34407997131348</v>
      </c>
      <c r="CC1091" s="701">
        <v>303.34407997131348</v>
      </c>
      <c r="CD1091" s="701">
        <v>0</v>
      </c>
      <c r="CE1091" s="701">
        <v>0</v>
      </c>
      <c r="CF1091" s="701">
        <v>0</v>
      </c>
      <c r="CG1091" s="701">
        <v>0</v>
      </c>
      <c r="CH1091" s="701">
        <v>0</v>
      </c>
      <c r="CI1091" s="701">
        <v>0</v>
      </c>
      <c r="CJ1091" s="701">
        <v>0</v>
      </c>
      <c r="CK1091" s="701">
        <v>0</v>
      </c>
      <c r="CL1091" s="701">
        <v>0</v>
      </c>
      <c r="CM1091" s="701">
        <v>0</v>
      </c>
      <c r="CN1091" s="701">
        <v>0</v>
      </c>
      <c r="CO1091" s="701">
        <v>0</v>
      </c>
      <c r="CP1091" s="701">
        <v>0</v>
      </c>
      <c r="CQ1091" s="701">
        <v>0</v>
      </c>
      <c r="CR1091" s="701">
        <v>0</v>
      </c>
    </row>
    <row r="1092" spans="1:96" s="53" customFormat="1">
      <c r="A1092" s="694" t="s">
        <v>3</v>
      </c>
      <c r="B1092" s="705">
        <v>41668</v>
      </c>
      <c r="C1092" s="694">
        <v>2014</v>
      </c>
      <c r="D1092" s="694" t="s">
        <v>657</v>
      </c>
      <c r="E1092" s="694" t="s">
        <v>657</v>
      </c>
      <c r="F1092" s="694" t="s">
        <v>17</v>
      </c>
      <c r="G1092" s="694" t="s">
        <v>656</v>
      </c>
      <c r="H1092" s="694" t="s">
        <v>5</v>
      </c>
      <c r="I1092" s="694" t="s">
        <v>655</v>
      </c>
      <c r="J1092" s="694">
        <v>1</v>
      </c>
      <c r="K1092" s="694" t="s">
        <v>654</v>
      </c>
      <c r="L1092" s="694" t="s">
        <v>653</v>
      </c>
      <c r="M1092" s="694">
        <v>8</v>
      </c>
      <c r="N1092" s="694">
        <v>1.26E-2</v>
      </c>
      <c r="O1092" s="704">
        <v>414</v>
      </c>
      <c r="P1092" s="704">
        <v>1.5217965495166479E-2</v>
      </c>
      <c r="Q1092" s="704">
        <v>291.6776719906909</v>
      </c>
      <c r="R1092" s="704">
        <v>1779.544189453125</v>
      </c>
      <c r="S1092" s="704">
        <v>1779.544189453125</v>
      </c>
      <c r="T1092" s="704">
        <v>583.3553466796875</v>
      </c>
      <c r="U1092" s="704">
        <v>1.5217965468764305E-2</v>
      </c>
      <c r="V1092" s="704">
        <v>0.70453542470932007</v>
      </c>
      <c r="W1092" s="703">
        <v>1.2077749967575073</v>
      </c>
      <c r="X1092" s="703">
        <v>0</v>
      </c>
      <c r="Y1092" s="703">
        <v>0</v>
      </c>
      <c r="Z1092" s="703"/>
      <c r="AA1092" s="703">
        <v>1</v>
      </c>
      <c r="AB1092" s="703">
        <v>0</v>
      </c>
      <c r="AC1092" s="703">
        <v>0</v>
      </c>
      <c r="AD1092" s="703"/>
      <c r="AE1092" s="703">
        <v>1</v>
      </c>
      <c r="AF1092" s="703"/>
      <c r="AG1092" s="694"/>
      <c r="AH1092" s="694"/>
      <c r="AI1092" s="694"/>
      <c r="AJ1092" s="694">
        <v>218</v>
      </c>
      <c r="AK1092" s="702" t="s">
        <v>7</v>
      </c>
      <c r="AL1092" s="694">
        <v>0</v>
      </c>
      <c r="AM1092" s="701">
        <v>0</v>
      </c>
      <c r="AN1092" s="701">
        <v>0</v>
      </c>
      <c r="AO1092" s="701"/>
      <c r="AP1092" s="701"/>
      <c r="AQ1092" s="701"/>
      <c r="AR1092" s="701"/>
      <c r="AS1092" s="701"/>
      <c r="AT1092" s="701"/>
      <c r="AU1092" s="701"/>
      <c r="AV1092" s="701">
        <v>1.5217965468764305E-2</v>
      </c>
      <c r="AW1092" s="701">
        <v>1.5217965468764305E-2</v>
      </c>
      <c r="AX1092" s="701">
        <v>1.2465780600905418E-2</v>
      </c>
      <c r="AY1092" s="701">
        <v>1.10896872356534E-2</v>
      </c>
      <c r="AZ1092" s="701">
        <v>9.7135948017239571E-3</v>
      </c>
      <c r="BA1092" s="701">
        <v>9.7135948017239571E-3</v>
      </c>
      <c r="BB1092" s="701">
        <v>9.7135948017239571E-3</v>
      </c>
      <c r="BC1092" s="701">
        <v>9.7135948017239571E-3</v>
      </c>
      <c r="BD1092" s="701">
        <v>0</v>
      </c>
      <c r="BE1092" s="701">
        <v>0</v>
      </c>
      <c r="BF1092" s="701">
        <v>0</v>
      </c>
      <c r="BG1092" s="701">
        <v>0</v>
      </c>
      <c r="BH1092" s="701">
        <v>0</v>
      </c>
      <c r="BI1092" s="701">
        <v>0</v>
      </c>
      <c r="BJ1092" s="701">
        <v>0</v>
      </c>
      <c r="BK1092" s="701">
        <v>0</v>
      </c>
      <c r="BL1092" s="701">
        <v>0</v>
      </c>
      <c r="BM1092" s="701">
        <v>0</v>
      </c>
      <c r="BN1092" s="701">
        <v>0</v>
      </c>
      <c r="BO1092" s="701">
        <v>0</v>
      </c>
      <c r="BP1092" s="701">
        <v>0</v>
      </c>
      <c r="BQ1092" s="701">
        <v>0</v>
      </c>
      <c r="BR1092" s="701">
        <v>0</v>
      </c>
      <c r="BS1092" s="701"/>
      <c r="BT1092" s="701"/>
      <c r="BU1092" s="701"/>
      <c r="BV1092" s="701">
        <v>291.67767333984375</v>
      </c>
      <c r="BW1092" s="701">
        <v>291.67767333984375</v>
      </c>
      <c r="BX1092" s="701">
        <v>238.92745971679687</v>
      </c>
      <c r="BY1092" s="701">
        <v>212.55235290527344</v>
      </c>
      <c r="BZ1092" s="701">
        <v>186.17723083496094</v>
      </c>
      <c r="CA1092" s="701">
        <v>186.17723083496094</v>
      </c>
      <c r="CB1092" s="701">
        <v>186.17723083496094</v>
      </c>
      <c r="CC1092" s="701">
        <v>186.17723083496094</v>
      </c>
      <c r="CD1092" s="701">
        <v>0</v>
      </c>
      <c r="CE1092" s="701">
        <v>0</v>
      </c>
      <c r="CF1092" s="701">
        <v>0</v>
      </c>
      <c r="CG1092" s="701">
        <v>0</v>
      </c>
      <c r="CH1092" s="701">
        <v>0</v>
      </c>
      <c r="CI1092" s="701">
        <v>0</v>
      </c>
      <c r="CJ1092" s="701">
        <v>0</v>
      </c>
      <c r="CK1092" s="701">
        <v>0</v>
      </c>
      <c r="CL1092" s="701">
        <v>0</v>
      </c>
      <c r="CM1092" s="701">
        <v>0</v>
      </c>
      <c r="CN1092" s="701">
        <v>0</v>
      </c>
      <c r="CO1092" s="701">
        <v>0</v>
      </c>
      <c r="CP1092" s="701">
        <v>0</v>
      </c>
      <c r="CQ1092" s="701">
        <v>0</v>
      </c>
      <c r="CR1092" s="701">
        <v>0</v>
      </c>
    </row>
    <row r="1093" spans="1:96" s="53" customFormat="1">
      <c r="A1093" s="694" t="s">
        <v>3</v>
      </c>
      <c r="B1093" s="705">
        <v>41668</v>
      </c>
      <c r="C1093" s="694">
        <v>2014</v>
      </c>
      <c r="D1093" s="694" t="s">
        <v>657</v>
      </c>
      <c r="E1093" s="694" t="s">
        <v>657</v>
      </c>
      <c r="F1093" s="694" t="s">
        <v>17</v>
      </c>
      <c r="G1093" s="694" t="s">
        <v>656</v>
      </c>
      <c r="H1093" s="694" t="s">
        <v>5</v>
      </c>
      <c r="I1093" s="694" t="s">
        <v>655</v>
      </c>
      <c r="J1093" s="694">
        <v>3</v>
      </c>
      <c r="K1093" s="694" t="s">
        <v>654</v>
      </c>
      <c r="L1093" s="694" t="s">
        <v>653</v>
      </c>
      <c r="M1093" s="694">
        <v>21</v>
      </c>
      <c r="N1093" s="694">
        <v>0.37809999999999999</v>
      </c>
      <c r="O1093" s="704">
        <v>1440</v>
      </c>
      <c r="P1093" s="704">
        <v>0.24081309238639595</v>
      </c>
      <c r="Q1093" s="704">
        <v>1335.4758676525937</v>
      </c>
      <c r="R1093" s="704">
        <v>20384.475219726563</v>
      </c>
      <c r="S1093" s="704">
        <v>20384.475219726563</v>
      </c>
      <c r="T1093" s="704">
        <v>2670.9517211914062</v>
      </c>
      <c r="U1093" s="704">
        <v>0.24081309325993061</v>
      </c>
      <c r="V1093" s="704">
        <v>0.92741382122039795</v>
      </c>
      <c r="W1093" s="703">
        <v>0.63690316677093506</v>
      </c>
      <c r="X1093" s="703">
        <v>0</v>
      </c>
      <c r="Y1093" s="703">
        <v>0</v>
      </c>
      <c r="Z1093" s="703"/>
      <c r="AA1093" s="703">
        <v>1</v>
      </c>
      <c r="AB1093" s="703">
        <v>0</v>
      </c>
      <c r="AC1093" s="703">
        <v>0</v>
      </c>
      <c r="AD1093" s="703"/>
      <c r="AE1093" s="703">
        <v>1</v>
      </c>
      <c r="AF1093" s="703"/>
      <c r="AG1093" s="694"/>
      <c r="AH1093" s="694"/>
      <c r="AI1093" s="694"/>
      <c r="AJ1093" s="694">
        <v>954</v>
      </c>
      <c r="AK1093" s="702" t="s">
        <v>7</v>
      </c>
      <c r="AL1093" s="694">
        <v>0</v>
      </c>
      <c r="AM1093" s="701">
        <v>0</v>
      </c>
      <c r="AN1093" s="701">
        <v>0</v>
      </c>
      <c r="AO1093" s="701"/>
      <c r="AP1093" s="701"/>
      <c r="AQ1093" s="701"/>
      <c r="AR1093" s="701"/>
      <c r="AS1093" s="701"/>
      <c r="AT1093" s="701"/>
      <c r="AU1093" s="701"/>
      <c r="AV1093" s="701">
        <v>0.24081309325993061</v>
      </c>
      <c r="AW1093" s="701">
        <v>0.24081309325993061</v>
      </c>
      <c r="AX1093" s="701">
        <v>0.23867250513285398</v>
      </c>
      <c r="AY1093" s="701">
        <v>0.23760221060365438</v>
      </c>
      <c r="AZ1093" s="701">
        <v>0.23653191607445478</v>
      </c>
      <c r="BA1093" s="701">
        <v>0.23653191607445478</v>
      </c>
      <c r="BB1093" s="701">
        <v>0.23653191607445478</v>
      </c>
      <c r="BC1093" s="701">
        <v>0.23653191607445478</v>
      </c>
      <c r="BD1093" s="701">
        <v>0.22897689789533615</v>
      </c>
      <c r="BE1093" s="701">
        <v>0.22897689789533615</v>
      </c>
      <c r="BF1093" s="701">
        <v>0.22897689789533615</v>
      </c>
      <c r="BG1093" s="701">
        <v>0.22897689789533615</v>
      </c>
      <c r="BH1093" s="701">
        <v>8.5900001227855682E-2</v>
      </c>
      <c r="BI1093" s="701">
        <v>8.5900001227855682E-2</v>
      </c>
      <c r="BJ1093" s="701">
        <v>8.5900001227855682E-2</v>
      </c>
      <c r="BK1093" s="701">
        <v>8.5900001227855682E-2</v>
      </c>
      <c r="BL1093" s="701">
        <v>8.5900001227855682E-2</v>
      </c>
      <c r="BM1093" s="701">
        <v>8.5900001227855682E-2</v>
      </c>
      <c r="BN1093" s="701">
        <v>8.5900001227855682E-2</v>
      </c>
      <c r="BO1093" s="701">
        <v>8.5900001227855682E-2</v>
      </c>
      <c r="BP1093" s="701">
        <v>8.5900001227855682E-2</v>
      </c>
      <c r="BQ1093" s="701">
        <v>0</v>
      </c>
      <c r="BR1093" s="701">
        <v>0</v>
      </c>
      <c r="BS1093" s="701"/>
      <c r="BT1093" s="701"/>
      <c r="BU1093" s="701"/>
      <c r="BV1093" s="701">
        <v>1335.4758605957031</v>
      </c>
      <c r="BW1093" s="701">
        <v>1335.4758605957031</v>
      </c>
      <c r="BX1093" s="701">
        <v>1294.4479064941406</v>
      </c>
      <c r="BY1093" s="701">
        <v>1273.9339447021484</v>
      </c>
      <c r="BZ1093" s="701">
        <v>1253.4199676513672</v>
      </c>
      <c r="CA1093" s="701">
        <v>1253.4199676513672</v>
      </c>
      <c r="CB1093" s="701">
        <v>1253.4199676513672</v>
      </c>
      <c r="CC1093" s="701">
        <v>1253.4199676513672</v>
      </c>
      <c r="CD1093" s="701">
        <v>1108.6154479980469</v>
      </c>
      <c r="CE1093" s="701">
        <v>1108.6154479980469</v>
      </c>
      <c r="CF1093" s="701">
        <v>1108.6154479980469</v>
      </c>
      <c r="CG1093" s="701">
        <v>1108.6154479980469</v>
      </c>
      <c r="CH1093" s="701">
        <v>633</v>
      </c>
      <c r="CI1093" s="701">
        <v>633</v>
      </c>
      <c r="CJ1093" s="701">
        <v>633</v>
      </c>
      <c r="CK1093" s="701">
        <v>633</v>
      </c>
      <c r="CL1093" s="701">
        <v>633</v>
      </c>
      <c r="CM1093" s="701">
        <v>633</v>
      </c>
      <c r="CN1093" s="701">
        <v>633</v>
      </c>
      <c r="CO1093" s="701">
        <v>633</v>
      </c>
      <c r="CP1093" s="701">
        <v>633</v>
      </c>
      <c r="CQ1093" s="701">
        <v>0</v>
      </c>
      <c r="CR1093" s="701">
        <v>0</v>
      </c>
    </row>
    <row r="1094" spans="1:96" s="53" customFormat="1">
      <c r="A1094" s="694" t="s">
        <v>3</v>
      </c>
      <c r="B1094" s="705">
        <v>41668</v>
      </c>
      <c r="C1094" s="694">
        <v>2014</v>
      </c>
      <c r="D1094" s="694" t="s">
        <v>657</v>
      </c>
      <c r="E1094" s="694" t="s">
        <v>657</v>
      </c>
      <c r="F1094" s="694" t="s">
        <v>17</v>
      </c>
      <c r="G1094" s="694" t="s">
        <v>656</v>
      </c>
      <c r="H1094" s="694" t="s">
        <v>5</v>
      </c>
      <c r="I1094" s="694" t="s">
        <v>655</v>
      </c>
      <c r="J1094" s="694">
        <v>6</v>
      </c>
      <c r="K1094" s="694" t="s">
        <v>654</v>
      </c>
      <c r="L1094" s="694" t="s">
        <v>653</v>
      </c>
      <c r="M1094" s="694">
        <v>15</v>
      </c>
      <c r="N1094" s="694">
        <v>0.17480000000000001</v>
      </c>
      <c r="O1094" s="704">
        <v>2340</v>
      </c>
      <c r="P1094" s="704">
        <v>0.18498244472904266</v>
      </c>
      <c r="Q1094" s="704">
        <v>1917.0182368529076</v>
      </c>
      <c r="R1094" s="704">
        <v>20500.71321105957</v>
      </c>
      <c r="S1094" s="704">
        <v>20500.71321105957</v>
      </c>
      <c r="T1094" s="704">
        <v>3824.9057006835937</v>
      </c>
      <c r="U1094" s="704">
        <v>0.18450900074094534</v>
      </c>
      <c r="V1094" s="704">
        <v>0.81923854351043701</v>
      </c>
      <c r="W1094" s="703">
        <v>1.0582519769668579</v>
      </c>
      <c r="X1094" s="703">
        <v>0</v>
      </c>
      <c r="Y1094" s="703">
        <v>0</v>
      </c>
      <c r="Z1094" s="703"/>
      <c r="AA1094" s="703">
        <v>1</v>
      </c>
      <c r="AB1094" s="703">
        <v>0</v>
      </c>
      <c r="AC1094" s="703">
        <v>0</v>
      </c>
      <c r="AD1094" s="703"/>
      <c r="AE1094" s="703">
        <v>1</v>
      </c>
      <c r="AF1094" s="703"/>
      <c r="AG1094" s="694"/>
      <c r="AH1094" s="694"/>
      <c r="AI1094" s="694"/>
      <c r="AJ1094" s="694">
        <v>917.29999995231628</v>
      </c>
      <c r="AK1094" s="702" t="s">
        <v>7</v>
      </c>
      <c r="AL1094" s="694">
        <v>0</v>
      </c>
      <c r="AM1094" s="701">
        <v>0</v>
      </c>
      <c r="AN1094" s="701">
        <v>0</v>
      </c>
      <c r="AO1094" s="701"/>
      <c r="AP1094" s="701"/>
      <c r="AQ1094" s="701"/>
      <c r="AR1094" s="701"/>
      <c r="AS1094" s="701"/>
      <c r="AT1094" s="701"/>
      <c r="AU1094" s="701"/>
      <c r="AV1094" s="701">
        <v>0.18498244858346879</v>
      </c>
      <c r="AW1094" s="701">
        <v>0.18450900074094534</v>
      </c>
      <c r="AX1094" s="701">
        <v>0.17949786491226405</v>
      </c>
      <c r="AY1094" s="701">
        <v>0.17685420799534768</v>
      </c>
      <c r="AZ1094" s="701">
        <v>0.17440782103221864</v>
      </c>
      <c r="BA1094" s="701">
        <v>0.17440782103221864</v>
      </c>
      <c r="BB1094" s="701">
        <v>0.16750337358098477</v>
      </c>
      <c r="BC1094" s="701">
        <v>0.16750337358098477</v>
      </c>
      <c r="BD1094" s="701">
        <v>0.14905114099383354</v>
      </c>
      <c r="BE1094" s="701">
        <v>0.14905114099383354</v>
      </c>
      <c r="BF1094" s="701">
        <v>0.11433125287294388</v>
      </c>
      <c r="BG1094" s="701">
        <v>0.11433125287294388</v>
      </c>
      <c r="BH1094" s="701">
        <v>0.11433125287294388</v>
      </c>
      <c r="BI1094" s="701">
        <v>0.11433125287294388</v>
      </c>
      <c r="BJ1094" s="701">
        <v>3.4931249916553497E-2</v>
      </c>
      <c r="BK1094" s="701">
        <v>0</v>
      </c>
      <c r="BL1094" s="701">
        <v>0</v>
      </c>
      <c r="BM1094" s="701">
        <v>0</v>
      </c>
      <c r="BN1094" s="701">
        <v>0</v>
      </c>
      <c r="BO1094" s="701">
        <v>0</v>
      </c>
      <c r="BP1094" s="701">
        <v>0</v>
      </c>
      <c r="BQ1094" s="701">
        <v>0</v>
      </c>
      <c r="BR1094" s="701">
        <v>0</v>
      </c>
      <c r="BS1094" s="701"/>
      <c r="BT1094" s="701"/>
      <c r="BU1094" s="701"/>
      <c r="BV1094" s="701">
        <v>1917.0182418823242</v>
      </c>
      <c r="BW1094" s="701">
        <v>1907.8874626159668</v>
      </c>
      <c r="BX1094" s="701">
        <v>1811.8265991210937</v>
      </c>
      <c r="BY1094" s="701">
        <v>1761.1330394744873</v>
      </c>
      <c r="BZ1094" s="701">
        <v>1714.2439403533936</v>
      </c>
      <c r="CA1094" s="701">
        <v>1714.2439403533936</v>
      </c>
      <c r="CB1094" s="701">
        <v>1581.7912731170654</v>
      </c>
      <c r="CC1094" s="701">
        <v>1581.7912731170654</v>
      </c>
      <c r="CD1094" s="701">
        <v>1227.9825744628906</v>
      </c>
      <c r="CE1094" s="701">
        <v>1227.9825744628906</v>
      </c>
      <c r="CF1094" s="701">
        <v>941.5625</v>
      </c>
      <c r="CG1094" s="701">
        <v>941.5625</v>
      </c>
      <c r="CH1094" s="701">
        <v>941.5625</v>
      </c>
      <c r="CI1094" s="701">
        <v>941.5625</v>
      </c>
      <c r="CJ1094" s="701">
        <v>288.5625</v>
      </c>
      <c r="CK1094" s="701">
        <v>0</v>
      </c>
      <c r="CL1094" s="701">
        <v>0</v>
      </c>
      <c r="CM1094" s="701">
        <v>0</v>
      </c>
      <c r="CN1094" s="701">
        <v>0</v>
      </c>
      <c r="CO1094" s="701">
        <v>0</v>
      </c>
      <c r="CP1094" s="701">
        <v>0</v>
      </c>
      <c r="CQ1094" s="701">
        <v>0</v>
      </c>
      <c r="CR1094" s="701">
        <v>0</v>
      </c>
    </row>
    <row r="1095" spans="1:96" s="53" customFormat="1">
      <c r="A1095" s="694" t="s">
        <v>3</v>
      </c>
      <c r="B1095" s="705">
        <v>41695</v>
      </c>
      <c r="C1095" s="694">
        <v>2014</v>
      </c>
      <c r="D1095" s="694" t="s">
        <v>657</v>
      </c>
      <c r="E1095" s="694" t="s">
        <v>657</v>
      </c>
      <c r="F1095" s="694" t="s">
        <v>17</v>
      </c>
      <c r="G1095" s="694" t="s">
        <v>656</v>
      </c>
      <c r="H1095" s="694" t="s">
        <v>5</v>
      </c>
      <c r="I1095" s="694" t="s">
        <v>655</v>
      </c>
      <c r="J1095" s="694">
        <v>5</v>
      </c>
      <c r="K1095" s="694" t="s">
        <v>654</v>
      </c>
      <c r="L1095" s="694" t="s">
        <v>653</v>
      </c>
      <c r="M1095" s="694">
        <v>12</v>
      </c>
      <c r="N1095" s="694">
        <v>0.2954</v>
      </c>
      <c r="O1095" s="704">
        <v>978</v>
      </c>
      <c r="P1095" s="704">
        <v>0.16078891795258524</v>
      </c>
      <c r="Q1095" s="704">
        <v>816.04698051466949</v>
      </c>
      <c r="R1095" s="704">
        <v>7777.6945953369141</v>
      </c>
      <c r="S1095" s="704">
        <v>7777.6945953369141</v>
      </c>
      <c r="T1095" s="704">
        <v>1621.9667205810547</v>
      </c>
      <c r="U1095" s="704">
        <v>0.16026430088095367</v>
      </c>
      <c r="V1095" s="704">
        <v>0.8344038724899292</v>
      </c>
      <c r="W1095" s="703">
        <v>0.54430913925170898</v>
      </c>
      <c r="X1095" s="703">
        <v>0</v>
      </c>
      <c r="Y1095" s="703">
        <v>0</v>
      </c>
      <c r="Z1095" s="703"/>
      <c r="AA1095" s="703">
        <v>1</v>
      </c>
      <c r="AB1095" s="703">
        <v>0</v>
      </c>
      <c r="AC1095" s="703">
        <v>0</v>
      </c>
      <c r="AD1095" s="703"/>
      <c r="AE1095" s="703">
        <v>1</v>
      </c>
      <c r="AF1095" s="703"/>
      <c r="AG1095" s="694"/>
      <c r="AH1095" s="694"/>
      <c r="AI1095" s="694"/>
      <c r="AJ1095" s="694">
        <v>469.5</v>
      </c>
      <c r="AK1095" s="702" t="s">
        <v>7</v>
      </c>
      <c r="AL1095" s="694">
        <v>0</v>
      </c>
      <c r="AM1095" s="701">
        <v>0</v>
      </c>
      <c r="AN1095" s="701">
        <v>0</v>
      </c>
      <c r="AO1095" s="701"/>
      <c r="AP1095" s="701"/>
      <c r="AQ1095" s="701"/>
      <c r="AR1095" s="701"/>
      <c r="AS1095" s="701"/>
      <c r="AT1095" s="701"/>
      <c r="AU1095" s="701"/>
      <c r="AV1095" s="701">
        <v>0.16078891768120229</v>
      </c>
      <c r="AW1095" s="701">
        <v>0.16026430088095367</v>
      </c>
      <c r="AX1095" s="701">
        <v>0.1579017968615517</v>
      </c>
      <c r="AY1095" s="701">
        <v>0.15678713179659098</v>
      </c>
      <c r="AZ1095" s="701">
        <v>0.15586973668541759</v>
      </c>
      <c r="BA1095" s="701">
        <v>0.15586973668541759</v>
      </c>
      <c r="BB1095" s="701">
        <v>0.15241751295980066</v>
      </c>
      <c r="BC1095" s="701">
        <v>0.15241751295980066</v>
      </c>
      <c r="BD1095" s="701">
        <v>0.14307689666748047</v>
      </c>
      <c r="BE1095" s="701">
        <v>0.14307689666748047</v>
      </c>
      <c r="BF1095" s="701">
        <v>0.14307689666748047</v>
      </c>
      <c r="BG1095" s="701">
        <v>0.14307689666748047</v>
      </c>
      <c r="BH1095" s="701">
        <v>0</v>
      </c>
      <c r="BI1095" s="701">
        <v>0</v>
      </c>
      <c r="BJ1095" s="701">
        <v>0</v>
      </c>
      <c r="BK1095" s="701">
        <v>0</v>
      </c>
      <c r="BL1095" s="701">
        <v>0</v>
      </c>
      <c r="BM1095" s="701">
        <v>0</v>
      </c>
      <c r="BN1095" s="701">
        <v>0</v>
      </c>
      <c r="BO1095" s="701">
        <v>0</v>
      </c>
      <c r="BP1095" s="701">
        <v>0</v>
      </c>
      <c r="BQ1095" s="701">
        <v>0</v>
      </c>
      <c r="BR1095" s="701">
        <v>0</v>
      </c>
      <c r="BS1095" s="701"/>
      <c r="BT1095" s="701"/>
      <c r="BU1095" s="701"/>
      <c r="BV1095" s="701">
        <v>816.04697799682617</v>
      </c>
      <c r="BW1095" s="701">
        <v>805.91975021362305</v>
      </c>
      <c r="BX1095" s="701">
        <v>760.49865341186523</v>
      </c>
      <c r="BY1095" s="701">
        <v>739.11075782775879</v>
      </c>
      <c r="BZ1095" s="701">
        <v>721.52734565734863</v>
      </c>
      <c r="CA1095" s="701">
        <v>721.52734565734863</v>
      </c>
      <c r="CB1095" s="701">
        <v>655.30101203918457</v>
      </c>
      <c r="CC1095" s="701">
        <v>655.30101203918457</v>
      </c>
      <c r="CD1095" s="701">
        <v>475.61544799804687</v>
      </c>
      <c r="CE1095" s="701">
        <v>475.61544799804687</v>
      </c>
      <c r="CF1095" s="701">
        <v>475.61544799804687</v>
      </c>
      <c r="CG1095" s="701">
        <v>475.61544799804687</v>
      </c>
      <c r="CH1095" s="701">
        <v>0</v>
      </c>
      <c r="CI1095" s="701">
        <v>0</v>
      </c>
      <c r="CJ1095" s="701">
        <v>0</v>
      </c>
      <c r="CK1095" s="701">
        <v>0</v>
      </c>
      <c r="CL1095" s="701">
        <v>0</v>
      </c>
      <c r="CM1095" s="701">
        <v>0</v>
      </c>
      <c r="CN1095" s="701">
        <v>0</v>
      </c>
      <c r="CO1095" s="701">
        <v>0</v>
      </c>
      <c r="CP1095" s="701">
        <v>0</v>
      </c>
      <c r="CQ1095" s="701">
        <v>0</v>
      </c>
      <c r="CR1095" s="701">
        <v>0</v>
      </c>
    </row>
    <row r="1096" spans="1:96" s="53" customFormat="1">
      <c r="A1096" s="694" t="s">
        <v>3</v>
      </c>
      <c r="B1096" s="705">
        <v>41694</v>
      </c>
      <c r="C1096" s="694">
        <v>2014</v>
      </c>
      <c r="D1096" s="694" t="s">
        <v>657</v>
      </c>
      <c r="E1096" s="694" t="s">
        <v>657</v>
      </c>
      <c r="F1096" s="694" t="s">
        <v>17</v>
      </c>
      <c r="G1096" s="694" t="s">
        <v>656</v>
      </c>
      <c r="H1096" s="694" t="s">
        <v>5</v>
      </c>
      <c r="I1096" s="694" t="s">
        <v>655</v>
      </c>
      <c r="J1096" s="694">
        <v>3</v>
      </c>
      <c r="K1096" s="694" t="s">
        <v>654</v>
      </c>
      <c r="L1096" s="694" t="s">
        <v>653</v>
      </c>
      <c r="M1096" s="694">
        <v>14</v>
      </c>
      <c r="N1096" s="694">
        <v>9.9699999999999997E-2</v>
      </c>
      <c r="O1096" s="704">
        <v>856</v>
      </c>
      <c r="P1096" s="704">
        <v>8.8933993764033104E-2</v>
      </c>
      <c r="Q1096" s="704">
        <v>806.04359176393359</v>
      </c>
      <c r="R1096" s="704">
        <v>10242.812225341797</v>
      </c>
      <c r="S1096" s="704">
        <v>10242.812225341797</v>
      </c>
      <c r="T1096" s="704">
        <v>1612.0871887207031</v>
      </c>
      <c r="U1096" s="704">
        <v>8.8933990336954594E-2</v>
      </c>
      <c r="V1096" s="704">
        <v>0.94163972139358521</v>
      </c>
      <c r="W1096" s="703">
        <v>0.89201599359512329</v>
      </c>
      <c r="X1096" s="703">
        <v>0</v>
      </c>
      <c r="Y1096" s="703">
        <v>0</v>
      </c>
      <c r="Z1096" s="703"/>
      <c r="AA1096" s="703">
        <v>1</v>
      </c>
      <c r="AB1096" s="703">
        <v>0</v>
      </c>
      <c r="AC1096" s="703">
        <v>0</v>
      </c>
      <c r="AD1096" s="703"/>
      <c r="AE1096" s="703">
        <v>1</v>
      </c>
      <c r="AF1096" s="703"/>
      <c r="AG1096" s="694"/>
      <c r="AH1096" s="694"/>
      <c r="AI1096" s="694"/>
      <c r="AJ1096" s="694">
        <v>862</v>
      </c>
      <c r="AK1096" s="702" t="s">
        <v>7</v>
      </c>
      <c r="AL1096" s="694">
        <v>0</v>
      </c>
      <c r="AM1096" s="701">
        <v>0</v>
      </c>
      <c r="AN1096" s="701">
        <v>0</v>
      </c>
      <c r="AO1096" s="701"/>
      <c r="AP1096" s="701"/>
      <c r="AQ1096" s="701"/>
      <c r="AR1096" s="701"/>
      <c r="AS1096" s="701"/>
      <c r="AT1096" s="701"/>
      <c r="AU1096" s="701"/>
      <c r="AV1096" s="701">
        <v>8.8933990336954594E-2</v>
      </c>
      <c r="AW1096" s="701">
        <v>8.8933990336954594E-2</v>
      </c>
      <c r="AX1096" s="701">
        <v>8.8322393596172333E-2</v>
      </c>
      <c r="AY1096" s="701">
        <v>8.8016595225781202E-2</v>
      </c>
      <c r="AZ1096" s="701">
        <v>8.7710796855390072E-2</v>
      </c>
      <c r="BA1096" s="701">
        <v>8.7710796855390072E-2</v>
      </c>
      <c r="BB1096" s="701">
        <v>8.425857312977314E-2</v>
      </c>
      <c r="BC1096" s="701">
        <v>8.425857312977314E-2</v>
      </c>
      <c r="BD1096" s="701">
        <v>8.2099996507167816E-2</v>
      </c>
      <c r="BE1096" s="701">
        <v>8.2099996507167816E-2</v>
      </c>
      <c r="BF1096" s="701">
        <v>8.2099996507167816E-2</v>
      </c>
      <c r="BG1096" s="701">
        <v>8.2099996507167816E-2</v>
      </c>
      <c r="BH1096" s="701">
        <v>8.2099996507167816E-2</v>
      </c>
      <c r="BI1096" s="701">
        <v>8.2099996507167816E-2</v>
      </c>
      <c r="BJ1096" s="701">
        <v>0</v>
      </c>
      <c r="BK1096" s="701">
        <v>0</v>
      </c>
      <c r="BL1096" s="701">
        <v>0</v>
      </c>
      <c r="BM1096" s="701">
        <v>0</v>
      </c>
      <c r="BN1096" s="701">
        <v>0</v>
      </c>
      <c r="BO1096" s="701">
        <v>0</v>
      </c>
      <c r="BP1096" s="701">
        <v>0</v>
      </c>
      <c r="BQ1096" s="701">
        <v>0</v>
      </c>
      <c r="BR1096" s="701">
        <v>0</v>
      </c>
      <c r="BS1096" s="701"/>
      <c r="BT1096" s="701"/>
      <c r="BU1096" s="701"/>
      <c r="BV1096" s="701">
        <v>806.04359436035156</v>
      </c>
      <c r="BW1096" s="701">
        <v>806.04359436035156</v>
      </c>
      <c r="BX1096" s="701">
        <v>794.32132339477539</v>
      </c>
      <c r="BY1096" s="701">
        <v>788.46018981933594</v>
      </c>
      <c r="BZ1096" s="701">
        <v>782.59905242919922</v>
      </c>
      <c r="CA1096" s="701">
        <v>782.59905242919922</v>
      </c>
      <c r="CB1096" s="701">
        <v>716.37271881103516</v>
      </c>
      <c r="CC1096" s="701">
        <v>716.37271881103516</v>
      </c>
      <c r="CD1096" s="701">
        <v>675</v>
      </c>
      <c r="CE1096" s="701">
        <v>675</v>
      </c>
      <c r="CF1096" s="701">
        <v>675</v>
      </c>
      <c r="CG1096" s="701">
        <v>675</v>
      </c>
      <c r="CH1096" s="701">
        <v>675</v>
      </c>
      <c r="CI1096" s="701">
        <v>675</v>
      </c>
      <c r="CJ1096" s="701">
        <v>0</v>
      </c>
      <c r="CK1096" s="701">
        <v>0</v>
      </c>
      <c r="CL1096" s="701">
        <v>0</v>
      </c>
      <c r="CM1096" s="701">
        <v>0</v>
      </c>
      <c r="CN1096" s="701">
        <v>0</v>
      </c>
      <c r="CO1096" s="701">
        <v>0</v>
      </c>
      <c r="CP1096" s="701">
        <v>0</v>
      </c>
      <c r="CQ1096" s="701">
        <v>0</v>
      </c>
      <c r="CR1096" s="701">
        <v>0</v>
      </c>
    </row>
    <row r="1097" spans="1:96" s="53" customFormat="1">
      <c r="A1097" s="694" t="s">
        <v>3</v>
      </c>
      <c r="B1097" s="705">
        <v>41694</v>
      </c>
      <c r="C1097" s="694">
        <v>2014</v>
      </c>
      <c r="D1097" s="694" t="s">
        <v>657</v>
      </c>
      <c r="E1097" s="694" t="s">
        <v>657</v>
      </c>
      <c r="F1097" s="694" t="s">
        <v>17</v>
      </c>
      <c r="G1097" s="694" t="s">
        <v>658</v>
      </c>
      <c r="H1097" s="694" t="s">
        <v>5</v>
      </c>
      <c r="I1097" s="694" t="s">
        <v>655</v>
      </c>
      <c r="J1097" s="694">
        <v>6</v>
      </c>
      <c r="K1097" s="694" t="s">
        <v>654</v>
      </c>
      <c r="L1097" s="694" t="s">
        <v>653</v>
      </c>
      <c r="M1097" s="694">
        <v>20</v>
      </c>
      <c r="N1097" s="694">
        <v>1.6057000000000001</v>
      </c>
      <c r="O1097" s="704">
        <v>1329</v>
      </c>
      <c r="P1097" s="704">
        <v>0.15339607133609318</v>
      </c>
      <c r="Q1097" s="704">
        <v>1038.9989480477202</v>
      </c>
      <c r="R1097" s="704">
        <v>11867.863891601563</v>
      </c>
      <c r="S1097" s="704">
        <v>11867.863891601563</v>
      </c>
      <c r="T1097" s="704">
        <v>2077.0014495849609</v>
      </c>
      <c r="U1097" s="704">
        <v>0.1533449029084295</v>
      </c>
      <c r="V1097" s="704">
        <v>0.78179001808166504</v>
      </c>
      <c r="W1097" s="703">
        <v>9.5532208681106567E-2</v>
      </c>
      <c r="X1097" s="703">
        <v>0</v>
      </c>
      <c r="Y1097" s="703">
        <v>0</v>
      </c>
      <c r="Z1097" s="703"/>
      <c r="AA1097" s="703">
        <v>1</v>
      </c>
      <c r="AB1097" s="703">
        <v>0</v>
      </c>
      <c r="AC1097" s="703">
        <v>0</v>
      </c>
      <c r="AD1097" s="703"/>
      <c r="AE1097" s="703">
        <v>1</v>
      </c>
      <c r="AF1097" s="703"/>
      <c r="AG1097" s="694"/>
      <c r="AH1097" s="694"/>
      <c r="AI1097" s="694"/>
      <c r="AJ1097" s="694">
        <v>1022.6025269031525</v>
      </c>
      <c r="AK1097" s="702" t="s">
        <v>7</v>
      </c>
      <c r="AL1097" s="694">
        <v>0</v>
      </c>
      <c r="AM1097" s="701">
        <v>0</v>
      </c>
      <c r="AN1097" s="701">
        <v>0</v>
      </c>
      <c r="AO1097" s="701"/>
      <c r="AP1097" s="701"/>
      <c r="AQ1097" s="701"/>
      <c r="AR1097" s="701"/>
      <c r="AS1097" s="701"/>
      <c r="AT1097" s="701"/>
      <c r="AU1097" s="701"/>
      <c r="AV1097" s="701">
        <v>0.15339607186615467</v>
      </c>
      <c r="AW1097" s="701">
        <v>0.1533449029084295</v>
      </c>
      <c r="AX1097" s="701">
        <v>0.15048916405066848</v>
      </c>
      <c r="AY1097" s="701">
        <v>0.14926597056910396</v>
      </c>
      <c r="AZ1097" s="701">
        <v>0.14804277708753943</v>
      </c>
      <c r="BA1097" s="701">
        <v>0.14804277708753943</v>
      </c>
      <c r="BB1097" s="701">
        <v>0.1445905533619225</v>
      </c>
      <c r="BC1097" s="701">
        <v>0.1445905533619225</v>
      </c>
      <c r="BD1097" s="701">
        <v>0.13427498005330563</v>
      </c>
      <c r="BE1097" s="701">
        <v>0.13427498005330563</v>
      </c>
      <c r="BF1097" s="701">
        <v>9.9555091932415962E-2</v>
      </c>
      <c r="BG1097" s="701">
        <v>9.9555091932415962E-2</v>
      </c>
      <c r="BH1097" s="701">
        <v>9.9555091932415962E-2</v>
      </c>
      <c r="BI1097" s="701">
        <v>9.9555091932415962E-2</v>
      </c>
      <c r="BJ1097" s="701">
        <v>9.9555091932415962E-2</v>
      </c>
      <c r="BK1097" s="701">
        <v>7.626759260892868E-2</v>
      </c>
      <c r="BL1097" s="701">
        <v>7.626759260892868E-2</v>
      </c>
      <c r="BM1097" s="701">
        <v>7.626759260892868E-2</v>
      </c>
      <c r="BN1097" s="701">
        <v>7.626759260892868E-2</v>
      </c>
      <c r="BO1097" s="701">
        <v>7.626759260892868E-2</v>
      </c>
      <c r="BP1097" s="701">
        <v>0</v>
      </c>
      <c r="BQ1097" s="701">
        <v>0</v>
      </c>
      <c r="BR1097" s="701">
        <v>0</v>
      </c>
      <c r="BS1097" s="701"/>
      <c r="BT1097" s="701"/>
      <c r="BU1097" s="701"/>
      <c r="BV1097" s="701">
        <v>1038.998950958252</v>
      </c>
      <c r="BW1097" s="701">
        <v>1038.0025024414062</v>
      </c>
      <c r="BX1097" s="701">
        <v>983.14182662963867</v>
      </c>
      <c r="BY1097" s="701">
        <v>959.69729232788086</v>
      </c>
      <c r="BZ1097" s="701">
        <v>936.25274276733398</v>
      </c>
      <c r="CA1097" s="701">
        <v>936.25274276733398</v>
      </c>
      <c r="CB1097" s="701">
        <v>870.02640914916992</v>
      </c>
      <c r="CC1097" s="701">
        <v>870.02640914916992</v>
      </c>
      <c r="CD1097" s="701">
        <v>671.79507446289062</v>
      </c>
      <c r="CE1097" s="701">
        <v>671.79507446289062</v>
      </c>
      <c r="CF1097" s="701">
        <v>385.375</v>
      </c>
      <c r="CG1097" s="701">
        <v>385.375</v>
      </c>
      <c r="CH1097" s="701">
        <v>385.375</v>
      </c>
      <c r="CI1097" s="701">
        <v>385.375</v>
      </c>
      <c r="CJ1097" s="701">
        <v>385.375</v>
      </c>
      <c r="CK1097" s="701">
        <v>193</v>
      </c>
      <c r="CL1097" s="701">
        <v>193</v>
      </c>
      <c r="CM1097" s="701">
        <v>193</v>
      </c>
      <c r="CN1097" s="701">
        <v>193</v>
      </c>
      <c r="CO1097" s="701">
        <v>193</v>
      </c>
      <c r="CP1097" s="701">
        <v>0</v>
      </c>
      <c r="CQ1097" s="701">
        <v>0</v>
      </c>
      <c r="CR1097" s="701">
        <v>0</v>
      </c>
    </row>
    <row r="1098" spans="1:96" s="53" customFormat="1">
      <c r="A1098" s="694" t="s">
        <v>3</v>
      </c>
      <c r="B1098" s="705">
        <v>41661</v>
      </c>
      <c r="C1098" s="694">
        <v>2014</v>
      </c>
      <c r="D1098" s="694" t="s">
        <v>657</v>
      </c>
      <c r="E1098" s="694" t="s">
        <v>657</v>
      </c>
      <c r="F1098" s="694" t="s">
        <v>17</v>
      </c>
      <c r="G1098" s="694" t="s">
        <v>656</v>
      </c>
      <c r="H1098" s="694" t="s">
        <v>5</v>
      </c>
      <c r="I1098" s="694" t="s">
        <v>655</v>
      </c>
      <c r="J1098" s="694">
        <v>4</v>
      </c>
      <c r="K1098" s="694" t="s">
        <v>654</v>
      </c>
      <c r="L1098" s="694" t="s">
        <v>653</v>
      </c>
      <c r="M1098" s="694">
        <v>21</v>
      </c>
      <c r="N1098" s="694">
        <v>0.12079999999999999</v>
      </c>
      <c r="O1098" s="704">
        <v>1256</v>
      </c>
      <c r="P1098" s="704">
        <v>0.10264196994300775</v>
      </c>
      <c r="Q1098" s="704">
        <v>893.01938703723977</v>
      </c>
      <c r="R1098" s="704">
        <v>15111.313781738281</v>
      </c>
      <c r="S1098" s="704">
        <v>15111.313781738281</v>
      </c>
      <c r="T1098" s="704">
        <v>1784.0458755493164</v>
      </c>
      <c r="U1098" s="704">
        <v>0.10253963293507695</v>
      </c>
      <c r="V1098" s="704">
        <v>0.71100270748138428</v>
      </c>
      <c r="W1098" s="703">
        <v>0.8496851921081543</v>
      </c>
      <c r="X1098" s="703">
        <v>0</v>
      </c>
      <c r="Y1098" s="703">
        <v>0</v>
      </c>
      <c r="Z1098" s="703"/>
      <c r="AA1098" s="703">
        <v>1</v>
      </c>
      <c r="AB1098" s="703">
        <v>0</v>
      </c>
      <c r="AC1098" s="703">
        <v>0</v>
      </c>
      <c r="AD1098" s="703"/>
      <c r="AE1098" s="703">
        <v>1</v>
      </c>
      <c r="AF1098" s="703"/>
      <c r="AG1098" s="694"/>
      <c r="AH1098" s="694"/>
      <c r="AI1098" s="694"/>
      <c r="AJ1098" s="694">
        <v>783</v>
      </c>
      <c r="AK1098" s="702" t="s">
        <v>7</v>
      </c>
      <c r="AL1098" s="694">
        <v>0</v>
      </c>
      <c r="AM1098" s="701">
        <v>0</v>
      </c>
      <c r="AN1098" s="701">
        <v>0</v>
      </c>
      <c r="AO1098" s="701"/>
      <c r="AP1098" s="701"/>
      <c r="AQ1098" s="701"/>
      <c r="AR1098" s="701"/>
      <c r="AS1098" s="701"/>
      <c r="AT1098" s="701"/>
      <c r="AU1098" s="701"/>
      <c r="AV1098" s="701">
        <v>0.10264197085052729</v>
      </c>
      <c r="AW1098" s="701">
        <v>0.10253963293507695</v>
      </c>
      <c r="AX1098" s="701">
        <v>0.10049773566424847</v>
      </c>
      <c r="AY1098" s="701">
        <v>9.9886138923466206E-2</v>
      </c>
      <c r="AZ1098" s="701">
        <v>9.9274542182683945E-2</v>
      </c>
      <c r="BA1098" s="701">
        <v>9.9274542182683945E-2</v>
      </c>
      <c r="BB1098" s="701">
        <v>9.9274542182683945E-2</v>
      </c>
      <c r="BC1098" s="701">
        <v>9.9274542182683945E-2</v>
      </c>
      <c r="BD1098" s="701">
        <v>9.1594855301082134E-2</v>
      </c>
      <c r="BE1098" s="701">
        <v>9.1594855301082134E-2</v>
      </c>
      <c r="BF1098" s="701">
        <v>8.5900001227855682E-2</v>
      </c>
      <c r="BG1098" s="701">
        <v>8.5900001227855682E-2</v>
      </c>
      <c r="BH1098" s="701">
        <v>8.5900001227855682E-2</v>
      </c>
      <c r="BI1098" s="701">
        <v>8.5900001227855682E-2</v>
      </c>
      <c r="BJ1098" s="701">
        <v>8.5900001227855682E-2</v>
      </c>
      <c r="BK1098" s="701">
        <v>8.5900001227855682E-2</v>
      </c>
      <c r="BL1098" s="701">
        <v>8.5900001227855682E-2</v>
      </c>
      <c r="BM1098" s="701">
        <v>8.5900001227855682E-2</v>
      </c>
      <c r="BN1098" s="701">
        <v>8.5900001227855682E-2</v>
      </c>
      <c r="BO1098" s="701">
        <v>8.5900001227855682E-2</v>
      </c>
      <c r="BP1098" s="701">
        <v>8.5900001227855682E-2</v>
      </c>
      <c r="BQ1098" s="701">
        <v>0</v>
      </c>
      <c r="BR1098" s="701">
        <v>0</v>
      </c>
      <c r="BS1098" s="701"/>
      <c r="BT1098" s="701"/>
      <c r="BU1098" s="701"/>
      <c r="BV1098" s="701">
        <v>893.01939010620117</v>
      </c>
      <c r="BW1098" s="701">
        <v>891.02649307250977</v>
      </c>
      <c r="BX1098" s="701">
        <v>851.63876724243164</v>
      </c>
      <c r="BY1098" s="701">
        <v>839.91650009155273</v>
      </c>
      <c r="BZ1098" s="701">
        <v>828.1942253112793</v>
      </c>
      <c r="CA1098" s="701">
        <v>828.1942253112793</v>
      </c>
      <c r="CB1098" s="701">
        <v>828.1942253112793</v>
      </c>
      <c r="CC1098" s="701">
        <v>828.1942253112793</v>
      </c>
      <c r="CD1098" s="701">
        <v>679.96786880493164</v>
      </c>
      <c r="CE1098" s="701">
        <v>679.96786880493164</v>
      </c>
      <c r="CF1098" s="701">
        <v>633</v>
      </c>
      <c r="CG1098" s="701">
        <v>633</v>
      </c>
      <c r="CH1098" s="701">
        <v>633</v>
      </c>
      <c r="CI1098" s="701">
        <v>633</v>
      </c>
      <c r="CJ1098" s="701">
        <v>633</v>
      </c>
      <c r="CK1098" s="701">
        <v>633</v>
      </c>
      <c r="CL1098" s="701">
        <v>633</v>
      </c>
      <c r="CM1098" s="701">
        <v>633</v>
      </c>
      <c r="CN1098" s="701">
        <v>633</v>
      </c>
      <c r="CO1098" s="701">
        <v>633</v>
      </c>
      <c r="CP1098" s="701">
        <v>633</v>
      </c>
      <c r="CQ1098" s="701">
        <v>0</v>
      </c>
      <c r="CR1098" s="701">
        <v>0</v>
      </c>
    </row>
    <row r="1099" spans="1:96" s="53" customFormat="1">
      <c r="A1099" s="694" t="s">
        <v>3</v>
      </c>
      <c r="B1099" s="705">
        <v>41688</v>
      </c>
      <c r="C1099" s="694">
        <v>2014</v>
      </c>
      <c r="D1099" s="694" t="s">
        <v>657</v>
      </c>
      <c r="E1099" s="694" t="s">
        <v>657</v>
      </c>
      <c r="F1099" s="694" t="s">
        <v>17</v>
      </c>
      <c r="G1099" s="694" t="s">
        <v>658</v>
      </c>
      <c r="H1099" s="694" t="s">
        <v>5</v>
      </c>
      <c r="I1099" s="694" t="s">
        <v>655</v>
      </c>
      <c r="J1099" s="694">
        <v>6</v>
      </c>
      <c r="K1099" s="694" t="s">
        <v>654</v>
      </c>
      <c r="L1099" s="694" t="s">
        <v>653</v>
      </c>
      <c r="M1099" s="694">
        <v>20</v>
      </c>
      <c r="N1099" s="694">
        <v>9.724499999999999</v>
      </c>
      <c r="O1099" s="704">
        <v>2626</v>
      </c>
      <c r="P1099" s="704">
        <v>0.57027763416452404</v>
      </c>
      <c r="Q1099" s="704">
        <v>2244.6789865233359</v>
      </c>
      <c r="R1099" s="704">
        <v>32701.524871826172</v>
      </c>
      <c r="S1099" s="704">
        <v>32701.524871826172</v>
      </c>
      <c r="T1099" s="704">
        <v>4488.3615264892578</v>
      </c>
      <c r="U1099" s="704">
        <v>0.57022645394317806</v>
      </c>
      <c r="V1099" s="704">
        <v>0.85479015111923218</v>
      </c>
      <c r="W1099" s="703">
        <v>5.8643389493227005E-2</v>
      </c>
      <c r="X1099" s="703">
        <v>0</v>
      </c>
      <c r="Y1099" s="703">
        <v>0</v>
      </c>
      <c r="Z1099" s="703"/>
      <c r="AA1099" s="703">
        <v>1</v>
      </c>
      <c r="AB1099" s="703">
        <v>0</v>
      </c>
      <c r="AC1099" s="703">
        <v>0</v>
      </c>
      <c r="AD1099" s="703"/>
      <c r="AE1099" s="703">
        <v>1</v>
      </c>
      <c r="AF1099" s="703"/>
      <c r="AG1099" s="694"/>
      <c r="AH1099" s="694"/>
      <c r="AI1099" s="694"/>
      <c r="AJ1099" s="694">
        <v>2054.280029296875</v>
      </c>
      <c r="AK1099" s="702" t="s">
        <v>7</v>
      </c>
      <c r="AL1099" s="694">
        <v>0</v>
      </c>
      <c r="AM1099" s="701">
        <v>0</v>
      </c>
      <c r="AN1099" s="701">
        <v>0</v>
      </c>
      <c r="AO1099" s="701"/>
      <c r="AP1099" s="701"/>
      <c r="AQ1099" s="701"/>
      <c r="AR1099" s="701"/>
      <c r="AS1099" s="701"/>
      <c r="AT1099" s="701"/>
      <c r="AU1099" s="701"/>
      <c r="AV1099" s="701">
        <v>0.57027762290090322</v>
      </c>
      <c r="AW1099" s="701">
        <v>0.57022645394317806</v>
      </c>
      <c r="AX1099" s="701">
        <v>0.56706491718068719</v>
      </c>
      <c r="AY1099" s="701">
        <v>0.56568882381543517</v>
      </c>
      <c r="AZ1099" s="701">
        <v>0.56431273138150573</v>
      </c>
      <c r="BA1099" s="701">
        <v>0.56431273138150573</v>
      </c>
      <c r="BB1099" s="701">
        <v>0.55740828393027186</v>
      </c>
      <c r="BC1099" s="701">
        <v>0.55740828393027186</v>
      </c>
      <c r="BD1099" s="701">
        <v>0.54601342231035233</v>
      </c>
      <c r="BE1099" s="701">
        <v>0.54601342231035233</v>
      </c>
      <c r="BF1099" s="701">
        <v>0.476573646068573</v>
      </c>
      <c r="BG1099" s="701">
        <v>0.476573646068573</v>
      </c>
      <c r="BH1099" s="701">
        <v>0.476573646068573</v>
      </c>
      <c r="BI1099" s="701">
        <v>0.476573646068573</v>
      </c>
      <c r="BJ1099" s="701">
        <v>0.476573646068573</v>
      </c>
      <c r="BK1099" s="701">
        <v>0.476573646068573</v>
      </c>
      <c r="BL1099" s="701">
        <v>0.476573646068573</v>
      </c>
      <c r="BM1099" s="701">
        <v>0.476573646068573</v>
      </c>
      <c r="BN1099" s="701">
        <v>0.476573646068573</v>
      </c>
      <c r="BO1099" s="701">
        <v>0.476573646068573</v>
      </c>
      <c r="BP1099" s="701">
        <v>0</v>
      </c>
      <c r="BQ1099" s="701">
        <v>0</v>
      </c>
      <c r="BR1099" s="701">
        <v>0</v>
      </c>
      <c r="BS1099" s="701"/>
      <c r="BT1099" s="701"/>
      <c r="BU1099" s="701"/>
      <c r="BV1099" s="701">
        <v>2244.6789894104004</v>
      </c>
      <c r="BW1099" s="701">
        <v>2243.6825408935547</v>
      </c>
      <c r="BX1099" s="701">
        <v>2182.9607353210449</v>
      </c>
      <c r="BY1099" s="701">
        <v>2156.5856285095215</v>
      </c>
      <c r="BZ1099" s="701">
        <v>2130.210506439209</v>
      </c>
      <c r="CA1099" s="701">
        <v>2130.210506439209</v>
      </c>
      <c r="CB1099" s="701">
        <v>1997.7578392028809</v>
      </c>
      <c r="CC1099" s="701">
        <v>1997.7578392028809</v>
      </c>
      <c r="CD1099" s="701">
        <v>1778.8401489257812</v>
      </c>
      <c r="CE1099" s="701">
        <v>1778.8401489257812</v>
      </c>
      <c r="CF1099" s="701">
        <v>1206</v>
      </c>
      <c r="CG1099" s="701">
        <v>1206</v>
      </c>
      <c r="CH1099" s="701">
        <v>1206</v>
      </c>
      <c r="CI1099" s="701">
        <v>1206</v>
      </c>
      <c r="CJ1099" s="701">
        <v>1206</v>
      </c>
      <c r="CK1099" s="701">
        <v>1206</v>
      </c>
      <c r="CL1099" s="701">
        <v>1206</v>
      </c>
      <c r="CM1099" s="701">
        <v>1206</v>
      </c>
      <c r="CN1099" s="701">
        <v>1206</v>
      </c>
      <c r="CO1099" s="701">
        <v>1206</v>
      </c>
      <c r="CP1099" s="701">
        <v>0</v>
      </c>
      <c r="CQ1099" s="701">
        <v>0</v>
      </c>
      <c r="CR1099" s="701">
        <v>0</v>
      </c>
    </row>
    <row r="1100" spans="1:96" s="53" customFormat="1">
      <c r="A1100" s="694" t="s">
        <v>3</v>
      </c>
      <c r="B1100" s="705">
        <v>41715</v>
      </c>
      <c r="C1100" s="694">
        <v>2014</v>
      </c>
      <c r="D1100" s="694" t="s">
        <v>657</v>
      </c>
      <c r="E1100" s="694" t="s">
        <v>657</v>
      </c>
      <c r="F1100" s="694" t="s">
        <v>17</v>
      </c>
      <c r="G1100" s="694" t="s">
        <v>656</v>
      </c>
      <c r="H1100" s="694" t="s">
        <v>5</v>
      </c>
      <c r="I1100" s="694" t="s">
        <v>655</v>
      </c>
      <c r="J1100" s="694">
        <v>3</v>
      </c>
      <c r="K1100" s="694" t="s">
        <v>654</v>
      </c>
      <c r="L1100" s="694" t="s">
        <v>653</v>
      </c>
      <c r="M1100" s="694">
        <v>8</v>
      </c>
      <c r="N1100" s="694">
        <v>2.4300000000000002E-2</v>
      </c>
      <c r="O1100" s="704">
        <v>790</v>
      </c>
      <c r="P1100" s="704">
        <v>2.7279612220965099E-2</v>
      </c>
      <c r="Q1100" s="704">
        <v>525.30162375908003</v>
      </c>
      <c r="R1100" s="704">
        <v>3229.3118591308594</v>
      </c>
      <c r="S1100" s="704">
        <v>3229.3118591308594</v>
      </c>
      <c r="T1100" s="704">
        <v>1029.3523406982422</v>
      </c>
      <c r="U1100" s="704">
        <v>2.6179209351539612E-2</v>
      </c>
      <c r="V1100" s="704">
        <v>0.66493874788284302</v>
      </c>
      <c r="W1100" s="703">
        <v>1.1226178407669067</v>
      </c>
      <c r="X1100" s="703">
        <v>0</v>
      </c>
      <c r="Y1100" s="703">
        <v>0</v>
      </c>
      <c r="Z1100" s="703"/>
      <c r="AA1100" s="703">
        <v>1</v>
      </c>
      <c r="AB1100" s="703">
        <v>0</v>
      </c>
      <c r="AC1100" s="703">
        <v>0</v>
      </c>
      <c r="AD1100" s="703"/>
      <c r="AE1100" s="703">
        <v>1</v>
      </c>
      <c r="AF1100" s="703"/>
      <c r="AG1100" s="694"/>
      <c r="AH1100" s="694"/>
      <c r="AI1100" s="694"/>
      <c r="AJ1100" s="694">
        <v>246</v>
      </c>
      <c r="AK1100" s="702" t="s">
        <v>7</v>
      </c>
      <c r="AL1100" s="694">
        <v>0</v>
      </c>
      <c r="AM1100" s="701">
        <v>0</v>
      </c>
      <c r="AN1100" s="701">
        <v>0</v>
      </c>
      <c r="AO1100" s="701"/>
      <c r="AP1100" s="701"/>
      <c r="AQ1100" s="701"/>
      <c r="AR1100" s="701"/>
      <c r="AS1100" s="701"/>
      <c r="AT1100" s="701"/>
      <c r="AU1100" s="701"/>
      <c r="AV1100" s="701">
        <v>2.7279612142592669E-2</v>
      </c>
      <c r="AW1100" s="701">
        <v>2.6179209351539612E-2</v>
      </c>
      <c r="AX1100" s="701">
        <v>2.1656446391716599E-2</v>
      </c>
      <c r="AY1100" s="701">
        <v>1.9732915097847581E-2</v>
      </c>
      <c r="AZ1100" s="701">
        <v>1.8203922780230641E-2</v>
      </c>
      <c r="BA1100" s="701">
        <v>1.8203922780230641E-2</v>
      </c>
      <c r="BB1100" s="701">
        <v>1.8203922780230641E-2</v>
      </c>
      <c r="BC1100" s="701">
        <v>1.8203922780230641E-2</v>
      </c>
      <c r="BD1100" s="701">
        <v>0</v>
      </c>
      <c r="BE1100" s="701">
        <v>0</v>
      </c>
      <c r="BF1100" s="701">
        <v>0</v>
      </c>
      <c r="BG1100" s="701">
        <v>0</v>
      </c>
      <c r="BH1100" s="701">
        <v>0</v>
      </c>
      <c r="BI1100" s="701">
        <v>0</v>
      </c>
      <c r="BJ1100" s="701">
        <v>0</v>
      </c>
      <c r="BK1100" s="701">
        <v>0</v>
      </c>
      <c r="BL1100" s="701">
        <v>0</v>
      </c>
      <c r="BM1100" s="701">
        <v>0</v>
      </c>
      <c r="BN1100" s="701">
        <v>0</v>
      </c>
      <c r="BO1100" s="701">
        <v>0</v>
      </c>
      <c r="BP1100" s="701">
        <v>0</v>
      </c>
      <c r="BQ1100" s="701">
        <v>0</v>
      </c>
      <c r="BR1100" s="701">
        <v>0</v>
      </c>
      <c r="BS1100" s="701"/>
      <c r="BT1100" s="701"/>
      <c r="BU1100" s="701"/>
      <c r="BV1100" s="701">
        <v>525.30162811279297</v>
      </c>
      <c r="BW1100" s="701">
        <v>504.05072021484375</v>
      </c>
      <c r="BX1100" s="701">
        <v>416.95920562744141</v>
      </c>
      <c r="BY1100" s="701">
        <v>380.04455947875977</v>
      </c>
      <c r="BZ1100" s="701">
        <v>350.7388801574707</v>
      </c>
      <c r="CA1100" s="701">
        <v>350.7388801574707</v>
      </c>
      <c r="CB1100" s="701">
        <v>350.7388801574707</v>
      </c>
      <c r="CC1100" s="701">
        <v>350.7388801574707</v>
      </c>
      <c r="CD1100" s="701">
        <v>0</v>
      </c>
      <c r="CE1100" s="701">
        <v>0</v>
      </c>
      <c r="CF1100" s="701">
        <v>0</v>
      </c>
      <c r="CG1100" s="701">
        <v>0</v>
      </c>
      <c r="CH1100" s="701">
        <v>0</v>
      </c>
      <c r="CI1100" s="701">
        <v>0</v>
      </c>
      <c r="CJ1100" s="701">
        <v>0</v>
      </c>
      <c r="CK1100" s="701">
        <v>0</v>
      </c>
      <c r="CL1100" s="701">
        <v>0</v>
      </c>
      <c r="CM1100" s="701">
        <v>0</v>
      </c>
      <c r="CN1100" s="701">
        <v>0</v>
      </c>
      <c r="CO1100" s="701">
        <v>0</v>
      </c>
      <c r="CP1100" s="701">
        <v>0</v>
      </c>
      <c r="CQ1100" s="701">
        <v>0</v>
      </c>
      <c r="CR1100" s="701">
        <v>0</v>
      </c>
    </row>
    <row r="1101" spans="1:96" s="53" customFormat="1">
      <c r="A1101" s="694" t="s">
        <v>3</v>
      </c>
      <c r="B1101" s="705">
        <v>41656</v>
      </c>
      <c r="C1101" s="694">
        <v>2014</v>
      </c>
      <c r="D1101" s="694" t="s">
        <v>657</v>
      </c>
      <c r="E1101" s="694" t="s">
        <v>657</v>
      </c>
      <c r="F1101" s="694" t="s">
        <v>17</v>
      </c>
      <c r="G1101" s="694" t="s">
        <v>658</v>
      </c>
      <c r="H1101" s="694" t="s">
        <v>5</v>
      </c>
      <c r="I1101" s="694" t="s">
        <v>655</v>
      </c>
      <c r="J1101" s="694">
        <v>5</v>
      </c>
      <c r="K1101" s="694" t="s">
        <v>654</v>
      </c>
      <c r="L1101" s="694" t="s">
        <v>653</v>
      </c>
      <c r="M1101" s="694">
        <v>20</v>
      </c>
      <c r="N1101" s="694">
        <v>1.6283000000000001</v>
      </c>
      <c r="O1101" s="704">
        <v>1695</v>
      </c>
      <c r="P1101" s="704">
        <v>0.17267169558331885</v>
      </c>
      <c r="Q1101" s="704">
        <v>1320.9241166649726</v>
      </c>
      <c r="R1101" s="704">
        <v>15176.651123046875</v>
      </c>
      <c r="S1101" s="704">
        <v>15176.651123046875</v>
      </c>
      <c r="T1101" s="704">
        <v>2641.8482360839844</v>
      </c>
      <c r="U1101" s="704">
        <v>0.17267169337719679</v>
      </c>
      <c r="V1101" s="704">
        <v>0.77930629253387451</v>
      </c>
      <c r="W1101" s="703">
        <v>0.10604415088891983</v>
      </c>
      <c r="X1101" s="703">
        <v>0</v>
      </c>
      <c r="Y1101" s="703">
        <v>0</v>
      </c>
      <c r="Z1101" s="703"/>
      <c r="AA1101" s="703">
        <v>1</v>
      </c>
      <c r="AB1101" s="703">
        <v>0</v>
      </c>
      <c r="AC1101" s="703">
        <v>0</v>
      </c>
      <c r="AD1101" s="703"/>
      <c r="AE1101" s="703">
        <v>1</v>
      </c>
      <c r="AF1101" s="703"/>
      <c r="AG1101" s="694"/>
      <c r="AH1101" s="694"/>
      <c r="AI1101" s="694"/>
      <c r="AJ1101" s="694">
        <v>956.29248654842377</v>
      </c>
      <c r="AK1101" s="702" t="s">
        <v>7</v>
      </c>
      <c r="AL1101" s="694">
        <v>0</v>
      </c>
      <c r="AM1101" s="701">
        <v>0</v>
      </c>
      <c r="AN1101" s="701">
        <v>0</v>
      </c>
      <c r="AO1101" s="701"/>
      <c r="AP1101" s="701"/>
      <c r="AQ1101" s="701"/>
      <c r="AR1101" s="701"/>
      <c r="AS1101" s="701"/>
      <c r="AT1101" s="701"/>
      <c r="AU1101" s="701"/>
      <c r="AV1101" s="701">
        <v>0.17267169337719679</v>
      </c>
      <c r="AW1101" s="701">
        <v>0.17267169337719679</v>
      </c>
      <c r="AX1101" s="701">
        <v>0.16716732364147902</v>
      </c>
      <c r="AY1101" s="701">
        <v>0.16441513691097498</v>
      </c>
      <c r="AZ1101" s="701">
        <v>0.16166295204311609</v>
      </c>
      <c r="BA1101" s="701">
        <v>0.16166295204311609</v>
      </c>
      <c r="BB1101" s="701">
        <v>0.16166295204311609</v>
      </c>
      <c r="BC1101" s="701">
        <v>0.16166295204311609</v>
      </c>
      <c r="BD1101" s="701">
        <v>0.14223576243966818</v>
      </c>
      <c r="BE1101" s="701">
        <v>0.14223576243966818</v>
      </c>
      <c r="BF1101" s="701">
        <v>0.13225509040057659</v>
      </c>
      <c r="BG1101" s="701">
        <v>0.13225509040057659</v>
      </c>
      <c r="BH1101" s="701">
        <v>0.13225509040057659</v>
      </c>
      <c r="BI1101" s="701">
        <v>0.13225509040057659</v>
      </c>
      <c r="BJ1101" s="701">
        <v>0.13225509040057659</v>
      </c>
      <c r="BK1101" s="701">
        <v>7.626759260892868E-2</v>
      </c>
      <c r="BL1101" s="701">
        <v>7.626759260892868E-2</v>
      </c>
      <c r="BM1101" s="701">
        <v>7.626759260892868E-2</v>
      </c>
      <c r="BN1101" s="701">
        <v>7.626759260892868E-2</v>
      </c>
      <c r="BO1101" s="701">
        <v>7.626759260892868E-2</v>
      </c>
      <c r="BP1101" s="701">
        <v>0</v>
      </c>
      <c r="BQ1101" s="701">
        <v>0</v>
      </c>
      <c r="BR1101" s="701">
        <v>0</v>
      </c>
      <c r="BS1101" s="701"/>
      <c r="BT1101" s="701"/>
      <c r="BU1101" s="701"/>
      <c r="BV1101" s="701">
        <v>1320.9241180419922</v>
      </c>
      <c r="BW1101" s="701">
        <v>1320.9241180419922</v>
      </c>
      <c r="BX1101" s="701">
        <v>1215.4236907958984</v>
      </c>
      <c r="BY1101" s="701">
        <v>1162.6734771728516</v>
      </c>
      <c r="BZ1101" s="701">
        <v>1109.9232330322266</v>
      </c>
      <c r="CA1101" s="701">
        <v>1109.9232330322266</v>
      </c>
      <c r="CB1101" s="701">
        <v>1109.9232330322266</v>
      </c>
      <c r="CC1101" s="701">
        <v>1109.9232330322266</v>
      </c>
      <c r="CD1101" s="701">
        <v>737.56877136230469</v>
      </c>
      <c r="CE1101" s="701">
        <v>737.56877136230469</v>
      </c>
      <c r="CF1101" s="701">
        <v>655.375</v>
      </c>
      <c r="CG1101" s="701">
        <v>655.375</v>
      </c>
      <c r="CH1101" s="701">
        <v>655.375</v>
      </c>
      <c r="CI1101" s="701">
        <v>655.375</v>
      </c>
      <c r="CJ1101" s="701">
        <v>655.375</v>
      </c>
      <c r="CK1101" s="701">
        <v>193</v>
      </c>
      <c r="CL1101" s="701">
        <v>193</v>
      </c>
      <c r="CM1101" s="701">
        <v>193</v>
      </c>
      <c r="CN1101" s="701">
        <v>193</v>
      </c>
      <c r="CO1101" s="701">
        <v>193</v>
      </c>
      <c r="CP1101" s="701">
        <v>0</v>
      </c>
      <c r="CQ1101" s="701">
        <v>0</v>
      </c>
      <c r="CR1101" s="701">
        <v>0</v>
      </c>
    </row>
    <row r="1102" spans="1:96" s="53" customFormat="1">
      <c r="A1102" s="694" t="s">
        <v>3</v>
      </c>
      <c r="B1102" s="705">
        <v>41655</v>
      </c>
      <c r="C1102" s="694">
        <v>2014</v>
      </c>
      <c r="D1102" s="694" t="s">
        <v>657</v>
      </c>
      <c r="E1102" s="694" t="s">
        <v>657</v>
      </c>
      <c r="F1102" s="694" t="s">
        <v>17</v>
      </c>
      <c r="G1102" s="694" t="s">
        <v>658</v>
      </c>
      <c r="H1102" s="694" t="s">
        <v>5</v>
      </c>
      <c r="I1102" s="694" t="s">
        <v>655</v>
      </c>
      <c r="J1102" s="694">
        <v>5</v>
      </c>
      <c r="K1102" s="694" t="s">
        <v>654</v>
      </c>
      <c r="L1102" s="694" t="s">
        <v>653</v>
      </c>
      <c r="M1102" s="694">
        <v>20</v>
      </c>
      <c r="N1102" s="694">
        <v>1.5839000000000001</v>
      </c>
      <c r="O1102" s="704">
        <v>1100</v>
      </c>
      <c r="P1102" s="704">
        <v>0.12717918650991081</v>
      </c>
      <c r="Q1102" s="704">
        <v>872.56739397581237</v>
      </c>
      <c r="R1102" s="704">
        <v>9996.6460876464844</v>
      </c>
      <c r="S1102" s="704">
        <v>9996.6460876464844</v>
      </c>
      <c r="T1102" s="704">
        <v>1745.1347961425781</v>
      </c>
      <c r="U1102" s="704">
        <v>0.12717918679118156</v>
      </c>
      <c r="V1102" s="704">
        <v>0.79324311017990112</v>
      </c>
      <c r="W1102" s="703">
        <v>8.0294959247112274E-2</v>
      </c>
      <c r="X1102" s="703">
        <v>0</v>
      </c>
      <c r="Y1102" s="703">
        <v>0</v>
      </c>
      <c r="Z1102" s="703"/>
      <c r="AA1102" s="703">
        <v>1</v>
      </c>
      <c r="AB1102" s="703">
        <v>0</v>
      </c>
      <c r="AC1102" s="703">
        <v>0</v>
      </c>
      <c r="AD1102" s="703"/>
      <c r="AE1102" s="703">
        <v>1</v>
      </c>
      <c r="AF1102" s="703"/>
      <c r="AG1102" s="694"/>
      <c r="AH1102" s="694"/>
      <c r="AI1102" s="694"/>
      <c r="AJ1102" s="694">
        <v>873.65000003576279</v>
      </c>
      <c r="AK1102" s="702" t="s">
        <v>7</v>
      </c>
      <c r="AL1102" s="694">
        <v>0</v>
      </c>
      <c r="AM1102" s="701">
        <v>0</v>
      </c>
      <c r="AN1102" s="701">
        <v>0</v>
      </c>
      <c r="AO1102" s="701"/>
      <c r="AP1102" s="701"/>
      <c r="AQ1102" s="701"/>
      <c r="AR1102" s="701"/>
      <c r="AS1102" s="701"/>
      <c r="AT1102" s="701"/>
      <c r="AU1102" s="701"/>
      <c r="AV1102" s="701">
        <v>0.12717918679118156</v>
      </c>
      <c r="AW1102" s="701">
        <v>0.12717918679118156</v>
      </c>
      <c r="AX1102" s="701">
        <v>0.123509606346488</v>
      </c>
      <c r="AY1102" s="701">
        <v>0.12167481612414122</v>
      </c>
      <c r="AZ1102" s="701">
        <v>0.11984002590179443</v>
      </c>
      <c r="BA1102" s="701">
        <v>0.11984002590179443</v>
      </c>
      <c r="BB1102" s="701">
        <v>0.1163878021761775</v>
      </c>
      <c r="BC1102" s="701">
        <v>0.1163878021761775</v>
      </c>
      <c r="BD1102" s="701">
        <v>0.10343634244054556</v>
      </c>
      <c r="BE1102" s="701">
        <v>0.10343634244054556</v>
      </c>
      <c r="BF1102" s="701">
        <v>0.10343634244054556</v>
      </c>
      <c r="BG1102" s="701">
        <v>0.10343634244054556</v>
      </c>
      <c r="BH1102" s="701">
        <v>0.10343634244054556</v>
      </c>
      <c r="BI1102" s="701">
        <v>0.10343634244054556</v>
      </c>
      <c r="BJ1102" s="701">
        <v>0.10343634244054556</v>
      </c>
      <c r="BK1102" s="701">
        <v>7.626759260892868E-2</v>
      </c>
      <c r="BL1102" s="701">
        <v>7.626759260892868E-2</v>
      </c>
      <c r="BM1102" s="701">
        <v>7.626759260892868E-2</v>
      </c>
      <c r="BN1102" s="701">
        <v>7.626759260892868E-2</v>
      </c>
      <c r="BO1102" s="701">
        <v>7.626759260892868E-2</v>
      </c>
      <c r="BP1102" s="701">
        <v>0</v>
      </c>
      <c r="BQ1102" s="701">
        <v>0</v>
      </c>
      <c r="BR1102" s="701">
        <v>0</v>
      </c>
      <c r="BS1102" s="701"/>
      <c r="BT1102" s="701"/>
      <c r="BU1102" s="701"/>
      <c r="BV1102" s="701">
        <v>872.56739807128906</v>
      </c>
      <c r="BW1102" s="701">
        <v>872.56739807128906</v>
      </c>
      <c r="BX1102" s="701">
        <v>802.23377990722656</v>
      </c>
      <c r="BY1102" s="701">
        <v>767.06697082519531</v>
      </c>
      <c r="BZ1102" s="701">
        <v>731.900146484375</v>
      </c>
      <c r="CA1102" s="701">
        <v>731.900146484375</v>
      </c>
      <c r="CB1102" s="701">
        <v>665.67381286621094</v>
      </c>
      <c r="CC1102" s="701">
        <v>665.67381286621094</v>
      </c>
      <c r="CD1102" s="701">
        <v>417.4375</v>
      </c>
      <c r="CE1102" s="701">
        <v>417.4375</v>
      </c>
      <c r="CF1102" s="701">
        <v>417.4375</v>
      </c>
      <c r="CG1102" s="701">
        <v>417.4375</v>
      </c>
      <c r="CH1102" s="701">
        <v>417.4375</v>
      </c>
      <c r="CI1102" s="701">
        <v>417.4375</v>
      </c>
      <c r="CJ1102" s="701">
        <v>417.4375</v>
      </c>
      <c r="CK1102" s="701">
        <v>193</v>
      </c>
      <c r="CL1102" s="701">
        <v>193</v>
      </c>
      <c r="CM1102" s="701">
        <v>193</v>
      </c>
      <c r="CN1102" s="701">
        <v>193</v>
      </c>
      <c r="CO1102" s="701">
        <v>193</v>
      </c>
      <c r="CP1102" s="701">
        <v>0</v>
      </c>
      <c r="CQ1102" s="701">
        <v>0</v>
      </c>
      <c r="CR1102" s="701">
        <v>0</v>
      </c>
    </row>
    <row r="1103" spans="1:96" s="53" customFormat="1">
      <c r="A1103" s="694" t="s">
        <v>3</v>
      </c>
      <c r="B1103" s="705">
        <v>41744</v>
      </c>
      <c r="C1103" s="694">
        <v>2014</v>
      </c>
      <c r="D1103" s="694" t="s">
        <v>657</v>
      </c>
      <c r="E1103" s="694" t="s">
        <v>657</v>
      </c>
      <c r="F1103" s="694" t="s">
        <v>17</v>
      </c>
      <c r="G1103" s="694" t="s">
        <v>656</v>
      </c>
      <c r="H1103" s="694" t="s">
        <v>5</v>
      </c>
      <c r="I1103" s="694" t="s">
        <v>655</v>
      </c>
      <c r="J1103" s="694">
        <v>2</v>
      </c>
      <c r="K1103" s="694" t="s">
        <v>654</v>
      </c>
      <c r="L1103" s="694" t="s">
        <v>653</v>
      </c>
      <c r="M1103" s="694">
        <v>8</v>
      </c>
      <c r="N1103" s="694">
        <v>1.4E-2</v>
      </c>
      <c r="O1103" s="704">
        <v>458</v>
      </c>
      <c r="P1103" s="704">
        <v>1.6838397006225872E-2</v>
      </c>
      <c r="Q1103" s="704">
        <v>322.67723133269669</v>
      </c>
      <c r="R1103" s="704">
        <v>2027.5406646728516</v>
      </c>
      <c r="S1103" s="704">
        <v>2027.5406646728516</v>
      </c>
      <c r="T1103" s="704">
        <v>645.35446548461914</v>
      </c>
      <c r="U1103" s="704">
        <v>1.6838397015817463E-2</v>
      </c>
      <c r="V1103" s="704">
        <v>0.70453542470932007</v>
      </c>
      <c r="W1103" s="703">
        <v>1.2027426958084106</v>
      </c>
      <c r="X1103" s="703">
        <v>0</v>
      </c>
      <c r="Y1103" s="703">
        <v>0</v>
      </c>
      <c r="Z1103" s="703"/>
      <c r="AA1103" s="703">
        <v>1</v>
      </c>
      <c r="AB1103" s="703">
        <v>0</v>
      </c>
      <c r="AC1103" s="703">
        <v>0</v>
      </c>
      <c r="AD1103" s="703"/>
      <c r="AE1103" s="703">
        <v>1</v>
      </c>
      <c r="AF1103" s="703"/>
      <c r="AG1103" s="694"/>
      <c r="AH1103" s="694"/>
      <c r="AI1103" s="694"/>
      <c r="AJ1103" s="694">
        <v>226</v>
      </c>
      <c r="AK1103" s="702" t="s">
        <v>7</v>
      </c>
      <c r="AL1103" s="694">
        <v>0</v>
      </c>
      <c r="AM1103" s="701">
        <v>0</v>
      </c>
      <c r="AN1103" s="701">
        <v>0</v>
      </c>
      <c r="AO1103" s="701"/>
      <c r="AP1103" s="701"/>
      <c r="AQ1103" s="701"/>
      <c r="AR1103" s="701"/>
      <c r="AS1103" s="701"/>
      <c r="AT1103" s="701"/>
      <c r="AU1103" s="701"/>
      <c r="AV1103" s="701">
        <v>1.6838397015817463E-2</v>
      </c>
      <c r="AW1103" s="701">
        <v>1.6838397015817463E-2</v>
      </c>
      <c r="AX1103" s="701">
        <v>1.4086212147958577E-2</v>
      </c>
      <c r="AY1103" s="701">
        <v>1.2710118782706559E-2</v>
      </c>
      <c r="AZ1103" s="701">
        <v>1.1334026348777115E-2</v>
      </c>
      <c r="BA1103" s="701">
        <v>1.1334026348777115E-2</v>
      </c>
      <c r="BB1103" s="701">
        <v>1.1334026348777115E-2</v>
      </c>
      <c r="BC1103" s="701">
        <v>1.1334026348777115E-2</v>
      </c>
      <c r="BD1103" s="701">
        <v>0</v>
      </c>
      <c r="BE1103" s="701">
        <v>0</v>
      </c>
      <c r="BF1103" s="701">
        <v>0</v>
      </c>
      <c r="BG1103" s="701">
        <v>0</v>
      </c>
      <c r="BH1103" s="701">
        <v>0</v>
      </c>
      <c r="BI1103" s="701">
        <v>0</v>
      </c>
      <c r="BJ1103" s="701">
        <v>0</v>
      </c>
      <c r="BK1103" s="701">
        <v>0</v>
      </c>
      <c r="BL1103" s="701">
        <v>0</v>
      </c>
      <c r="BM1103" s="701">
        <v>0</v>
      </c>
      <c r="BN1103" s="701">
        <v>0</v>
      </c>
      <c r="BO1103" s="701">
        <v>0</v>
      </c>
      <c r="BP1103" s="701">
        <v>0</v>
      </c>
      <c r="BQ1103" s="701">
        <v>0</v>
      </c>
      <c r="BR1103" s="701">
        <v>0</v>
      </c>
      <c r="BS1103" s="701"/>
      <c r="BT1103" s="701"/>
      <c r="BU1103" s="701"/>
      <c r="BV1103" s="701">
        <v>322.67723274230957</v>
      </c>
      <c r="BW1103" s="701">
        <v>322.67723274230957</v>
      </c>
      <c r="BX1103" s="701">
        <v>269.9270191192627</v>
      </c>
      <c r="BY1103" s="701">
        <v>243.55191230773926</v>
      </c>
      <c r="BZ1103" s="701">
        <v>217.17679023742676</v>
      </c>
      <c r="CA1103" s="701">
        <v>217.17679023742676</v>
      </c>
      <c r="CB1103" s="701">
        <v>217.17679023742676</v>
      </c>
      <c r="CC1103" s="701">
        <v>217.17679023742676</v>
      </c>
      <c r="CD1103" s="701">
        <v>0</v>
      </c>
      <c r="CE1103" s="701">
        <v>0</v>
      </c>
      <c r="CF1103" s="701">
        <v>0</v>
      </c>
      <c r="CG1103" s="701">
        <v>0</v>
      </c>
      <c r="CH1103" s="701">
        <v>0</v>
      </c>
      <c r="CI1103" s="701">
        <v>0</v>
      </c>
      <c r="CJ1103" s="701">
        <v>0</v>
      </c>
      <c r="CK1103" s="701">
        <v>0</v>
      </c>
      <c r="CL1103" s="701">
        <v>0</v>
      </c>
      <c r="CM1103" s="701">
        <v>0</v>
      </c>
      <c r="CN1103" s="701">
        <v>0</v>
      </c>
      <c r="CO1103" s="701">
        <v>0</v>
      </c>
      <c r="CP1103" s="701">
        <v>0</v>
      </c>
      <c r="CQ1103" s="701">
        <v>0</v>
      </c>
      <c r="CR1103" s="701">
        <v>0</v>
      </c>
    </row>
    <row r="1104" spans="1:96" s="53" customFormat="1">
      <c r="A1104" s="694" t="s">
        <v>3</v>
      </c>
      <c r="B1104" s="705">
        <v>41711</v>
      </c>
      <c r="C1104" s="694">
        <v>2014</v>
      </c>
      <c r="D1104" s="694" t="s">
        <v>657</v>
      </c>
      <c r="E1104" s="694" t="s">
        <v>657</v>
      </c>
      <c r="F1104" s="694" t="s">
        <v>17</v>
      </c>
      <c r="G1104" s="694" t="s">
        <v>656</v>
      </c>
      <c r="H1104" s="694" t="s">
        <v>5</v>
      </c>
      <c r="I1104" s="694" t="s">
        <v>655</v>
      </c>
      <c r="J1104" s="694">
        <v>5</v>
      </c>
      <c r="K1104" s="694" t="s">
        <v>654</v>
      </c>
      <c r="L1104" s="694" t="s">
        <v>653</v>
      </c>
      <c r="M1104" s="694">
        <v>15</v>
      </c>
      <c r="N1104" s="694">
        <v>6.0600000000000001E-2</v>
      </c>
      <c r="O1104" s="704">
        <v>1080</v>
      </c>
      <c r="P1104" s="704">
        <v>5.4175061025702576E-2</v>
      </c>
      <c r="Q1104" s="704">
        <v>638.26311099857162</v>
      </c>
      <c r="R1104" s="704">
        <v>6377.489990234375</v>
      </c>
      <c r="S1104" s="704">
        <v>6377.489990234375</v>
      </c>
      <c r="T1104" s="704">
        <v>1275.5297775268555</v>
      </c>
      <c r="U1104" s="704">
        <v>5.4123892216011882E-2</v>
      </c>
      <c r="V1104" s="704">
        <v>0.59098434448242188</v>
      </c>
      <c r="W1104" s="703">
        <v>0.89397788047790527</v>
      </c>
      <c r="X1104" s="703">
        <v>0</v>
      </c>
      <c r="Y1104" s="703">
        <v>0</v>
      </c>
      <c r="Z1104" s="703"/>
      <c r="AA1104" s="703">
        <v>1</v>
      </c>
      <c r="AB1104" s="703">
        <v>0</v>
      </c>
      <c r="AC1104" s="703">
        <v>0</v>
      </c>
      <c r="AD1104" s="703"/>
      <c r="AE1104" s="703">
        <v>1</v>
      </c>
      <c r="AF1104" s="703"/>
      <c r="AG1104" s="694"/>
      <c r="AH1104" s="694"/>
      <c r="AI1104" s="694"/>
      <c r="AJ1104" s="694">
        <v>241.60000002384186</v>
      </c>
      <c r="AK1104" s="702" t="s">
        <v>7</v>
      </c>
      <c r="AL1104" s="694">
        <v>0</v>
      </c>
      <c r="AM1104" s="701">
        <v>0</v>
      </c>
      <c r="AN1104" s="701">
        <v>0</v>
      </c>
      <c r="AO1104" s="701"/>
      <c r="AP1104" s="701"/>
      <c r="AQ1104" s="701"/>
      <c r="AR1104" s="701"/>
      <c r="AS1104" s="701"/>
      <c r="AT1104" s="701"/>
      <c r="AU1104" s="701"/>
      <c r="AV1104" s="701">
        <v>5.4175061173737049E-2</v>
      </c>
      <c r="AW1104" s="701">
        <v>5.4123892216011882E-2</v>
      </c>
      <c r="AX1104" s="701">
        <v>5.1573952194303274E-2</v>
      </c>
      <c r="AY1104" s="701">
        <v>5.0503657665103674E-2</v>
      </c>
      <c r="AZ1104" s="701">
        <v>4.9433363135904074E-2</v>
      </c>
      <c r="BA1104" s="701">
        <v>4.9433363135904074E-2</v>
      </c>
      <c r="BB1104" s="701">
        <v>4.5981139410287142E-2</v>
      </c>
      <c r="BC1104" s="701">
        <v>4.5981139410287142E-2</v>
      </c>
      <c r="BD1104" s="701">
        <v>3.6744854412972927E-2</v>
      </c>
      <c r="BE1104" s="701">
        <v>3.6744854412972927E-2</v>
      </c>
      <c r="BF1104" s="701">
        <v>3.1050000339746475E-2</v>
      </c>
      <c r="BG1104" s="701">
        <v>3.1050000339746475E-2</v>
      </c>
      <c r="BH1104" s="701">
        <v>3.1050000339746475E-2</v>
      </c>
      <c r="BI1104" s="701">
        <v>3.1050000339746475E-2</v>
      </c>
      <c r="BJ1104" s="701">
        <v>3.1050000339746475E-2</v>
      </c>
      <c r="BK1104" s="701">
        <v>0</v>
      </c>
      <c r="BL1104" s="701">
        <v>0</v>
      </c>
      <c r="BM1104" s="701">
        <v>0</v>
      </c>
      <c r="BN1104" s="701">
        <v>0</v>
      </c>
      <c r="BO1104" s="701">
        <v>0</v>
      </c>
      <c r="BP1104" s="701">
        <v>0</v>
      </c>
      <c r="BQ1104" s="701">
        <v>0</v>
      </c>
      <c r="BR1104" s="701">
        <v>0</v>
      </c>
      <c r="BS1104" s="701"/>
      <c r="BT1104" s="701"/>
      <c r="BU1104" s="701"/>
      <c r="BV1104" s="701">
        <v>638.26311492919922</v>
      </c>
      <c r="BW1104" s="701">
        <v>637.26666641235352</v>
      </c>
      <c r="BX1104" s="701">
        <v>588.26712036132812</v>
      </c>
      <c r="BY1104" s="701">
        <v>567.75315856933594</v>
      </c>
      <c r="BZ1104" s="701">
        <v>547.23918151855469</v>
      </c>
      <c r="CA1104" s="701">
        <v>547.23918151855469</v>
      </c>
      <c r="CB1104" s="701">
        <v>481.01284790039062</v>
      </c>
      <c r="CC1104" s="701">
        <v>481.01284790039062</v>
      </c>
      <c r="CD1104" s="701">
        <v>303.46786880493164</v>
      </c>
      <c r="CE1104" s="701">
        <v>303.46786880493164</v>
      </c>
      <c r="CF1104" s="701">
        <v>256.5</v>
      </c>
      <c r="CG1104" s="701">
        <v>256.5</v>
      </c>
      <c r="CH1104" s="701">
        <v>256.5</v>
      </c>
      <c r="CI1104" s="701">
        <v>256.5</v>
      </c>
      <c r="CJ1104" s="701">
        <v>256.5</v>
      </c>
      <c r="CK1104" s="701">
        <v>0</v>
      </c>
      <c r="CL1104" s="701">
        <v>0</v>
      </c>
      <c r="CM1104" s="701">
        <v>0</v>
      </c>
      <c r="CN1104" s="701">
        <v>0</v>
      </c>
      <c r="CO1104" s="701">
        <v>0</v>
      </c>
      <c r="CP1104" s="701">
        <v>0</v>
      </c>
      <c r="CQ1104" s="701">
        <v>0</v>
      </c>
      <c r="CR1104" s="701">
        <v>0</v>
      </c>
    </row>
    <row r="1105" spans="1:96" s="53" customFormat="1">
      <c r="A1105" s="694" t="s">
        <v>3</v>
      </c>
      <c r="B1105" s="705">
        <v>41740</v>
      </c>
      <c r="C1105" s="694">
        <v>2014</v>
      </c>
      <c r="D1105" s="694" t="s">
        <v>657</v>
      </c>
      <c r="E1105" s="694" t="s">
        <v>657</v>
      </c>
      <c r="F1105" s="694" t="s">
        <v>17</v>
      </c>
      <c r="G1105" s="694" t="s">
        <v>656</v>
      </c>
      <c r="H1105" s="694" t="s">
        <v>5</v>
      </c>
      <c r="I1105" s="694" t="s">
        <v>655</v>
      </c>
      <c r="J1105" s="694">
        <v>5</v>
      </c>
      <c r="K1105" s="694" t="s">
        <v>654</v>
      </c>
      <c r="L1105" s="694" t="s">
        <v>653</v>
      </c>
      <c r="M1105" s="694">
        <v>15</v>
      </c>
      <c r="N1105" s="694">
        <v>6.8000000000000005E-2</v>
      </c>
      <c r="O1105" s="704">
        <v>1257</v>
      </c>
      <c r="P1105" s="704">
        <v>7.8044001246596814E-2</v>
      </c>
      <c r="Q1105" s="704">
        <v>880.47725897517466</v>
      </c>
      <c r="R1105" s="704">
        <v>7900.4810180664062</v>
      </c>
      <c r="S1105" s="704">
        <v>7900.4810180664062</v>
      </c>
      <c r="T1105" s="704">
        <v>1760.9545135498047</v>
      </c>
      <c r="U1105" s="704">
        <v>7.804400147870183E-2</v>
      </c>
      <c r="V1105" s="704">
        <v>0.70045924186706543</v>
      </c>
      <c r="W1105" s="703">
        <v>1.1477059125900269</v>
      </c>
      <c r="X1105" s="703">
        <v>0</v>
      </c>
      <c r="Y1105" s="703">
        <v>0</v>
      </c>
      <c r="Z1105" s="703"/>
      <c r="AA1105" s="703">
        <v>1</v>
      </c>
      <c r="AB1105" s="703">
        <v>0</v>
      </c>
      <c r="AC1105" s="703">
        <v>0</v>
      </c>
      <c r="AD1105" s="703"/>
      <c r="AE1105" s="703">
        <v>1</v>
      </c>
      <c r="AF1105" s="703"/>
      <c r="AG1105" s="694"/>
      <c r="AH1105" s="694"/>
      <c r="AI1105" s="694"/>
      <c r="AJ1105" s="694">
        <v>280.60000002384186</v>
      </c>
      <c r="AK1105" s="702" t="s">
        <v>7</v>
      </c>
      <c r="AL1105" s="694">
        <v>0</v>
      </c>
      <c r="AM1105" s="701">
        <v>0</v>
      </c>
      <c r="AN1105" s="701">
        <v>0</v>
      </c>
      <c r="AO1105" s="701"/>
      <c r="AP1105" s="701"/>
      <c r="AQ1105" s="701"/>
      <c r="AR1105" s="701"/>
      <c r="AS1105" s="701"/>
      <c r="AT1105" s="701"/>
      <c r="AU1105" s="701"/>
      <c r="AV1105" s="701">
        <v>7.804400147870183E-2</v>
      </c>
      <c r="AW1105" s="701">
        <v>7.804400147870183E-2</v>
      </c>
      <c r="AX1105" s="701">
        <v>7.5291816610842943E-2</v>
      </c>
      <c r="AY1105" s="701">
        <v>7.3915723245590925E-2</v>
      </c>
      <c r="AZ1105" s="701">
        <v>7.2539630811661482E-2</v>
      </c>
      <c r="BA1105" s="701">
        <v>7.2539630811661482E-2</v>
      </c>
      <c r="BB1105" s="701">
        <v>7.2539630811661482E-2</v>
      </c>
      <c r="BC1105" s="701">
        <v>7.2539630811661482E-2</v>
      </c>
      <c r="BD1105" s="701">
        <v>5.6344309821724892E-2</v>
      </c>
      <c r="BE1105" s="701">
        <v>5.6344309821724892E-2</v>
      </c>
      <c r="BF1105" s="701">
        <v>1.1643749661743641E-2</v>
      </c>
      <c r="BG1105" s="701">
        <v>1.1643749661743641E-2</v>
      </c>
      <c r="BH1105" s="701">
        <v>1.1643749661743641E-2</v>
      </c>
      <c r="BI1105" s="701">
        <v>1.1643749661743641E-2</v>
      </c>
      <c r="BJ1105" s="701">
        <v>1.1643749661743641E-2</v>
      </c>
      <c r="BK1105" s="701">
        <v>0</v>
      </c>
      <c r="BL1105" s="701">
        <v>0</v>
      </c>
      <c r="BM1105" s="701">
        <v>0</v>
      </c>
      <c r="BN1105" s="701">
        <v>0</v>
      </c>
      <c r="BO1105" s="701">
        <v>0</v>
      </c>
      <c r="BP1105" s="701">
        <v>0</v>
      </c>
      <c r="BQ1105" s="701">
        <v>0</v>
      </c>
      <c r="BR1105" s="701">
        <v>0</v>
      </c>
      <c r="BS1105" s="701"/>
      <c r="BT1105" s="701"/>
      <c r="BU1105" s="701"/>
      <c r="BV1105" s="701">
        <v>880.47725677490234</v>
      </c>
      <c r="BW1105" s="701">
        <v>880.47725677490234</v>
      </c>
      <c r="BX1105" s="701">
        <v>827.72704315185547</v>
      </c>
      <c r="BY1105" s="701">
        <v>801.35193634033203</v>
      </c>
      <c r="BZ1105" s="701">
        <v>774.97681427001953</v>
      </c>
      <c r="CA1105" s="701">
        <v>774.97681427001953</v>
      </c>
      <c r="CB1105" s="701">
        <v>774.97681427001953</v>
      </c>
      <c r="CC1105" s="701">
        <v>774.97681427001953</v>
      </c>
      <c r="CD1105" s="701">
        <v>464.80134582519531</v>
      </c>
      <c r="CE1105" s="701">
        <v>464.80134582519531</v>
      </c>
      <c r="CF1105" s="701">
        <v>96.1875</v>
      </c>
      <c r="CG1105" s="701">
        <v>96.1875</v>
      </c>
      <c r="CH1105" s="701">
        <v>96.1875</v>
      </c>
      <c r="CI1105" s="701">
        <v>96.1875</v>
      </c>
      <c r="CJ1105" s="701">
        <v>96.1875</v>
      </c>
      <c r="CK1105" s="701">
        <v>0</v>
      </c>
      <c r="CL1105" s="701">
        <v>0</v>
      </c>
      <c r="CM1105" s="701">
        <v>0</v>
      </c>
      <c r="CN1105" s="701">
        <v>0</v>
      </c>
      <c r="CO1105" s="701">
        <v>0</v>
      </c>
      <c r="CP1105" s="701">
        <v>0</v>
      </c>
      <c r="CQ1105" s="701">
        <v>0</v>
      </c>
      <c r="CR1105" s="701">
        <v>0</v>
      </c>
    </row>
    <row r="1106" spans="1:96" s="53" customFormat="1">
      <c r="A1106" s="694" t="s">
        <v>3</v>
      </c>
      <c r="B1106" s="705">
        <v>41681</v>
      </c>
      <c r="C1106" s="694">
        <v>2014</v>
      </c>
      <c r="D1106" s="694" t="s">
        <v>657</v>
      </c>
      <c r="E1106" s="694" t="s">
        <v>657</v>
      </c>
      <c r="F1106" s="694" t="s">
        <v>17</v>
      </c>
      <c r="G1106" s="694" t="s">
        <v>656</v>
      </c>
      <c r="H1106" s="694" t="s">
        <v>5</v>
      </c>
      <c r="I1106" s="694" t="s">
        <v>655</v>
      </c>
      <c r="J1106" s="694">
        <v>7</v>
      </c>
      <c r="K1106" s="694" t="s">
        <v>654</v>
      </c>
      <c r="L1106" s="694" t="s">
        <v>653</v>
      </c>
      <c r="M1106" s="694">
        <v>15</v>
      </c>
      <c r="N1106" s="694">
        <v>0.14410000000000001</v>
      </c>
      <c r="O1106" s="704">
        <v>1875</v>
      </c>
      <c r="P1106" s="704">
        <v>0.14023616728949528</v>
      </c>
      <c r="Q1106" s="704">
        <v>1541.637833257013</v>
      </c>
      <c r="R1106" s="704">
        <v>16681.503372192383</v>
      </c>
      <c r="S1106" s="704">
        <v>16681.503372192383</v>
      </c>
      <c r="T1106" s="704">
        <v>3081.282787322998</v>
      </c>
      <c r="U1106" s="704">
        <v>0.14013382524717599</v>
      </c>
      <c r="V1106" s="704">
        <v>0.82220685482025146</v>
      </c>
      <c r="W1106" s="703">
        <v>0.9731864333152771</v>
      </c>
      <c r="X1106" s="703">
        <v>0</v>
      </c>
      <c r="Y1106" s="703">
        <v>0</v>
      </c>
      <c r="Z1106" s="703"/>
      <c r="AA1106" s="703">
        <v>1</v>
      </c>
      <c r="AB1106" s="703">
        <v>0</v>
      </c>
      <c r="AC1106" s="703">
        <v>0</v>
      </c>
      <c r="AD1106" s="703"/>
      <c r="AE1106" s="703">
        <v>1</v>
      </c>
      <c r="AF1106" s="703"/>
      <c r="AG1106" s="694"/>
      <c r="AH1106" s="694"/>
      <c r="AI1106" s="694"/>
      <c r="AJ1106" s="694">
        <v>962.20000004768372</v>
      </c>
      <c r="AK1106" s="702" t="s">
        <v>7</v>
      </c>
      <c r="AL1106" s="694">
        <v>0</v>
      </c>
      <c r="AM1106" s="701">
        <v>0</v>
      </c>
      <c r="AN1106" s="701">
        <v>0</v>
      </c>
      <c r="AO1106" s="701"/>
      <c r="AP1106" s="701"/>
      <c r="AQ1106" s="701"/>
      <c r="AR1106" s="701"/>
      <c r="AS1106" s="701"/>
      <c r="AT1106" s="701"/>
      <c r="AU1106" s="701"/>
      <c r="AV1106" s="701">
        <v>0.14023616316262633</v>
      </c>
      <c r="AW1106" s="701">
        <v>0.14013382524717599</v>
      </c>
      <c r="AX1106" s="701">
        <v>0.13625713775400072</v>
      </c>
      <c r="AY1106" s="701">
        <v>0.13472814636770636</v>
      </c>
      <c r="AZ1106" s="701">
        <v>0.13319915405008942</v>
      </c>
      <c r="BA1106" s="701">
        <v>0.13319915405008942</v>
      </c>
      <c r="BB1106" s="701">
        <v>0.12284248287323862</v>
      </c>
      <c r="BC1106" s="701">
        <v>0.12284248287323862</v>
      </c>
      <c r="BD1106" s="701">
        <v>0.10706663457676768</v>
      </c>
      <c r="BE1106" s="701">
        <v>0.10706663457676768</v>
      </c>
      <c r="BF1106" s="701">
        <v>0.1053874958306551</v>
      </c>
      <c r="BG1106" s="701">
        <v>0.1053874958306551</v>
      </c>
      <c r="BH1106" s="701">
        <v>0.1053874958306551</v>
      </c>
      <c r="BI1106" s="701">
        <v>0.1053874958306551</v>
      </c>
      <c r="BJ1106" s="701">
        <v>2.3287499323487282E-2</v>
      </c>
      <c r="BK1106" s="701">
        <v>0</v>
      </c>
      <c r="BL1106" s="701">
        <v>0</v>
      </c>
      <c r="BM1106" s="701">
        <v>0</v>
      </c>
      <c r="BN1106" s="701">
        <v>0</v>
      </c>
      <c r="BO1106" s="701">
        <v>0</v>
      </c>
      <c r="BP1106" s="701">
        <v>0</v>
      </c>
      <c r="BQ1106" s="701">
        <v>0</v>
      </c>
      <c r="BR1106" s="701">
        <v>0</v>
      </c>
      <c r="BS1106" s="701"/>
      <c r="BT1106" s="701"/>
      <c r="BU1106" s="701"/>
      <c r="BV1106" s="701">
        <v>1541.637845993042</v>
      </c>
      <c r="BW1106" s="701">
        <v>1539.6449489593506</v>
      </c>
      <c r="BX1106" s="701">
        <v>1465.0904064178467</v>
      </c>
      <c r="BY1106" s="701">
        <v>1435.7847423553467</v>
      </c>
      <c r="BZ1106" s="701">
        <v>1406.4790630340576</v>
      </c>
      <c r="CA1106" s="701">
        <v>1406.4790630340576</v>
      </c>
      <c r="CB1106" s="701">
        <v>1207.8000621795654</v>
      </c>
      <c r="CC1106" s="701">
        <v>1207.8000621795654</v>
      </c>
      <c r="CD1106" s="701">
        <v>904.45598220825195</v>
      </c>
      <c r="CE1106" s="701">
        <v>904.45598220825195</v>
      </c>
      <c r="CF1106" s="701">
        <v>867.375</v>
      </c>
      <c r="CG1106" s="701">
        <v>867.375</v>
      </c>
      <c r="CH1106" s="701">
        <v>867.375</v>
      </c>
      <c r="CI1106" s="701">
        <v>867.375</v>
      </c>
      <c r="CJ1106" s="701">
        <v>192.375</v>
      </c>
      <c r="CK1106" s="701">
        <v>0</v>
      </c>
      <c r="CL1106" s="701">
        <v>0</v>
      </c>
      <c r="CM1106" s="701">
        <v>0</v>
      </c>
      <c r="CN1106" s="701">
        <v>0</v>
      </c>
      <c r="CO1106" s="701">
        <v>0</v>
      </c>
      <c r="CP1106" s="701">
        <v>0</v>
      </c>
      <c r="CQ1106" s="701">
        <v>0</v>
      </c>
      <c r="CR1106" s="701">
        <v>0</v>
      </c>
    </row>
    <row r="1107" spans="1:96" s="53" customFormat="1">
      <c r="A1107" s="694" t="s">
        <v>3</v>
      </c>
      <c r="B1107" s="705">
        <v>41739</v>
      </c>
      <c r="C1107" s="694">
        <v>2014</v>
      </c>
      <c r="D1107" s="694" t="s">
        <v>657</v>
      </c>
      <c r="E1107" s="694" t="s">
        <v>657</v>
      </c>
      <c r="F1107" s="694" t="s">
        <v>17</v>
      </c>
      <c r="G1107" s="694" t="s">
        <v>656</v>
      </c>
      <c r="H1107" s="694" t="s">
        <v>5</v>
      </c>
      <c r="I1107" s="694" t="s">
        <v>655</v>
      </c>
      <c r="J1107" s="694">
        <v>1</v>
      </c>
      <c r="K1107" s="694" t="s">
        <v>654</v>
      </c>
      <c r="L1107" s="694" t="s">
        <v>653</v>
      </c>
      <c r="M1107" s="694">
        <v>8</v>
      </c>
      <c r="N1107" s="694">
        <v>7.0000000000000001E-3</v>
      </c>
      <c r="O1107" s="704">
        <v>230</v>
      </c>
      <c r="P1107" s="704">
        <v>8.4544252750924885E-3</v>
      </c>
      <c r="Q1107" s="704">
        <v>162.04315110593939</v>
      </c>
      <c r="R1107" s="704">
        <v>988.6357421875</v>
      </c>
      <c r="S1107" s="704">
        <v>988.6357421875</v>
      </c>
      <c r="T1107" s="704">
        <v>324.0863037109375</v>
      </c>
      <c r="U1107" s="704">
        <v>8.454425260424614E-3</v>
      </c>
      <c r="V1107" s="704">
        <v>0.70453542470932007</v>
      </c>
      <c r="W1107" s="703">
        <v>1.2077749967575073</v>
      </c>
      <c r="X1107" s="703">
        <v>0</v>
      </c>
      <c r="Y1107" s="703">
        <v>0</v>
      </c>
      <c r="Z1107" s="703"/>
      <c r="AA1107" s="703">
        <v>1</v>
      </c>
      <c r="AB1107" s="703">
        <v>0</v>
      </c>
      <c r="AC1107" s="703">
        <v>0</v>
      </c>
      <c r="AD1107" s="703"/>
      <c r="AE1107" s="703">
        <v>1</v>
      </c>
      <c r="AF1107" s="703"/>
      <c r="AG1107" s="694"/>
      <c r="AH1107" s="694"/>
      <c r="AI1107" s="694"/>
      <c r="AJ1107" s="694">
        <v>210</v>
      </c>
      <c r="AK1107" s="702" t="s">
        <v>7</v>
      </c>
      <c r="AL1107" s="694">
        <v>0</v>
      </c>
      <c r="AM1107" s="701">
        <v>0</v>
      </c>
      <c r="AN1107" s="701">
        <v>0</v>
      </c>
      <c r="AO1107" s="701"/>
      <c r="AP1107" s="701"/>
      <c r="AQ1107" s="701"/>
      <c r="AR1107" s="701"/>
      <c r="AS1107" s="701"/>
      <c r="AT1107" s="701"/>
      <c r="AU1107" s="701"/>
      <c r="AV1107" s="701">
        <v>8.454425260424614E-3</v>
      </c>
      <c r="AW1107" s="701">
        <v>8.454425260424614E-3</v>
      </c>
      <c r="AX1107" s="701">
        <v>6.9254334084689617E-3</v>
      </c>
      <c r="AY1107" s="701">
        <v>6.1609377153217793E-3</v>
      </c>
      <c r="AZ1107" s="701">
        <v>5.3964415565133095E-3</v>
      </c>
      <c r="BA1107" s="701">
        <v>5.3964415565133095E-3</v>
      </c>
      <c r="BB1107" s="701">
        <v>5.3964415565133095E-3</v>
      </c>
      <c r="BC1107" s="701">
        <v>5.3964415565133095E-3</v>
      </c>
      <c r="BD1107" s="701">
        <v>0</v>
      </c>
      <c r="BE1107" s="701">
        <v>0</v>
      </c>
      <c r="BF1107" s="701">
        <v>0</v>
      </c>
      <c r="BG1107" s="701">
        <v>0</v>
      </c>
      <c r="BH1107" s="701">
        <v>0</v>
      </c>
      <c r="BI1107" s="701">
        <v>0</v>
      </c>
      <c r="BJ1107" s="701">
        <v>0</v>
      </c>
      <c r="BK1107" s="701">
        <v>0</v>
      </c>
      <c r="BL1107" s="701">
        <v>0</v>
      </c>
      <c r="BM1107" s="701">
        <v>0</v>
      </c>
      <c r="BN1107" s="701">
        <v>0</v>
      </c>
      <c r="BO1107" s="701">
        <v>0</v>
      </c>
      <c r="BP1107" s="701">
        <v>0</v>
      </c>
      <c r="BQ1107" s="701">
        <v>0</v>
      </c>
      <c r="BR1107" s="701">
        <v>0</v>
      </c>
      <c r="BS1107" s="701"/>
      <c r="BT1107" s="701"/>
      <c r="BU1107" s="701"/>
      <c r="BV1107" s="701">
        <v>162.04315185546875</v>
      </c>
      <c r="BW1107" s="701">
        <v>162.04315185546875</v>
      </c>
      <c r="BX1107" s="701">
        <v>132.73747253417969</v>
      </c>
      <c r="BY1107" s="701">
        <v>118.08464050292969</v>
      </c>
      <c r="BZ1107" s="701">
        <v>103.43180084228516</v>
      </c>
      <c r="CA1107" s="701">
        <v>103.43180084228516</v>
      </c>
      <c r="CB1107" s="701">
        <v>103.43180084228516</v>
      </c>
      <c r="CC1107" s="701">
        <v>103.43180084228516</v>
      </c>
      <c r="CD1107" s="701">
        <v>0</v>
      </c>
      <c r="CE1107" s="701">
        <v>0</v>
      </c>
      <c r="CF1107" s="701">
        <v>0</v>
      </c>
      <c r="CG1107" s="701">
        <v>0</v>
      </c>
      <c r="CH1107" s="701">
        <v>0</v>
      </c>
      <c r="CI1107" s="701">
        <v>0</v>
      </c>
      <c r="CJ1107" s="701">
        <v>0</v>
      </c>
      <c r="CK1107" s="701">
        <v>0</v>
      </c>
      <c r="CL1107" s="701">
        <v>0</v>
      </c>
      <c r="CM1107" s="701">
        <v>0</v>
      </c>
      <c r="CN1107" s="701">
        <v>0</v>
      </c>
      <c r="CO1107" s="701">
        <v>0</v>
      </c>
      <c r="CP1107" s="701">
        <v>0</v>
      </c>
      <c r="CQ1107" s="701">
        <v>0</v>
      </c>
      <c r="CR1107" s="701">
        <v>0</v>
      </c>
    </row>
    <row r="1108" spans="1:96" s="53" customFormat="1">
      <c r="A1108" s="694" t="s">
        <v>3</v>
      </c>
      <c r="B1108" s="705">
        <v>41708</v>
      </c>
      <c r="C1108" s="694">
        <v>2014</v>
      </c>
      <c r="D1108" s="694" t="s">
        <v>657</v>
      </c>
      <c r="E1108" s="694" t="s">
        <v>657</v>
      </c>
      <c r="F1108" s="694" t="s">
        <v>17</v>
      </c>
      <c r="G1108" s="694" t="s">
        <v>656</v>
      </c>
      <c r="H1108" s="694" t="s">
        <v>5</v>
      </c>
      <c r="I1108" s="694" t="s">
        <v>655</v>
      </c>
      <c r="J1108" s="694">
        <v>4</v>
      </c>
      <c r="K1108" s="694" t="s">
        <v>654</v>
      </c>
      <c r="L1108" s="694" t="s">
        <v>653</v>
      </c>
      <c r="M1108" s="694">
        <v>8</v>
      </c>
      <c r="N1108" s="694">
        <v>1.52E-2</v>
      </c>
      <c r="O1108" s="704">
        <v>494</v>
      </c>
      <c r="P1108" s="704">
        <v>1.7571113863400559E-2</v>
      </c>
      <c r="Q1108" s="704">
        <v>337.61338265202676</v>
      </c>
      <c r="R1108" s="704">
        <v>2118.6749877929687</v>
      </c>
      <c r="S1108" s="704">
        <v>2118.6749877929687</v>
      </c>
      <c r="T1108" s="704">
        <v>665.09953689575195</v>
      </c>
      <c r="U1108" s="704">
        <v>1.704649708699435E-2</v>
      </c>
      <c r="V1108" s="704">
        <v>0.68342792987823486</v>
      </c>
      <c r="W1108" s="703">
        <v>1.1559942960739136</v>
      </c>
      <c r="X1108" s="703">
        <v>0</v>
      </c>
      <c r="Y1108" s="703">
        <v>0</v>
      </c>
      <c r="Z1108" s="703"/>
      <c r="AA1108" s="703">
        <v>1</v>
      </c>
      <c r="AB1108" s="703">
        <v>0</v>
      </c>
      <c r="AC1108" s="703">
        <v>0</v>
      </c>
      <c r="AD1108" s="703"/>
      <c r="AE1108" s="703">
        <v>1</v>
      </c>
      <c r="AF1108" s="703"/>
      <c r="AG1108" s="694"/>
      <c r="AH1108" s="694"/>
      <c r="AI1108" s="694"/>
      <c r="AJ1108" s="694">
        <v>231.5</v>
      </c>
      <c r="AK1108" s="702" t="s">
        <v>7</v>
      </c>
      <c r="AL1108" s="694">
        <v>0</v>
      </c>
      <c r="AM1108" s="701">
        <v>0</v>
      </c>
      <c r="AN1108" s="701">
        <v>0</v>
      </c>
      <c r="AO1108" s="701"/>
      <c r="AP1108" s="701"/>
      <c r="AQ1108" s="701"/>
      <c r="AR1108" s="701"/>
      <c r="AS1108" s="701"/>
      <c r="AT1108" s="701"/>
      <c r="AU1108" s="701"/>
      <c r="AV1108" s="701">
        <v>1.7571113887242973E-2</v>
      </c>
      <c r="AW1108" s="701">
        <v>1.704649708699435E-2</v>
      </c>
      <c r="AX1108" s="701">
        <v>1.4378195162862539E-2</v>
      </c>
      <c r="AY1108" s="701">
        <v>1.3110630679875612E-2</v>
      </c>
      <c r="AZ1108" s="701">
        <v>1.2040336150676012E-2</v>
      </c>
      <c r="BA1108" s="701">
        <v>1.2040336150676012E-2</v>
      </c>
      <c r="BB1108" s="701">
        <v>1.2040336150676012E-2</v>
      </c>
      <c r="BC1108" s="701">
        <v>1.2040336150676012E-2</v>
      </c>
      <c r="BD1108" s="701">
        <v>0</v>
      </c>
      <c r="BE1108" s="701">
        <v>0</v>
      </c>
      <c r="BF1108" s="701">
        <v>0</v>
      </c>
      <c r="BG1108" s="701">
        <v>0</v>
      </c>
      <c r="BH1108" s="701">
        <v>0</v>
      </c>
      <c r="BI1108" s="701">
        <v>0</v>
      </c>
      <c r="BJ1108" s="701">
        <v>0</v>
      </c>
      <c r="BK1108" s="701">
        <v>0</v>
      </c>
      <c r="BL1108" s="701">
        <v>0</v>
      </c>
      <c r="BM1108" s="701">
        <v>0</v>
      </c>
      <c r="BN1108" s="701">
        <v>0</v>
      </c>
      <c r="BO1108" s="701">
        <v>0</v>
      </c>
      <c r="BP1108" s="701">
        <v>0</v>
      </c>
      <c r="BQ1108" s="701">
        <v>0</v>
      </c>
      <c r="BR1108" s="701">
        <v>0</v>
      </c>
      <c r="BS1108" s="701"/>
      <c r="BT1108" s="701"/>
      <c r="BU1108" s="701"/>
      <c r="BV1108" s="701">
        <v>337.6133861541748</v>
      </c>
      <c r="BW1108" s="701">
        <v>327.48615837097168</v>
      </c>
      <c r="BX1108" s="701">
        <v>276.20391654968262</v>
      </c>
      <c r="BY1108" s="701">
        <v>251.88546371459961</v>
      </c>
      <c r="BZ1108" s="701">
        <v>231.37148666381836</v>
      </c>
      <c r="CA1108" s="701">
        <v>231.37148666381836</v>
      </c>
      <c r="CB1108" s="701">
        <v>231.37148666381836</v>
      </c>
      <c r="CC1108" s="701">
        <v>231.37148666381836</v>
      </c>
      <c r="CD1108" s="701">
        <v>0</v>
      </c>
      <c r="CE1108" s="701">
        <v>0</v>
      </c>
      <c r="CF1108" s="701">
        <v>0</v>
      </c>
      <c r="CG1108" s="701">
        <v>0</v>
      </c>
      <c r="CH1108" s="701">
        <v>0</v>
      </c>
      <c r="CI1108" s="701">
        <v>0</v>
      </c>
      <c r="CJ1108" s="701">
        <v>0</v>
      </c>
      <c r="CK1108" s="701">
        <v>0</v>
      </c>
      <c r="CL1108" s="701">
        <v>0</v>
      </c>
      <c r="CM1108" s="701">
        <v>0</v>
      </c>
      <c r="CN1108" s="701">
        <v>0</v>
      </c>
      <c r="CO1108" s="701">
        <v>0</v>
      </c>
      <c r="CP1108" s="701">
        <v>0</v>
      </c>
      <c r="CQ1108" s="701">
        <v>0</v>
      </c>
      <c r="CR1108" s="701">
        <v>0</v>
      </c>
    </row>
    <row r="1109" spans="1:96" s="53" customFormat="1">
      <c r="A1109" s="694" t="s">
        <v>3</v>
      </c>
      <c r="B1109" s="705">
        <v>41738</v>
      </c>
      <c r="C1109" s="694">
        <v>2014</v>
      </c>
      <c r="D1109" s="694" t="s">
        <v>657</v>
      </c>
      <c r="E1109" s="694" t="s">
        <v>657</v>
      </c>
      <c r="F1109" s="694" t="s">
        <v>17</v>
      </c>
      <c r="G1109" s="694" t="s">
        <v>656</v>
      </c>
      <c r="H1109" s="694" t="s">
        <v>5</v>
      </c>
      <c r="I1109" s="694" t="s">
        <v>655</v>
      </c>
      <c r="J1109" s="694">
        <v>3</v>
      </c>
      <c r="K1109" s="694" t="s">
        <v>654</v>
      </c>
      <c r="L1109" s="694" t="s">
        <v>653</v>
      </c>
      <c r="M1109" s="694">
        <v>8</v>
      </c>
      <c r="N1109" s="694">
        <v>9.6000000000000009E-3</v>
      </c>
      <c r="O1109" s="704">
        <v>312</v>
      </c>
      <c r="P1109" s="704">
        <v>1.087802718728567E-2</v>
      </c>
      <c r="Q1109" s="704">
        <v>209.38793264645733</v>
      </c>
      <c r="R1109" s="704">
        <v>1277.4969940185547</v>
      </c>
      <c r="S1109" s="704">
        <v>1277.4969940185547</v>
      </c>
      <c r="T1109" s="704">
        <v>408.64863586425781</v>
      </c>
      <c r="U1109" s="704">
        <v>1.0353410383686423E-2</v>
      </c>
      <c r="V1109" s="704">
        <v>0.67111515998840332</v>
      </c>
      <c r="W1109" s="703">
        <v>1.1331278085708618</v>
      </c>
      <c r="X1109" s="703">
        <v>0</v>
      </c>
      <c r="Y1109" s="703">
        <v>0</v>
      </c>
      <c r="Z1109" s="703"/>
      <c r="AA1109" s="703">
        <v>1</v>
      </c>
      <c r="AB1109" s="703">
        <v>0</v>
      </c>
      <c r="AC1109" s="703">
        <v>0</v>
      </c>
      <c r="AD1109" s="703"/>
      <c r="AE1109" s="703">
        <v>1</v>
      </c>
      <c r="AF1109" s="703"/>
      <c r="AG1109" s="694"/>
      <c r="AH1109" s="694"/>
      <c r="AI1109" s="694"/>
      <c r="AJ1109" s="694">
        <v>217.5</v>
      </c>
      <c r="AK1109" s="702" t="s">
        <v>7</v>
      </c>
      <c r="AL1109" s="694">
        <v>0</v>
      </c>
      <c r="AM1109" s="701">
        <v>0</v>
      </c>
      <c r="AN1109" s="701">
        <v>0</v>
      </c>
      <c r="AO1109" s="701"/>
      <c r="AP1109" s="701"/>
      <c r="AQ1109" s="701"/>
      <c r="AR1109" s="701"/>
      <c r="AS1109" s="701"/>
      <c r="AT1109" s="701"/>
      <c r="AU1109" s="701"/>
      <c r="AV1109" s="701">
        <v>1.0878027183935046E-2</v>
      </c>
      <c r="AW1109" s="701">
        <v>1.0353410383686423E-2</v>
      </c>
      <c r="AX1109" s="701">
        <v>8.6025031050667167E-3</v>
      </c>
      <c r="AY1109" s="701">
        <v>7.793636410497129E-3</v>
      </c>
      <c r="AZ1109" s="701">
        <v>7.1820396697148681E-3</v>
      </c>
      <c r="BA1109" s="701">
        <v>7.1820396697148681E-3</v>
      </c>
      <c r="BB1109" s="701">
        <v>7.1820396697148681E-3</v>
      </c>
      <c r="BC1109" s="701">
        <v>7.1820396697148681E-3</v>
      </c>
      <c r="BD1109" s="701">
        <v>0</v>
      </c>
      <c r="BE1109" s="701">
        <v>0</v>
      </c>
      <c r="BF1109" s="701">
        <v>0</v>
      </c>
      <c r="BG1109" s="701">
        <v>0</v>
      </c>
      <c r="BH1109" s="701">
        <v>0</v>
      </c>
      <c r="BI1109" s="701">
        <v>0</v>
      </c>
      <c r="BJ1109" s="701">
        <v>0</v>
      </c>
      <c r="BK1109" s="701">
        <v>0</v>
      </c>
      <c r="BL1109" s="701">
        <v>0</v>
      </c>
      <c r="BM1109" s="701">
        <v>0</v>
      </c>
      <c r="BN1109" s="701">
        <v>0</v>
      </c>
      <c r="BO1109" s="701">
        <v>0</v>
      </c>
      <c r="BP1109" s="701">
        <v>0</v>
      </c>
      <c r="BQ1109" s="701">
        <v>0</v>
      </c>
      <c r="BR1109" s="701">
        <v>0</v>
      </c>
      <c r="BS1109" s="701"/>
      <c r="BT1109" s="701"/>
      <c r="BU1109" s="701"/>
      <c r="BV1109" s="701">
        <v>209.38793563842773</v>
      </c>
      <c r="BW1109" s="701">
        <v>199.26070785522461</v>
      </c>
      <c r="BX1109" s="701">
        <v>165.5618782043457</v>
      </c>
      <c r="BY1109" s="701">
        <v>150.03512001037598</v>
      </c>
      <c r="BZ1109" s="701">
        <v>138.31284523010254</v>
      </c>
      <c r="CA1109" s="701">
        <v>138.31284523010254</v>
      </c>
      <c r="CB1109" s="701">
        <v>138.31284523010254</v>
      </c>
      <c r="CC1109" s="701">
        <v>138.31284523010254</v>
      </c>
      <c r="CD1109" s="701">
        <v>0</v>
      </c>
      <c r="CE1109" s="701">
        <v>0</v>
      </c>
      <c r="CF1109" s="701">
        <v>0</v>
      </c>
      <c r="CG1109" s="701">
        <v>0</v>
      </c>
      <c r="CH1109" s="701">
        <v>0</v>
      </c>
      <c r="CI1109" s="701">
        <v>0</v>
      </c>
      <c r="CJ1109" s="701">
        <v>0</v>
      </c>
      <c r="CK1109" s="701">
        <v>0</v>
      </c>
      <c r="CL1109" s="701">
        <v>0</v>
      </c>
      <c r="CM1109" s="701">
        <v>0</v>
      </c>
      <c r="CN1109" s="701">
        <v>0</v>
      </c>
      <c r="CO1109" s="701">
        <v>0</v>
      </c>
      <c r="CP1109" s="701">
        <v>0</v>
      </c>
      <c r="CQ1109" s="701">
        <v>0</v>
      </c>
      <c r="CR1109" s="701">
        <v>0</v>
      </c>
    </row>
    <row r="1110" spans="1:96" s="53" customFormat="1">
      <c r="A1110" s="694" t="s">
        <v>3</v>
      </c>
      <c r="B1110" s="705">
        <v>41677</v>
      </c>
      <c r="C1110" s="694">
        <v>2014</v>
      </c>
      <c r="D1110" s="694" t="s">
        <v>657</v>
      </c>
      <c r="E1110" s="694" t="s">
        <v>657</v>
      </c>
      <c r="F1110" s="694" t="s">
        <v>17</v>
      </c>
      <c r="G1110" s="694" t="s">
        <v>656</v>
      </c>
      <c r="H1110" s="694" t="s">
        <v>5</v>
      </c>
      <c r="I1110" s="694" t="s">
        <v>655</v>
      </c>
      <c r="J1110" s="694">
        <v>7</v>
      </c>
      <c r="K1110" s="694" t="s">
        <v>654</v>
      </c>
      <c r="L1110" s="694" t="s">
        <v>653</v>
      </c>
      <c r="M1110" s="694">
        <v>15</v>
      </c>
      <c r="N1110" s="694">
        <v>0.34989999999999999</v>
      </c>
      <c r="O1110" s="704">
        <v>1626</v>
      </c>
      <c r="P1110" s="704">
        <v>0.2246624906925663</v>
      </c>
      <c r="Q1110" s="704">
        <v>1297.2824183694242</v>
      </c>
      <c r="R1110" s="704">
        <v>13915.042556762695</v>
      </c>
      <c r="S1110" s="704">
        <v>13915.042556762695</v>
      </c>
      <c r="T1110" s="704">
        <v>2594.5648231506348</v>
      </c>
      <c r="U1110" s="704">
        <v>0.22466249030549079</v>
      </c>
      <c r="V1110" s="704">
        <v>0.79783666133880615</v>
      </c>
      <c r="W1110" s="703">
        <v>0.64207625389099121</v>
      </c>
      <c r="X1110" s="703">
        <v>0</v>
      </c>
      <c r="Y1110" s="703">
        <v>0</v>
      </c>
      <c r="Z1110" s="703"/>
      <c r="AA1110" s="703">
        <v>1</v>
      </c>
      <c r="AB1110" s="703">
        <v>0</v>
      </c>
      <c r="AC1110" s="703">
        <v>0</v>
      </c>
      <c r="AD1110" s="703"/>
      <c r="AE1110" s="703">
        <v>1</v>
      </c>
      <c r="AF1110" s="703"/>
      <c r="AG1110" s="694"/>
      <c r="AH1110" s="694"/>
      <c r="AI1110" s="694"/>
      <c r="AJ1110" s="694">
        <v>501.20000004768372</v>
      </c>
      <c r="AK1110" s="702" t="s">
        <v>7</v>
      </c>
      <c r="AL1110" s="694">
        <v>0</v>
      </c>
      <c r="AM1110" s="701">
        <v>0</v>
      </c>
      <c r="AN1110" s="701">
        <v>0</v>
      </c>
      <c r="AO1110" s="701"/>
      <c r="AP1110" s="701"/>
      <c r="AQ1110" s="701"/>
      <c r="AR1110" s="701"/>
      <c r="AS1110" s="701"/>
      <c r="AT1110" s="701"/>
      <c r="AU1110" s="701"/>
      <c r="AV1110" s="701">
        <v>0.22466249030549079</v>
      </c>
      <c r="AW1110" s="701">
        <v>0.22466249030549079</v>
      </c>
      <c r="AX1110" s="701">
        <v>0.2237450951943174</v>
      </c>
      <c r="AY1110" s="701">
        <v>0.2232863976387307</v>
      </c>
      <c r="AZ1110" s="701">
        <v>0.22282770008314401</v>
      </c>
      <c r="BA1110" s="701">
        <v>0.22282770008314401</v>
      </c>
      <c r="BB1110" s="701">
        <v>0.21592325263191015</v>
      </c>
      <c r="BC1110" s="701">
        <v>0.21592325263191015</v>
      </c>
      <c r="BD1110" s="701">
        <v>0.211064956150949</v>
      </c>
      <c r="BE1110" s="701">
        <v>0.211064956150949</v>
      </c>
      <c r="BF1110" s="701">
        <v>0.16636439599096775</v>
      </c>
      <c r="BG1110" s="701">
        <v>0.16636439599096775</v>
      </c>
      <c r="BH1110" s="701">
        <v>2.3287499323487282E-2</v>
      </c>
      <c r="BI1110" s="701">
        <v>2.3287499323487282E-2</v>
      </c>
      <c r="BJ1110" s="701">
        <v>2.3287499323487282E-2</v>
      </c>
      <c r="BK1110" s="701">
        <v>0</v>
      </c>
      <c r="BL1110" s="701">
        <v>0</v>
      </c>
      <c r="BM1110" s="701">
        <v>0</v>
      </c>
      <c r="BN1110" s="701">
        <v>0</v>
      </c>
      <c r="BO1110" s="701">
        <v>0</v>
      </c>
      <c r="BP1110" s="701">
        <v>0</v>
      </c>
      <c r="BQ1110" s="701">
        <v>0</v>
      </c>
      <c r="BR1110" s="701">
        <v>0</v>
      </c>
      <c r="BS1110" s="701"/>
      <c r="BT1110" s="701"/>
      <c r="BU1110" s="701"/>
      <c r="BV1110" s="701">
        <v>1297.2824115753174</v>
      </c>
      <c r="BW1110" s="701">
        <v>1297.2824115753174</v>
      </c>
      <c r="BX1110" s="701">
        <v>1279.6990070343018</v>
      </c>
      <c r="BY1110" s="701">
        <v>1270.9073047637939</v>
      </c>
      <c r="BZ1110" s="701">
        <v>1262.1155986785889</v>
      </c>
      <c r="CA1110" s="701">
        <v>1262.1155986785889</v>
      </c>
      <c r="CB1110" s="701">
        <v>1129.6629314422607</v>
      </c>
      <c r="CC1110" s="701">
        <v>1129.6629314422607</v>
      </c>
      <c r="CD1110" s="701">
        <v>1036.6042938232422</v>
      </c>
      <c r="CE1110" s="701">
        <v>1036.6042938232422</v>
      </c>
      <c r="CF1110" s="701">
        <v>667.99044799804688</v>
      </c>
      <c r="CG1110" s="701">
        <v>667.99044799804688</v>
      </c>
      <c r="CH1110" s="701">
        <v>192.375</v>
      </c>
      <c r="CI1110" s="701">
        <v>192.375</v>
      </c>
      <c r="CJ1110" s="701">
        <v>192.375</v>
      </c>
      <c r="CK1110" s="701">
        <v>0</v>
      </c>
      <c r="CL1110" s="701">
        <v>0</v>
      </c>
      <c r="CM1110" s="701">
        <v>0</v>
      </c>
      <c r="CN1110" s="701">
        <v>0</v>
      </c>
      <c r="CO1110" s="701">
        <v>0</v>
      </c>
      <c r="CP1110" s="701">
        <v>0</v>
      </c>
      <c r="CQ1110" s="701">
        <v>0</v>
      </c>
      <c r="CR1110" s="701">
        <v>0</v>
      </c>
    </row>
    <row r="1111" spans="1:96" s="53" customFormat="1">
      <c r="A1111" s="694" t="s">
        <v>3</v>
      </c>
      <c r="B1111" s="705">
        <v>41746</v>
      </c>
      <c r="C1111" s="694">
        <v>2014</v>
      </c>
      <c r="D1111" s="694" t="s">
        <v>657</v>
      </c>
      <c r="E1111" s="694" t="s">
        <v>657</v>
      </c>
      <c r="F1111" s="694" t="s">
        <v>17</v>
      </c>
      <c r="G1111" s="694" t="s">
        <v>656</v>
      </c>
      <c r="H1111" s="694" t="s">
        <v>5</v>
      </c>
      <c r="I1111" s="694" t="s">
        <v>655</v>
      </c>
      <c r="J1111" s="694">
        <v>3</v>
      </c>
      <c r="K1111" s="694" t="s">
        <v>654</v>
      </c>
      <c r="L1111" s="694" t="s">
        <v>653</v>
      </c>
      <c r="M1111" s="694">
        <v>8</v>
      </c>
      <c r="N1111" s="694">
        <v>5.5999999999999999E-3</v>
      </c>
      <c r="O1111" s="704">
        <v>179</v>
      </c>
      <c r="P1111" s="704">
        <v>6.7635402200739913E-3</v>
      </c>
      <c r="Q1111" s="704">
        <v>129.63452088475151</v>
      </c>
      <c r="R1111" s="704">
        <v>843.08158874511719</v>
      </c>
      <c r="S1111" s="704">
        <v>843.08158874511719</v>
      </c>
      <c r="T1111" s="704">
        <v>259.26904678344727</v>
      </c>
      <c r="U1111" s="704">
        <v>6.763540324755013E-3</v>
      </c>
      <c r="V1111" s="704">
        <v>0.72421520948410034</v>
      </c>
      <c r="W1111" s="703">
        <v>1.2077749967575073</v>
      </c>
      <c r="X1111" s="703">
        <v>0</v>
      </c>
      <c r="Y1111" s="703">
        <v>0</v>
      </c>
      <c r="Z1111" s="703"/>
      <c r="AA1111" s="703">
        <v>1</v>
      </c>
      <c r="AB1111" s="703">
        <v>0</v>
      </c>
      <c r="AC1111" s="703">
        <v>0</v>
      </c>
      <c r="AD1111" s="703"/>
      <c r="AE1111" s="703">
        <v>1</v>
      </c>
      <c r="AF1111" s="703"/>
      <c r="AG1111" s="694"/>
      <c r="AH1111" s="694"/>
      <c r="AI1111" s="694"/>
      <c r="AJ1111" s="694">
        <v>218</v>
      </c>
      <c r="AK1111" s="702" t="s">
        <v>7</v>
      </c>
      <c r="AL1111" s="694">
        <v>0</v>
      </c>
      <c r="AM1111" s="701">
        <v>0</v>
      </c>
      <c r="AN1111" s="701">
        <v>0</v>
      </c>
      <c r="AO1111" s="701"/>
      <c r="AP1111" s="701"/>
      <c r="AQ1111" s="701"/>
      <c r="AR1111" s="701"/>
      <c r="AS1111" s="701"/>
      <c r="AT1111" s="701"/>
      <c r="AU1111" s="701"/>
      <c r="AV1111" s="701">
        <v>6.763540324755013E-3</v>
      </c>
      <c r="AW1111" s="701">
        <v>6.763540324755013E-3</v>
      </c>
      <c r="AX1111" s="701">
        <v>6.4577419543638825E-3</v>
      </c>
      <c r="AY1111" s="701">
        <v>6.3048427691683173E-3</v>
      </c>
      <c r="AZ1111" s="701">
        <v>6.1519435839727521E-3</v>
      </c>
      <c r="BA1111" s="701">
        <v>6.1519435839727521E-3</v>
      </c>
      <c r="BB1111" s="701">
        <v>2.6997198583558202E-3</v>
      </c>
      <c r="BC1111" s="701">
        <v>2.6997198583558202E-3</v>
      </c>
      <c r="BD1111" s="701">
        <v>0</v>
      </c>
      <c r="BE1111" s="701">
        <v>0</v>
      </c>
      <c r="BF1111" s="701">
        <v>0</v>
      </c>
      <c r="BG1111" s="701">
        <v>0</v>
      </c>
      <c r="BH1111" s="701">
        <v>0</v>
      </c>
      <c r="BI1111" s="701">
        <v>0</v>
      </c>
      <c r="BJ1111" s="701">
        <v>0</v>
      </c>
      <c r="BK1111" s="701">
        <v>0</v>
      </c>
      <c r="BL1111" s="701">
        <v>0</v>
      </c>
      <c r="BM1111" s="701">
        <v>0</v>
      </c>
      <c r="BN1111" s="701">
        <v>0</v>
      </c>
      <c r="BO1111" s="701">
        <v>0</v>
      </c>
      <c r="BP1111" s="701">
        <v>0</v>
      </c>
      <c r="BQ1111" s="701">
        <v>0</v>
      </c>
      <c r="BR1111" s="701">
        <v>0</v>
      </c>
      <c r="BS1111" s="701"/>
      <c r="BT1111" s="701"/>
      <c r="BU1111" s="701"/>
      <c r="BV1111" s="701">
        <v>129.63452339172363</v>
      </c>
      <c r="BW1111" s="701">
        <v>129.63452339172363</v>
      </c>
      <c r="BX1111" s="701">
        <v>123.77338790893555</v>
      </c>
      <c r="BY1111" s="701">
        <v>120.84282112121582</v>
      </c>
      <c r="BZ1111" s="701">
        <v>117.91225242614746</v>
      </c>
      <c r="CA1111" s="701">
        <v>117.91225242614746</v>
      </c>
      <c r="CB1111" s="701">
        <v>51.685918807983398</v>
      </c>
      <c r="CC1111" s="701">
        <v>51.685918807983398</v>
      </c>
      <c r="CD1111" s="701">
        <v>0</v>
      </c>
      <c r="CE1111" s="701">
        <v>0</v>
      </c>
      <c r="CF1111" s="701">
        <v>0</v>
      </c>
      <c r="CG1111" s="701">
        <v>0</v>
      </c>
      <c r="CH1111" s="701">
        <v>0</v>
      </c>
      <c r="CI1111" s="701">
        <v>0</v>
      </c>
      <c r="CJ1111" s="701">
        <v>0</v>
      </c>
      <c r="CK1111" s="701">
        <v>0</v>
      </c>
      <c r="CL1111" s="701">
        <v>0</v>
      </c>
      <c r="CM1111" s="701">
        <v>0</v>
      </c>
      <c r="CN1111" s="701">
        <v>0</v>
      </c>
      <c r="CO1111" s="701">
        <v>0</v>
      </c>
      <c r="CP1111" s="701">
        <v>0</v>
      </c>
      <c r="CQ1111" s="701">
        <v>0</v>
      </c>
      <c r="CR1111" s="701">
        <v>0</v>
      </c>
    </row>
    <row r="1112" spans="1:96" s="53" customFormat="1">
      <c r="A1112" s="694" t="s">
        <v>3</v>
      </c>
      <c r="B1112" s="705">
        <v>41751</v>
      </c>
      <c r="C1112" s="694">
        <v>2014</v>
      </c>
      <c r="D1112" s="694" t="s">
        <v>657</v>
      </c>
      <c r="E1112" s="694" t="s">
        <v>657</v>
      </c>
      <c r="F1112" s="694" t="s">
        <v>17</v>
      </c>
      <c r="G1112" s="694" t="s">
        <v>656</v>
      </c>
      <c r="H1112" s="694" t="s">
        <v>5</v>
      </c>
      <c r="I1112" s="694" t="s">
        <v>655</v>
      </c>
      <c r="J1112" s="694">
        <v>3</v>
      </c>
      <c r="K1112" s="694" t="s">
        <v>654</v>
      </c>
      <c r="L1112" s="694" t="s">
        <v>653</v>
      </c>
      <c r="M1112" s="694">
        <v>15</v>
      </c>
      <c r="N1112" s="694">
        <v>5.16E-2</v>
      </c>
      <c r="O1112" s="704">
        <v>682</v>
      </c>
      <c r="P1112" s="704">
        <v>6.2751040220073995E-2</v>
      </c>
      <c r="Q1112" s="704">
        <v>592.00952088475151</v>
      </c>
      <c r="R1112" s="704">
        <v>7726.533447265625</v>
      </c>
      <c r="S1112" s="704">
        <v>7726.533447265625</v>
      </c>
      <c r="T1112" s="704">
        <v>1184.01904296875</v>
      </c>
      <c r="U1112" s="704">
        <v>6.2751037999987602E-2</v>
      </c>
      <c r="V1112" s="704">
        <v>0.86804914474487305</v>
      </c>
      <c r="W1112" s="703">
        <v>1.2161054611206055</v>
      </c>
      <c r="X1112" s="703">
        <v>0</v>
      </c>
      <c r="Y1112" s="703">
        <v>0</v>
      </c>
      <c r="Z1112" s="703"/>
      <c r="AA1112" s="703">
        <v>1</v>
      </c>
      <c r="AB1112" s="703">
        <v>0</v>
      </c>
      <c r="AC1112" s="703">
        <v>0</v>
      </c>
      <c r="AD1112" s="703"/>
      <c r="AE1112" s="703">
        <v>1</v>
      </c>
      <c r="AF1112" s="703"/>
      <c r="AG1112" s="694"/>
      <c r="AH1112" s="694"/>
      <c r="AI1112" s="694"/>
      <c r="AJ1112" s="694">
        <v>229.20000004768372</v>
      </c>
      <c r="AK1112" s="702" t="s">
        <v>7</v>
      </c>
      <c r="AL1112" s="694">
        <v>0</v>
      </c>
      <c r="AM1112" s="701">
        <v>0</v>
      </c>
      <c r="AN1112" s="701">
        <v>0</v>
      </c>
      <c r="AO1112" s="701"/>
      <c r="AP1112" s="701"/>
      <c r="AQ1112" s="701"/>
      <c r="AR1112" s="701"/>
      <c r="AS1112" s="701"/>
      <c r="AT1112" s="701"/>
      <c r="AU1112" s="701"/>
      <c r="AV1112" s="701">
        <v>6.2751037999987602E-2</v>
      </c>
      <c r="AW1112" s="701">
        <v>6.2751037999987602E-2</v>
      </c>
      <c r="AX1112" s="701">
        <v>6.152784451842308E-2</v>
      </c>
      <c r="AY1112" s="701">
        <v>6.091624777764082E-2</v>
      </c>
      <c r="AZ1112" s="701">
        <v>6.0304651036858559E-2</v>
      </c>
      <c r="BA1112" s="701">
        <v>6.0304651036858559E-2</v>
      </c>
      <c r="BB1112" s="701">
        <v>6.0304651036858559E-2</v>
      </c>
      <c r="BC1112" s="701">
        <v>6.0304651036858559E-2</v>
      </c>
      <c r="BD1112" s="701">
        <v>5.5987497791647911E-2</v>
      </c>
      <c r="BE1112" s="701">
        <v>5.5987497791647911E-2</v>
      </c>
      <c r="BF1112" s="701">
        <v>5.5987497791647911E-2</v>
      </c>
      <c r="BG1112" s="701">
        <v>5.5987497791647911E-2</v>
      </c>
      <c r="BH1112" s="701">
        <v>5.5987497791647911E-2</v>
      </c>
      <c r="BI1112" s="701">
        <v>5.5987497791647911E-2</v>
      </c>
      <c r="BJ1112" s="701">
        <v>5.5987497791647911E-2</v>
      </c>
      <c r="BK1112" s="701">
        <v>0</v>
      </c>
      <c r="BL1112" s="701">
        <v>0</v>
      </c>
      <c r="BM1112" s="701">
        <v>0</v>
      </c>
      <c r="BN1112" s="701">
        <v>0</v>
      </c>
      <c r="BO1112" s="701">
        <v>0</v>
      </c>
      <c r="BP1112" s="701">
        <v>0</v>
      </c>
      <c r="BQ1112" s="701">
        <v>0</v>
      </c>
      <c r="BR1112" s="701">
        <v>0</v>
      </c>
      <c r="BS1112" s="701"/>
      <c r="BT1112" s="701"/>
      <c r="BU1112" s="701"/>
      <c r="BV1112" s="701">
        <v>592.009521484375</v>
      </c>
      <c r="BW1112" s="701">
        <v>592.009521484375</v>
      </c>
      <c r="BX1112" s="701">
        <v>568.56497955322266</v>
      </c>
      <c r="BY1112" s="701">
        <v>556.84271240234375</v>
      </c>
      <c r="BZ1112" s="701">
        <v>545.12043762207031</v>
      </c>
      <c r="CA1112" s="701">
        <v>545.12043762207031</v>
      </c>
      <c r="CB1112" s="701">
        <v>545.12043762207031</v>
      </c>
      <c r="CC1112" s="701">
        <v>545.12043762207031</v>
      </c>
      <c r="CD1112" s="701">
        <v>462.375</v>
      </c>
      <c r="CE1112" s="701">
        <v>462.375</v>
      </c>
      <c r="CF1112" s="701">
        <v>462.375</v>
      </c>
      <c r="CG1112" s="701">
        <v>462.375</v>
      </c>
      <c r="CH1112" s="701">
        <v>462.375</v>
      </c>
      <c r="CI1112" s="701">
        <v>462.375</v>
      </c>
      <c r="CJ1112" s="701">
        <v>462.375</v>
      </c>
      <c r="CK1112" s="701">
        <v>0</v>
      </c>
      <c r="CL1112" s="701">
        <v>0</v>
      </c>
      <c r="CM1112" s="701">
        <v>0</v>
      </c>
      <c r="CN1112" s="701">
        <v>0</v>
      </c>
      <c r="CO1112" s="701">
        <v>0</v>
      </c>
      <c r="CP1112" s="701">
        <v>0</v>
      </c>
      <c r="CQ1112" s="701">
        <v>0</v>
      </c>
      <c r="CR1112" s="701">
        <v>0</v>
      </c>
    </row>
    <row r="1113" spans="1:96" s="53" customFormat="1">
      <c r="A1113" s="694" t="s">
        <v>3</v>
      </c>
      <c r="B1113" s="705">
        <v>41751</v>
      </c>
      <c r="C1113" s="694">
        <v>2014</v>
      </c>
      <c r="D1113" s="694" t="s">
        <v>657</v>
      </c>
      <c r="E1113" s="694" t="s">
        <v>657</v>
      </c>
      <c r="F1113" s="694" t="s">
        <v>17</v>
      </c>
      <c r="G1113" s="694" t="s">
        <v>658</v>
      </c>
      <c r="H1113" s="694" t="s">
        <v>5</v>
      </c>
      <c r="I1113" s="694" t="s">
        <v>655</v>
      </c>
      <c r="J1113" s="694">
        <v>4</v>
      </c>
      <c r="K1113" s="694" t="s">
        <v>654</v>
      </c>
      <c r="L1113" s="694" t="s">
        <v>653</v>
      </c>
      <c r="M1113" s="694">
        <v>20</v>
      </c>
      <c r="N1113" s="694">
        <v>0.62740000000000007</v>
      </c>
      <c r="O1113" s="704">
        <v>1915</v>
      </c>
      <c r="P1113" s="704">
        <v>0.59980072499868564</v>
      </c>
      <c r="Q1113" s="704">
        <v>2134.9100738429652</v>
      </c>
      <c r="R1113" s="704">
        <v>31063.76806640625</v>
      </c>
      <c r="S1113" s="704">
        <v>31063.76806640625</v>
      </c>
      <c r="T1113" s="704">
        <v>4269.8201293945312</v>
      </c>
      <c r="U1113" s="704">
        <v>0.59980074688792229</v>
      </c>
      <c r="V1113" s="704">
        <v>1.1148355007171631</v>
      </c>
      <c r="W1113" s="703">
        <v>0.95601010322570801</v>
      </c>
      <c r="X1113" s="703">
        <v>0</v>
      </c>
      <c r="Y1113" s="703">
        <v>0</v>
      </c>
      <c r="Z1113" s="703"/>
      <c r="AA1113" s="703">
        <v>1</v>
      </c>
      <c r="AB1113" s="703">
        <v>0</v>
      </c>
      <c r="AC1113" s="703">
        <v>0</v>
      </c>
      <c r="AD1113" s="703"/>
      <c r="AE1113" s="703">
        <v>1</v>
      </c>
      <c r="AF1113" s="703"/>
      <c r="AG1113" s="694"/>
      <c r="AH1113" s="694"/>
      <c r="AI1113" s="694"/>
      <c r="AJ1113" s="694">
        <v>1795.1599853038788</v>
      </c>
      <c r="AK1113" s="702" t="s">
        <v>7</v>
      </c>
      <c r="AL1113" s="694">
        <v>0</v>
      </c>
      <c r="AM1113" s="701">
        <v>0</v>
      </c>
      <c r="AN1113" s="701">
        <v>0</v>
      </c>
      <c r="AO1113" s="701"/>
      <c r="AP1113" s="701"/>
      <c r="AQ1113" s="701"/>
      <c r="AR1113" s="701"/>
      <c r="AS1113" s="701"/>
      <c r="AT1113" s="701"/>
      <c r="AU1113" s="701"/>
      <c r="AV1113" s="701">
        <v>0.59980074688792229</v>
      </c>
      <c r="AW1113" s="701">
        <v>0.59980074688792229</v>
      </c>
      <c r="AX1113" s="701">
        <v>0.59980074688792229</v>
      </c>
      <c r="AY1113" s="701">
        <v>0.59980074688792229</v>
      </c>
      <c r="AZ1113" s="701">
        <v>0.59980074688792229</v>
      </c>
      <c r="BA1113" s="701">
        <v>0.59980074688792229</v>
      </c>
      <c r="BB1113" s="701">
        <v>0.59980074688792229</v>
      </c>
      <c r="BC1113" s="701">
        <v>0.59980074688792229</v>
      </c>
      <c r="BD1113" s="701">
        <v>0.59980074688792229</v>
      </c>
      <c r="BE1113" s="701">
        <v>0.59980074688792229</v>
      </c>
      <c r="BF1113" s="701">
        <v>0.56508085876703262</v>
      </c>
      <c r="BG1113" s="701">
        <v>0.56508085876703262</v>
      </c>
      <c r="BH1113" s="701">
        <v>0.28942001610994339</v>
      </c>
      <c r="BI1113" s="701">
        <v>0.28942001610994339</v>
      </c>
      <c r="BJ1113" s="701">
        <v>0.28942001610994339</v>
      </c>
      <c r="BK1113" s="701">
        <v>0.25448876619338989</v>
      </c>
      <c r="BL1113" s="701">
        <v>0.25448876619338989</v>
      </c>
      <c r="BM1113" s="701">
        <v>0.25448876619338989</v>
      </c>
      <c r="BN1113" s="701">
        <v>0.25448876619338989</v>
      </c>
      <c r="BO1113" s="701">
        <v>0.25448876619338989</v>
      </c>
      <c r="BP1113" s="701">
        <v>0</v>
      </c>
      <c r="BQ1113" s="701">
        <v>0</v>
      </c>
      <c r="BR1113" s="701">
        <v>0</v>
      </c>
      <c r="BS1113" s="701"/>
      <c r="BT1113" s="701"/>
      <c r="BU1113" s="701"/>
      <c r="BV1113" s="701">
        <v>2134.9100646972656</v>
      </c>
      <c r="BW1113" s="701">
        <v>2134.9100646972656</v>
      </c>
      <c r="BX1113" s="701">
        <v>2134.9100646972656</v>
      </c>
      <c r="BY1113" s="701">
        <v>2134.9100646972656</v>
      </c>
      <c r="BZ1113" s="701">
        <v>2134.9100646972656</v>
      </c>
      <c r="CA1113" s="701">
        <v>2134.9100646972656</v>
      </c>
      <c r="CB1113" s="701">
        <v>2134.9100646972656</v>
      </c>
      <c r="CC1113" s="701">
        <v>2134.9100646972656</v>
      </c>
      <c r="CD1113" s="701">
        <v>2134.9100646972656</v>
      </c>
      <c r="CE1113" s="701">
        <v>2134.9100646972656</v>
      </c>
      <c r="CF1113" s="701">
        <v>1848.489990234375</v>
      </c>
      <c r="CG1113" s="701">
        <v>1848.489990234375</v>
      </c>
      <c r="CH1113" s="701">
        <v>932.5625</v>
      </c>
      <c r="CI1113" s="701">
        <v>932.5625</v>
      </c>
      <c r="CJ1113" s="701">
        <v>932.5625</v>
      </c>
      <c r="CK1113" s="701">
        <v>644</v>
      </c>
      <c r="CL1113" s="701">
        <v>644</v>
      </c>
      <c r="CM1113" s="701">
        <v>644</v>
      </c>
      <c r="CN1113" s="701">
        <v>644</v>
      </c>
      <c r="CO1113" s="701">
        <v>644</v>
      </c>
      <c r="CP1113" s="701">
        <v>0</v>
      </c>
      <c r="CQ1113" s="701">
        <v>0</v>
      </c>
      <c r="CR1113" s="701">
        <v>0</v>
      </c>
    </row>
    <row r="1114" spans="1:96" s="53" customFormat="1">
      <c r="A1114" s="694" t="s">
        <v>3</v>
      </c>
      <c r="B1114" s="705">
        <v>41808</v>
      </c>
      <c r="C1114" s="694">
        <v>2014</v>
      </c>
      <c r="D1114" s="694" t="s">
        <v>657</v>
      </c>
      <c r="E1114" s="694" t="s">
        <v>657</v>
      </c>
      <c r="F1114" s="694" t="s">
        <v>17</v>
      </c>
      <c r="G1114" s="694" t="s">
        <v>656</v>
      </c>
      <c r="H1114" s="694" t="s">
        <v>5</v>
      </c>
      <c r="I1114" s="694" t="s">
        <v>655</v>
      </c>
      <c r="J1114" s="694">
        <v>7</v>
      </c>
      <c r="K1114" s="694" t="s">
        <v>654</v>
      </c>
      <c r="L1114" s="694" t="s">
        <v>653</v>
      </c>
      <c r="M1114" s="694">
        <v>15</v>
      </c>
      <c r="N1114" s="694">
        <v>0.1323</v>
      </c>
      <c r="O1114" s="704">
        <v>1913</v>
      </c>
      <c r="P1114" s="704">
        <v>0.13500596805155707</v>
      </c>
      <c r="Q1114" s="704">
        <v>1299.6395928124305</v>
      </c>
      <c r="R1114" s="704">
        <v>14513.429534912109</v>
      </c>
      <c r="S1114" s="704">
        <v>14513.429534912109</v>
      </c>
      <c r="T1114" s="704">
        <v>2599.279182434082</v>
      </c>
      <c r="U1114" s="704">
        <v>0.13500596676021814</v>
      </c>
      <c r="V1114" s="704">
        <v>0.67937248945236206</v>
      </c>
      <c r="W1114" s="703">
        <v>1.0204532146453857</v>
      </c>
      <c r="X1114" s="703">
        <v>0</v>
      </c>
      <c r="Y1114" s="703">
        <v>0</v>
      </c>
      <c r="Z1114" s="703"/>
      <c r="AA1114" s="703">
        <v>1</v>
      </c>
      <c r="AB1114" s="703">
        <v>0</v>
      </c>
      <c r="AC1114" s="703">
        <v>0</v>
      </c>
      <c r="AD1114" s="703"/>
      <c r="AE1114" s="703">
        <v>1</v>
      </c>
      <c r="AF1114" s="703"/>
      <c r="AG1114" s="694"/>
      <c r="AH1114" s="694"/>
      <c r="AI1114" s="694"/>
      <c r="AJ1114" s="694">
        <v>286.79999995231628</v>
      </c>
      <c r="AK1114" s="702" t="s">
        <v>7</v>
      </c>
      <c r="AL1114" s="694">
        <v>0</v>
      </c>
      <c r="AM1114" s="701">
        <v>0</v>
      </c>
      <c r="AN1114" s="701">
        <v>0</v>
      </c>
      <c r="AO1114" s="701"/>
      <c r="AP1114" s="701"/>
      <c r="AQ1114" s="701"/>
      <c r="AR1114" s="701"/>
      <c r="AS1114" s="701"/>
      <c r="AT1114" s="701"/>
      <c r="AU1114" s="701"/>
      <c r="AV1114" s="701">
        <v>0.13500596676021814</v>
      </c>
      <c r="AW1114" s="701">
        <v>0.13500596676021814</v>
      </c>
      <c r="AX1114" s="701">
        <v>0.1325595797970891</v>
      </c>
      <c r="AY1114" s="701">
        <v>0.13133638631552458</v>
      </c>
      <c r="AZ1114" s="701">
        <v>0.13011319283396006</v>
      </c>
      <c r="BA1114" s="701">
        <v>0.13011319283396006</v>
      </c>
      <c r="BB1114" s="701">
        <v>0.12666096910834312</v>
      </c>
      <c r="BC1114" s="701">
        <v>0.12666096910834312</v>
      </c>
      <c r="BD1114" s="701">
        <v>0.11802666261792183</v>
      </c>
      <c r="BE1114" s="701">
        <v>0.11802666261792183</v>
      </c>
      <c r="BF1114" s="701">
        <v>6.7631248384714127E-2</v>
      </c>
      <c r="BG1114" s="701">
        <v>6.7631248384714127E-2</v>
      </c>
      <c r="BH1114" s="701">
        <v>6.7631248384714127E-2</v>
      </c>
      <c r="BI1114" s="701">
        <v>6.7631248384714127E-2</v>
      </c>
      <c r="BJ1114" s="701">
        <v>6.7631248384714127E-2</v>
      </c>
      <c r="BK1114" s="701">
        <v>0</v>
      </c>
      <c r="BL1114" s="701">
        <v>0</v>
      </c>
      <c r="BM1114" s="701">
        <v>0</v>
      </c>
      <c r="BN1114" s="701">
        <v>0</v>
      </c>
      <c r="BO1114" s="701">
        <v>0</v>
      </c>
      <c r="BP1114" s="701">
        <v>0</v>
      </c>
      <c r="BQ1114" s="701">
        <v>0</v>
      </c>
      <c r="BR1114" s="701">
        <v>0</v>
      </c>
      <c r="BS1114" s="701"/>
      <c r="BT1114" s="701"/>
      <c r="BU1114" s="701"/>
      <c r="BV1114" s="701">
        <v>1299.639591217041</v>
      </c>
      <c r="BW1114" s="701">
        <v>1299.639591217041</v>
      </c>
      <c r="BX1114" s="701">
        <v>1252.7505073547363</v>
      </c>
      <c r="BY1114" s="701">
        <v>1229.3059730529785</v>
      </c>
      <c r="BZ1114" s="701">
        <v>1205.8614234924316</v>
      </c>
      <c r="CA1114" s="701">
        <v>1205.8614234924316</v>
      </c>
      <c r="CB1114" s="701">
        <v>1139.6350898742676</v>
      </c>
      <c r="CC1114" s="701">
        <v>1139.6350898742676</v>
      </c>
      <c r="CD1114" s="701">
        <v>974.14421463012695</v>
      </c>
      <c r="CE1114" s="701">
        <v>974.14421463012695</v>
      </c>
      <c r="CF1114" s="701">
        <v>558.5625</v>
      </c>
      <c r="CG1114" s="701">
        <v>558.5625</v>
      </c>
      <c r="CH1114" s="701">
        <v>558.5625</v>
      </c>
      <c r="CI1114" s="701">
        <v>558.5625</v>
      </c>
      <c r="CJ1114" s="701">
        <v>558.5625</v>
      </c>
      <c r="CK1114" s="701">
        <v>0</v>
      </c>
      <c r="CL1114" s="701">
        <v>0</v>
      </c>
      <c r="CM1114" s="701">
        <v>0</v>
      </c>
      <c r="CN1114" s="701">
        <v>0</v>
      </c>
      <c r="CO1114" s="701">
        <v>0</v>
      </c>
      <c r="CP1114" s="701">
        <v>0</v>
      </c>
      <c r="CQ1114" s="701">
        <v>0</v>
      </c>
      <c r="CR1114" s="701">
        <v>0</v>
      </c>
    </row>
    <row r="1115" spans="1:96" s="53" customFormat="1">
      <c r="A1115" s="694" t="s">
        <v>3</v>
      </c>
      <c r="B1115" s="705">
        <v>41716</v>
      </c>
      <c r="C1115" s="694">
        <v>2014</v>
      </c>
      <c r="D1115" s="694" t="s">
        <v>657</v>
      </c>
      <c r="E1115" s="694" t="s">
        <v>657</v>
      </c>
      <c r="F1115" s="694" t="s">
        <v>17</v>
      </c>
      <c r="G1115" s="694" t="s">
        <v>658</v>
      </c>
      <c r="H1115" s="694" t="s">
        <v>5</v>
      </c>
      <c r="I1115" s="694" t="s">
        <v>655</v>
      </c>
      <c r="J1115" s="694">
        <v>4</v>
      </c>
      <c r="K1115" s="694" t="s">
        <v>654</v>
      </c>
      <c r="L1115" s="694" t="s">
        <v>653</v>
      </c>
      <c r="M1115" s="694">
        <v>20</v>
      </c>
      <c r="N1115" s="694">
        <v>21.2669</v>
      </c>
      <c r="O1115" s="704">
        <v>4957</v>
      </c>
      <c r="P1115" s="704">
        <v>1.7678266495948822</v>
      </c>
      <c r="Q1115" s="704">
        <v>4772.5380550026894</v>
      </c>
      <c r="R1115" s="704">
        <v>92993.418579101563</v>
      </c>
      <c r="S1115" s="704">
        <v>92993.418579101563</v>
      </c>
      <c r="T1115" s="704">
        <v>9545.0761108398437</v>
      </c>
      <c r="U1115" s="704">
        <v>1.7678267009032425</v>
      </c>
      <c r="V1115" s="704">
        <v>0.96278756856918335</v>
      </c>
      <c r="W1115" s="703">
        <v>8.3125732839107513E-2</v>
      </c>
      <c r="X1115" s="703">
        <v>0</v>
      </c>
      <c r="Y1115" s="703">
        <v>0</v>
      </c>
      <c r="Z1115" s="703"/>
      <c r="AA1115" s="703">
        <v>1</v>
      </c>
      <c r="AB1115" s="703">
        <v>0</v>
      </c>
      <c r="AC1115" s="703">
        <v>0</v>
      </c>
      <c r="AD1115" s="703"/>
      <c r="AE1115" s="703">
        <v>1</v>
      </c>
      <c r="AF1115" s="703"/>
      <c r="AG1115" s="694"/>
      <c r="AH1115" s="694"/>
      <c r="AI1115" s="694"/>
      <c r="AJ1115" s="694">
        <v>3136.2100098133087</v>
      </c>
      <c r="AK1115" s="702" t="s">
        <v>7</v>
      </c>
      <c r="AL1115" s="694">
        <v>0</v>
      </c>
      <c r="AM1115" s="701">
        <v>0</v>
      </c>
      <c r="AN1115" s="701">
        <v>0</v>
      </c>
      <c r="AO1115" s="701"/>
      <c r="AP1115" s="701"/>
      <c r="AQ1115" s="701"/>
      <c r="AR1115" s="701"/>
      <c r="AS1115" s="701"/>
      <c r="AT1115" s="701"/>
      <c r="AU1115" s="701"/>
      <c r="AV1115" s="701">
        <v>1.7678267009032425</v>
      </c>
      <c r="AW1115" s="701">
        <v>1.7678267009032425</v>
      </c>
      <c r="AX1115" s="701">
        <v>1.7678267009032425</v>
      </c>
      <c r="AY1115" s="701">
        <v>1.7678267009032425</v>
      </c>
      <c r="AZ1115" s="701">
        <v>1.7678267009032425</v>
      </c>
      <c r="BA1115" s="701">
        <v>1.7678267009032425</v>
      </c>
      <c r="BB1115" s="701">
        <v>1.7678267009032425</v>
      </c>
      <c r="BC1115" s="701">
        <v>1.7678267009032425</v>
      </c>
      <c r="BD1115" s="701">
        <v>1.7678267009032425</v>
      </c>
      <c r="BE1115" s="701">
        <v>1.7678267009032425</v>
      </c>
      <c r="BF1115" s="701">
        <v>1.7678267009032425</v>
      </c>
      <c r="BG1115" s="701">
        <v>1.7675629500299692</v>
      </c>
      <c r="BH1115" s="701">
        <v>1.7675629500299692</v>
      </c>
      <c r="BI1115" s="701">
        <v>1.7675629500299692</v>
      </c>
      <c r="BJ1115" s="701">
        <v>1.7675629500299692</v>
      </c>
      <c r="BK1115" s="701">
        <v>1.7442754507064819</v>
      </c>
      <c r="BL1115" s="701">
        <v>1.7442754507064819</v>
      </c>
      <c r="BM1115" s="701">
        <v>1.7442754507064819</v>
      </c>
      <c r="BN1115" s="701">
        <v>1.7442754507064819</v>
      </c>
      <c r="BO1115" s="701">
        <v>1.7442754507064819</v>
      </c>
      <c r="BP1115" s="701">
        <v>0</v>
      </c>
      <c r="BQ1115" s="701">
        <v>0</v>
      </c>
      <c r="BR1115" s="701">
        <v>0</v>
      </c>
      <c r="BS1115" s="701"/>
      <c r="BT1115" s="701"/>
      <c r="BU1115" s="701"/>
      <c r="BV1115" s="701">
        <v>4772.5380554199219</v>
      </c>
      <c r="BW1115" s="701">
        <v>4772.5380554199219</v>
      </c>
      <c r="BX1115" s="701">
        <v>4772.5380554199219</v>
      </c>
      <c r="BY1115" s="701">
        <v>4772.5380554199219</v>
      </c>
      <c r="BZ1115" s="701">
        <v>4772.5380554199219</v>
      </c>
      <c r="CA1115" s="701">
        <v>4772.5380554199219</v>
      </c>
      <c r="CB1115" s="701">
        <v>4772.5380554199219</v>
      </c>
      <c r="CC1115" s="701">
        <v>4772.5380554199219</v>
      </c>
      <c r="CD1115" s="701">
        <v>4772.5380554199219</v>
      </c>
      <c r="CE1115" s="701">
        <v>4772.5380554199219</v>
      </c>
      <c r="CF1115" s="701">
        <v>4772.5380554199219</v>
      </c>
      <c r="CG1115" s="701">
        <v>4606.375</v>
      </c>
      <c r="CH1115" s="701">
        <v>4606.375</v>
      </c>
      <c r="CI1115" s="701">
        <v>4606.375</v>
      </c>
      <c r="CJ1115" s="701">
        <v>4606.375</v>
      </c>
      <c r="CK1115" s="701">
        <v>4414</v>
      </c>
      <c r="CL1115" s="701">
        <v>4414</v>
      </c>
      <c r="CM1115" s="701">
        <v>4414</v>
      </c>
      <c r="CN1115" s="701">
        <v>4414</v>
      </c>
      <c r="CO1115" s="701">
        <v>4414</v>
      </c>
      <c r="CP1115" s="701">
        <v>0</v>
      </c>
      <c r="CQ1115" s="701">
        <v>0</v>
      </c>
      <c r="CR1115" s="701">
        <v>0</v>
      </c>
    </row>
    <row r="1116" spans="1:96" s="53" customFormat="1">
      <c r="A1116" s="694" t="s">
        <v>3</v>
      </c>
      <c r="B1116" s="705">
        <v>41740</v>
      </c>
      <c r="C1116" s="694">
        <v>2014</v>
      </c>
      <c r="D1116" s="694" t="s">
        <v>657</v>
      </c>
      <c r="E1116" s="694" t="s">
        <v>657</v>
      </c>
      <c r="F1116" s="694" t="s">
        <v>17</v>
      </c>
      <c r="G1116" s="694" t="s">
        <v>656</v>
      </c>
      <c r="H1116" s="694" t="s">
        <v>5</v>
      </c>
      <c r="I1116" s="694" t="s">
        <v>655</v>
      </c>
      <c r="J1116" s="694">
        <v>6</v>
      </c>
      <c r="K1116" s="694" t="s">
        <v>654</v>
      </c>
      <c r="L1116" s="694" t="s">
        <v>653</v>
      </c>
      <c r="M1116" s="694">
        <v>15</v>
      </c>
      <c r="N1116" s="694">
        <v>0.157</v>
      </c>
      <c r="O1116" s="704">
        <v>1850</v>
      </c>
      <c r="P1116" s="704">
        <v>0.15989074245361601</v>
      </c>
      <c r="Q1116" s="704">
        <v>1534.5260284878682</v>
      </c>
      <c r="R1116" s="704">
        <v>17547.094436645508</v>
      </c>
      <c r="S1116" s="704">
        <v>17547.094436645508</v>
      </c>
      <c r="T1116" s="704">
        <v>3057.9283752441406</v>
      </c>
      <c r="U1116" s="704">
        <v>0.15931495325639844</v>
      </c>
      <c r="V1116" s="704">
        <v>0.82947355508804321</v>
      </c>
      <c r="W1116" s="703">
        <v>1.0184123516082764</v>
      </c>
      <c r="X1116" s="703">
        <v>0</v>
      </c>
      <c r="Y1116" s="703">
        <v>0</v>
      </c>
      <c r="Z1116" s="703"/>
      <c r="AA1116" s="703">
        <v>1</v>
      </c>
      <c r="AB1116" s="703">
        <v>0</v>
      </c>
      <c r="AC1116" s="703">
        <v>0</v>
      </c>
      <c r="AD1116" s="703"/>
      <c r="AE1116" s="703">
        <v>1</v>
      </c>
      <c r="AF1116" s="703"/>
      <c r="AG1116" s="694"/>
      <c r="AH1116" s="694"/>
      <c r="AI1116" s="694"/>
      <c r="AJ1116" s="694">
        <v>898.70000004768372</v>
      </c>
      <c r="AK1116" s="702" t="s">
        <v>7</v>
      </c>
      <c r="AL1116" s="694">
        <v>0</v>
      </c>
      <c r="AM1116" s="701">
        <v>0</v>
      </c>
      <c r="AN1116" s="701">
        <v>0</v>
      </c>
      <c r="AO1116" s="701"/>
      <c r="AP1116" s="701"/>
      <c r="AQ1116" s="701"/>
      <c r="AR1116" s="701"/>
      <c r="AS1116" s="701"/>
      <c r="AT1116" s="701"/>
      <c r="AU1116" s="701"/>
      <c r="AV1116" s="701">
        <v>0.15989073901437223</v>
      </c>
      <c r="AW1116" s="701">
        <v>0.15931495325639844</v>
      </c>
      <c r="AX1116" s="701">
        <v>0.15593150060158223</v>
      </c>
      <c r="AY1116" s="701">
        <v>0.15451103716623038</v>
      </c>
      <c r="AZ1116" s="701">
        <v>0.15328784368466586</v>
      </c>
      <c r="BA1116" s="701">
        <v>0.15328784368466586</v>
      </c>
      <c r="BB1116" s="701">
        <v>0.15328784368466586</v>
      </c>
      <c r="BC1116" s="701">
        <v>0.15328784368466586</v>
      </c>
      <c r="BD1116" s="701">
        <v>0.14010738395154476</v>
      </c>
      <c r="BE1116" s="701">
        <v>0.14010738395154476</v>
      </c>
      <c r="BF1116" s="701">
        <v>0.1053874958306551</v>
      </c>
      <c r="BG1116" s="701">
        <v>0.1053874958306551</v>
      </c>
      <c r="BH1116" s="701">
        <v>0.1053874958306551</v>
      </c>
      <c r="BI1116" s="701">
        <v>0.1053874958306551</v>
      </c>
      <c r="BJ1116" s="701">
        <v>2.3287499323487282E-2</v>
      </c>
      <c r="BK1116" s="701">
        <v>0</v>
      </c>
      <c r="BL1116" s="701">
        <v>0</v>
      </c>
      <c r="BM1116" s="701">
        <v>0</v>
      </c>
      <c r="BN1116" s="701">
        <v>0</v>
      </c>
      <c r="BO1116" s="701">
        <v>0</v>
      </c>
      <c r="BP1116" s="701">
        <v>0</v>
      </c>
      <c r="BQ1116" s="701">
        <v>0</v>
      </c>
      <c r="BR1116" s="701">
        <v>0</v>
      </c>
      <c r="BS1116" s="701"/>
      <c r="BT1116" s="701"/>
      <c r="BU1116" s="701"/>
      <c r="BV1116" s="701">
        <v>1534.5260314941406</v>
      </c>
      <c r="BW1116" s="701">
        <v>1523.4023551940918</v>
      </c>
      <c r="BX1116" s="701">
        <v>1458.2873916625977</v>
      </c>
      <c r="BY1116" s="701">
        <v>1431.038366317749</v>
      </c>
      <c r="BZ1116" s="701">
        <v>1407.5938167572021</v>
      </c>
      <c r="CA1116" s="701">
        <v>1407.5938167572021</v>
      </c>
      <c r="CB1116" s="701">
        <v>1407.5938167572021</v>
      </c>
      <c r="CC1116" s="701">
        <v>1407.5938167572021</v>
      </c>
      <c r="CD1116" s="701">
        <v>1153.7950744628906</v>
      </c>
      <c r="CE1116" s="701">
        <v>1153.7950744628906</v>
      </c>
      <c r="CF1116" s="701">
        <v>867.375</v>
      </c>
      <c r="CG1116" s="701">
        <v>867.375</v>
      </c>
      <c r="CH1116" s="701">
        <v>867.375</v>
      </c>
      <c r="CI1116" s="701">
        <v>867.375</v>
      </c>
      <c r="CJ1116" s="701">
        <v>192.375</v>
      </c>
      <c r="CK1116" s="701">
        <v>0</v>
      </c>
      <c r="CL1116" s="701">
        <v>0</v>
      </c>
      <c r="CM1116" s="701">
        <v>0</v>
      </c>
      <c r="CN1116" s="701">
        <v>0</v>
      </c>
      <c r="CO1116" s="701">
        <v>0</v>
      </c>
      <c r="CP1116" s="701">
        <v>0</v>
      </c>
      <c r="CQ1116" s="701">
        <v>0</v>
      </c>
      <c r="CR1116" s="701">
        <v>0</v>
      </c>
    </row>
    <row r="1117" spans="1:96" s="53" customFormat="1">
      <c r="A1117" s="694" t="s">
        <v>3</v>
      </c>
      <c r="B1117" s="705">
        <v>41779</v>
      </c>
      <c r="C1117" s="694">
        <v>2014</v>
      </c>
      <c r="D1117" s="694" t="s">
        <v>657</v>
      </c>
      <c r="E1117" s="694" t="s">
        <v>657</v>
      </c>
      <c r="F1117" s="694" t="s">
        <v>17</v>
      </c>
      <c r="G1117" s="694" t="s">
        <v>658</v>
      </c>
      <c r="H1117" s="694" t="s">
        <v>5</v>
      </c>
      <c r="I1117" s="694" t="s">
        <v>655</v>
      </c>
      <c r="J1117" s="694">
        <v>6</v>
      </c>
      <c r="K1117" s="694" t="s">
        <v>654</v>
      </c>
      <c r="L1117" s="694" t="s">
        <v>653</v>
      </c>
      <c r="M1117" s="694">
        <v>20</v>
      </c>
      <c r="N1117" s="694">
        <v>1.0671999999999999</v>
      </c>
      <c r="O1117" s="704">
        <v>3615</v>
      </c>
      <c r="P1117" s="704">
        <v>1.0783615175637331</v>
      </c>
      <c r="Q1117" s="704">
        <v>3294.7404987461896</v>
      </c>
      <c r="R1117" s="704">
        <v>58439.262481689453</v>
      </c>
      <c r="S1117" s="704">
        <v>58439.262481689453</v>
      </c>
      <c r="T1117" s="704">
        <v>6588.4845428466797</v>
      </c>
      <c r="U1117" s="704">
        <v>1.0783103608991951</v>
      </c>
      <c r="V1117" s="704">
        <v>0.9114081859588623</v>
      </c>
      <c r="W1117" s="703">
        <v>1.0104587078094482</v>
      </c>
      <c r="X1117" s="703">
        <v>0</v>
      </c>
      <c r="Y1117" s="703">
        <v>0</v>
      </c>
      <c r="Z1117" s="703"/>
      <c r="AA1117" s="703">
        <v>1</v>
      </c>
      <c r="AB1117" s="703">
        <v>0</v>
      </c>
      <c r="AC1117" s="703">
        <v>0</v>
      </c>
      <c r="AD1117" s="703"/>
      <c r="AE1117" s="703">
        <v>1</v>
      </c>
      <c r="AF1117" s="703"/>
      <c r="AG1117" s="694"/>
      <c r="AH1117" s="694"/>
      <c r="AI1117" s="694"/>
      <c r="AJ1117" s="694">
        <v>2115.8700439929962</v>
      </c>
      <c r="AK1117" s="702" t="s">
        <v>7</v>
      </c>
      <c r="AL1117" s="694">
        <v>0</v>
      </c>
      <c r="AM1117" s="701">
        <v>0</v>
      </c>
      <c r="AN1117" s="701">
        <v>0</v>
      </c>
      <c r="AO1117" s="701"/>
      <c r="AP1117" s="701"/>
      <c r="AQ1117" s="701"/>
      <c r="AR1117" s="701"/>
      <c r="AS1117" s="701"/>
      <c r="AT1117" s="701"/>
      <c r="AU1117" s="701"/>
      <c r="AV1117" s="701">
        <v>1.0783615298569202</v>
      </c>
      <c r="AW1117" s="701">
        <v>1.0783103608991951</v>
      </c>
      <c r="AX1117" s="701">
        <v>1.0763720171526074</v>
      </c>
      <c r="AY1117" s="701">
        <v>1.0756075214594603</v>
      </c>
      <c r="AZ1117" s="701">
        <v>1.0748430253006518</v>
      </c>
      <c r="BA1117" s="701">
        <v>1.0748430253006518</v>
      </c>
      <c r="BB1117" s="701">
        <v>1.0748430253006518</v>
      </c>
      <c r="BC1117" s="701">
        <v>1.0748430253006518</v>
      </c>
      <c r="BD1117" s="701">
        <v>1.0677653169259429</v>
      </c>
      <c r="BE1117" s="701">
        <v>1.0677653169259429</v>
      </c>
      <c r="BF1117" s="701">
        <v>1.0230647567659616</v>
      </c>
      <c r="BG1117" s="701">
        <v>1.0230647567659616</v>
      </c>
      <c r="BH1117" s="701">
        <v>1.0230647567659616</v>
      </c>
      <c r="BI1117" s="701">
        <v>1.0230647567659616</v>
      </c>
      <c r="BJ1117" s="701">
        <v>1.0230647567659616</v>
      </c>
      <c r="BK1117" s="701">
        <v>0.99977725744247437</v>
      </c>
      <c r="BL1117" s="701">
        <v>0.99977725744247437</v>
      </c>
      <c r="BM1117" s="701">
        <v>0.99977725744247437</v>
      </c>
      <c r="BN1117" s="701">
        <v>0.99977725744247437</v>
      </c>
      <c r="BO1117" s="701">
        <v>0.99977725744247437</v>
      </c>
      <c r="BP1117" s="701">
        <v>0</v>
      </c>
      <c r="BQ1117" s="701">
        <v>0</v>
      </c>
      <c r="BR1117" s="701">
        <v>0</v>
      </c>
      <c r="BS1117" s="701"/>
      <c r="BT1117" s="701"/>
      <c r="BU1117" s="701"/>
      <c r="BV1117" s="701">
        <v>3294.7404975891113</v>
      </c>
      <c r="BW1117" s="701">
        <v>3293.7440490722656</v>
      </c>
      <c r="BX1117" s="701">
        <v>3256.4667778015137</v>
      </c>
      <c r="BY1117" s="701">
        <v>3241.8139457702637</v>
      </c>
      <c r="BZ1117" s="701">
        <v>3227.1611061096191</v>
      </c>
      <c r="CA1117" s="701">
        <v>3227.1611061096191</v>
      </c>
      <c r="CB1117" s="701">
        <v>3227.1611061096191</v>
      </c>
      <c r="CC1117" s="701">
        <v>3227.1611061096191</v>
      </c>
      <c r="CD1117" s="701">
        <v>3090.9888458251953</v>
      </c>
      <c r="CE1117" s="701">
        <v>3090.9888458251953</v>
      </c>
      <c r="CF1117" s="701">
        <v>2722.375</v>
      </c>
      <c r="CG1117" s="701">
        <v>2722.375</v>
      </c>
      <c r="CH1117" s="701">
        <v>2722.375</v>
      </c>
      <c r="CI1117" s="701">
        <v>2722.375</v>
      </c>
      <c r="CJ1117" s="701">
        <v>2722.375</v>
      </c>
      <c r="CK1117" s="701">
        <v>2530</v>
      </c>
      <c r="CL1117" s="701">
        <v>2530</v>
      </c>
      <c r="CM1117" s="701">
        <v>2530</v>
      </c>
      <c r="CN1117" s="701">
        <v>2530</v>
      </c>
      <c r="CO1117" s="701">
        <v>2530</v>
      </c>
      <c r="CP1117" s="701">
        <v>0</v>
      </c>
      <c r="CQ1117" s="701">
        <v>0</v>
      </c>
      <c r="CR1117" s="701">
        <v>0</v>
      </c>
    </row>
    <row r="1118" spans="1:96" s="53" customFormat="1">
      <c r="A1118" s="694" t="s">
        <v>3</v>
      </c>
      <c r="B1118" s="705">
        <v>41849</v>
      </c>
      <c r="C1118" s="694">
        <v>2014</v>
      </c>
      <c r="D1118" s="694" t="s">
        <v>657</v>
      </c>
      <c r="E1118" s="694" t="s">
        <v>657</v>
      </c>
      <c r="F1118" s="694" t="s">
        <v>17</v>
      </c>
      <c r="G1118" s="694" t="s">
        <v>658</v>
      </c>
      <c r="H1118" s="694" t="s">
        <v>5</v>
      </c>
      <c r="I1118" s="694" t="s">
        <v>655</v>
      </c>
      <c r="J1118" s="694">
        <v>7</v>
      </c>
      <c r="K1118" s="694" t="s">
        <v>654</v>
      </c>
      <c r="L1118" s="694" t="s">
        <v>653</v>
      </c>
      <c r="M1118" s="694">
        <v>20</v>
      </c>
      <c r="N1118" s="694">
        <v>0.19400000000000001</v>
      </c>
      <c r="O1118" s="704">
        <v>1464.5</v>
      </c>
      <c r="P1118" s="704">
        <v>0.20435228103031219</v>
      </c>
      <c r="Q1118" s="704">
        <v>1168.7574244215298</v>
      </c>
      <c r="R1118" s="704">
        <v>14439.365631103516</v>
      </c>
      <c r="S1118" s="704">
        <v>14439.365631103516</v>
      </c>
      <c r="T1118" s="704">
        <v>2318.2568511962891</v>
      </c>
      <c r="U1118" s="704">
        <v>0.20335421222262084</v>
      </c>
      <c r="V1118" s="704">
        <v>0.79805898666381836</v>
      </c>
      <c r="W1118" s="703">
        <v>1.053362250328064</v>
      </c>
      <c r="X1118" s="703">
        <v>0</v>
      </c>
      <c r="Y1118" s="703">
        <v>0</v>
      </c>
      <c r="Z1118" s="703"/>
      <c r="AA1118" s="703">
        <v>1</v>
      </c>
      <c r="AB1118" s="703">
        <v>0</v>
      </c>
      <c r="AC1118" s="703">
        <v>0</v>
      </c>
      <c r="AD1118" s="703"/>
      <c r="AE1118" s="703">
        <v>1</v>
      </c>
      <c r="AF1118" s="703"/>
      <c r="AG1118" s="694"/>
      <c r="AH1118" s="694"/>
      <c r="AI1118" s="694"/>
      <c r="AJ1118" s="694">
        <v>1818.2100098133087</v>
      </c>
      <c r="AK1118" s="702" t="s">
        <v>7</v>
      </c>
      <c r="AL1118" s="694">
        <v>0</v>
      </c>
      <c r="AM1118" s="701">
        <v>0</v>
      </c>
      <c r="AN1118" s="701">
        <v>0</v>
      </c>
      <c r="AO1118" s="701"/>
      <c r="AP1118" s="701"/>
      <c r="AQ1118" s="701"/>
      <c r="AR1118" s="701"/>
      <c r="AS1118" s="701"/>
      <c r="AT1118" s="701"/>
      <c r="AU1118" s="701"/>
      <c r="AV1118" s="701">
        <v>0.20435227686539292</v>
      </c>
      <c r="AW1118" s="701">
        <v>0.20335421222262084</v>
      </c>
      <c r="AX1118" s="701">
        <v>0.20056754839606583</v>
      </c>
      <c r="AY1118" s="701">
        <v>0.19910271395929158</v>
      </c>
      <c r="AZ1118" s="701">
        <v>0.19803241943009198</v>
      </c>
      <c r="BA1118" s="701">
        <v>0.19803241943009198</v>
      </c>
      <c r="BB1118" s="701">
        <v>0.19458019570447505</v>
      </c>
      <c r="BC1118" s="701">
        <v>0.19458019570447505</v>
      </c>
      <c r="BD1118" s="701">
        <v>0.17325408197939396</v>
      </c>
      <c r="BE1118" s="701">
        <v>0.17325408197939396</v>
      </c>
      <c r="BF1118" s="701">
        <v>0.17325408197939396</v>
      </c>
      <c r="BG1118" s="701">
        <v>0.17325408197939396</v>
      </c>
      <c r="BH1118" s="701">
        <v>0.17325408197939396</v>
      </c>
      <c r="BI1118" s="701">
        <v>0.17325408197939396</v>
      </c>
      <c r="BJ1118" s="701">
        <v>0.17325408197939396</v>
      </c>
      <c r="BK1118" s="701">
        <v>0.14996658265590668</v>
      </c>
      <c r="BL1118" s="701">
        <v>0.14996658265590668</v>
      </c>
      <c r="BM1118" s="701">
        <v>0.14996658265590668</v>
      </c>
      <c r="BN1118" s="701">
        <v>0.14996658265590668</v>
      </c>
      <c r="BO1118" s="701">
        <v>0.14996658265590668</v>
      </c>
      <c r="BP1118" s="701">
        <v>0</v>
      </c>
      <c r="BQ1118" s="701">
        <v>0</v>
      </c>
      <c r="BR1118" s="701">
        <v>0</v>
      </c>
      <c r="BS1118" s="701"/>
      <c r="BT1118" s="701"/>
      <c r="BU1118" s="701"/>
      <c r="BV1118" s="701">
        <v>1168.7574348449707</v>
      </c>
      <c r="BW1118" s="701">
        <v>1149.4994277954102</v>
      </c>
      <c r="BX1118" s="701">
        <v>1095.9344902038574</v>
      </c>
      <c r="BY1118" s="701">
        <v>1067.8115463256836</v>
      </c>
      <c r="BZ1118" s="701">
        <v>1047.2975692749023</v>
      </c>
      <c r="CA1118" s="701">
        <v>1047.2975692749023</v>
      </c>
      <c r="CB1118" s="701">
        <v>981.07123565673828</v>
      </c>
      <c r="CC1118" s="701">
        <v>981.07123565673828</v>
      </c>
      <c r="CD1118" s="701">
        <v>571.875</v>
      </c>
      <c r="CE1118" s="701">
        <v>571.875</v>
      </c>
      <c r="CF1118" s="701">
        <v>571.875</v>
      </c>
      <c r="CG1118" s="701">
        <v>571.875</v>
      </c>
      <c r="CH1118" s="701">
        <v>571.875</v>
      </c>
      <c r="CI1118" s="701">
        <v>571.875</v>
      </c>
      <c r="CJ1118" s="701">
        <v>571.875</v>
      </c>
      <c r="CK1118" s="701">
        <v>379.5</v>
      </c>
      <c r="CL1118" s="701">
        <v>379.5</v>
      </c>
      <c r="CM1118" s="701">
        <v>379.5</v>
      </c>
      <c r="CN1118" s="701">
        <v>379.5</v>
      </c>
      <c r="CO1118" s="701">
        <v>379.5</v>
      </c>
      <c r="CP1118" s="701">
        <v>0</v>
      </c>
      <c r="CQ1118" s="701">
        <v>0</v>
      </c>
      <c r="CR1118" s="701">
        <v>0</v>
      </c>
    </row>
    <row r="1119" spans="1:96" s="53" customFormat="1">
      <c r="A1119" s="694" t="s">
        <v>3</v>
      </c>
      <c r="B1119" s="705">
        <v>41800</v>
      </c>
      <c r="C1119" s="694">
        <v>2014</v>
      </c>
      <c r="D1119" s="694" t="s">
        <v>657</v>
      </c>
      <c r="E1119" s="694" t="s">
        <v>657</v>
      </c>
      <c r="F1119" s="694" t="s">
        <v>17</v>
      </c>
      <c r="G1119" s="694" t="s">
        <v>656</v>
      </c>
      <c r="H1119" s="694" t="s">
        <v>5</v>
      </c>
      <c r="I1119" s="694" t="s">
        <v>655</v>
      </c>
      <c r="J1119" s="694">
        <v>1</v>
      </c>
      <c r="K1119" s="694" t="s">
        <v>654</v>
      </c>
      <c r="L1119" s="694" t="s">
        <v>653</v>
      </c>
      <c r="M1119" s="694">
        <v>14</v>
      </c>
      <c r="N1119" s="694">
        <v>9.4100000000000003E-2</v>
      </c>
      <c r="O1119" s="704">
        <v>675</v>
      </c>
      <c r="P1119" s="704">
        <v>8.2100000000000006E-2</v>
      </c>
      <c r="Q1119" s="704">
        <v>675</v>
      </c>
      <c r="R1119" s="704">
        <v>9450</v>
      </c>
      <c r="S1119" s="704">
        <v>9450</v>
      </c>
      <c r="T1119" s="704">
        <v>1350</v>
      </c>
      <c r="U1119" s="704">
        <v>8.2099996507167816E-2</v>
      </c>
      <c r="V1119" s="704">
        <v>1</v>
      </c>
      <c r="W1119" s="703">
        <v>0.87247610092163086</v>
      </c>
      <c r="X1119" s="703">
        <v>0</v>
      </c>
      <c r="Y1119" s="703">
        <v>0</v>
      </c>
      <c r="Z1119" s="703"/>
      <c r="AA1119" s="703">
        <v>1</v>
      </c>
      <c r="AB1119" s="703">
        <v>0</v>
      </c>
      <c r="AC1119" s="703">
        <v>0</v>
      </c>
      <c r="AD1119" s="703"/>
      <c r="AE1119" s="703">
        <v>1</v>
      </c>
      <c r="AF1119" s="703"/>
      <c r="AG1119" s="694"/>
      <c r="AH1119" s="694"/>
      <c r="AI1119" s="694"/>
      <c r="AJ1119" s="694">
        <v>900</v>
      </c>
      <c r="AK1119" s="702" t="s">
        <v>7</v>
      </c>
      <c r="AL1119" s="694">
        <v>0</v>
      </c>
      <c r="AM1119" s="701">
        <v>0</v>
      </c>
      <c r="AN1119" s="701">
        <v>0</v>
      </c>
      <c r="AO1119" s="701"/>
      <c r="AP1119" s="701"/>
      <c r="AQ1119" s="701"/>
      <c r="AR1119" s="701"/>
      <c r="AS1119" s="701"/>
      <c r="AT1119" s="701"/>
      <c r="AU1119" s="701"/>
      <c r="AV1119" s="701">
        <v>8.2099996507167816E-2</v>
      </c>
      <c r="AW1119" s="701">
        <v>8.2099996507167816E-2</v>
      </c>
      <c r="AX1119" s="701">
        <v>8.2099996507167816E-2</v>
      </c>
      <c r="AY1119" s="701">
        <v>8.2099996507167816E-2</v>
      </c>
      <c r="AZ1119" s="701">
        <v>8.2099996507167816E-2</v>
      </c>
      <c r="BA1119" s="701">
        <v>8.2099996507167816E-2</v>
      </c>
      <c r="BB1119" s="701">
        <v>8.2099996507167816E-2</v>
      </c>
      <c r="BC1119" s="701">
        <v>8.2099996507167816E-2</v>
      </c>
      <c r="BD1119" s="701">
        <v>8.2099996507167816E-2</v>
      </c>
      <c r="BE1119" s="701">
        <v>8.2099996507167816E-2</v>
      </c>
      <c r="BF1119" s="701">
        <v>8.2099996507167816E-2</v>
      </c>
      <c r="BG1119" s="701">
        <v>8.2099996507167816E-2</v>
      </c>
      <c r="BH1119" s="701">
        <v>8.2099996507167816E-2</v>
      </c>
      <c r="BI1119" s="701">
        <v>8.2099996507167816E-2</v>
      </c>
      <c r="BJ1119" s="701">
        <v>0</v>
      </c>
      <c r="BK1119" s="701">
        <v>0</v>
      </c>
      <c r="BL1119" s="701">
        <v>0</v>
      </c>
      <c r="BM1119" s="701">
        <v>0</v>
      </c>
      <c r="BN1119" s="701">
        <v>0</v>
      </c>
      <c r="BO1119" s="701">
        <v>0</v>
      </c>
      <c r="BP1119" s="701">
        <v>0</v>
      </c>
      <c r="BQ1119" s="701">
        <v>0</v>
      </c>
      <c r="BR1119" s="701">
        <v>0</v>
      </c>
      <c r="BS1119" s="701"/>
      <c r="BT1119" s="701"/>
      <c r="BU1119" s="701"/>
      <c r="BV1119" s="701">
        <v>675</v>
      </c>
      <c r="BW1119" s="701">
        <v>675</v>
      </c>
      <c r="BX1119" s="701">
        <v>675</v>
      </c>
      <c r="BY1119" s="701">
        <v>675</v>
      </c>
      <c r="BZ1119" s="701">
        <v>675</v>
      </c>
      <c r="CA1119" s="701">
        <v>675</v>
      </c>
      <c r="CB1119" s="701">
        <v>675</v>
      </c>
      <c r="CC1119" s="701">
        <v>675</v>
      </c>
      <c r="CD1119" s="701">
        <v>675</v>
      </c>
      <c r="CE1119" s="701">
        <v>675</v>
      </c>
      <c r="CF1119" s="701">
        <v>675</v>
      </c>
      <c r="CG1119" s="701">
        <v>675</v>
      </c>
      <c r="CH1119" s="701">
        <v>675</v>
      </c>
      <c r="CI1119" s="701">
        <v>675</v>
      </c>
      <c r="CJ1119" s="701">
        <v>0</v>
      </c>
      <c r="CK1119" s="701">
        <v>0</v>
      </c>
      <c r="CL1119" s="701">
        <v>0</v>
      </c>
      <c r="CM1119" s="701">
        <v>0</v>
      </c>
      <c r="CN1119" s="701">
        <v>0</v>
      </c>
      <c r="CO1119" s="701">
        <v>0</v>
      </c>
      <c r="CP1119" s="701">
        <v>0</v>
      </c>
      <c r="CQ1119" s="701">
        <v>0</v>
      </c>
      <c r="CR1119" s="701">
        <v>0</v>
      </c>
    </row>
    <row r="1120" spans="1:96" s="53" customFormat="1">
      <c r="A1120" s="694" t="s">
        <v>3</v>
      </c>
      <c r="B1120" s="705">
        <v>41872</v>
      </c>
      <c r="C1120" s="694">
        <v>2014</v>
      </c>
      <c r="D1120" s="694" t="s">
        <v>657</v>
      </c>
      <c r="E1120" s="694" t="s">
        <v>657</v>
      </c>
      <c r="F1120" s="694" t="s">
        <v>17</v>
      </c>
      <c r="G1120" s="694" t="s">
        <v>656</v>
      </c>
      <c r="H1120" s="694" t="s">
        <v>5</v>
      </c>
      <c r="I1120" s="694" t="s">
        <v>655</v>
      </c>
      <c r="J1120" s="694">
        <v>5</v>
      </c>
      <c r="K1120" s="694" t="s">
        <v>654</v>
      </c>
      <c r="L1120" s="694" t="s">
        <v>653</v>
      </c>
      <c r="M1120" s="694">
        <v>21</v>
      </c>
      <c r="N1120" s="694">
        <v>0.15329999999999999</v>
      </c>
      <c r="O1120" s="704">
        <v>1316.9</v>
      </c>
      <c r="P1120" s="704">
        <v>0.13865041889343541</v>
      </c>
      <c r="Q1120" s="704">
        <v>1158.4088085733022</v>
      </c>
      <c r="R1120" s="704">
        <v>19711.497375488281</v>
      </c>
      <c r="S1120" s="704">
        <v>19711.497375488281</v>
      </c>
      <c r="T1120" s="704">
        <v>2316.8176193237305</v>
      </c>
      <c r="U1120" s="704">
        <v>0.1386504196561873</v>
      </c>
      <c r="V1120" s="704">
        <v>0.87964826822280884</v>
      </c>
      <c r="W1120" s="703">
        <v>0.90443849563598633</v>
      </c>
      <c r="X1120" s="703">
        <v>0</v>
      </c>
      <c r="Y1120" s="703">
        <v>0</v>
      </c>
      <c r="Z1120" s="703"/>
      <c r="AA1120" s="703">
        <v>1</v>
      </c>
      <c r="AB1120" s="703">
        <v>0</v>
      </c>
      <c r="AC1120" s="703">
        <v>0</v>
      </c>
      <c r="AD1120" s="703"/>
      <c r="AE1120" s="703">
        <v>1</v>
      </c>
      <c r="AF1120" s="703"/>
      <c r="AG1120" s="694"/>
      <c r="AH1120" s="694"/>
      <c r="AI1120" s="694"/>
      <c r="AJ1120" s="694">
        <v>741</v>
      </c>
      <c r="AK1120" s="702" t="s">
        <v>7</v>
      </c>
      <c r="AL1120" s="694">
        <v>0</v>
      </c>
      <c r="AM1120" s="701">
        <v>0</v>
      </c>
      <c r="AN1120" s="701">
        <v>0</v>
      </c>
      <c r="AO1120" s="701"/>
      <c r="AP1120" s="701"/>
      <c r="AQ1120" s="701"/>
      <c r="AR1120" s="701"/>
      <c r="AS1120" s="701"/>
      <c r="AT1120" s="701"/>
      <c r="AU1120" s="701"/>
      <c r="AV1120" s="701">
        <v>0.1386504196561873</v>
      </c>
      <c r="AW1120" s="701">
        <v>0.1386504196561873</v>
      </c>
      <c r="AX1120" s="701">
        <v>0.13803882291540504</v>
      </c>
      <c r="AY1120" s="701">
        <v>0.1377330245450139</v>
      </c>
      <c r="AZ1120" s="701">
        <v>0.13742722617462277</v>
      </c>
      <c r="BA1120" s="701">
        <v>0.13742722617462277</v>
      </c>
      <c r="BB1120" s="701">
        <v>0.13742722617462277</v>
      </c>
      <c r="BC1120" s="701">
        <v>0.13742722617462277</v>
      </c>
      <c r="BD1120" s="701">
        <v>0.13040735479444265</v>
      </c>
      <c r="BE1120" s="701">
        <v>0.13040735479444265</v>
      </c>
      <c r="BF1120" s="701">
        <v>0.1247125007212162</v>
      </c>
      <c r="BG1120" s="701">
        <v>0.1247125007212162</v>
      </c>
      <c r="BH1120" s="701">
        <v>0.1247125007212162</v>
      </c>
      <c r="BI1120" s="701">
        <v>0.1247125007212162</v>
      </c>
      <c r="BJ1120" s="701">
        <v>0.1247125007212162</v>
      </c>
      <c r="BK1120" s="701">
        <v>8.5900001227855682E-2</v>
      </c>
      <c r="BL1120" s="701">
        <v>8.5900001227855682E-2</v>
      </c>
      <c r="BM1120" s="701">
        <v>8.5900001227855682E-2</v>
      </c>
      <c r="BN1120" s="701">
        <v>8.5900001227855682E-2</v>
      </c>
      <c r="BO1120" s="701">
        <v>8.5900001227855682E-2</v>
      </c>
      <c r="BP1120" s="701">
        <v>8.5900001227855682E-2</v>
      </c>
      <c r="BQ1120" s="701">
        <v>0</v>
      </c>
      <c r="BR1120" s="701">
        <v>0</v>
      </c>
      <c r="BS1120" s="701"/>
      <c r="BT1120" s="701"/>
      <c r="BU1120" s="701"/>
      <c r="BV1120" s="701">
        <v>1158.4088096618652</v>
      </c>
      <c r="BW1120" s="701">
        <v>1158.4088096618652</v>
      </c>
      <c r="BX1120" s="701">
        <v>1146.6865386962891</v>
      </c>
      <c r="BY1120" s="701">
        <v>1140.8254051208496</v>
      </c>
      <c r="BZ1120" s="701">
        <v>1134.9642677307129</v>
      </c>
      <c r="CA1120" s="701">
        <v>1134.9642677307129</v>
      </c>
      <c r="CB1120" s="701">
        <v>1134.9642677307129</v>
      </c>
      <c r="CC1120" s="701">
        <v>1134.9642677307129</v>
      </c>
      <c r="CD1120" s="701">
        <v>1000.5928688049316</v>
      </c>
      <c r="CE1120" s="701">
        <v>1000.5928688049316</v>
      </c>
      <c r="CF1120" s="701">
        <v>953.625</v>
      </c>
      <c r="CG1120" s="701">
        <v>953.625</v>
      </c>
      <c r="CH1120" s="701">
        <v>953.625</v>
      </c>
      <c r="CI1120" s="701">
        <v>953.625</v>
      </c>
      <c r="CJ1120" s="701">
        <v>953.625</v>
      </c>
      <c r="CK1120" s="701">
        <v>633</v>
      </c>
      <c r="CL1120" s="701">
        <v>633</v>
      </c>
      <c r="CM1120" s="701">
        <v>633</v>
      </c>
      <c r="CN1120" s="701">
        <v>633</v>
      </c>
      <c r="CO1120" s="701">
        <v>633</v>
      </c>
      <c r="CP1120" s="701">
        <v>633</v>
      </c>
      <c r="CQ1120" s="701">
        <v>0</v>
      </c>
      <c r="CR1120" s="701">
        <v>0</v>
      </c>
    </row>
    <row r="1121" spans="1:96" s="53" customFormat="1">
      <c r="A1121" s="694" t="s">
        <v>3</v>
      </c>
      <c r="B1121" s="705">
        <v>41906</v>
      </c>
      <c r="C1121" s="694">
        <v>2014</v>
      </c>
      <c r="D1121" s="694" t="s">
        <v>657</v>
      </c>
      <c r="E1121" s="694" t="s">
        <v>657</v>
      </c>
      <c r="F1121" s="694" t="s">
        <v>17</v>
      </c>
      <c r="G1121" s="694" t="s">
        <v>656</v>
      </c>
      <c r="H1121" s="694" t="s">
        <v>5</v>
      </c>
      <c r="I1121" s="694" t="s">
        <v>655</v>
      </c>
      <c r="J1121" s="694">
        <v>9</v>
      </c>
      <c r="K1121" s="694" t="s">
        <v>654</v>
      </c>
      <c r="L1121" s="694" t="s">
        <v>653</v>
      </c>
      <c r="M1121" s="694">
        <v>15</v>
      </c>
      <c r="N1121" s="694">
        <v>0.16070000000000001</v>
      </c>
      <c r="O1121" s="704">
        <v>2119.3000000000002</v>
      </c>
      <c r="P1121" s="704">
        <v>0.12457883460580543</v>
      </c>
      <c r="Q1121" s="704">
        <v>1568.6903653172867</v>
      </c>
      <c r="R1121" s="704">
        <v>14701.512176513672</v>
      </c>
      <c r="S1121" s="704">
        <v>14701.512176513672</v>
      </c>
      <c r="T1121" s="704">
        <v>3134.3913955688477</v>
      </c>
      <c r="U1121" s="704">
        <v>0.12442532647401094</v>
      </c>
      <c r="V1121" s="704">
        <v>0.740192711353302</v>
      </c>
      <c r="W1121" s="703">
        <v>0.77522611618041992</v>
      </c>
      <c r="X1121" s="703">
        <v>0</v>
      </c>
      <c r="Y1121" s="703">
        <v>0</v>
      </c>
      <c r="Z1121" s="703"/>
      <c r="AA1121" s="703">
        <v>1</v>
      </c>
      <c r="AB1121" s="703">
        <v>0</v>
      </c>
      <c r="AC1121" s="703">
        <v>0</v>
      </c>
      <c r="AD1121" s="703"/>
      <c r="AE1121" s="703">
        <v>1</v>
      </c>
      <c r="AF1121" s="703"/>
      <c r="AG1121" s="694"/>
      <c r="AH1121" s="694"/>
      <c r="AI1121" s="694"/>
      <c r="AJ1121" s="694">
        <v>477.60000002384186</v>
      </c>
      <c r="AK1121" s="702" t="s">
        <v>7</v>
      </c>
      <c r="AL1121" s="694">
        <v>0</v>
      </c>
      <c r="AM1121" s="701">
        <v>0</v>
      </c>
      <c r="AN1121" s="701">
        <v>0</v>
      </c>
      <c r="AO1121" s="701"/>
      <c r="AP1121" s="701"/>
      <c r="AQ1121" s="701"/>
      <c r="AR1121" s="701"/>
      <c r="AS1121" s="701"/>
      <c r="AT1121" s="701"/>
      <c r="AU1121" s="701"/>
      <c r="AV1121" s="701">
        <v>0.12457883358001709</v>
      </c>
      <c r="AW1121" s="701">
        <v>0.12442532647401094</v>
      </c>
      <c r="AX1121" s="701">
        <v>0.11983348941430449</v>
      </c>
      <c r="AY1121" s="701">
        <v>0.11815159814432263</v>
      </c>
      <c r="AZ1121" s="701">
        <v>0.11646970687434077</v>
      </c>
      <c r="BA1121" s="701">
        <v>0.11646970687434077</v>
      </c>
      <c r="BB1121" s="701">
        <v>0.11301748314872384</v>
      </c>
      <c r="BC1121" s="701">
        <v>0.11301748314872384</v>
      </c>
      <c r="BD1121" s="701">
        <v>8.4758490324020386E-2</v>
      </c>
      <c r="BE1121" s="701">
        <v>8.4758490324020386E-2</v>
      </c>
      <c r="BF1121" s="701">
        <v>4.434374812990427E-2</v>
      </c>
      <c r="BG1121" s="701">
        <v>4.434374812990427E-2</v>
      </c>
      <c r="BH1121" s="701">
        <v>4.434374812990427E-2</v>
      </c>
      <c r="BI1121" s="701">
        <v>4.434374812990427E-2</v>
      </c>
      <c r="BJ1121" s="701">
        <v>4.434374812990427E-2</v>
      </c>
      <c r="BK1121" s="701">
        <v>0</v>
      </c>
      <c r="BL1121" s="701">
        <v>0</v>
      </c>
      <c r="BM1121" s="701">
        <v>0</v>
      </c>
      <c r="BN1121" s="701">
        <v>0</v>
      </c>
      <c r="BO1121" s="701">
        <v>0</v>
      </c>
      <c r="BP1121" s="701">
        <v>0</v>
      </c>
      <c r="BQ1121" s="701">
        <v>0</v>
      </c>
      <c r="BR1121" s="701">
        <v>0</v>
      </c>
      <c r="BS1121" s="701"/>
      <c r="BT1121" s="701"/>
      <c r="BU1121" s="701"/>
      <c r="BV1121" s="701">
        <v>1568.690372467041</v>
      </c>
      <c r="BW1121" s="701">
        <v>1565.7010231018066</v>
      </c>
      <c r="BX1121" s="701">
        <v>1477.3137855529785</v>
      </c>
      <c r="BY1121" s="701">
        <v>1445.0775184631348</v>
      </c>
      <c r="BZ1121" s="701">
        <v>1412.8412818908691</v>
      </c>
      <c r="CA1121" s="701">
        <v>1412.8412818908691</v>
      </c>
      <c r="CB1121" s="701">
        <v>1346.6149482727051</v>
      </c>
      <c r="CC1121" s="701">
        <v>1242.3437004089355</v>
      </c>
      <c r="CD1121" s="701">
        <v>699.57544326782227</v>
      </c>
      <c r="CE1121" s="701">
        <v>699.57544326782227</v>
      </c>
      <c r="CF1121" s="701">
        <v>366.1875</v>
      </c>
      <c r="CG1121" s="701">
        <v>366.1875</v>
      </c>
      <c r="CH1121" s="701">
        <v>366.1875</v>
      </c>
      <c r="CI1121" s="701">
        <v>366.1875</v>
      </c>
      <c r="CJ1121" s="701">
        <v>366.1875</v>
      </c>
      <c r="CK1121" s="701">
        <v>0</v>
      </c>
      <c r="CL1121" s="701">
        <v>0</v>
      </c>
      <c r="CM1121" s="701">
        <v>0</v>
      </c>
      <c r="CN1121" s="701">
        <v>0</v>
      </c>
      <c r="CO1121" s="701">
        <v>0</v>
      </c>
      <c r="CP1121" s="701">
        <v>0</v>
      </c>
      <c r="CQ1121" s="701">
        <v>0</v>
      </c>
      <c r="CR1121" s="701">
        <v>0</v>
      </c>
    </row>
    <row r="1122" spans="1:96" s="53" customFormat="1">
      <c r="A1122" s="694" t="s">
        <v>3</v>
      </c>
      <c r="B1122" s="705">
        <v>41970</v>
      </c>
      <c r="C1122" s="694">
        <v>2014</v>
      </c>
      <c r="D1122" s="694" t="s">
        <v>657</v>
      </c>
      <c r="E1122" s="694" t="s">
        <v>657</v>
      </c>
      <c r="F1122" s="694" t="s">
        <v>17</v>
      </c>
      <c r="G1122" s="694" t="s">
        <v>656</v>
      </c>
      <c r="H1122" s="694" t="s">
        <v>5</v>
      </c>
      <c r="I1122" s="694" t="s">
        <v>655</v>
      </c>
      <c r="J1122" s="694">
        <v>8</v>
      </c>
      <c r="K1122" s="694" t="s">
        <v>654</v>
      </c>
      <c r="L1122" s="694" t="s">
        <v>653</v>
      </c>
      <c r="M1122" s="694">
        <v>21</v>
      </c>
      <c r="N1122" s="694">
        <v>0.24260000000000001</v>
      </c>
      <c r="O1122" s="704">
        <v>2875.1000000000004</v>
      </c>
      <c r="P1122" s="704">
        <v>0.1875147685086328</v>
      </c>
      <c r="Q1122" s="704">
        <v>2056.0522894724086</v>
      </c>
      <c r="R1122" s="704">
        <v>25160.499908447266</v>
      </c>
      <c r="S1122" s="704">
        <v>25160.499908447266</v>
      </c>
      <c r="T1122" s="704">
        <v>4061.6312026977539</v>
      </c>
      <c r="U1122" s="704">
        <v>0.18490461073815823</v>
      </c>
      <c r="V1122" s="704">
        <v>0.71512377262115479</v>
      </c>
      <c r="W1122" s="703">
        <v>0.77293801307678223</v>
      </c>
      <c r="X1122" s="703">
        <v>0</v>
      </c>
      <c r="Y1122" s="703">
        <v>0</v>
      </c>
      <c r="Z1122" s="703"/>
      <c r="AA1122" s="703">
        <v>1</v>
      </c>
      <c r="AB1122" s="703">
        <v>0</v>
      </c>
      <c r="AC1122" s="703">
        <v>0</v>
      </c>
      <c r="AD1122" s="703"/>
      <c r="AE1122" s="703">
        <v>1</v>
      </c>
      <c r="AF1122" s="703"/>
      <c r="AG1122" s="694"/>
      <c r="AH1122" s="694"/>
      <c r="AI1122" s="694"/>
      <c r="AJ1122" s="694">
        <v>964.20000004768372</v>
      </c>
      <c r="AK1122" s="702" t="s">
        <v>7</v>
      </c>
      <c r="AL1122" s="694">
        <v>0</v>
      </c>
      <c r="AM1122" s="701">
        <v>0</v>
      </c>
      <c r="AN1122" s="701">
        <v>0</v>
      </c>
      <c r="AO1122" s="701"/>
      <c r="AP1122" s="701"/>
      <c r="AQ1122" s="701"/>
      <c r="AR1122" s="701"/>
      <c r="AS1122" s="701"/>
      <c r="AT1122" s="701"/>
      <c r="AU1122" s="701"/>
      <c r="AV1122" s="701">
        <v>0.18751476798206568</v>
      </c>
      <c r="AW1122" s="701">
        <v>0.18490461073815823</v>
      </c>
      <c r="AX1122" s="701">
        <v>0.17870023613795638</v>
      </c>
      <c r="AY1122" s="701">
        <v>0.17791115632280707</v>
      </c>
      <c r="AZ1122" s="701">
        <v>0.17791115632280707</v>
      </c>
      <c r="BA1122" s="701">
        <v>0.17791115632280707</v>
      </c>
      <c r="BB1122" s="701">
        <v>0.17445893259719014</v>
      </c>
      <c r="BC1122" s="701">
        <v>0.17445893259719014</v>
      </c>
      <c r="BD1122" s="701">
        <v>0.13484369870275259</v>
      </c>
      <c r="BE1122" s="701">
        <v>0.13484369870275259</v>
      </c>
      <c r="BF1122" s="701">
        <v>0.10918750055134296</v>
      </c>
      <c r="BG1122" s="701">
        <v>0.10918750055134296</v>
      </c>
      <c r="BH1122" s="701">
        <v>0.10918750055134296</v>
      </c>
      <c r="BI1122" s="701">
        <v>0.10918750055134296</v>
      </c>
      <c r="BJ1122" s="701">
        <v>0.10918750055134296</v>
      </c>
      <c r="BK1122" s="701">
        <v>8.5900001227855682E-2</v>
      </c>
      <c r="BL1122" s="701">
        <v>8.5900001227855682E-2</v>
      </c>
      <c r="BM1122" s="701">
        <v>8.5900001227855682E-2</v>
      </c>
      <c r="BN1122" s="701">
        <v>8.5900001227855682E-2</v>
      </c>
      <c r="BO1122" s="701">
        <v>8.5900001227855682E-2</v>
      </c>
      <c r="BP1122" s="701">
        <v>8.5900001227855682E-2</v>
      </c>
      <c r="BQ1122" s="701">
        <v>0</v>
      </c>
      <c r="BR1122" s="701">
        <v>0</v>
      </c>
      <c r="BS1122" s="701"/>
      <c r="BT1122" s="701"/>
      <c r="BU1122" s="701"/>
      <c r="BV1122" s="701">
        <v>2056.0522651672363</v>
      </c>
      <c r="BW1122" s="701">
        <v>2005.5788917541504</v>
      </c>
      <c r="BX1122" s="701">
        <v>1884.8458137512207</v>
      </c>
      <c r="BY1122" s="701">
        <v>1869.6278495788574</v>
      </c>
      <c r="BZ1122" s="701">
        <v>1869.6278495788574</v>
      </c>
      <c r="CA1122" s="701">
        <v>1869.6278495788574</v>
      </c>
      <c r="CB1122" s="701">
        <v>1803.4015159606934</v>
      </c>
      <c r="CC1122" s="701">
        <v>1803.4015159606934</v>
      </c>
      <c r="CD1122" s="701">
        <v>1036.730411529541</v>
      </c>
      <c r="CE1122" s="701">
        <v>1036.730411529541</v>
      </c>
      <c r="CF1122" s="701">
        <v>825.375</v>
      </c>
      <c r="CG1122" s="701">
        <v>825.375</v>
      </c>
      <c r="CH1122" s="701">
        <v>825.375</v>
      </c>
      <c r="CI1122" s="701">
        <v>825.375</v>
      </c>
      <c r="CJ1122" s="701">
        <v>825.375</v>
      </c>
      <c r="CK1122" s="701">
        <v>633</v>
      </c>
      <c r="CL1122" s="701">
        <v>633</v>
      </c>
      <c r="CM1122" s="701">
        <v>633</v>
      </c>
      <c r="CN1122" s="701">
        <v>633</v>
      </c>
      <c r="CO1122" s="701">
        <v>633</v>
      </c>
      <c r="CP1122" s="701">
        <v>633</v>
      </c>
      <c r="CQ1122" s="701">
        <v>0</v>
      </c>
      <c r="CR1122" s="701">
        <v>0</v>
      </c>
    </row>
    <row r="1123" spans="1:96" s="53" customFormat="1">
      <c r="A1123" s="694" t="s">
        <v>3</v>
      </c>
      <c r="B1123" s="705">
        <v>41932</v>
      </c>
      <c r="C1123" s="694">
        <v>2014</v>
      </c>
      <c r="D1123" s="694" t="s">
        <v>657</v>
      </c>
      <c r="E1123" s="694" t="s">
        <v>657</v>
      </c>
      <c r="F1123" s="694" t="s">
        <v>17</v>
      </c>
      <c r="G1123" s="694" t="s">
        <v>656</v>
      </c>
      <c r="H1123" s="694" t="s">
        <v>5</v>
      </c>
      <c r="I1123" s="694" t="s">
        <v>655</v>
      </c>
      <c r="J1123" s="694">
        <v>4</v>
      </c>
      <c r="K1123" s="694" t="s">
        <v>654</v>
      </c>
      <c r="L1123" s="694" t="s">
        <v>653</v>
      </c>
      <c r="M1123" s="694">
        <v>15</v>
      </c>
      <c r="N1123" s="694">
        <v>0.16000000000000003</v>
      </c>
      <c r="O1123" s="704">
        <v>1403</v>
      </c>
      <c r="P1123" s="704">
        <v>0.14334825033201837</v>
      </c>
      <c r="Q1123" s="704">
        <v>1215.7941956168813</v>
      </c>
      <c r="R1123" s="704">
        <v>15695.818634033203</v>
      </c>
      <c r="S1123" s="704">
        <v>15695.818634033203</v>
      </c>
      <c r="T1123" s="704">
        <v>2431.5883865356445</v>
      </c>
      <c r="U1123" s="704">
        <v>0.14334824704565108</v>
      </c>
      <c r="V1123" s="704">
        <v>0.86656749248504639</v>
      </c>
      <c r="W1123" s="703">
        <v>0.89592653512954712</v>
      </c>
      <c r="X1123" s="703">
        <v>0</v>
      </c>
      <c r="Y1123" s="703">
        <v>0</v>
      </c>
      <c r="Z1123" s="703"/>
      <c r="AA1123" s="703">
        <v>1</v>
      </c>
      <c r="AB1123" s="703">
        <v>0</v>
      </c>
      <c r="AC1123" s="703">
        <v>0</v>
      </c>
      <c r="AD1123" s="703"/>
      <c r="AE1123" s="703">
        <v>1</v>
      </c>
      <c r="AF1123" s="703"/>
      <c r="AG1123" s="694"/>
      <c r="AH1123" s="694"/>
      <c r="AI1123" s="694"/>
      <c r="AJ1123" s="694">
        <v>932.20000004768372</v>
      </c>
      <c r="AK1123" s="702" t="s">
        <v>7</v>
      </c>
      <c r="AL1123" s="694">
        <v>0</v>
      </c>
      <c r="AM1123" s="701">
        <v>0</v>
      </c>
      <c r="AN1123" s="701">
        <v>0</v>
      </c>
      <c r="AO1123" s="701"/>
      <c r="AP1123" s="701"/>
      <c r="AQ1123" s="701"/>
      <c r="AR1123" s="701"/>
      <c r="AS1123" s="701"/>
      <c r="AT1123" s="701"/>
      <c r="AU1123" s="701"/>
      <c r="AV1123" s="701">
        <v>0.14334824704565108</v>
      </c>
      <c r="AW1123" s="701">
        <v>0.14334824704565108</v>
      </c>
      <c r="AX1123" s="701">
        <v>0.14334824704565108</v>
      </c>
      <c r="AY1123" s="701">
        <v>0.14334824704565108</v>
      </c>
      <c r="AZ1123" s="701">
        <v>0.14334824704565108</v>
      </c>
      <c r="BA1123" s="701">
        <v>0.14334824704565108</v>
      </c>
      <c r="BB1123" s="701">
        <v>0.14334824704565108</v>
      </c>
      <c r="BC1123" s="701">
        <v>0.14334824704565108</v>
      </c>
      <c r="BD1123" s="701">
        <v>0.14010738395154476</v>
      </c>
      <c r="BE1123" s="701">
        <v>0.14010738395154476</v>
      </c>
      <c r="BF1123" s="701">
        <v>0.1053874958306551</v>
      </c>
      <c r="BG1123" s="701">
        <v>0.1053874958306551</v>
      </c>
      <c r="BH1123" s="701">
        <v>0.1053874958306551</v>
      </c>
      <c r="BI1123" s="701">
        <v>0.1053874958306551</v>
      </c>
      <c r="BJ1123" s="701">
        <v>2.3287499323487282E-2</v>
      </c>
      <c r="BK1123" s="701">
        <v>0</v>
      </c>
      <c r="BL1123" s="701">
        <v>0</v>
      </c>
      <c r="BM1123" s="701">
        <v>0</v>
      </c>
      <c r="BN1123" s="701">
        <v>0</v>
      </c>
      <c r="BO1123" s="701">
        <v>0</v>
      </c>
      <c r="BP1123" s="701">
        <v>0</v>
      </c>
      <c r="BQ1123" s="701">
        <v>0</v>
      </c>
      <c r="BR1123" s="701">
        <v>0</v>
      </c>
      <c r="BS1123" s="701"/>
      <c r="BT1123" s="701"/>
      <c r="BU1123" s="701"/>
      <c r="BV1123" s="701">
        <v>1215.7941932678223</v>
      </c>
      <c r="BW1123" s="701">
        <v>1215.7941932678223</v>
      </c>
      <c r="BX1123" s="701">
        <v>1215.7941932678223</v>
      </c>
      <c r="BY1123" s="701">
        <v>1215.7941932678223</v>
      </c>
      <c r="BZ1123" s="701">
        <v>1215.7941932678223</v>
      </c>
      <c r="CA1123" s="701">
        <v>1215.7941932678223</v>
      </c>
      <c r="CB1123" s="701">
        <v>1215.7941932678223</v>
      </c>
      <c r="CC1123" s="701">
        <v>1215.7941932678223</v>
      </c>
      <c r="CD1123" s="701">
        <v>1153.7950744628906</v>
      </c>
      <c r="CE1123" s="701">
        <v>1153.7950744628906</v>
      </c>
      <c r="CF1123" s="701">
        <v>867.375</v>
      </c>
      <c r="CG1123" s="701">
        <v>867.375</v>
      </c>
      <c r="CH1123" s="701">
        <v>867.375</v>
      </c>
      <c r="CI1123" s="701">
        <v>867.375</v>
      </c>
      <c r="CJ1123" s="701">
        <v>192.375</v>
      </c>
      <c r="CK1123" s="701">
        <v>0</v>
      </c>
      <c r="CL1123" s="701">
        <v>0</v>
      </c>
      <c r="CM1123" s="701">
        <v>0</v>
      </c>
      <c r="CN1123" s="701">
        <v>0</v>
      </c>
      <c r="CO1123" s="701">
        <v>0</v>
      </c>
      <c r="CP1123" s="701">
        <v>0</v>
      </c>
      <c r="CQ1123" s="701">
        <v>0</v>
      </c>
      <c r="CR1123" s="701">
        <v>0</v>
      </c>
    </row>
    <row r="1124" spans="1:96" s="53" customFormat="1">
      <c r="A1124" s="694" t="s">
        <v>3</v>
      </c>
      <c r="B1124" s="705">
        <v>41957</v>
      </c>
      <c r="C1124" s="694">
        <v>2014</v>
      </c>
      <c r="D1124" s="694" t="s">
        <v>657</v>
      </c>
      <c r="E1124" s="694" t="s">
        <v>657</v>
      </c>
      <c r="F1124" s="694" t="s">
        <v>17</v>
      </c>
      <c r="G1124" s="694" t="s">
        <v>656</v>
      </c>
      <c r="H1124" s="694" t="s">
        <v>5</v>
      </c>
      <c r="I1124" s="694" t="s">
        <v>655</v>
      </c>
      <c r="J1124" s="694">
        <v>6</v>
      </c>
      <c r="K1124" s="694" t="s">
        <v>654</v>
      </c>
      <c r="L1124" s="694" t="s">
        <v>653</v>
      </c>
      <c r="M1124" s="694">
        <v>12</v>
      </c>
      <c r="N1124" s="694">
        <v>0.21400000000000002</v>
      </c>
      <c r="O1124" s="704">
        <v>2015</v>
      </c>
      <c r="P1124" s="704">
        <v>0.19052031350332715</v>
      </c>
      <c r="Q1124" s="704">
        <v>1543.1275541726236</v>
      </c>
      <c r="R1124" s="704">
        <v>13273.737487792969</v>
      </c>
      <c r="S1124" s="704">
        <v>13273.737487792969</v>
      </c>
      <c r="T1124" s="704">
        <v>3066.9970245361328</v>
      </c>
      <c r="U1124" s="704">
        <v>0.18952224985696375</v>
      </c>
      <c r="V1124" s="704">
        <v>0.76582014560699463</v>
      </c>
      <c r="W1124" s="703">
        <v>0.89028185606002808</v>
      </c>
      <c r="X1124" s="703">
        <v>0</v>
      </c>
      <c r="Y1124" s="703">
        <v>0</v>
      </c>
      <c r="Z1124" s="703"/>
      <c r="AA1124" s="703">
        <v>1</v>
      </c>
      <c r="AB1124" s="703">
        <v>0</v>
      </c>
      <c r="AC1124" s="703">
        <v>0</v>
      </c>
      <c r="AD1124" s="703"/>
      <c r="AE1124" s="703">
        <v>1</v>
      </c>
      <c r="AF1124" s="703"/>
      <c r="AG1124" s="694"/>
      <c r="AH1124" s="694"/>
      <c r="AI1124" s="694"/>
      <c r="AJ1124" s="694">
        <v>674</v>
      </c>
      <c r="AK1124" s="702" t="s">
        <v>7</v>
      </c>
      <c r="AL1124" s="694">
        <v>0</v>
      </c>
      <c r="AM1124" s="701">
        <v>0</v>
      </c>
      <c r="AN1124" s="701">
        <v>0</v>
      </c>
      <c r="AO1124" s="701"/>
      <c r="AP1124" s="701"/>
      <c r="AQ1124" s="701"/>
      <c r="AR1124" s="701"/>
      <c r="AS1124" s="701"/>
      <c r="AT1124" s="701"/>
      <c r="AU1124" s="701"/>
      <c r="AV1124" s="701">
        <v>0.19052031449973583</v>
      </c>
      <c r="AW1124" s="701">
        <v>0.18952224985696375</v>
      </c>
      <c r="AX1124" s="701">
        <v>0.18887617415748537</v>
      </c>
      <c r="AY1124" s="701">
        <v>0.18848163424991071</v>
      </c>
      <c r="AZ1124" s="701">
        <v>0.18115446553565562</v>
      </c>
      <c r="BA1124" s="701">
        <v>0.18115446553565562</v>
      </c>
      <c r="BB1124" s="701">
        <v>0.18115446553565562</v>
      </c>
      <c r="BC1124" s="701">
        <v>0.18115446553565562</v>
      </c>
      <c r="BD1124" s="701">
        <v>0.14307689666748047</v>
      </c>
      <c r="BE1124" s="701">
        <v>0.14307689666748047</v>
      </c>
      <c r="BF1124" s="701">
        <v>0.14307689666748047</v>
      </c>
      <c r="BG1124" s="701">
        <v>0.14307689666748047</v>
      </c>
      <c r="BH1124" s="701">
        <v>0</v>
      </c>
      <c r="BI1124" s="701">
        <v>0</v>
      </c>
      <c r="BJ1124" s="701">
        <v>0</v>
      </c>
      <c r="BK1124" s="701">
        <v>0</v>
      </c>
      <c r="BL1124" s="701">
        <v>0</v>
      </c>
      <c r="BM1124" s="701">
        <v>0</v>
      </c>
      <c r="BN1124" s="701">
        <v>0</v>
      </c>
      <c r="BO1124" s="701">
        <v>0</v>
      </c>
      <c r="BP1124" s="701">
        <v>0</v>
      </c>
      <c r="BQ1124" s="701">
        <v>0</v>
      </c>
      <c r="BR1124" s="701">
        <v>0</v>
      </c>
      <c r="BS1124" s="701"/>
      <c r="BT1124" s="701"/>
      <c r="BU1124" s="701"/>
      <c r="BV1124" s="701">
        <v>1543.1275215148926</v>
      </c>
      <c r="BW1124" s="701">
        <v>1523.869514465332</v>
      </c>
      <c r="BX1124" s="701">
        <v>1511.3325309753418</v>
      </c>
      <c r="BY1124" s="701">
        <v>1503.7235488891602</v>
      </c>
      <c r="BZ1124" s="701">
        <v>1361.4073867797852</v>
      </c>
      <c r="CA1124" s="701">
        <v>1361.4073867797852</v>
      </c>
      <c r="CB1124" s="701">
        <v>1361.4073867797852</v>
      </c>
      <c r="CC1124" s="701">
        <v>1205.0005264282227</v>
      </c>
      <c r="CD1124" s="701">
        <v>475.61544799804687</v>
      </c>
      <c r="CE1124" s="701">
        <v>475.61544799804687</v>
      </c>
      <c r="CF1124" s="701">
        <v>475.61544799804687</v>
      </c>
      <c r="CG1124" s="701">
        <v>475.61544799804687</v>
      </c>
      <c r="CH1124" s="701">
        <v>0</v>
      </c>
      <c r="CI1124" s="701">
        <v>0</v>
      </c>
      <c r="CJ1124" s="701">
        <v>0</v>
      </c>
      <c r="CK1124" s="701">
        <v>0</v>
      </c>
      <c r="CL1124" s="701">
        <v>0</v>
      </c>
      <c r="CM1124" s="701">
        <v>0</v>
      </c>
      <c r="CN1124" s="701">
        <v>0</v>
      </c>
      <c r="CO1124" s="701">
        <v>0</v>
      </c>
      <c r="CP1124" s="701">
        <v>0</v>
      </c>
      <c r="CQ1124" s="701">
        <v>0</v>
      </c>
      <c r="CR1124" s="701">
        <v>0</v>
      </c>
    </row>
    <row r="1125" spans="1:96" s="694" customFormat="1">
      <c r="A1125" s="694" t="s">
        <v>3</v>
      </c>
      <c r="B1125" s="694">
        <v>40908</v>
      </c>
      <c r="C1125" s="694">
        <v>2011</v>
      </c>
      <c r="D1125" s="694" t="s">
        <v>124</v>
      </c>
      <c r="E1125" s="694" t="s">
        <v>124</v>
      </c>
      <c r="F1125" s="694" t="s">
        <v>457</v>
      </c>
      <c r="H1125" s="694" t="s">
        <v>648</v>
      </c>
      <c r="I1125" s="694" t="s">
        <v>5</v>
      </c>
      <c r="J1125" s="694" t="s">
        <v>647</v>
      </c>
      <c r="K1125" s="694">
        <v>9</v>
      </c>
      <c r="L1125" s="694" t="s">
        <v>651</v>
      </c>
      <c r="M1125" s="694" t="s">
        <v>645</v>
      </c>
      <c r="N1125" s="694">
        <v>13</v>
      </c>
      <c r="U1125" s="694">
        <v>0</v>
      </c>
      <c r="V1125" s="694">
        <v>44010</v>
      </c>
      <c r="W1125" s="694">
        <v>0</v>
      </c>
      <c r="X1125" s="694">
        <v>42408</v>
      </c>
      <c r="Y1125" s="694">
        <v>551304</v>
      </c>
      <c r="Z1125" s="694">
        <v>551304</v>
      </c>
      <c r="AA1125" s="694">
        <v>169632</v>
      </c>
      <c r="AB1125" s="694">
        <v>0</v>
      </c>
      <c r="AC1125" s="694">
        <v>0.96359918200409</v>
      </c>
      <c r="AD1125" s="694">
        <v>0</v>
      </c>
      <c r="AE1125" s="694">
        <v>0</v>
      </c>
      <c r="AF1125" s="694">
        <v>0</v>
      </c>
      <c r="AG1125" s="694">
        <v>0</v>
      </c>
      <c r="AH1125" s="694">
        <v>1</v>
      </c>
      <c r="AI1125" s="694">
        <v>0</v>
      </c>
      <c r="AJ1125" s="694">
        <v>0</v>
      </c>
      <c r="AK1125" s="694">
        <v>0</v>
      </c>
      <c r="AL1125" s="694">
        <v>1</v>
      </c>
      <c r="AM1125" s="694">
        <v>0</v>
      </c>
      <c r="AN1125" s="694">
        <v>0</v>
      </c>
      <c r="AO1125" s="694">
        <v>0</v>
      </c>
      <c r="AP1125" s="694">
        <v>450</v>
      </c>
      <c r="AQ1125" s="694">
        <v>4050</v>
      </c>
      <c r="BS1125" s="694">
        <v>42408</v>
      </c>
      <c r="BT1125" s="694">
        <v>42408</v>
      </c>
      <c r="BU1125" s="694">
        <v>42408</v>
      </c>
      <c r="BV1125" s="694">
        <v>42408</v>
      </c>
      <c r="BW1125" s="694">
        <v>42408</v>
      </c>
      <c r="BX1125" s="694">
        <v>42408</v>
      </c>
      <c r="BY1125" s="694">
        <v>42408</v>
      </c>
      <c r="BZ1125" s="694">
        <v>42408</v>
      </c>
      <c r="CA1125" s="694">
        <v>42408</v>
      </c>
      <c r="CB1125" s="694">
        <v>42408</v>
      </c>
      <c r="CC1125" s="694">
        <v>42408</v>
      </c>
      <c r="CD1125" s="694">
        <v>42408</v>
      </c>
      <c r="CE1125" s="694">
        <v>42408</v>
      </c>
      <c r="CF1125" s="694">
        <v>0</v>
      </c>
      <c r="CG1125" s="694">
        <v>0</v>
      </c>
      <c r="CH1125" s="694">
        <v>0</v>
      </c>
      <c r="CI1125" s="694">
        <v>0</v>
      </c>
      <c r="CJ1125" s="694">
        <v>0</v>
      </c>
      <c r="CK1125" s="694">
        <v>0</v>
      </c>
      <c r="CL1125" s="694">
        <v>0</v>
      </c>
      <c r="CM1125" s="694">
        <v>0</v>
      </c>
      <c r="CN1125" s="694">
        <v>0</v>
      </c>
      <c r="CO1125" s="694">
        <v>0</v>
      </c>
      <c r="CP1125" s="694">
        <v>0</v>
      </c>
      <c r="CQ1125" s="694">
        <v>0</v>
      </c>
      <c r="CR1125" s="694">
        <v>0</v>
      </c>
    </row>
    <row r="1126" spans="1:96" s="694" customFormat="1">
      <c r="A1126" s="694" t="s">
        <v>3</v>
      </c>
      <c r="B1126" s="694">
        <v>41274</v>
      </c>
      <c r="C1126" s="694">
        <v>2012</v>
      </c>
      <c r="D1126" s="694" t="s">
        <v>124</v>
      </c>
      <c r="E1126" s="694" t="s">
        <v>124</v>
      </c>
      <c r="F1126" s="694" t="s">
        <v>457</v>
      </c>
      <c r="H1126" s="694" t="s">
        <v>648</v>
      </c>
      <c r="I1126" s="694" t="s">
        <v>5</v>
      </c>
      <c r="J1126" s="694" t="s">
        <v>647</v>
      </c>
      <c r="K1126" s="694">
        <v>3</v>
      </c>
      <c r="L1126" s="694" t="s">
        <v>651</v>
      </c>
      <c r="M1126" s="694" t="s">
        <v>652</v>
      </c>
      <c r="N1126" s="694">
        <v>13</v>
      </c>
      <c r="U1126" s="694">
        <v>0</v>
      </c>
      <c r="V1126" s="694">
        <v>14670</v>
      </c>
      <c r="W1126" s="694">
        <v>0</v>
      </c>
      <c r="X1126" s="694">
        <v>14136</v>
      </c>
      <c r="Y1126" s="694">
        <v>183768</v>
      </c>
      <c r="Z1126" s="694">
        <v>183768</v>
      </c>
      <c r="AA1126" s="694">
        <v>42408</v>
      </c>
      <c r="AB1126" s="694">
        <v>0</v>
      </c>
      <c r="AC1126" s="694">
        <v>0.96359918200409</v>
      </c>
      <c r="AD1126" s="694">
        <v>0</v>
      </c>
      <c r="AE1126" s="694">
        <v>0</v>
      </c>
      <c r="AF1126" s="694">
        <v>0</v>
      </c>
      <c r="AG1126" s="694">
        <v>0</v>
      </c>
      <c r="AH1126" s="694">
        <v>1</v>
      </c>
      <c r="AI1126" s="694">
        <v>0</v>
      </c>
      <c r="AJ1126" s="694">
        <v>0</v>
      </c>
      <c r="AK1126" s="694">
        <v>0</v>
      </c>
      <c r="AL1126" s="694">
        <v>1</v>
      </c>
      <c r="AM1126" s="694">
        <v>0</v>
      </c>
      <c r="AN1126" s="694">
        <v>0</v>
      </c>
      <c r="AO1126" s="694">
        <v>0</v>
      </c>
      <c r="AP1126" s="694">
        <v>450</v>
      </c>
      <c r="AQ1126" s="694">
        <v>1350</v>
      </c>
      <c r="BS1126" s="694">
        <v>0</v>
      </c>
      <c r="BT1126" s="694">
        <v>14136</v>
      </c>
      <c r="BU1126" s="694">
        <v>14136</v>
      </c>
      <c r="BV1126" s="694">
        <v>14136</v>
      </c>
      <c r="BW1126" s="694">
        <v>14136</v>
      </c>
      <c r="BX1126" s="694">
        <v>14136</v>
      </c>
      <c r="BY1126" s="694">
        <v>14136</v>
      </c>
      <c r="BZ1126" s="694">
        <v>14136</v>
      </c>
      <c r="CA1126" s="694">
        <v>14136</v>
      </c>
      <c r="CB1126" s="694">
        <v>14136</v>
      </c>
      <c r="CC1126" s="694">
        <v>14136</v>
      </c>
      <c r="CD1126" s="694">
        <v>14136</v>
      </c>
      <c r="CE1126" s="694">
        <v>14136</v>
      </c>
      <c r="CF1126" s="694">
        <v>14136</v>
      </c>
      <c r="CG1126" s="694">
        <v>0</v>
      </c>
      <c r="CH1126" s="694">
        <v>0</v>
      </c>
      <c r="CI1126" s="694">
        <v>0</v>
      </c>
      <c r="CJ1126" s="694">
        <v>0</v>
      </c>
      <c r="CK1126" s="694">
        <v>0</v>
      </c>
      <c r="CL1126" s="694">
        <v>0</v>
      </c>
      <c r="CM1126" s="694">
        <v>0</v>
      </c>
      <c r="CN1126" s="694">
        <v>0</v>
      </c>
      <c r="CO1126" s="694">
        <v>0</v>
      </c>
      <c r="CP1126" s="694">
        <v>0</v>
      </c>
      <c r="CQ1126" s="694">
        <v>0</v>
      </c>
      <c r="CR1126" s="694">
        <v>0</v>
      </c>
    </row>
    <row r="1127" spans="1:96" s="694" customFormat="1">
      <c r="A1127" s="694" t="s">
        <v>3</v>
      </c>
      <c r="B1127" s="694">
        <v>41639</v>
      </c>
      <c r="C1127" s="694">
        <v>2013</v>
      </c>
      <c r="D1127" s="694" t="s">
        <v>124</v>
      </c>
      <c r="E1127" s="694" t="s">
        <v>124</v>
      </c>
      <c r="F1127" s="694" t="s">
        <v>457</v>
      </c>
      <c r="H1127" s="694" t="s">
        <v>648</v>
      </c>
      <c r="I1127" s="694" t="s">
        <v>5</v>
      </c>
      <c r="J1127" s="694" t="s">
        <v>647</v>
      </c>
      <c r="K1127" s="694">
        <v>6</v>
      </c>
      <c r="L1127" s="694" t="s">
        <v>651</v>
      </c>
      <c r="M1127" s="694" t="s">
        <v>650</v>
      </c>
      <c r="N1127" s="694">
        <v>13</v>
      </c>
      <c r="U1127" s="694">
        <v>0</v>
      </c>
      <c r="V1127" s="694">
        <v>29340</v>
      </c>
      <c r="W1127" s="694">
        <v>0</v>
      </c>
      <c r="X1127" s="694">
        <v>28272</v>
      </c>
      <c r="Y1127" s="694">
        <v>367536</v>
      </c>
      <c r="Z1127" s="694">
        <v>367536</v>
      </c>
      <c r="AA1127" s="694">
        <v>56544</v>
      </c>
      <c r="AB1127" s="694">
        <v>0</v>
      </c>
      <c r="AC1127" s="694">
        <v>0.96359918200409</v>
      </c>
      <c r="AD1127" s="694">
        <v>0</v>
      </c>
      <c r="AE1127" s="694">
        <v>0</v>
      </c>
      <c r="AF1127" s="694">
        <v>0</v>
      </c>
      <c r="AG1127" s="694">
        <v>0</v>
      </c>
      <c r="AH1127" s="694">
        <v>1</v>
      </c>
      <c r="AI1127" s="694">
        <v>0</v>
      </c>
      <c r="AJ1127" s="694">
        <v>0</v>
      </c>
      <c r="AK1127" s="694">
        <v>0</v>
      </c>
      <c r="AL1127" s="694">
        <v>1</v>
      </c>
      <c r="AM1127" s="694">
        <v>0</v>
      </c>
      <c r="AN1127" s="694">
        <v>0</v>
      </c>
      <c r="AO1127" s="694">
        <v>0</v>
      </c>
      <c r="AP1127" s="694">
        <v>450</v>
      </c>
      <c r="AQ1127" s="694">
        <v>2700</v>
      </c>
      <c r="BS1127" s="694">
        <v>0</v>
      </c>
      <c r="BT1127" s="694">
        <v>0</v>
      </c>
      <c r="BU1127" s="694">
        <v>28272</v>
      </c>
      <c r="BV1127" s="694">
        <v>28272</v>
      </c>
      <c r="BW1127" s="694">
        <v>28272</v>
      </c>
      <c r="BX1127" s="694">
        <v>28272</v>
      </c>
      <c r="BY1127" s="694">
        <v>28272</v>
      </c>
      <c r="BZ1127" s="694">
        <v>28272</v>
      </c>
      <c r="CA1127" s="694">
        <v>28272</v>
      </c>
      <c r="CB1127" s="694">
        <v>28272</v>
      </c>
      <c r="CC1127" s="694">
        <v>28272</v>
      </c>
      <c r="CD1127" s="694">
        <v>28272</v>
      </c>
      <c r="CE1127" s="694">
        <v>28272</v>
      </c>
      <c r="CF1127" s="694">
        <v>28272</v>
      </c>
      <c r="CG1127" s="694">
        <v>28272</v>
      </c>
      <c r="CH1127" s="694">
        <v>0</v>
      </c>
      <c r="CI1127" s="694">
        <v>0</v>
      </c>
      <c r="CJ1127" s="694">
        <v>0</v>
      </c>
      <c r="CK1127" s="694">
        <v>0</v>
      </c>
      <c r="CL1127" s="694">
        <v>0</v>
      </c>
      <c r="CM1127" s="694">
        <v>0</v>
      </c>
      <c r="CN1127" s="694">
        <v>0</v>
      </c>
      <c r="CO1127" s="694">
        <v>0</v>
      </c>
      <c r="CP1127" s="694">
        <v>0</v>
      </c>
      <c r="CQ1127" s="694">
        <v>0</v>
      </c>
      <c r="CR1127" s="694">
        <v>0</v>
      </c>
    </row>
    <row r="1128" spans="1:96" s="694" customFormat="1">
      <c r="A1128" s="699" t="s">
        <v>3</v>
      </c>
      <c r="B1128" s="700" t="s">
        <v>649</v>
      </c>
      <c r="C1128" s="696">
        <v>2014</v>
      </c>
      <c r="D1128" s="699" t="s">
        <v>124</v>
      </c>
      <c r="E1128" s="699" t="s">
        <v>124</v>
      </c>
      <c r="F1128" s="699" t="s">
        <v>457</v>
      </c>
      <c r="G1128" s="699"/>
      <c r="H1128" s="699" t="s">
        <v>648</v>
      </c>
      <c r="I1128" s="699" t="s">
        <v>5</v>
      </c>
      <c r="J1128" s="699" t="s">
        <v>647</v>
      </c>
      <c r="K1128" s="696">
        <v>1</v>
      </c>
      <c r="L1128" s="699" t="s">
        <v>646</v>
      </c>
      <c r="M1128" s="699" t="s">
        <v>645</v>
      </c>
      <c r="N1128" s="696">
        <v>13</v>
      </c>
      <c r="O1128" s="696"/>
      <c r="P1128" s="696"/>
      <c r="Q1128" s="696"/>
      <c r="R1128" s="696"/>
      <c r="S1128" s="696"/>
      <c r="T1128" s="696"/>
      <c r="U1128" s="696">
        <v>0</v>
      </c>
      <c r="V1128" s="695">
        <v>4890</v>
      </c>
      <c r="W1128" s="695">
        <v>0</v>
      </c>
      <c r="X1128" s="695">
        <v>4712</v>
      </c>
      <c r="Y1128" s="695">
        <v>61256</v>
      </c>
      <c r="Z1128" s="695">
        <v>0</v>
      </c>
      <c r="AA1128" s="695">
        <v>0</v>
      </c>
      <c r="AB1128" s="695">
        <v>0</v>
      </c>
      <c r="AC1128" s="697">
        <v>0.96359918200409</v>
      </c>
      <c r="AD1128" s="697">
        <v>0</v>
      </c>
      <c r="AE1128" s="698">
        <v>0</v>
      </c>
      <c r="AF1128" s="698">
        <v>0</v>
      </c>
      <c r="AG1128" s="698">
        <v>0</v>
      </c>
      <c r="AH1128" s="697">
        <v>1</v>
      </c>
      <c r="AI1128" s="698">
        <v>0</v>
      </c>
      <c r="AJ1128" s="698">
        <v>0</v>
      </c>
      <c r="AK1128" s="698">
        <v>0</v>
      </c>
      <c r="AL1128" s="697">
        <v>1</v>
      </c>
      <c r="AM1128" s="696">
        <v>0</v>
      </c>
      <c r="AN1128" s="696">
        <v>0</v>
      </c>
      <c r="AO1128" s="696">
        <v>0</v>
      </c>
      <c r="AP1128" s="696">
        <v>450</v>
      </c>
      <c r="AQ1128" s="696">
        <v>450</v>
      </c>
      <c r="AR1128" s="696"/>
      <c r="AS1128" s="695"/>
      <c r="AT1128" s="695"/>
      <c r="AU1128" s="695"/>
      <c r="AV1128" s="695"/>
      <c r="AW1128" s="695"/>
      <c r="AX1128" s="695"/>
      <c r="AY1128" s="695"/>
      <c r="AZ1128" s="695"/>
      <c r="BA1128" s="695"/>
      <c r="BB1128" s="695"/>
      <c r="BC1128" s="695"/>
      <c r="BD1128" s="695"/>
      <c r="BE1128" s="695"/>
      <c r="BF1128" s="695"/>
      <c r="BG1128" s="695"/>
      <c r="BH1128" s="695"/>
      <c r="BI1128" s="695"/>
      <c r="BJ1128" s="695"/>
      <c r="BK1128" s="695"/>
      <c r="BL1128" s="695"/>
      <c r="BM1128" s="695"/>
      <c r="BN1128" s="695"/>
      <c r="BO1128" s="695"/>
      <c r="BP1128" s="695"/>
      <c r="BQ1128" s="695"/>
      <c r="BR1128" s="695"/>
      <c r="BS1128" s="695">
        <v>0</v>
      </c>
      <c r="BT1128" s="695">
        <v>0</v>
      </c>
      <c r="BU1128" s="695">
        <v>0</v>
      </c>
      <c r="BV1128" s="695">
        <v>0</v>
      </c>
      <c r="BW1128" s="695">
        <v>0</v>
      </c>
      <c r="BX1128" s="695">
        <v>0</v>
      </c>
      <c r="BY1128" s="695">
        <v>0</v>
      </c>
      <c r="BZ1128" s="695">
        <v>0</v>
      </c>
      <c r="CA1128" s="695">
        <v>0</v>
      </c>
      <c r="CB1128" s="695">
        <v>0</v>
      </c>
      <c r="CC1128" s="695">
        <v>0</v>
      </c>
      <c r="CD1128" s="695">
        <v>0</v>
      </c>
      <c r="CE1128" s="695">
        <v>0</v>
      </c>
      <c r="CF1128" s="695">
        <v>0</v>
      </c>
      <c r="CG1128" s="695">
        <v>0</v>
      </c>
      <c r="CH1128" s="695">
        <v>0</v>
      </c>
      <c r="CI1128" s="695">
        <v>0</v>
      </c>
      <c r="CJ1128" s="695">
        <v>0</v>
      </c>
      <c r="CK1128" s="695">
        <v>0</v>
      </c>
      <c r="CL1128" s="695">
        <v>0</v>
      </c>
      <c r="CM1128" s="695">
        <v>0</v>
      </c>
      <c r="CN1128" s="695">
        <v>0</v>
      </c>
      <c r="CO1128" s="695">
        <v>0</v>
      </c>
      <c r="CP1128" s="695">
        <v>0</v>
      </c>
      <c r="CQ1128" s="695">
        <v>0</v>
      </c>
      <c r="CR1128" s="695">
        <v>0</v>
      </c>
    </row>
  </sheetData>
  <autoFilter ref="A1:CR1128"/>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02"/>
  <dimension ref="A1:AZ332"/>
  <sheetViews>
    <sheetView zoomScale="85" zoomScaleNormal="85" workbookViewId="0">
      <pane xSplit="6" ySplit="7" topLeftCell="G110" activePane="bottomRight" state="frozen"/>
      <selection activeCell="D127" sqref="D127"/>
      <selection pane="topRight" activeCell="D127" sqref="D127"/>
      <selection pane="bottomLeft" activeCell="D127" sqref="D127"/>
      <selection pane="bottomRight" activeCell="D127" sqref="D127"/>
    </sheetView>
  </sheetViews>
  <sheetFormatPr defaultColWidth="9.1796875" defaultRowHeight="12.5"/>
  <cols>
    <col min="1" max="1" width="5.81640625" style="466" bestFit="1" customWidth="1"/>
    <col min="2" max="2" width="59.1796875" style="466" customWidth="1"/>
    <col min="3" max="4" width="37.54296875" style="466" customWidth="1"/>
    <col min="5" max="6" width="10.453125" style="466" customWidth="1"/>
    <col min="7" max="7" width="1.7265625" style="467" customWidth="1"/>
    <col min="8" max="37" width="10.7265625" style="468" customWidth="1"/>
    <col min="38" max="256" width="9.1796875" style="466"/>
    <col min="257" max="257" width="5.81640625" style="466" bestFit="1" customWidth="1"/>
    <col min="258" max="258" width="59.1796875" style="466" customWidth="1"/>
    <col min="259" max="260" width="37.54296875" style="466" customWidth="1"/>
    <col min="261" max="262" width="10.453125" style="466" customWidth="1"/>
    <col min="263" max="263" width="1.7265625" style="466" customWidth="1"/>
    <col min="264" max="293" width="10.7265625" style="466" customWidth="1"/>
    <col min="294" max="512" width="9.1796875" style="466"/>
    <col min="513" max="513" width="5.81640625" style="466" bestFit="1" customWidth="1"/>
    <col min="514" max="514" width="59.1796875" style="466" customWidth="1"/>
    <col min="515" max="516" width="37.54296875" style="466" customWidth="1"/>
    <col min="517" max="518" width="10.453125" style="466" customWidth="1"/>
    <col min="519" max="519" width="1.7265625" style="466" customWidth="1"/>
    <col min="520" max="549" width="10.7265625" style="466" customWidth="1"/>
    <col min="550" max="768" width="9.1796875" style="466"/>
    <col min="769" max="769" width="5.81640625" style="466" bestFit="1" customWidth="1"/>
    <col min="770" max="770" width="59.1796875" style="466" customWidth="1"/>
    <col min="771" max="772" width="37.54296875" style="466" customWidth="1"/>
    <col min="773" max="774" width="10.453125" style="466" customWidth="1"/>
    <col min="775" max="775" width="1.7265625" style="466" customWidth="1"/>
    <col min="776" max="805" width="10.7265625" style="466" customWidth="1"/>
    <col min="806" max="1024" width="9.1796875" style="466"/>
    <col min="1025" max="1025" width="5.81640625" style="466" bestFit="1" customWidth="1"/>
    <col min="1026" max="1026" width="59.1796875" style="466" customWidth="1"/>
    <col min="1027" max="1028" width="37.54296875" style="466" customWidth="1"/>
    <col min="1029" max="1030" width="10.453125" style="466" customWidth="1"/>
    <col min="1031" max="1031" width="1.7265625" style="466" customWidth="1"/>
    <col min="1032" max="1061" width="10.7265625" style="466" customWidth="1"/>
    <col min="1062" max="1280" width="9.1796875" style="466"/>
    <col min="1281" max="1281" width="5.81640625" style="466" bestFit="1" customWidth="1"/>
    <col min="1282" max="1282" width="59.1796875" style="466" customWidth="1"/>
    <col min="1283" max="1284" width="37.54296875" style="466" customWidth="1"/>
    <col min="1285" max="1286" width="10.453125" style="466" customWidth="1"/>
    <col min="1287" max="1287" width="1.7265625" style="466" customWidth="1"/>
    <col min="1288" max="1317" width="10.7265625" style="466" customWidth="1"/>
    <col min="1318" max="1536" width="9.1796875" style="466"/>
    <col min="1537" max="1537" width="5.81640625" style="466" bestFit="1" customWidth="1"/>
    <col min="1538" max="1538" width="59.1796875" style="466" customWidth="1"/>
    <col min="1539" max="1540" width="37.54296875" style="466" customWidth="1"/>
    <col min="1541" max="1542" width="10.453125" style="466" customWidth="1"/>
    <col min="1543" max="1543" width="1.7265625" style="466" customWidth="1"/>
    <col min="1544" max="1573" width="10.7265625" style="466" customWidth="1"/>
    <col min="1574" max="1792" width="9.1796875" style="466"/>
    <col min="1793" max="1793" width="5.81640625" style="466" bestFit="1" customWidth="1"/>
    <col min="1794" max="1794" width="59.1796875" style="466" customWidth="1"/>
    <col min="1795" max="1796" width="37.54296875" style="466" customWidth="1"/>
    <col min="1797" max="1798" width="10.453125" style="466" customWidth="1"/>
    <col min="1799" max="1799" width="1.7265625" style="466" customWidth="1"/>
    <col min="1800" max="1829" width="10.7265625" style="466" customWidth="1"/>
    <col min="1830" max="2048" width="9.1796875" style="466"/>
    <col min="2049" max="2049" width="5.81640625" style="466" bestFit="1" customWidth="1"/>
    <col min="2050" max="2050" width="59.1796875" style="466" customWidth="1"/>
    <col min="2051" max="2052" width="37.54296875" style="466" customWidth="1"/>
    <col min="2053" max="2054" width="10.453125" style="466" customWidth="1"/>
    <col min="2055" max="2055" width="1.7265625" style="466" customWidth="1"/>
    <col min="2056" max="2085" width="10.7265625" style="466" customWidth="1"/>
    <col min="2086" max="2304" width="9.1796875" style="466"/>
    <col min="2305" max="2305" width="5.81640625" style="466" bestFit="1" customWidth="1"/>
    <col min="2306" max="2306" width="59.1796875" style="466" customWidth="1"/>
    <col min="2307" max="2308" width="37.54296875" style="466" customWidth="1"/>
    <col min="2309" max="2310" width="10.453125" style="466" customWidth="1"/>
    <col min="2311" max="2311" width="1.7265625" style="466" customWidth="1"/>
    <col min="2312" max="2341" width="10.7265625" style="466" customWidth="1"/>
    <col min="2342" max="2560" width="9.1796875" style="466"/>
    <col min="2561" max="2561" width="5.81640625" style="466" bestFit="1" customWidth="1"/>
    <col min="2562" max="2562" width="59.1796875" style="466" customWidth="1"/>
    <col min="2563" max="2564" width="37.54296875" style="466" customWidth="1"/>
    <col min="2565" max="2566" width="10.453125" style="466" customWidth="1"/>
    <col min="2567" max="2567" width="1.7265625" style="466" customWidth="1"/>
    <col min="2568" max="2597" width="10.7265625" style="466" customWidth="1"/>
    <col min="2598" max="2816" width="9.1796875" style="466"/>
    <col min="2817" max="2817" width="5.81640625" style="466" bestFit="1" customWidth="1"/>
    <col min="2818" max="2818" width="59.1796875" style="466" customWidth="1"/>
    <col min="2819" max="2820" width="37.54296875" style="466" customWidth="1"/>
    <col min="2821" max="2822" width="10.453125" style="466" customWidth="1"/>
    <col min="2823" max="2823" width="1.7265625" style="466" customWidth="1"/>
    <col min="2824" max="2853" width="10.7265625" style="466" customWidth="1"/>
    <col min="2854" max="3072" width="9.1796875" style="466"/>
    <col min="3073" max="3073" width="5.81640625" style="466" bestFit="1" customWidth="1"/>
    <col min="3074" max="3074" width="59.1796875" style="466" customWidth="1"/>
    <col min="3075" max="3076" width="37.54296875" style="466" customWidth="1"/>
    <col min="3077" max="3078" width="10.453125" style="466" customWidth="1"/>
    <col min="3079" max="3079" width="1.7265625" style="466" customWidth="1"/>
    <col min="3080" max="3109" width="10.7265625" style="466" customWidth="1"/>
    <col min="3110" max="3328" width="9.1796875" style="466"/>
    <col min="3329" max="3329" width="5.81640625" style="466" bestFit="1" customWidth="1"/>
    <col min="3330" max="3330" width="59.1796875" style="466" customWidth="1"/>
    <col min="3331" max="3332" width="37.54296875" style="466" customWidth="1"/>
    <col min="3333" max="3334" width="10.453125" style="466" customWidth="1"/>
    <col min="3335" max="3335" width="1.7265625" style="466" customWidth="1"/>
    <col min="3336" max="3365" width="10.7265625" style="466" customWidth="1"/>
    <col min="3366" max="3584" width="9.1796875" style="466"/>
    <col min="3585" max="3585" width="5.81640625" style="466" bestFit="1" customWidth="1"/>
    <col min="3586" max="3586" width="59.1796875" style="466" customWidth="1"/>
    <col min="3587" max="3588" width="37.54296875" style="466" customWidth="1"/>
    <col min="3589" max="3590" width="10.453125" style="466" customWidth="1"/>
    <col min="3591" max="3591" width="1.7265625" style="466" customWidth="1"/>
    <col min="3592" max="3621" width="10.7265625" style="466" customWidth="1"/>
    <col min="3622" max="3840" width="9.1796875" style="466"/>
    <col min="3841" max="3841" width="5.81640625" style="466" bestFit="1" customWidth="1"/>
    <col min="3842" max="3842" width="59.1796875" style="466" customWidth="1"/>
    <col min="3843" max="3844" width="37.54296875" style="466" customWidth="1"/>
    <col min="3845" max="3846" width="10.453125" style="466" customWidth="1"/>
    <col min="3847" max="3847" width="1.7265625" style="466" customWidth="1"/>
    <col min="3848" max="3877" width="10.7265625" style="466" customWidth="1"/>
    <col min="3878" max="4096" width="9.1796875" style="466"/>
    <col min="4097" max="4097" width="5.81640625" style="466" bestFit="1" customWidth="1"/>
    <col min="4098" max="4098" width="59.1796875" style="466" customWidth="1"/>
    <col min="4099" max="4100" width="37.54296875" style="466" customWidth="1"/>
    <col min="4101" max="4102" width="10.453125" style="466" customWidth="1"/>
    <col min="4103" max="4103" width="1.7265625" style="466" customWidth="1"/>
    <col min="4104" max="4133" width="10.7265625" style="466" customWidth="1"/>
    <col min="4134" max="4352" width="9.1796875" style="466"/>
    <col min="4353" max="4353" width="5.81640625" style="466" bestFit="1" customWidth="1"/>
    <col min="4354" max="4354" width="59.1796875" style="466" customWidth="1"/>
    <col min="4355" max="4356" width="37.54296875" style="466" customWidth="1"/>
    <col min="4357" max="4358" width="10.453125" style="466" customWidth="1"/>
    <col min="4359" max="4359" width="1.7265625" style="466" customWidth="1"/>
    <col min="4360" max="4389" width="10.7265625" style="466" customWidth="1"/>
    <col min="4390" max="4608" width="9.1796875" style="466"/>
    <col min="4609" max="4609" width="5.81640625" style="466" bestFit="1" customWidth="1"/>
    <col min="4610" max="4610" width="59.1796875" style="466" customWidth="1"/>
    <col min="4611" max="4612" width="37.54296875" style="466" customWidth="1"/>
    <col min="4613" max="4614" width="10.453125" style="466" customWidth="1"/>
    <col min="4615" max="4615" width="1.7265625" style="466" customWidth="1"/>
    <col min="4616" max="4645" width="10.7265625" style="466" customWidth="1"/>
    <col min="4646" max="4864" width="9.1796875" style="466"/>
    <col min="4865" max="4865" width="5.81640625" style="466" bestFit="1" customWidth="1"/>
    <col min="4866" max="4866" width="59.1796875" style="466" customWidth="1"/>
    <col min="4867" max="4868" width="37.54296875" style="466" customWidth="1"/>
    <col min="4869" max="4870" width="10.453125" style="466" customWidth="1"/>
    <col min="4871" max="4871" width="1.7265625" style="466" customWidth="1"/>
    <col min="4872" max="4901" width="10.7265625" style="466" customWidth="1"/>
    <col min="4902" max="5120" width="9.1796875" style="466"/>
    <col min="5121" max="5121" width="5.81640625" style="466" bestFit="1" customWidth="1"/>
    <col min="5122" max="5122" width="59.1796875" style="466" customWidth="1"/>
    <col min="5123" max="5124" width="37.54296875" style="466" customWidth="1"/>
    <col min="5125" max="5126" width="10.453125" style="466" customWidth="1"/>
    <col min="5127" max="5127" width="1.7265625" style="466" customWidth="1"/>
    <col min="5128" max="5157" width="10.7265625" style="466" customWidth="1"/>
    <col min="5158" max="5376" width="9.1796875" style="466"/>
    <col min="5377" max="5377" width="5.81640625" style="466" bestFit="1" customWidth="1"/>
    <col min="5378" max="5378" width="59.1796875" style="466" customWidth="1"/>
    <col min="5379" max="5380" width="37.54296875" style="466" customWidth="1"/>
    <col min="5381" max="5382" width="10.453125" style="466" customWidth="1"/>
    <col min="5383" max="5383" width="1.7265625" style="466" customWidth="1"/>
    <col min="5384" max="5413" width="10.7265625" style="466" customWidth="1"/>
    <col min="5414" max="5632" width="9.1796875" style="466"/>
    <col min="5633" max="5633" width="5.81640625" style="466" bestFit="1" customWidth="1"/>
    <col min="5634" max="5634" width="59.1796875" style="466" customWidth="1"/>
    <col min="5635" max="5636" width="37.54296875" style="466" customWidth="1"/>
    <col min="5637" max="5638" width="10.453125" style="466" customWidth="1"/>
    <col min="5639" max="5639" width="1.7265625" style="466" customWidth="1"/>
    <col min="5640" max="5669" width="10.7265625" style="466" customWidth="1"/>
    <col min="5670" max="5888" width="9.1796875" style="466"/>
    <col min="5889" max="5889" width="5.81640625" style="466" bestFit="1" customWidth="1"/>
    <col min="5890" max="5890" width="59.1796875" style="466" customWidth="1"/>
    <col min="5891" max="5892" width="37.54296875" style="466" customWidth="1"/>
    <col min="5893" max="5894" width="10.453125" style="466" customWidth="1"/>
    <col min="5895" max="5895" width="1.7265625" style="466" customWidth="1"/>
    <col min="5896" max="5925" width="10.7265625" style="466" customWidth="1"/>
    <col min="5926" max="6144" width="9.1796875" style="466"/>
    <col min="6145" max="6145" width="5.81640625" style="466" bestFit="1" customWidth="1"/>
    <col min="6146" max="6146" width="59.1796875" style="466" customWidth="1"/>
    <col min="6147" max="6148" width="37.54296875" style="466" customWidth="1"/>
    <col min="6149" max="6150" width="10.453125" style="466" customWidth="1"/>
    <col min="6151" max="6151" width="1.7265625" style="466" customWidth="1"/>
    <col min="6152" max="6181" width="10.7265625" style="466" customWidth="1"/>
    <col min="6182" max="6400" width="9.1796875" style="466"/>
    <col min="6401" max="6401" width="5.81640625" style="466" bestFit="1" customWidth="1"/>
    <col min="6402" max="6402" width="59.1796875" style="466" customWidth="1"/>
    <col min="6403" max="6404" width="37.54296875" style="466" customWidth="1"/>
    <col min="6405" max="6406" width="10.453125" style="466" customWidth="1"/>
    <col min="6407" max="6407" width="1.7265625" style="466" customWidth="1"/>
    <col min="6408" max="6437" width="10.7265625" style="466" customWidth="1"/>
    <col min="6438" max="6656" width="9.1796875" style="466"/>
    <col min="6657" max="6657" width="5.81640625" style="466" bestFit="1" customWidth="1"/>
    <col min="6658" max="6658" width="59.1796875" style="466" customWidth="1"/>
    <col min="6659" max="6660" width="37.54296875" style="466" customWidth="1"/>
    <col min="6661" max="6662" width="10.453125" style="466" customWidth="1"/>
    <col min="6663" max="6663" width="1.7265625" style="466" customWidth="1"/>
    <col min="6664" max="6693" width="10.7265625" style="466" customWidth="1"/>
    <col min="6694" max="6912" width="9.1796875" style="466"/>
    <col min="6913" max="6913" width="5.81640625" style="466" bestFit="1" customWidth="1"/>
    <col min="6914" max="6914" width="59.1796875" style="466" customWidth="1"/>
    <col min="6915" max="6916" width="37.54296875" style="466" customWidth="1"/>
    <col min="6917" max="6918" width="10.453125" style="466" customWidth="1"/>
    <col min="6919" max="6919" width="1.7265625" style="466" customWidth="1"/>
    <col min="6920" max="6949" width="10.7265625" style="466" customWidth="1"/>
    <col min="6950" max="7168" width="9.1796875" style="466"/>
    <col min="7169" max="7169" width="5.81640625" style="466" bestFit="1" customWidth="1"/>
    <col min="7170" max="7170" width="59.1796875" style="466" customWidth="1"/>
    <col min="7171" max="7172" width="37.54296875" style="466" customWidth="1"/>
    <col min="7173" max="7174" width="10.453125" style="466" customWidth="1"/>
    <col min="7175" max="7175" width="1.7265625" style="466" customWidth="1"/>
    <col min="7176" max="7205" width="10.7265625" style="466" customWidth="1"/>
    <col min="7206" max="7424" width="9.1796875" style="466"/>
    <col min="7425" max="7425" width="5.81640625" style="466" bestFit="1" customWidth="1"/>
    <col min="7426" max="7426" width="59.1796875" style="466" customWidth="1"/>
    <col min="7427" max="7428" width="37.54296875" style="466" customWidth="1"/>
    <col min="7429" max="7430" width="10.453125" style="466" customWidth="1"/>
    <col min="7431" max="7431" width="1.7265625" style="466" customWidth="1"/>
    <col min="7432" max="7461" width="10.7265625" style="466" customWidth="1"/>
    <col min="7462" max="7680" width="9.1796875" style="466"/>
    <col min="7681" max="7681" width="5.81640625" style="466" bestFit="1" customWidth="1"/>
    <col min="7682" max="7682" width="59.1796875" style="466" customWidth="1"/>
    <col min="7683" max="7684" width="37.54296875" style="466" customWidth="1"/>
    <col min="7685" max="7686" width="10.453125" style="466" customWidth="1"/>
    <col min="7687" max="7687" width="1.7265625" style="466" customWidth="1"/>
    <col min="7688" max="7717" width="10.7265625" style="466" customWidth="1"/>
    <col min="7718" max="7936" width="9.1796875" style="466"/>
    <col min="7937" max="7937" width="5.81640625" style="466" bestFit="1" customWidth="1"/>
    <col min="7938" max="7938" width="59.1796875" style="466" customWidth="1"/>
    <col min="7939" max="7940" width="37.54296875" style="466" customWidth="1"/>
    <col min="7941" max="7942" width="10.453125" style="466" customWidth="1"/>
    <col min="7943" max="7943" width="1.7265625" style="466" customWidth="1"/>
    <col min="7944" max="7973" width="10.7265625" style="466" customWidth="1"/>
    <col min="7974" max="8192" width="9.1796875" style="466"/>
    <col min="8193" max="8193" width="5.81640625" style="466" bestFit="1" customWidth="1"/>
    <col min="8194" max="8194" width="59.1796875" style="466" customWidth="1"/>
    <col min="8195" max="8196" width="37.54296875" style="466" customWidth="1"/>
    <col min="8197" max="8198" width="10.453125" style="466" customWidth="1"/>
    <col min="8199" max="8199" width="1.7265625" style="466" customWidth="1"/>
    <col min="8200" max="8229" width="10.7265625" style="466" customWidth="1"/>
    <col min="8230" max="8448" width="9.1796875" style="466"/>
    <col min="8449" max="8449" width="5.81640625" style="466" bestFit="1" customWidth="1"/>
    <col min="8450" max="8450" width="59.1796875" style="466" customWidth="1"/>
    <col min="8451" max="8452" width="37.54296875" style="466" customWidth="1"/>
    <col min="8453" max="8454" width="10.453125" style="466" customWidth="1"/>
    <col min="8455" max="8455" width="1.7265625" style="466" customWidth="1"/>
    <col min="8456" max="8485" width="10.7265625" style="466" customWidth="1"/>
    <col min="8486" max="8704" width="9.1796875" style="466"/>
    <col min="8705" max="8705" width="5.81640625" style="466" bestFit="1" customWidth="1"/>
    <col min="8706" max="8706" width="59.1796875" style="466" customWidth="1"/>
    <col min="8707" max="8708" width="37.54296875" style="466" customWidth="1"/>
    <col min="8709" max="8710" width="10.453125" style="466" customWidth="1"/>
    <col min="8711" max="8711" width="1.7265625" style="466" customWidth="1"/>
    <col min="8712" max="8741" width="10.7265625" style="466" customWidth="1"/>
    <col min="8742" max="8960" width="9.1796875" style="466"/>
    <col min="8961" max="8961" width="5.81640625" style="466" bestFit="1" customWidth="1"/>
    <col min="8962" max="8962" width="59.1796875" style="466" customWidth="1"/>
    <col min="8963" max="8964" width="37.54296875" style="466" customWidth="1"/>
    <col min="8965" max="8966" width="10.453125" style="466" customWidth="1"/>
    <col min="8967" max="8967" width="1.7265625" style="466" customWidth="1"/>
    <col min="8968" max="8997" width="10.7265625" style="466" customWidth="1"/>
    <col min="8998" max="9216" width="9.1796875" style="466"/>
    <col min="9217" max="9217" width="5.81640625" style="466" bestFit="1" customWidth="1"/>
    <col min="9218" max="9218" width="59.1796875" style="466" customWidth="1"/>
    <col min="9219" max="9220" width="37.54296875" style="466" customWidth="1"/>
    <col min="9221" max="9222" width="10.453125" style="466" customWidth="1"/>
    <col min="9223" max="9223" width="1.7265625" style="466" customWidth="1"/>
    <col min="9224" max="9253" width="10.7265625" style="466" customWidth="1"/>
    <col min="9254" max="9472" width="9.1796875" style="466"/>
    <col min="9473" max="9473" width="5.81640625" style="466" bestFit="1" customWidth="1"/>
    <col min="9474" max="9474" width="59.1796875" style="466" customWidth="1"/>
    <col min="9475" max="9476" width="37.54296875" style="466" customWidth="1"/>
    <col min="9477" max="9478" width="10.453125" style="466" customWidth="1"/>
    <col min="9479" max="9479" width="1.7265625" style="466" customWidth="1"/>
    <col min="9480" max="9509" width="10.7265625" style="466" customWidth="1"/>
    <col min="9510" max="9728" width="9.1796875" style="466"/>
    <col min="9729" max="9729" width="5.81640625" style="466" bestFit="1" customWidth="1"/>
    <col min="9730" max="9730" width="59.1796875" style="466" customWidth="1"/>
    <col min="9731" max="9732" width="37.54296875" style="466" customWidth="1"/>
    <col min="9733" max="9734" width="10.453125" style="466" customWidth="1"/>
    <col min="9735" max="9735" width="1.7265625" style="466" customWidth="1"/>
    <col min="9736" max="9765" width="10.7265625" style="466" customWidth="1"/>
    <col min="9766" max="9984" width="9.1796875" style="466"/>
    <col min="9985" max="9985" width="5.81640625" style="466" bestFit="1" customWidth="1"/>
    <col min="9986" max="9986" width="59.1796875" style="466" customWidth="1"/>
    <col min="9987" max="9988" width="37.54296875" style="466" customWidth="1"/>
    <col min="9989" max="9990" width="10.453125" style="466" customWidth="1"/>
    <col min="9991" max="9991" width="1.7265625" style="466" customWidth="1"/>
    <col min="9992" max="10021" width="10.7265625" style="466" customWidth="1"/>
    <col min="10022" max="10240" width="9.1796875" style="466"/>
    <col min="10241" max="10241" width="5.81640625" style="466" bestFit="1" customWidth="1"/>
    <col min="10242" max="10242" width="59.1796875" style="466" customWidth="1"/>
    <col min="10243" max="10244" width="37.54296875" style="466" customWidth="1"/>
    <col min="10245" max="10246" width="10.453125" style="466" customWidth="1"/>
    <col min="10247" max="10247" width="1.7265625" style="466" customWidth="1"/>
    <col min="10248" max="10277" width="10.7265625" style="466" customWidth="1"/>
    <col min="10278" max="10496" width="9.1796875" style="466"/>
    <col min="10497" max="10497" width="5.81640625" style="466" bestFit="1" customWidth="1"/>
    <col min="10498" max="10498" width="59.1796875" style="466" customWidth="1"/>
    <col min="10499" max="10500" width="37.54296875" style="466" customWidth="1"/>
    <col min="10501" max="10502" width="10.453125" style="466" customWidth="1"/>
    <col min="10503" max="10503" width="1.7265625" style="466" customWidth="1"/>
    <col min="10504" max="10533" width="10.7265625" style="466" customWidth="1"/>
    <col min="10534" max="10752" width="9.1796875" style="466"/>
    <col min="10753" max="10753" width="5.81640625" style="466" bestFit="1" customWidth="1"/>
    <col min="10754" max="10754" width="59.1796875" style="466" customWidth="1"/>
    <col min="10755" max="10756" width="37.54296875" style="466" customWidth="1"/>
    <col min="10757" max="10758" width="10.453125" style="466" customWidth="1"/>
    <col min="10759" max="10759" width="1.7265625" style="466" customWidth="1"/>
    <col min="10760" max="10789" width="10.7265625" style="466" customWidth="1"/>
    <col min="10790" max="11008" width="9.1796875" style="466"/>
    <col min="11009" max="11009" width="5.81640625" style="466" bestFit="1" customWidth="1"/>
    <col min="11010" max="11010" width="59.1796875" style="466" customWidth="1"/>
    <col min="11011" max="11012" width="37.54296875" style="466" customWidth="1"/>
    <col min="11013" max="11014" width="10.453125" style="466" customWidth="1"/>
    <col min="11015" max="11015" width="1.7265625" style="466" customWidth="1"/>
    <col min="11016" max="11045" width="10.7265625" style="466" customWidth="1"/>
    <col min="11046" max="11264" width="9.1796875" style="466"/>
    <col min="11265" max="11265" width="5.81640625" style="466" bestFit="1" customWidth="1"/>
    <col min="11266" max="11266" width="59.1796875" style="466" customWidth="1"/>
    <col min="11267" max="11268" width="37.54296875" style="466" customWidth="1"/>
    <col min="11269" max="11270" width="10.453125" style="466" customWidth="1"/>
    <col min="11271" max="11271" width="1.7265625" style="466" customWidth="1"/>
    <col min="11272" max="11301" width="10.7265625" style="466" customWidth="1"/>
    <col min="11302" max="11520" width="9.1796875" style="466"/>
    <col min="11521" max="11521" width="5.81640625" style="466" bestFit="1" customWidth="1"/>
    <col min="11522" max="11522" width="59.1796875" style="466" customWidth="1"/>
    <col min="11523" max="11524" width="37.54296875" style="466" customWidth="1"/>
    <col min="11525" max="11526" width="10.453125" style="466" customWidth="1"/>
    <col min="11527" max="11527" width="1.7265625" style="466" customWidth="1"/>
    <col min="11528" max="11557" width="10.7265625" style="466" customWidth="1"/>
    <col min="11558" max="11776" width="9.1796875" style="466"/>
    <col min="11777" max="11777" width="5.81640625" style="466" bestFit="1" customWidth="1"/>
    <col min="11778" max="11778" width="59.1796875" style="466" customWidth="1"/>
    <col min="11779" max="11780" width="37.54296875" style="466" customWidth="1"/>
    <col min="11781" max="11782" width="10.453125" style="466" customWidth="1"/>
    <col min="11783" max="11783" width="1.7265625" style="466" customWidth="1"/>
    <col min="11784" max="11813" width="10.7265625" style="466" customWidth="1"/>
    <col min="11814" max="12032" width="9.1796875" style="466"/>
    <col min="12033" max="12033" width="5.81640625" style="466" bestFit="1" customWidth="1"/>
    <col min="12034" max="12034" width="59.1796875" style="466" customWidth="1"/>
    <col min="12035" max="12036" width="37.54296875" style="466" customWidth="1"/>
    <col min="12037" max="12038" width="10.453125" style="466" customWidth="1"/>
    <col min="12039" max="12039" width="1.7265625" style="466" customWidth="1"/>
    <col min="12040" max="12069" width="10.7265625" style="466" customWidth="1"/>
    <col min="12070" max="12288" width="9.1796875" style="466"/>
    <col min="12289" max="12289" width="5.81640625" style="466" bestFit="1" customWidth="1"/>
    <col min="12290" max="12290" width="59.1796875" style="466" customWidth="1"/>
    <col min="12291" max="12292" width="37.54296875" style="466" customWidth="1"/>
    <col min="12293" max="12294" width="10.453125" style="466" customWidth="1"/>
    <col min="12295" max="12295" width="1.7265625" style="466" customWidth="1"/>
    <col min="12296" max="12325" width="10.7265625" style="466" customWidth="1"/>
    <col min="12326" max="12544" width="9.1796875" style="466"/>
    <col min="12545" max="12545" width="5.81640625" style="466" bestFit="1" customWidth="1"/>
    <col min="12546" max="12546" width="59.1796875" style="466" customWidth="1"/>
    <col min="12547" max="12548" width="37.54296875" style="466" customWidth="1"/>
    <col min="12549" max="12550" width="10.453125" style="466" customWidth="1"/>
    <col min="12551" max="12551" width="1.7265625" style="466" customWidth="1"/>
    <col min="12552" max="12581" width="10.7265625" style="466" customWidth="1"/>
    <col min="12582" max="12800" width="9.1796875" style="466"/>
    <col min="12801" max="12801" width="5.81640625" style="466" bestFit="1" customWidth="1"/>
    <col min="12802" max="12802" width="59.1796875" style="466" customWidth="1"/>
    <col min="12803" max="12804" width="37.54296875" style="466" customWidth="1"/>
    <col min="12805" max="12806" width="10.453125" style="466" customWidth="1"/>
    <col min="12807" max="12807" width="1.7265625" style="466" customWidth="1"/>
    <col min="12808" max="12837" width="10.7265625" style="466" customWidth="1"/>
    <col min="12838" max="13056" width="9.1796875" style="466"/>
    <col min="13057" max="13057" width="5.81640625" style="466" bestFit="1" customWidth="1"/>
    <col min="13058" max="13058" width="59.1796875" style="466" customWidth="1"/>
    <col min="13059" max="13060" width="37.54296875" style="466" customWidth="1"/>
    <col min="13061" max="13062" width="10.453125" style="466" customWidth="1"/>
    <col min="13063" max="13063" width="1.7265625" style="466" customWidth="1"/>
    <col min="13064" max="13093" width="10.7265625" style="466" customWidth="1"/>
    <col min="13094" max="13312" width="9.1796875" style="466"/>
    <col min="13313" max="13313" width="5.81640625" style="466" bestFit="1" customWidth="1"/>
    <col min="13314" max="13314" width="59.1796875" style="466" customWidth="1"/>
    <col min="13315" max="13316" width="37.54296875" style="466" customWidth="1"/>
    <col min="13317" max="13318" width="10.453125" style="466" customWidth="1"/>
    <col min="13319" max="13319" width="1.7265625" style="466" customWidth="1"/>
    <col min="13320" max="13349" width="10.7265625" style="466" customWidth="1"/>
    <col min="13350" max="13568" width="9.1796875" style="466"/>
    <col min="13569" max="13569" width="5.81640625" style="466" bestFit="1" customWidth="1"/>
    <col min="13570" max="13570" width="59.1796875" style="466" customWidth="1"/>
    <col min="13571" max="13572" width="37.54296875" style="466" customWidth="1"/>
    <col min="13573" max="13574" width="10.453125" style="466" customWidth="1"/>
    <col min="13575" max="13575" width="1.7265625" style="466" customWidth="1"/>
    <col min="13576" max="13605" width="10.7265625" style="466" customWidth="1"/>
    <col min="13606" max="13824" width="9.1796875" style="466"/>
    <col min="13825" max="13825" width="5.81640625" style="466" bestFit="1" customWidth="1"/>
    <col min="13826" max="13826" width="59.1796875" style="466" customWidth="1"/>
    <col min="13827" max="13828" width="37.54296875" style="466" customWidth="1"/>
    <col min="13829" max="13830" width="10.453125" style="466" customWidth="1"/>
    <col min="13831" max="13831" width="1.7265625" style="466" customWidth="1"/>
    <col min="13832" max="13861" width="10.7265625" style="466" customWidth="1"/>
    <col min="13862" max="14080" width="9.1796875" style="466"/>
    <col min="14081" max="14081" width="5.81640625" style="466" bestFit="1" customWidth="1"/>
    <col min="14082" max="14082" width="59.1796875" style="466" customWidth="1"/>
    <col min="14083" max="14084" width="37.54296875" style="466" customWidth="1"/>
    <col min="14085" max="14086" width="10.453125" style="466" customWidth="1"/>
    <col min="14087" max="14087" width="1.7265625" style="466" customWidth="1"/>
    <col min="14088" max="14117" width="10.7265625" style="466" customWidth="1"/>
    <col min="14118" max="14336" width="9.1796875" style="466"/>
    <col min="14337" max="14337" width="5.81640625" style="466" bestFit="1" customWidth="1"/>
    <col min="14338" max="14338" width="59.1796875" style="466" customWidth="1"/>
    <col min="14339" max="14340" width="37.54296875" style="466" customWidth="1"/>
    <col min="14341" max="14342" width="10.453125" style="466" customWidth="1"/>
    <col min="14343" max="14343" width="1.7265625" style="466" customWidth="1"/>
    <col min="14344" max="14373" width="10.7265625" style="466" customWidth="1"/>
    <col min="14374" max="14592" width="9.1796875" style="466"/>
    <col min="14593" max="14593" width="5.81640625" style="466" bestFit="1" customWidth="1"/>
    <col min="14594" max="14594" width="59.1796875" style="466" customWidth="1"/>
    <col min="14595" max="14596" width="37.54296875" style="466" customWidth="1"/>
    <col min="14597" max="14598" width="10.453125" style="466" customWidth="1"/>
    <col min="14599" max="14599" width="1.7265625" style="466" customWidth="1"/>
    <col min="14600" max="14629" width="10.7265625" style="466" customWidth="1"/>
    <col min="14630" max="14848" width="9.1796875" style="466"/>
    <col min="14849" max="14849" width="5.81640625" style="466" bestFit="1" customWidth="1"/>
    <col min="14850" max="14850" width="59.1796875" style="466" customWidth="1"/>
    <col min="14851" max="14852" width="37.54296875" style="466" customWidth="1"/>
    <col min="14853" max="14854" width="10.453125" style="466" customWidth="1"/>
    <col min="14855" max="14855" width="1.7265625" style="466" customWidth="1"/>
    <col min="14856" max="14885" width="10.7265625" style="466" customWidth="1"/>
    <col min="14886" max="15104" width="9.1796875" style="466"/>
    <col min="15105" max="15105" width="5.81640625" style="466" bestFit="1" customWidth="1"/>
    <col min="15106" max="15106" width="59.1796875" style="466" customWidth="1"/>
    <col min="15107" max="15108" width="37.54296875" style="466" customWidth="1"/>
    <col min="15109" max="15110" width="10.453125" style="466" customWidth="1"/>
    <col min="15111" max="15111" width="1.7265625" style="466" customWidth="1"/>
    <col min="15112" max="15141" width="10.7265625" style="466" customWidth="1"/>
    <col min="15142" max="15360" width="9.1796875" style="466"/>
    <col min="15361" max="15361" width="5.81640625" style="466" bestFit="1" customWidth="1"/>
    <col min="15362" max="15362" width="59.1796875" style="466" customWidth="1"/>
    <col min="15363" max="15364" width="37.54296875" style="466" customWidth="1"/>
    <col min="15365" max="15366" width="10.453125" style="466" customWidth="1"/>
    <col min="15367" max="15367" width="1.7265625" style="466" customWidth="1"/>
    <col min="15368" max="15397" width="10.7265625" style="466" customWidth="1"/>
    <col min="15398" max="15616" width="9.1796875" style="466"/>
    <col min="15617" max="15617" width="5.81640625" style="466" bestFit="1" customWidth="1"/>
    <col min="15618" max="15618" width="59.1796875" style="466" customWidth="1"/>
    <col min="15619" max="15620" width="37.54296875" style="466" customWidth="1"/>
    <col min="15621" max="15622" width="10.453125" style="466" customWidth="1"/>
    <col min="15623" max="15623" width="1.7265625" style="466" customWidth="1"/>
    <col min="15624" max="15653" width="10.7265625" style="466" customWidth="1"/>
    <col min="15654" max="15872" width="9.1796875" style="466"/>
    <col min="15873" max="15873" width="5.81640625" style="466" bestFit="1" customWidth="1"/>
    <col min="15874" max="15874" width="59.1796875" style="466" customWidth="1"/>
    <col min="15875" max="15876" width="37.54296875" style="466" customWidth="1"/>
    <col min="15877" max="15878" width="10.453125" style="466" customWidth="1"/>
    <col min="15879" max="15879" width="1.7265625" style="466" customWidth="1"/>
    <col min="15880" max="15909" width="10.7265625" style="466" customWidth="1"/>
    <col min="15910" max="16128" width="9.1796875" style="466"/>
    <col min="16129" max="16129" width="5.81640625" style="466" bestFit="1" customWidth="1"/>
    <col min="16130" max="16130" width="59.1796875" style="466" customWidth="1"/>
    <col min="16131" max="16132" width="37.54296875" style="466" customWidth="1"/>
    <col min="16133" max="16134" width="10.453125" style="466" customWidth="1"/>
    <col min="16135" max="16135" width="1.7265625" style="466" customWidth="1"/>
    <col min="16136" max="16165" width="10.7265625" style="466" customWidth="1"/>
    <col min="16166" max="16384" width="9.1796875" style="466"/>
  </cols>
  <sheetData>
    <row r="1" spans="1:52" s="469" customFormat="1" ht="23">
      <c r="A1" s="465" t="s">
        <v>499</v>
      </c>
      <c r="B1" s="466"/>
      <c r="C1" s="466"/>
      <c r="D1" s="466"/>
      <c r="E1" s="466"/>
      <c r="F1" s="466"/>
      <c r="G1" s="467"/>
      <c r="H1" s="468"/>
      <c r="I1" s="468"/>
      <c r="J1" s="468"/>
      <c r="K1" s="468"/>
      <c r="L1" s="468"/>
      <c r="M1" s="468"/>
      <c r="N1" s="468"/>
      <c r="O1" s="468"/>
      <c r="P1" s="468"/>
      <c r="Q1" s="468"/>
      <c r="R1" s="468"/>
      <c r="S1" s="468"/>
      <c r="T1" s="468"/>
      <c r="U1" s="468"/>
      <c r="V1" s="468"/>
      <c r="W1" s="468"/>
      <c r="X1" s="468"/>
      <c r="Y1" s="468"/>
      <c r="Z1" s="468"/>
      <c r="AA1" s="468"/>
      <c r="AB1" s="468"/>
      <c r="AC1" s="468"/>
      <c r="AD1" s="468"/>
      <c r="AE1" s="468"/>
      <c r="AF1" s="468"/>
      <c r="AG1" s="468"/>
      <c r="AH1" s="468"/>
      <c r="AI1" s="468"/>
      <c r="AJ1" s="468"/>
      <c r="AK1" s="468"/>
    </row>
    <row r="2" spans="1:52" s="44" customFormat="1" ht="15.5">
      <c r="A2" s="470" t="s">
        <v>500</v>
      </c>
      <c r="B2" s="466"/>
      <c r="C2" s="466"/>
      <c r="D2" s="466"/>
      <c r="E2" s="466"/>
      <c r="F2" s="466"/>
      <c r="G2" s="471"/>
      <c r="H2" s="472">
        <v>1</v>
      </c>
      <c r="I2" s="472">
        <v>2</v>
      </c>
      <c r="J2" s="472">
        <v>3</v>
      </c>
      <c r="K2" s="472">
        <v>4</v>
      </c>
      <c r="L2" s="472">
        <v>5</v>
      </c>
      <c r="M2" s="472">
        <v>6</v>
      </c>
      <c r="N2" s="472">
        <v>7</v>
      </c>
      <c r="O2" s="472">
        <v>8</v>
      </c>
      <c r="P2" s="472">
        <v>9</v>
      </c>
      <c r="Q2" s="472">
        <v>10</v>
      </c>
      <c r="R2" s="472">
        <v>11</v>
      </c>
      <c r="S2" s="472">
        <v>12</v>
      </c>
      <c r="T2" s="472">
        <v>13</v>
      </c>
      <c r="U2" s="472">
        <v>14</v>
      </c>
      <c r="V2" s="472">
        <v>15</v>
      </c>
      <c r="W2" s="472">
        <v>16</v>
      </c>
      <c r="X2" s="472">
        <v>17</v>
      </c>
      <c r="Y2" s="472">
        <v>18</v>
      </c>
      <c r="Z2" s="472">
        <v>19</v>
      </c>
      <c r="AA2" s="472">
        <v>20</v>
      </c>
      <c r="AB2" s="472">
        <v>21</v>
      </c>
      <c r="AC2" s="472">
        <v>22</v>
      </c>
      <c r="AD2" s="472">
        <v>23</v>
      </c>
      <c r="AE2" s="472">
        <v>24</v>
      </c>
      <c r="AF2" s="472">
        <v>25</v>
      </c>
      <c r="AG2" s="472">
        <v>26</v>
      </c>
      <c r="AH2" s="472">
        <v>27</v>
      </c>
      <c r="AI2" s="472">
        <v>28</v>
      </c>
      <c r="AJ2" s="472">
        <v>29</v>
      </c>
      <c r="AK2" s="472">
        <v>30</v>
      </c>
    </row>
    <row r="3" spans="1:52" s="44" customFormat="1">
      <c r="A3" s="466"/>
      <c r="B3" s="466"/>
      <c r="C3" s="466"/>
      <c r="D3" s="466" t="s">
        <v>501</v>
      </c>
      <c r="E3" s="466"/>
      <c r="F3" s="466"/>
      <c r="G3" s="471"/>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row>
    <row r="4" spans="1:52" s="44" customFormat="1" ht="15.5">
      <c r="A4" s="470" t="s">
        <v>502</v>
      </c>
      <c r="B4" s="473" t="s">
        <v>3</v>
      </c>
      <c r="C4" s="466"/>
      <c r="D4" s="466"/>
      <c r="E4" s="466"/>
      <c r="F4" s="466"/>
      <c r="G4" s="471"/>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row>
    <row r="5" spans="1:52" s="44" customFormat="1">
      <c r="A5" s="466"/>
      <c r="B5" s="466"/>
      <c r="C5" s="466"/>
      <c r="D5" s="466"/>
      <c r="E5" s="466"/>
      <c r="F5" s="466"/>
      <c r="G5" s="471"/>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row>
    <row r="6" spans="1:52" s="469" customFormat="1" ht="15.5">
      <c r="A6" s="474" t="s">
        <v>503</v>
      </c>
      <c r="B6" s="466"/>
      <c r="C6" s="466"/>
      <c r="D6" s="466"/>
      <c r="E6" s="466"/>
      <c r="F6" s="466"/>
      <c r="G6" s="467"/>
      <c r="H6" s="468"/>
      <c r="I6" s="468"/>
      <c r="J6" s="468"/>
      <c r="K6" s="468"/>
      <c r="L6" s="468"/>
      <c r="M6" s="468"/>
      <c r="N6" s="468"/>
      <c r="O6" s="468"/>
      <c r="P6" s="468"/>
      <c r="Q6" s="468"/>
      <c r="R6" s="468"/>
      <c r="S6" s="468"/>
      <c r="T6" s="468"/>
      <c r="U6" s="468"/>
      <c r="V6" s="468"/>
      <c r="W6" s="468"/>
      <c r="X6" s="468"/>
      <c r="Y6" s="468"/>
      <c r="Z6" s="468"/>
      <c r="AA6" s="468"/>
      <c r="AB6" s="468"/>
      <c r="AC6" s="468"/>
      <c r="AD6" s="468"/>
      <c r="AE6" s="468"/>
      <c r="AF6" s="468"/>
      <c r="AG6" s="468"/>
      <c r="AH6" s="468"/>
      <c r="AI6" s="468"/>
      <c r="AJ6" s="468"/>
      <c r="AK6" s="468"/>
    </row>
    <row r="7" spans="1:52" s="469" customFormat="1" ht="26">
      <c r="A7" s="475" t="s">
        <v>504</v>
      </c>
      <c r="B7" s="475" t="s">
        <v>505</v>
      </c>
      <c r="C7" s="475" t="s">
        <v>506</v>
      </c>
      <c r="D7" s="475" t="s">
        <v>507</v>
      </c>
      <c r="E7" s="476" t="s">
        <v>508</v>
      </c>
      <c r="F7" s="476" t="s">
        <v>509</v>
      </c>
      <c r="G7" s="467"/>
      <c r="H7" s="475">
        <v>2006</v>
      </c>
      <c r="I7" s="475">
        <f t="shared" ref="I7:AZ7" si="0">H7+1</f>
        <v>2007</v>
      </c>
      <c r="J7" s="475">
        <f t="shared" si="0"/>
        <v>2008</v>
      </c>
      <c r="K7" s="475">
        <f t="shared" si="0"/>
        <v>2009</v>
      </c>
      <c r="L7" s="475">
        <f t="shared" si="0"/>
        <v>2010</v>
      </c>
      <c r="M7" s="475">
        <f t="shared" si="0"/>
        <v>2011</v>
      </c>
      <c r="N7" s="475">
        <f t="shared" si="0"/>
        <v>2012</v>
      </c>
      <c r="O7" s="475">
        <f t="shared" si="0"/>
        <v>2013</v>
      </c>
      <c r="P7" s="475">
        <f t="shared" si="0"/>
        <v>2014</v>
      </c>
      <c r="Q7" s="475">
        <f t="shared" si="0"/>
        <v>2015</v>
      </c>
      <c r="R7" s="475">
        <f t="shared" si="0"/>
        <v>2016</v>
      </c>
      <c r="S7" s="475">
        <f t="shared" si="0"/>
        <v>2017</v>
      </c>
      <c r="T7" s="475">
        <f t="shared" si="0"/>
        <v>2018</v>
      </c>
      <c r="U7" s="475">
        <f t="shared" si="0"/>
        <v>2019</v>
      </c>
      <c r="V7" s="475">
        <f t="shared" si="0"/>
        <v>2020</v>
      </c>
      <c r="W7" s="475">
        <f t="shared" si="0"/>
        <v>2021</v>
      </c>
      <c r="X7" s="475">
        <f t="shared" si="0"/>
        <v>2022</v>
      </c>
      <c r="Y7" s="475">
        <f t="shared" si="0"/>
        <v>2023</v>
      </c>
      <c r="Z7" s="475">
        <f t="shared" si="0"/>
        <v>2024</v>
      </c>
      <c r="AA7" s="475">
        <f t="shared" si="0"/>
        <v>2025</v>
      </c>
      <c r="AB7" s="475">
        <f t="shared" si="0"/>
        <v>2026</v>
      </c>
      <c r="AC7" s="475">
        <f t="shared" si="0"/>
        <v>2027</v>
      </c>
      <c r="AD7" s="475">
        <f t="shared" si="0"/>
        <v>2028</v>
      </c>
      <c r="AE7" s="475">
        <f t="shared" si="0"/>
        <v>2029</v>
      </c>
      <c r="AF7" s="475">
        <f t="shared" si="0"/>
        <v>2030</v>
      </c>
      <c r="AG7" s="475">
        <f t="shared" si="0"/>
        <v>2031</v>
      </c>
      <c r="AH7" s="475">
        <f t="shared" si="0"/>
        <v>2032</v>
      </c>
      <c r="AI7" s="475">
        <f t="shared" si="0"/>
        <v>2033</v>
      </c>
      <c r="AJ7" s="475">
        <f t="shared" si="0"/>
        <v>2034</v>
      </c>
      <c r="AK7" s="475">
        <f t="shared" si="0"/>
        <v>2035</v>
      </c>
      <c r="AL7" s="475">
        <f t="shared" si="0"/>
        <v>2036</v>
      </c>
      <c r="AM7" s="475">
        <f t="shared" si="0"/>
        <v>2037</v>
      </c>
      <c r="AN7" s="475">
        <f t="shared" si="0"/>
        <v>2038</v>
      </c>
      <c r="AO7" s="475">
        <f t="shared" si="0"/>
        <v>2039</v>
      </c>
      <c r="AP7" s="475">
        <f t="shared" si="0"/>
        <v>2040</v>
      </c>
      <c r="AQ7" s="475">
        <f t="shared" si="0"/>
        <v>2041</v>
      </c>
      <c r="AR7" s="475">
        <f t="shared" si="0"/>
        <v>2042</v>
      </c>
      <c r="AS7" s="475">
        <f t="shared" si="0"/>
        <v>2043</v>
      </c>
      <c r="AT7" s="475">
        <f t="shared" si="0"/>
        <v>2044</v>
      </c>
      <c r="AU7" s="475">
        <f t="shared" si="0"/>
        <v>2045</v>
      </c>
      <c r="AV7" s="475">
        <f t="shared" si="0"/>
        <v>2046</v>
      </c>
      <c r="AW7" s="475">
        <f t="shared" si="0"/>
        <v>2047</v>
      </c>
      <c r="AX7" s="475">
        <f t="shared" si="0"/>
        <v>2048</v>
      </c>
      <c r="AY7" s="475">
        <f t="shared" si="0"/>
        <v>2049</v>
      </c>
      <c r="AZ7" s="475">
        <f t="shared" si="0"/>
        <v>2050</v>
      </c>
    </row>
    <row r="8" spans="1:52" s="469" customFormat="1" ht="5.15" customHeight="1">
      <c r="A8" s="477"/>
      <c r="B8" s="477"/>
      <c r="C8" s="477"/>
      <c r="D8" s="477"/>
      <c r="E8" s="477"/>
      <c r="F8" s="477"/>
      <c r="G8" s="467"/>
      <c r="H8" s="466"/>
      <c r="I8" s="466"/>
      <c r="J8" s="466"/>
      <c r="K8" s="466"/>
      <c r="L8" s="466"/>
      <c r="M8" s="466"/>
      <c r="N8" s="466"/>
      <c r="O8" s="466"/>
      <c r="P8" s="466"/>
      <c r="Q8" s="466"/>
      <c r="R8" s="466"/>
      <c r="S8" s="466"/>
      <c r="T8" s="466"/>
      <c r="U8" s="466"/>
      <c r="V8" s="466"/>
      <c r="W8" s="466"/>
      <c r="X8" s="466"/>
      <c r="Y8" s="466"/>
      <c r="Z8" s="466"/>
      <c r="AA8" s="466"/>
      <c r="AB8" s="466"/>
      <c r="AC8" s="466"/>
      <c r="AD8" s="466"/>
      <c r="AE8" s="466"/>
      <c r="AF8" s="466"/>
      <c r="AG8" s="466"/>
      <c r="AH8" s="466"/>
      <c r="AI8" s="466"/>
      <c r="AJ8" s="466"/>
      <c r="AK8" s="466"/>
      <c r="AL8" s="466"/>
      <c r="AM8" s="466"/>
      <c r="AN8" s="466"/>
      <c r="AO8" s="466"/>
      <c r="AP8" s="466"/>
      <c r="AQ8" s="466"/>
      <c r="AR8" s="466"/>
      <c r="AS8" s="466"/>
      <c r="AT8" s="466"/>
      <c r="AU8" s="466"/>
      <c r="AV8" s="466"/>
      <c r="AW8" s="466"/>
      <c r="AX8" s="466"/>
      <c r="AY8" s="466"/>
      <c r="AZ8" s="466"/>
    </row>
    <row r="9" spans="1:52" s="469" customFormat="1">
      <c r="A9" s="478">
        <f>'[4]Allocation Methodology'!A5</f>
        <v>1</v>
      </c>
      <c r="B9" s="479" t="str">
        <f>'[4]Allocation Methodology'!B5</f>
        <v>Secondary Refrigerator Retirement Pilot</v>
      </c>
      <c r="C9" s="479" t="str">
        <f>'[4]Allocation Methodology'!C5</f>
        <v>Consumer</v>
      </c>
      <c r="D9" s="479" t="s">
        <v>17</v>
      </c>
      <c r="E9" s="479">
        <f>'[4]Allocation Methodology'!D5</f>
        <v>2006</v>
      </c>
      <c r="F9" s="480" t="str">
        <f>'[4]Allocation Methodology'!E5</f>
        <v>Final</v>
      </c>
      <c r="G9" s="471"/>
      <c r="H9" s="481">
        <v>6.2983662956848426E-3</v>
      </c>
      <c r="I9" s="482">
        <v>6.2983662956848426E-3</v>
      </c>
      <c r="J9" s="482">
        <v>6.2983662956848426E-3</v>
      </c>
      <c r="K9" s="482">
        <v>6.2983662956848426E-3</v>
      </c>
      <c r="L9" s="482">
        <v>6.2983662956848426E-3</v>
      </c>
      <c r="M9" s="482">
        <v>6.2983662956848426E-3</v>
      </c>
      <c r="N9" s="482">
        <v>0</v>
      </c>
      <c r="O9" s="482">
        <v>0</v>
      </c>
      <c r="P9" s="482">
        <v>0</v>
      </c>
      <c r="Q9" s="482">
        <v>0</v>
      </c>
      <c r="R9" s="482">
        <v>0</v>
      </c>
      <c r="S9" s="482">
        <v>0</v>
      </c>
      <c r="T9" s="482">
        <v>0</v>
      </c>
      <c r="U9" s="482">
        <v>0</v>
      </c>
      <c r="V9" s="482">
        <v>0</v>
      </c>
      <c r="W9" s="482">
        <v>0</v>
      </c>
      <c r="X9" s="482">
        <v>0</v>
      </c>
      <c r="Y9" s="482">
        <v>0</v>
      </c>
      <c r="Z9" s="482">
        <v>0</v>
      </c>
      <c r="AA9" s="482">
        <v>0</v>
      </c>
      <c r="AB9" s="482">
        <v>0</v>
      </c>
      <c r="AC9" s="482">
        <v>0</v>
      </c>
      <c r="AD9" s="482">
        <v>0</v>
      </c>
      <c r="AE9" s="482">
        <v>0</v>
      </c>
      <c r="AF9" s="482">
        <v>0</v>
      </c>
      <c r="AG9" s="483">
        <v>0</v>
      </c>
      <c r="AH9" s="483">
        <v>0</v>
      </c>
      <c r="AI9" s="483">
        <v>0</v>
      </c>
      <c r="AJ9" s="483">
        <v>0</v>
      </c>
      <c r="AK9" s="483">
        <v>0</v>
      </c>
      <c r="AL9" s="483">
        <v>0</v>
      </c>
      <c r="AM9" s="483">
        <v>0</v>
      </c>
      <c r="AN9" s="483">
        <v>0</v>
      </c>
      <c r="AO9" s="483">
        <v>0</v>
      </c>
      <c r="AP9" s="483">
        <v>0</v>
      </c>
      <c r="AQ9" s="483">
        <v>0</v>
      </c>
      <c r="AR9" s="483">
        <v>0</v>
      </c>
      <c r="AS9" s="483">
        <v>0</v>
      </c>
      <c r="AT9" s="483">
        <v>0</v>
      </c>
      <c r="AU9" s="483">
        <v>0</v>
      </c>
      <c r="AV9" s="483">
        <v>0</v>
      </c>
      <c r="AW9" s="483">
        <v>0</v>
      </c>
      <c r="AX9" s="483">
        <v>0</v>
      </c>
      <c r="AY9" s="483">
        <v>0</v>
      </c>
      <c r="AZ9" s="484">
        <v>0</v>
      </c>
    </row>
    <row r="10" spans="1:52" s="469" customFormat="1">
      <c r="A10" s="485">
        <f>'[4]Allocation Methodology'!A6</f>
        <v>2</v>
      </c>
      <c r="B10" s="486" t="str">
        <f>'[4]Allocation Methodology'!B6</f>
        <v>Cool &amp; Hot Savings Rebate</v>
      </c>
      <c r="C10" s="486" t="str">
        <f>'[4]Allocation Methodology'!C6</f>
        <v>Consumer</v>
      </c>
      <c r="D10" s="486" t="s">
        <v>17</v>
      </c>
      <c r="E10" s="486">
        <f>'[4]Allocation Methodology'!D6</f>
        <v>2006</v>
      </c>
      <c r="F10" s="487" t="str">
        <f>'[4]Allocation Methodology'!E6</f>
        <v>Final</v>
      </c>
      <c r="G10" s="471" t="b">
        <v>0</v>
      </c>
      <c r="H10" s="488">
        <v>6.3571070086416395E-2</v>
      </c>
      <c r="I10" s="489">
        <v>6.3571070086416395E-2</v>
      </c>
      <c r="J10" s="489">
        <v>6.3571070086416395E-2</v>
      </c>
      <c r="K10" s="489">
        <v>6.3571070086416395E-2</v>
      </c>
      <c r="L10" s="489">
        <v>6.3571070086416395E-2</v>
      </c>
      <c r="M10" s="489">
        <v>6.3571070086416395E-2</v>
      </c>
      <c r="N10" s="489">
        <v>6.3571070086416395E-2</v>
      </c>
      <c r="O10" s="489">
        <v>6.3571070086416395E-2</v>
      </c>
      <c r="P10" s="489">
        <v>4.514648252402656E-2</v>
      </c>
      <c r="Q10" s="489">
        <v>4.514648252402656E-2</v>
      </c>
      <c r="R10" s="489">
        <v>4.514648252402656E-2</v>
      </c>
      <c r="S10" s="489">
        <v>4.514648252402656E-2</v>
      </c>
      <c r="T10" s="489">
        <v>4.514648252402656E-2</v>
      </c>
      <c r="U10" s="489">
        <v>4.514648252402656E-2</v>
      </c>
      <c r="V10" s="489">
        <v>1.9486147231609231E-2</v>
      </c>
      <c r="W10" s="489">
        <v>1.0285373397780484E-2</v>
      </c>
      <c r="X10" s="489">
        <v>1.0285373397780484E-2</v>
      </c>
      <c r="Y10" s="489">
        <v>1.0285373397780484E-2</v>
      </c>
      <c r="Z10" s="489">
        <v>0</v>
      </c>
      <c r="AA10" s="489">
        <v>0</v>
      </c>
      <c r="AB10" s="489">
        <v>0</v>
      </c>
      <c r="AC10" s="489">
        <v>0</v>
      </c>
      <c r="AD10" s="489">
        <v>0</v>
      </c>
      <c r="AE10" s="489">
        <v>0</v>
      </c>
      <c r="AF10" s="489">
        <v>0</v>
      </c>
      <c r="AG10" s="490">
        <v>0</v>
      </c>
      <c r="AH10" s="490">
        <v>0</v>
      </c>
      <c r="AI10" s="490">
        <v>0</v>
      </c>
      <c r="AJ10" s="490">
        <v>0</v>
      </c>
      <c r="AK10" s="490">
        <v>0</v>
      </c>
      <c r="AL10" s="490">
        <v>0</v>
      </c>
      <c r="AM10" s="490">
        <v>0</v>
      </c>
      <c r="AN10" s="490">
        <v>0</v>
      </c>
      <c r="AO10" s="490">
        <v>0</v>
      </c>
      <c r="AP10" s="490">
        <v>0</v>
      </c>
      <c r="AQ10" s="490">
        <v>0</v>
      </c>
      <c r="AR10" s="490">
        <v>0</v>
      </c>
      <c r="AS10" s="490">
        <v>0</v>
      </c>
      <c r="AT10" s="490">
        <v>0</v>
      </c>
      <c r="AU10" s="490">
        <v>0</v>
      </c>
      <c r="AV10" s="490">
        <v>0</v>
      </c>
      <c r="AW10" s="490">
        <v>0</v>
      </c>
      <c r="AX10" s="490">
        <v>0</v>
      </c>
      <c r="AY10" s="490">
        <v>0</v>
      </c>
      <c r="AZ10" s="491">
        <v>0</v>
      </c>
    </row>
    <row r="11" spans="1:52" s="469" customFormat="1">
      <c r="A11" s="492">
        <f>'[4]Allocation Methodology'!A7</f>
        <v>3</v>
      </c>
      <c r="B11" s="493" t="str">
        <f>'[4]Allocation Methodology'!B7</f>
        <v>Every Kilowatt Counts</v>
      </c>
      <c r="C11" s="493" t="str">
        <f>'[4]Allocation Methodology'!C7</f>
        <v>Consumer</v>
      </c>
      <c r="D11" s="493" t="s">
        <v>17</v>
      </c>
      <c r="E11" s="493">
        <f>'[4]Allocation Methodology'!D7</f>
        <v>2006</v>
      </c>
      <c r="F11" s="494" t="str">
        <f>'[4]Allocation Methodology'!E7</f>
        <v>Final</v>
      </c>
      <c r="G11" s="471" t="b">
        <v>0</v>
      </c>
      <c r="H11" s="495">
        <v>2.0991743803273958E-2</v>
      </c>
      <c r="I11" s="496">
        <v>2.0991743803273958E-2</v>
      </c>
      <c r="J11" s="496">
        <v>2.0991743803273958E-2</v>
      </c>
      <c r="K11" s="496">
        <v>2.0991743803273958E-2</v>
      </c>
      <c r="L11" s="496">
        <v>2.0991743803273958E-2</v>
      </c>
      <c r="M11" s="496">
        <v>2.0991743803273958E-2</v>
      </c>
      <c r="N11" s="496">
        <v>2.0991743803273958E-2</v>
      </c>
      <c r="O11" s="496">
        <v>2.0991743803273958E-2</v>
      </c>
      <c r="P11" s="496">
        <v>2.0991743803273958E-2</v>
      </c>
      <c r="Q11" s="496">
        <v>2.0991743803273958E-2</v>
      </c>
      <c r="R11" s="496">
        <v>2.0991743803273958E-2</v>
      </c>
      <c r="S11" s="496">
        <v>2.0991743803273958E-2</v>
      </c>
      <c r="T11" s="496">
        <v>2.0991743803273958E-2</v>
      </c>
      <c r="U11" s="496">
        <v>2.0991743803273958E-2</v>
      </c>
      <c r="V11" s="496">
        <v>2.0991743803273958E-2</v>
      </c>
      <c r="W11" s="496">
        <v>1.7344569381220296E-2</v>
      </c>
      <c r="X11" s="496">
        <v>1.7344569381220296E-2</v>
      </c>
      <c r="Y11" s="496">
        <v>1.7344569381220296E-2</v>
      </c>
      <c r="Z11" s="496">
        <v>7.7685709105042593E-4</v>
      </c>
      <c r="AA11" s="496">
        <v>7.7685709105042593E-4</v>
      </c>
      <c r="AB11" s="496">
        <v>0</v>
      </c>
      <c r="AC11" s="496">
        <v>0</v>
      </c>
      <c r="AD11" s="496">
        <v>0</v>
      </c>
      <c r="AE11" s="496">
        <v>0</v>
      </c>
      <c r="AF11" s="496">
        <v>0</v>
      </c>
      <c r="AG11" s="497">
        <v>0</v>
      </c>
      <c r="AH11" s="497">
        <v>0</v>
      </c>
      <c r="AI11" s="497">
        <v>0</v>
      </c>
      <c r="AJ11" s="497">
        <v>0</v>
      </c>
      <c r="AK11" s="497">
        <v>0</v>
      </c>
      <c r="AL11" s="497">
        <v>0</v>
      </c>
      <c r="AM11" s="497">
        <v>0</v>
      </c>
      <c r="AN11" s="497">
        <v>0</v>
      </c>
      <c r="AO11" s="497">
        <v>0</v>
      </c>
      <c r="AP11" s="497">
        <v>0</v>
      </c>
      <c r="AQ11" s="497">
        <v>0</v>
      </c>
      <c r="AR11" s="497">
        <v>0</v>
      </c>
      <c r="AS11" s="497">
        <v>0</v>
      </c>
      <c r="AT11" s="497">
        <v>0</v>
      </c>
      <c r="AU11" s="497">
        <v>0</v>
      </c>
      <c r="AV11" s="497">
        <v>0</v>
      </c>
      <c r="AW11" s="497">
        <v>0</v>
      </c>
      <c r="AX11" s="497">
        <v>0</v>
      </c>
      <c r="AY11" s="497">
        <v>0</v>
      </c>
      <c r="AZ11" s="498">
        <v>0</v>
      </c>
    </row>
    <row r="12" spans="1:52" s="469" customFormat="1">
      <c r="A12" s="485">
        <f>'[4]Allocation Methodology'!A8</f>
        <v>4</v>
      </c>
      <c r="B12" s="486" t="str">
        <f>'[4]Allocation Methodology'!B8</f>
        <v>Demand Response 1</v>
      </c>
      <c r="C12" s="486" t="str">
        <f>'[4]Allocation Methodology'!C8</f>
        <v>Business, Industrial</v>
      </c>
      <c r="D12" s="486" t="s">
        <v>480</v>
      </c>
      <c r="E12" s="486">
        <f>'[4]Allocation Methodology'!D8</f>
        <v>2006</v>
      </c>
      <c r="F12" s="487" t="str">
        <f>'[4]Allocation Methodology'!E8</f>
        <v>Final</v>
      </c>
      <c r="G12" s="471" t="b">
        <v>0</v>
      </c>
      <c r="H12" s="488">
        <v>1.8056307353830989</v>
      </c>
      <c r="I12" s="489">
        <v>0</v>
      </c>
      <c r="J12" s="489">
        <v>0</v>
      </c>
      <c r="K12" s="489">
        <v>0</v>
      </c>
      <c r="L12" s="489">
        <v>0</v>
      </c>
      <c r="M12" s="489">
        <v>0</v>
      </c>
      <c r="N12" s="489">
        <v>0</v>
      </c>
      <c r="O12" s="489">
        <v>0</v>
      </c>
      <c r="P12" s="489">
        <v>0</v>
      </c>
      <c r="Q12" s="489">
        <v>0</v>
      </c>
      <c r="R12" s="489">
        <v>0</v>
      </c>
      <c r="S12" s="489">
        <v>0</v>
      </c>
      <c r="T12" s="489">
        <v>0</v>
      </c>
      <c r="U12" s="489">
        <v>0</v>
      </c>
      <c r="V12" s="489">
        <v>0</v>
      </c>
      <c r="W12" s="489">
        <v>0</v>
      </c>
      <c r="X12" s="489">
        <v>0</v>
      </c>
      <c r="Y12" s="489">
        <v>0</v>
      </c>
      <c r="Z12" s="489">
        <v>0</v>
      </c>
      <c r="AA12" s="489">
        <v>0</v>
      </c>
      <c r="AB12" s="489">
        <v>0</v>
      </c>
      <c r="AC12" s="489">
        <v>0</v>
      </c>
      <c r="AD12" s="489">
        <v>0</v>
      </c>
      <c r="AE12" s="489">
        <v>0</v>
      </c>
      <c r="AF12" s="489">
        <v>0</v>
      </c>
      <c r="AG12" s="490">
        <v>0</v>
      </c>
      <c r="AH12" s="490">
        <v>0</v>
      </c>
      <c r="AI12" s="490">
        <v>0</v>
      </c>
      <c r="AJ12" s="490">
        <v>0</v>
      </c>
      <c r="AK12" s="490">
        <v>0</v>
      </c>
      <c r="AL12" s="490">
        <v>0</v>
      </c>
      <c r="AM12" s="490">
        <v>0</v>
      </c>
      <c r="AN12" s="490">
        <v>0</v>
      </c>
      <c r="AO12" s="490">
        <v>0</v>
      </c>
      <c r="AP12" s="490">
        <v>0</v>
      </c>
      <c r="AQ12" s="490">
        <v>0</v>
      </c>
      <c r="AR12" s="490">
        <v>0</v>
      </c>
      <c r="AS12" s="490">
        <v>0</v>
      </c>
      <c r="AT12" s="490">
        <v>0</v>
      </c>
      <c r="AU12" s="490">
        <v>0</v>
      </c>
      <c r="AV12" s="490">
        <v>0</v>
      </c>
      <c r="AW12" s="490">
        <v>0</v>
      </c>
      <c r="AX12" s="490">
        <v>0</v>
      </c>
      <c r="AY12" s="490">
        <v>0</v>
      </c>
      <c r="AZ12" s="491">
        <v>0</v>
      </c>
    </row>
    <row r="13" spans="1:52" s="469" customFormat="1">
      <c r="A13" s="499">
        <f>'[4]Allocation Methodology'!A9</f>
        <v>5</v>
      </c>
      <c r="B13" s="500" t="str">
        <f>'[4]Allocation Methodology'!B9</f>
        <v>Loblaw &amp; York Region Demand Response</v>
      </c>
      <c r="C13" s="500" t="str">
        <f>'[4]Allocation Methodology'!C9</f>
        <v>Business, Industrial</v>
      </c>
      <c r="D13" s="500" t="s">
        <v>480</v>
      </c>
      <c r="E13" s="500">
        <f>'[4]Allocation Methodology'!D9</f>
        <v>2006</v>
      </c>
      <c r="F13" s="501" t="str">
        <f>'[4]Allocation Methodology'!E9</f>
        <v>Final</v>
      </c>
      <c r="G13" s="471" t="b">
        <v>0</v>
      </c>
      <c r="H13" s="502">
        <v>8.837801039149204E-2</v>
      </c>
      <c r="I13" s="503">
        <v>0</v>
      </c>
      <c r="J13" s="503">
        <v>0</v>
      </c>
      <c r="K13" s="503">
        <v>0</v>
      </c>
      <c r="L13" s="503">
        <v>0</v>
      </c>
      <c r="M13" s="503">
        <v>0</v>
      </c>
      <c r="N13" s="503">
        <v>0</v>
      </c>
      <c r="O13" s="503">
        <v>0</v>
      </c>
      <c r="P13" s="503">
        <v>0</v>
      </c>
      <c r="Q13" s="503">
        <v>0</v>
      </c>
      <c r="R13" s="503">
        <v>0</v>
      </c>
      <c r="S13" s="503">
        <v>0</v>
      </c>
      <c r="T13" s="503">
        <v>0</v>
      </c>
      <c r="U13" s="503">
        <v>0</v>
      </c>
      <c r="V13" s="503">
        <v>0</v>
      </c>
      <c r="W13" s="503">
        <v>0</v>
      </c>
      <c r="X13" s="503">
        <v>0</v>
      </c>
      <c r="Y13" s="503">
        <v>0</v>
      </c>
      <c r="Z13" s="503">
        <v>0</v>
      </c>
      <c r="AA13" s="503">
        <v>0</v>
      </c>
      <c r="AB13" s="503">
        <v>0</v>
      </c>
      <c r="AC13" s="503">
        <v>0</v>
      </c>
      <c r="AD13" s="503">
        <v>0</v>
      </c>
      <c r="AE13" s="503">
        <v>0</v>
      </c>
      <c r="AF13" s="503">
        <v>0</v>
      </c>
      <c r="AG13" s="504">
        <v>0</v>
      </c>
      <c r="AH13" s="504">
        <v>0</v>
      </c>
      <c r="AI13" s="504">
        <v>0</v>
      </c>
      <c r="AJ13" s="504">
        <v>0</v>
      </c>
      <c r="AK13" s="504">
        <v>0</v>
      </c>
      <c r="AL13" s="504">
        <v>0</v>
      </c>
      <c r="AM13" s="504">
        <v>0</v>
      </c>
      <c r="AN13" s="504">
        <v>0</v>
      </c>
      <c r="AO13" s="504">
        <v>0</v>
      </c>
      <c r="AP13" s="504">
        <v>0</v>
      </c>
      <c r="AQ13" s="504">
        <v>0</v>
      </c>
      <c r="AR13" s="504">
        <v>0</v>
      </c>
      <c r="AS13" s="504">
        <v>0</v>
      </c>
      <c r="AT13" s="504">
        <v>0</v>
      </c>
      <c r="AU13" s="504">
        <v>0</v>
      </c>
      <c r="AV13" s="504">
        <v>0</v>
      </c>
      <c r="AW13" s="504">
        <v>0</v>
      </c>
      <c r="AX13" s="504">
        <v>0</v>
      </c>
      <c r="AY13" s="504">
        <v>0</v>
      </c>
      <c r="AZ13" s="505">
        <v>0</v>
      </c>
    </row>
    <row r="14" spans="1:52" s="469" customFormat="1">
      <c r="A14" s="506">
        <f>'[4]Allocation Methodology'!A10</f>
        <v>6</v>
      </c>
      <c r="B14" s="507" t="str">
        <f>'[4]Allocation Methodology'!B10</f>
        <v>Great Refrigerator Roundup</v>
      </c>
      <c r="C14" s="507" t="str">
        <f>'[4]Allocation Methodology'!C10</f>
        <v>Consumer</v>
      </c>
      <c r="D14" s="507" t="s">
        <v>17</v>
      </c>
      <c r="E14" s="507">
        <f>'[4]Allocation Methodology'!D10</f>
        <v>2007</v>
      </c>
      <c r="F14" s="508" t="str">
        <f>'[4]Allocation Methodology'!E10</f>
        <v>Final</v>
      </c>
      <c r="G14" s="471" t="b">
        <v>0</v>
      </c>
      <c r="H14" s="509">
        <v>0</v>
      </c>
      <c r="I14" s="510">
        <v>7.6386844005982358E-3</v>
      </c>
      <c r="J14" s="510">
        <v>7.6386844005982358E-3</v>
      </c>
      <c r="K14" s="510">
        <v>7.6386844005982358E-3</v>
      </c>
      <c r="L14" s="510">
        <v>7.6386844005982358E-3</v>
      </c>
      <c r="M14" s="510">
        <v>6.912571631395646E-3</v>
      </c>
      <c r="N14" s="510">
        <v>6.912571631395646E-3</v>
      </c>
      <c r="O14" s="510">
        <v>6.912571631395646E-3</v>
      </c>
      <c r="P14" s="510">
        <v>6.912571631395646E-3</v>
      </c>
      <c r="Q14" s="510">
        <v>5.454304174645117E-3</v>
      </c>
      <c r="R14" s="510">
        <v>0</v>
      </c>
      <c r="S14" s="510">
        <v>0</v>
      </c>
      <c r="T14" s="510">
        <v>0</v>
      </c>
      <c r="U14" s="510">
        <v>0</v>
      </c>
      <c r="V14" s="510">
        <v>0</v>
      </c>
      <c r="W14" s="510">
        <v>0</v>
      </c>
      <c r="X14" s="510">
        <v>0</v>
      </c>
      <c r="Y14" s="510">
        <v>0</v>
      </c>
      <c r="Z14" s="510">
        <v>0</v>
      </c>
      <c r="AA14" s="510">
        <v>0</v>
      </c>
      <c r="AB14" s="510">
        <v>0</v>
      </c>
      <c r="AC14" s="510">
        <v>0</v>
      </c>
      <c r="AD14" s="510">
        <v>0</v>
      </c>
      <c r="AE14" s="510">
        <v>0</v>
      </c>
      <c r="AF14" s="510">
        <v>0</v>
      </c>
      <c r="AG14" s="511">
        <v>0</v>
      </c>
      <c r="AH14" s="511">
        <v>0</v>
      </c>
      <c r="AI14" s="511">
        <v>0</v>
      </c>
      <c r="AJ14" s="511">
        <v>0</v>
      </c>
      <c r="AK14" s="511">
        <v>0</v>
      </c>
      <c r="AL14" s="511">
        <v>0</v>
      </c>
      <c r="AM14" s="511">
        <v>0</v>
      </c>
      <c r="AN14" s="511">
        <v>0</v>
      </c>
      <c r="AO14" s="511">
        <v>0</v>
      </c>
      <c r="AP14" s="511">
        <v>0</v>
      </c>
      <c r="AQ14" s="511">
        <v>0</v>
      </c>
      <c r="AR14" s="511">
        <v>0</v>
      </c>
      <c r="AS14" s="511">
        <v>0</v>
      </c>
      <c r="AT14" s="511">
        <v>0</v>
      </c>
      <c r="AU14" s="511">
        <v>0</v>
      </c>
      <c r="AV14" s="511">
        <v>0</v>
      </c>
      <c r="AW14" s="511">
        <v>0</v>
      </c>
      <c r="AX14" s="511">
        <v>0</v>
      </c>
      <c r="AY14" s="511">
        <v>0</v>
      </c>
      <c r="AZ14" s="512">
        <v>0</v>
      </c>
    </row>
    <row r="15" spans="1:52" s="469" customFormat="1">
      <c r="A15" s="492">
        <f>'[4]Allocation Methodology'!A11</f>
        <v>7</v>
      </c>
      <c r="B15" s="493" t="str">
        <f>'[4]Allocation Methodology'!B11</f>
        <v>Cool &amp; Hot Savings Rebate</v>
      </c>
      <c r="C15" s="493" t="str">
        <f>'[4]Allocation Methodology'!C11</f>
        <v>Consumer</v>
      </c>
      <c r="D15" s="493" t="s">
        <v>17</v>
      </c>
      <c r="E15" s="493">
        <f>'[4]Allocation Methodology'!D11</f>
        <v>2007</v>
      </c>
      <c r="F15" s="494" t="str">
        <f>'[4]Allocation Methodology'!E11</f>
        <v>Final</v>
      </c>
      <c r="G15" s="471" t="b">
        <v>0</v>
      </c>
      <c r="H15" s="495">
        <v>0</v>
      </c>
      <c r="I15" s="496">
        <v>7.8646473081810886E-2</v>
      </c>
      <c r="J15" s="496">
        <v>7.8646473081810886E-2</v>
      </c>
      <c r="K15" s="496">
        <v>7.8646473081810886E-2</v>
      </c>
      <c r="L15" s="496">
        <v>7.8646473081810886E-2</v>
      </c>
      <c r="M15" s="496">
        <v>7.8646473081810886E-2</v>
      </c>
      <c r="N15" s="496">
        <v>7.253551237082799E-2</v>
      </c>
      <c r="O15" s="496">
        <v>7.253551237082799E-2</v>
      </c>
      <c r="P15" s="496">
        <v>7.253551237082799E-2</v>
      </c>
      <c r="Q15" s="496">
        <v>7.253551237082799E-2</v>
      </c>
      <c r="R15" s="496">
        <v>7.253551237082799E-2</v>
      </c>
      <c r="S15" s="496">
        <v>7.253551237082799E-2</v>
      </c>
      <c r="T15" s="496">
        <v>7.253551237082799E-2</v>
      </c>
      <c r="U15" s="496">
        <v>7.253551237082799E-2</v>
      </c>
      <c r="V15" s="496">
        <v>7.253551237082799E-2</v>
      </c>
      <c r="W15" s="496">
        <v>7.253551237082799E-2</v>
      </c>
      <c r="X15" s="496">
        <v>1.3464568800130318E-2</v>
      </c>
      <c r="Y15" s="496">
        <v>1.3464568800130318E-2</v>
      </c>
      <c r="Z15" s="496">
        <v>1.3464568800130318E-2</v>
      </c>
      <c r="AA15" s="496">
        <v>0</v>
      </c>
      <c r="AB15" s="496">
        <v>0</v>
      </c>
      <c r="AC15" s="496">
        <v>0</v>
      </c>
      <c r="AD15" s="496">
        <v>0</v>
      </c>
      <c r="AE15" s="496">
        <v>0</v>
      </c>
      <c r="AF15" s="496">
        <v>0</v>
      </c>
      <c r="AG15" s="497">
        <v>0</v>
      </c>
      <c r="AH15" s="497">
        <v>0</v>
      </c>
      <c r="AI15" s="497">
        <v>0</v>
      </c>
      <c r="AJ15" s="497">
        <v>0</v>
      </c>
      <c r="AK15" s="497">
        <v>0</v>
      </c>
      <c r="AL15" s="497">
        <v>0</v>
      </c>
      <c r="AM15" s="497">
        <v>0</v>
      </c>
      <c r="AN15" s="497">
        <v>0</v>
      </c>
      <c r="AO15" s="497">
        <v>0</v>
      </c>
      <c r="AP15" s="497">
        <v>0</v>
      </c>
      <c r="AQ15" s="497">
        <v>0</v>
      </c>
      <c r="AR15" s="497">
        <v>0</v>
      </c>
      <c r="AS15" s="497">
        <v>0</v>
      </c>
      <c r="AT15" s="497">
        <v>0</v>
      </c>
      <c r="AU15" s="497">
        <v>0</v>
      </c>
      <c r="AV15" s="497">
        <v>0</v>
      </c>
      <c r="AW15" s="497">
        <v>0</v>
      </c>
      <c r="AX15" s="497">
        <v>0</v>
      </c>
      <c r="AY15" s="497">
        <v>0</v>
      </c>
      <c r="AZ15" s="498">
        <v>0</v>
      </c>
    </row>
    <row r="16" spans="1:52" s="469" customFormat="1">
      <c r="A16" s="485">
        <f>'[4]Allocation Methodology'!A12</f>
        <v>8</v>
      </c>
      <c r="B16" s="486" t="str">
        <f>'[4]Allocation Methodology'!B12</f>
        <v>Every Kilowatt Counts</v>
      </c>
      <c r="C16" s="486" t="str">
        <f>'[4]Allocation Methodology'!C12</f>
        <v>Consumer</v>
      </c>
      <c r="D16" s="486" t="s">
        <v>17</v>
      </c>
      <c r="E16" s="486">
        <f>'[4]Allocation Methodology'!D12</f>
        <v>2007</v>
      </c>
      <c r="F16" s="487" t="str">
        <f>'[4]Allocation Methodology'!E12</f>
        <v>Final</v>
      </c>
      <c r="G16" s="471" t="b">
        <v>0</v>
      </c>
      <c r="H16" s="488">
        <v>0</v>
      </c>
      <c r="I16" s="489">
        <v>2.7360536093088448E-2</v>
      </c>
      <c r="J16" s="489">
        <v>2.4793259388238696E-2</v>
      </c>
      <c r="K16" s="489">
        <v>2.4793259388238696E-2</v>
      </c>
      <c r="L16" s="489">
        <v>2.4793259388238696E-2</v>
      </c>
      <c r="M16" s="489">
        <v>2.4793259388238696E-2</v>
      </c>
      <c r="N16" s="489">
        <v>2.4793259388238696E-2</v>
      </c>
      <c r="O16" s="489">
        <v>2.4793259388238696E-2</v>
      </c>
      <c r="P16" s="489">
        <v>2.4793259388238696E-2</v>
      </c>
      <c r="Q16" s="489">
        <v>6.0313346606187656E-3</v>
      </c>
      <c r="R16" s="489">
        <v>6.0313346606187656E-3</v>
      </c>
      <c r="S16" s="489">
        <v>2.435997398561046E-4</v>
      </c>
      <c r="T16" s="489">
        <v>2.435997398561046E-4</v>
      </c>
      <c r="U16" s="489">
        <v>2.435997398561046E-4</v>
      </c>
      <c r="V16" s="489">
        <v>2.435997398561046E-4</v>
      </c>
      <c r="W16" s="489">
        <v>2.435997398561046E-4</v>
      </c>
      <c r="X16" s="489">
        <v>2.435997398561046E-4</v>
      </c>
      <c r="Y16" s="489">
        <v>9.0196762173339932E-5</v>
      </c>
      <c r="Z16" s="489">
        <v>9.0196762173339932E-5</v>
      </c>
      <c r="AA16" s="489">
        <v>0</v>
      </c>
      <c r="AB16" s="489">
        <v>0</v>
      </c>
      <c r="AC16" s="489">
        <v>0</v>
      </c>
      <c r="AD16" s="489">
        <v>0</v>
      </c>
      <c r="AE16" s="489">
        <v>0</v>
      </c>
      <c r="AF16" s="489">
        <v>0</v>
      </c>
      <c r="AG16" s="490">
        <v>0</v>
      </c>
      <c r="AH16" s="490">
        <v>0</v>
      </c>
      <c r="AI16" s="490">
        <v>0</v>
      </c>
      <c r="AJ16" s="490">
        <v>0</v>
      </c>
      <c r="AK16" s="490">
        <v>0</v>
      </c>
      <c r="AL16" s="490">
        <v>0</v>
      </c>
      <c r="AM16" s="490">
        <v>0</v>
      </c>
      <c r="AN16" s="490">
        <v>0</v>
      </c>
      <c r="AO16" s="490">
        <v>0</v>
      </c>
      <c r="AP16" s="490">
        <v>0</v>
      </c>
      <c r="AQ16" s="490">
        <v>0</v>
      </c>
      <c r="AR16" s="490">
        <v>0</v>
      </c>
      <c r="AS16" s="490">
        <v>0</v>
      </c>
      <c r="AT16" s="490">
        <v>0</v>
      </c>
      <c r="AU16" s="490">
        <v>0</v>
      </c>
      <c r="AV16" s="490">
        <v>0</v>
      </c>
      <c r="AW16" s="490">
        <v>0</v>
      </c>
      <c r="AX16" s="490">
        <v>0</v>
      </c>
      <c r="AY16" s="490">
        <v>0</v>
      </c>
      <c r="AZ16" s="491">
        <v>0</v>
      </c>
    </row>
    <row r="17" spans="1:52" s="469" customFormat="1">
      <c r="A17" s="492">
        <f>'[4]Allocation Methodology'!A13</f>
        <v>9</v>
      </c>
      <c r="B17" s="513" t="str">
        <f>'[4]Allocation Methodology'!B13</f>
        <v>peaksaver®</v>
      </c>
      <c r="C17" s="493" t="str">
        <f>'[4]Allocation Methodology'!C13</f>
        <v>Consumer, Business</v>
      </c>
      <c r="D17" s="493" t="s">
        <v>58</v>
      </c>
      <c r="E17" s="493">
        <f>'[4]Allocation Methodology'!D13</f>
        <v>2007</v>
      </c>
      <c r="F17" s="494" t="str">
        <f>'[4]Allocation Methodology'!E13</f>
        <v>Final</v>
      </c>
      <c r="G17" s="471" t="b">
        <v>0</v>
      </c>
      <c r="H17" s="495">
        <v>0</v>
      </c>
      <c r="I17" s="496">
        <v>0</v>
      </c>
      <c r="J17" s="496">
        <v>0</v>
      </c>
      <c r="K17" s="496">
        <v>0</v>
      </c>
      <c r="L17" s="496">
        <v>0</v>
      </c>
      <c r="M17" s="496">
        <v>0</v>
      </c>
      <c r="N17" s="496">
        <v>0</v>
      </c>
      <c r="O17" s="496">
        <v>0</v>
      </c>
      <c r="P17" s="496">
        <v>0</v>
      </c>
      <c r="Q17" s="496">
        <v>0</v>
      </c>
      <c r="R17" s="496">
        <v>0</v>
      </c>
      <c r="S17" s="496">
        <v>0</v>
      </c>
      <c r="T17" s="496">
        <v>0</v>
      </c>
      <c r="U17" s="496">
        <v>0</v>
      </c>
      <c r="V17" s="496">
        <v>0</v>
      </c>
      <c r="W17" s="496">
        <v>0</v>
      </c>
      <c r="X17" s="496">
        <v>0</v>
      </c>
      <c r="Y17" s="496">
        <v>0</v>
      </c>
      <c r="Z17" s="496">
        <v>0</v>
      </c>
      <c r="AA17" s="496">
        <v>0</v>
      </c>
      <c r="AB17" s="496">
        <v>0</v>
      </c>
      <c r="AC17" s="496">
        <v>0</v>
      </c>
      <c r="AD17" s="496">
        <v>0</v>
      </c>
      <c r="AE17" s="496">
        <v>0</v>
      </c>
      <c r="AF17" s="496">
        <v>0</v>
      </c>
      <c r="AG17" s="497">
        <v>0</v>
      </c>
      <c r="AH17" s="497">
        <v>0</v>
      </c>
      <c r="AI17" s="497">
        <v>0</v>
      </c>
      <c r="AJ17" s="497">
        <v>0</v>
      </c>
      <c r="AK17" s="497">
        <v>0</v>
      </c>
      <c r="AL17" s="497">
        <v>0</v>
      </c>
      <c r="AM17" s="497">
        <v>0</v>
      </c>
      <c r="AN17" s="497">
        <v>0</v>
      </c>
      <c r="AO17" s="497">
        <v>0</v>
      </c>
      <c r="AP17" s="497">
        <v>0</v>
      </c>
      <c r="AQ17" s="497">
        <v>0</v>
      </c>
      <c r="AR17" s="497">
        <v>0</v>
      </c>
      <c r="AS17" s="497">
        <v>0</v>
      </c>
      <c r="AT17" s="497">
        <v>0</v>
      </c>
      <c r="AU17" s="497">
        <v>0</v>
      </c>
      <c r="AV17" s="497">
        <v>0</v>
      </c>
      <c r="AW17" s="497">
        <v>0</v>
      </c>
      <c r="AX17" s="497">
        <v>0</v>
      </c>
      <c r="AY17" s="497">
        <v>0</v>
      </c>
      <c r="AZ17" s="498">
        <v>0</v>
      </c>
    </row>
    <row r="18" spans="1:52" s="469" customFormat="1">
      <c r="A18" s="485">
        <f>'[4]Allocation Methodology'!A14</f>
        <v>10</v>
      </c>
      <c r="B18" s="486" t="str">
        <f>'[4]Allocation Methodology'!B14</f>
        <v>Summer Savings</v>
      </c>
      <c r="C18" s="486" t="str">
        <f>'[4]Allocation Methodology'!C14</f>
        <v>Consumer</v>
      </c>
      <c r="D18" s="486" t="s">
        <v>17</v>
      </c>
      <c r="E18" s="486">
        <f>'[4]Allocation Methodology'!D14</f>
        <v>2007</v>
      </c>
      <c r="F18" s="487" t="str">
        <f>'[4]Allocation Methodology'!E14</f>
        <v>Final</v>
      </c>
      <c r="G18" s="471" t="b">
        <v>0</v>
      </c>
      <c r="H18" s="488">
        <v>0</v>
      </c>
      <c r="I18" s="489">
        <v>0.18473848769829265</v>
      </c>
      <c r="J18" s="489">
        <v>5.5093734332415989E-2</v>
      </c>
      <c r="K18" s="489">
        <v>2.6526442324912462E-2</v>
      </c>
      <c r="L18" s="489">
        <v>2.6526442324912462E-2</v>
      </c>
      <c r="M18" s="489">
        <v>2.6526442324912462E-2</v>
      </c>
      <c r="N18" s="489">
        <v>2.6526442324912462E-2</v>
      </c>
      <c r="O18" s="489">
        <v>2.6526442324912462E-2</v>
      </c>
      <c r="P18" s="489">
        <v>2.6526442324912462E-2</v>
      </c>
      <c r="Q18" s="489">
        <v>2.6287774030029652E-2</v>
      </c>
      <c r="R18" s="489">
        <v>2.6287774030029652E-2</v>
      </c>
      <c r="S18" s="489">
        <v>2.6287774030029652E-2</v>
      </c>
      <c r="T18" s="489">
        <v>2.6287774030029652E-2</v>
      </c>
      <c r="U18" s="489">
        <v>2.6287774030029652E-2</v>
      </c>
      <c r="V18" s="489">
        <v>2.6287774030029652E-2</v>
      </c>
      <c r="W18" s="489">
        <v>0</v>
      </c>
      <c r="X18" s="489">
        <v>0</v>
      </c>
      <c r="Y18" s="489">
        <v>0</v>
      </c>
      <c r="Z18" s="489">
        <v>0</v>
      </c>
      <c r="AA18" s="489">
        <v>0</v>
      </c>
      <c r="AB18" s="489">
        <v>0</v>
      </c>
      <c r="AC18" s="489">
        <v>0</v>
      </c>
      <c r="AD18" s="489">
        <v>0</v>
      </c>
      <c r="AE18" s="489">
        <v>0</v>
      </c>
      <c r="AF18" s="489">
        <v>0</v>
      </c>
      <c r="AG18" s="490">
        <v>0</v>
      </c>
      <c r="AH18" s="490">
        <v>0</v>
      </c>
      <c r="AI18" s="490">
        <v>0</v>
      </c>
      <c r="AJ18" s="490">
        <v>0</v>
      </c>
      <c r="AK18" s="490">
        <v>0</v>
      </c>
      <c r="AL18" s="490">
        <v>0</v>
      </c>
      <c r="AM18" s="490">
        <v>0</v>
      </c>
      <c r="AN18" s="490">
        <v>0</v>
      </c>
      <c r="AO18" s="490">
        <v>0</v>
      </c>
      <c r="AP18" s="490">
        <v>0</v>
      </c>
      <c r="AQ18" s="490">
        <v>0</v>
      </c>
      <c r="AR18" s="490">
        <v>0</v>
      </c>
      <c r="AS18" s="490">
        <v>0</v>
      </c>
      <c r="AT18" s="490">
        <v>0</v>
      </c>
      <c r="AU18" s="490">
        <v>0</v>
      </c>
      <c r="AV18" s="490">
        <v>0</v>
      </c>
      <c r="AW18" s="490">
        <v>0</v>
      </c>
      <c r="AX18" s="490">
        <v>0</v>
      </c>
      <c r="AY18" s="490">
        <v>0</v>
      </c>
      <c r="AZ18" s="491">
        <v>0</v>
      </c>
    </row>
    <row r="19" spans="1:52" s="469" customFormat="1">
      <c r="A19" s="492">
        <f>'[4]Allocation Methodology'!A15</f>
        <v>11</v>
      </c>
      <c r="B19" s="493" t="str">
        <f>'[4]Allocation Methodology'!B15</f>
        <v>Aboriginal</v>
      </c>
      <c r="C19" s="493" t="str">
        <f>'[4]Allocation Methodology'!C15</f>
        <v>Consumer</v>
      </c>
      <c r="D19" s="493" t="s">
        <v>58</v>
      </c>
      <c r="E19" s="493">
        <f>'[4]Allocation Methodology'!D15</f>
        <v>2007</v>
      </c>
      <c r="F19" s="494" t="str">
        <f>'[4]Allocation Methodology'!E15</f>
        <v>Final</v>
      </c>
      <c r="G19" s="471" t="b">
        <v>0</v>
      </c>
      <c r="H19" s="495">
        <v>0</v>
      </c>
      <c r="I19" s="496">
        <v>0</v>
      </c>
      <c r="J19" s="496">
        <v>0</v>
      </c>
      <c r="K19" s="496">
        <v>0</v>
      </c>
      <c r="L19" s="496">
        <v>0</v>
      </c>
      <c r="M19" s="496">
        <v>0</v>
      </c>
      <c r="N19" s="496">
        <v>0</v>
      </c>
      <c r="O19" s="496">
        <v>0</v>
      </c>
      <c r="P19" s="496">
        <v>0</v>
      </c>
      <c r="Q19" s="496">
        <v>0</v>
      </c>
      <c r="R19" s="496">
        <v>0</v>
      </c>
      <c r="S19" s="496">
        <v>0</v>
      </c>
      <c r="T19" s="496">
        <v>0</v>
      </c>
      <c r="U19" s="496">
        <v>0</v>
      </c>
      <c r="V19" s="496">
        <v>0</v>
      </c>
      <c r="W19" s="496">
        <v>0</v>
      </c>
      <c r="X19" s="496">
        <v>0</v>
      </c>
      <c r="Y19" s="496">
        <v>0</v>
      </c>
      <c r="Z19" s="496">
        <v>0</v>
      </c>
      <c r="AA19" s="496">
        <v>0</v>
      </c>
      <c r="AB19" s="496">
        <v>0</v>
      </c>
      <c r="AC19" s="496">
        <v>0</v>
      </c>
      <c r="AD19" s="496">
        <v>0</v>
      </c>
      <c r="AE19" s="496">
        <v>0</v>
      </c>
      <c r="AF19" s="496">
        <v>0</v>
      </c>
      <c r="AG19" s="497">
        <v>0</v>
      </c>
      <c r="AH19" s="497">
        <v>0</v>
      </c>
      <c r="AI19" s="497">
        <v>0</v>
      </c>
      <c r="AJ19" s="497">
        <v>0</v>
      </c>
      <c r="AK19" s="497">
        <v>0</v>
      </c>
      <c r="AL19" s="497">
        <v>0</v>
      </c>
      <c r="AM19" s="497">
        <v>0</v>
      </c>
      <c r="AN19" s="497">
        <v>0</v>
      </c>
      <c r="AO19" s="497">
        <v>0</v>
      </c>
      <c r="AP19" s="497">
        <v>0</v>
      </c>
      <c r="AQ19" s="497">
        <v>0</v>
      </c>
      <c r="AR19" s="497">
        <v>0</v>
      </c>
      <c r="AS19" s="497">
        <v>0</v>
      </c>
      <c r="AT19" s="497">
        <v>0</v>
      </c>
      <c r="AU19" s="497">
        <v>0</v>
      </c>
      <c r="AV19" s="497">
        <v>0</v>
      </c>
      <c r="AW19" s="497">
        <v>0</v>
      </c>
      <c r="AX19" s="497">
        <v>0</v>
      </c>
      <c r="AY19" s="497">
        <v>0</v>
      </c>
      <c r="AZ19" s="498">
        <v>0</v>
      </c>
    </row>
    <row r="20" spans="1:52" s="469" customFormat="1">
      <c r="A20" s="485">
        <f>'[4]Allocation Methodology'!A16</f>
        <v>12</v>
      </c>
      <c r="B20" s="486" t="str">
        <f>'[4]Allocation Methodology'!B16</f>
        <v>Affordable Housing Pilot</v>
      </c>
      <c r="C20" s="486" t="str">
        <f>'[4]Allocation Methodology'!C16</f>
        <v>Consumer Low-Income</v>
      </c>
      <c r="D20" s="486" t="s">
        <v>17</v>
      </c>
      <c r="E20" s="486">
        <f>'[4]Allocation Methodology'!D16</f>
        <v>2007</v>
      </c>
      <c r="F20" s="487" t="str">
        <f>'[4]Allocation Methodology'!E16</f>
        <v>Final</v>
      </c>
      <c r="G20" s="471" t="b">
        <v>0</v>
      </c>
      <c r="H20" s="488">
        <v>0</v>
      </c>
      <c r="I20" s="489">
        <v>3.7263824999999996E-3</v>
      </c>
      <c r="J20" s="489">
        <v>3.7263824999999996E-3</v>
      </c>
      <c r="K20" s="489">
        <v>3.7263824999999996E-3</v>
      </c>
      <c r="L20" s="489">
        <v>3.7263824999999996E-3</v>
      </c>
      <c r="M20" s="489">
        <v>3.7263824999999996E-3</v>
      </c>
      <c r="N20" s="489">
        <v>3.7263824999999996E-3</v>
      </c>
      <c r="O20" s="489">
        <v>3.7263824999999996E-3</v>
      </c>
      <c r="P20" s="489">
        <v>3.7263824999999996E-3</v>
      </c>
      <c r="Q20" s="489">
        <v>3.7263824999999996E-3</v>
      </c>
      <c r="R20" s="489">
        <v>3.7263824999999996E-3</v>
      </c>
      <c r="S20" s="489">
        <v>3.7263824999999996E-3</v>
      </c>
      <c r="T20" s="489">
        <v>3.7263824999999996E-3</v>
      </c>
      <c r="U20" s="489">
        <v>3.7263824999999996E-3</v>
      </c>
      <c r="V20" s="489">
        <v>3.7263824999999996E-3</v>
      </c>
      <c r="W20" s="489">
        <v>0</v>
      </c>
      <c r="X20" s="489">
        <v>0</v>
      </c>
      <c r="Y20" s="489">
        <v>0</v>
      </c>
      <c r="Z20" s="489">
        <v>0</v>
      </c>
      <c r="AA20" s="489">
        <v>0</v>
      </c>
      <c r="AB20" s="489">
        <v>0</v>
      </c>
      <c r="AC20" s="489">
        <v>0</v>
      </c>
      <c r="AD20" s="489">
        <v>0</v>
      </c>
      <c r="AE20" s="489">
        <v>0</v>
      </c>
      <c r="AF20" s="489">
        <v>0</v>
      </c>
      <c r="AG20" s="490">
        <v>0</v>
      </c>
      <c r="AH20" s="490">
        <v>0</v>
      </c>
      <c r="AI20" s="490">
        <v>0</v>
      </c>
      <c r="AJ20" s="490">
        <v>0</v>
      </c>
      <c r="AK20" s="490">
        <v>0</v>
      </c>
      <c r="AL20" s="490">
        <v>0</v>
      </c>
      <c r="AM20" s="490">
        <v>0</v>
      </c>
      <c r="AN20" s="490">
        <v>0</v>
      </c>
      <c r="AO20" s="490">
        <v>0</v>
      </c>
      <c r="AP20" s="490">
        <v>0</v>
      </c>
      <c r="AQ20" s="490">
        <v>0</v>
      </c>
      <c r="AR20" s="490">
        <v>0</v>
      </c>
      <c r="AS20" s="490">
        <v>0</v>
      </c>
      <c r="AT20" s="490">
        <v>0</v>
      </c>
      <c r="AU20" s="490">
        <v>0</v>
      </c>
      <c r="AV20" s="490">
        <v>0</v>
      </c>
      <c r="AW20" s="490">
        <v>0</v>
      </c>
      <c r="AX20" s="490">
        <v>0</v>
      </c>
      <c r="AY20" s="490">
        <v>0</v>
      </c>
      <c r="AZ20" s="491">
        <v>0</v>
      </c>
    </row>
    <row r="21" spans="1:52" s="469" customFormat="1">
      <c r="A21" s="492">
        <f>'[4]Allocation Methodology'!A17</f>
        <v>13</v>
      </c>
      <c r="B21" s="493" t="str">
        <f>'[4]Allocation Methodology'!B17</f>
        <v>Social Housing Pilot</v>
      </c>
      <c r="C21" s="493" t="str">
        <f>'[4]Allocation Methodology'!C17</f>
        <v>Consumer Low-Income</v>
      </c>
      <c r="D21" s="493" t="s">
        <v>17</v>
      </c>
      <c r="E21" s="493">
        <f>'[4]Allocation Methodology'!D17</f>
        <v>2007</v>
      </c>
      <c r="F21" s="494" t="str">
        <f>'[4]Allocation Methodology'!E17</f>
        <v>Final</v>
      </c>
      <c r="G21" s="471" t="b">
        <v>0</v>
      </c>
      <c r="H21" s="495">
        <v>0</v>
      </c>
      <c r="I21" s="496">
        <v>7.5553826221084076E-3</v>
      </c>
      <c r="J21" s="496">
        <v>7.5553826221084076E-3</v>
      </c>
      <c r="K21" s="496">
        <v>7.5553826221084076E-3</v>
      </c>
      <c r="L21" s="496">
        <v>7.5553826221084076E-3</v>
      </c>
      <c r="M21" s="496">
        <v>7.5553826221084076E-3</v>
      </c>
      <c r="N21" s="496">
        <v>7.5553826221084076E-3</v>
      </c>
      <c r="O21" s="496">
        <v>7.5553826221084076E-3</v>
      </c>
      <c r="P21" s="496">
        <v>7.5553826221084076E-3</v>
      </c>
      <c r="Q21" s="496">
        <v>7.5553826221084076E-3</v>
      </c>
      <c r="R21" s="496">
        <v>7.5553826221084076E-3</v>
      </c>
      <c r="S21" s="496">
        <v>0</v>
      </c>
      <c r="T21" s="496">
        <v>0</v>
      </c>
      <c r="U21" s="496">
        <v>0</v>
      </c>
      <c r="V21" s="496">
        <v>0</v>
      </c>
      <c r="W21" s="496">
        <v>0</v>
      </c>
      <c r="X21" s="496">
        <v>0</v>
      </c>
      <c r="Y21" s="496">
        <v>0</v>
      </c>
      <c r="Z21" s="496">
        <v>0</v>
      </c>
      <c r="AA21" s="496">
        <v>0</v>
      </c>
      <c r="AB21" s="496">
        <v>0</v>
      </c>
      <c r="AC21" s="496">
        <v>0</v>
      </c>
      <c r="AD21" s="496">
        <v>0</v>
      </c>
      <c r="AE21" s="496">
        <v>0</v>
      </c>
      <c r="AF21" s="496">
        <v>0</v>
      </c>
      <c r="AG21" s="497">
        <v>0</v>
      </c>
      <c r="AH21" s="497">
        <v>0</v>
      </c>
      <c r="AI21" s="497">
        <v>0</v>
      </c>
      <c r="AJ21" s="497">
        <v>0</v>
      </c>
      <c r="AK21" s="497">
        <v>0</v>
      </c>
      <c r="AL21" s="497">
        <v>0</v>
      </c>
      <c r="AM21" s="497">
        <v>0</v>
      </c>
      <c r="AN21" s="497">
        <v>0</v>
      </c>
      <c r="AO21" s="497">
        <v>0</v>
      </c>
      <c r="AP21" s="497">
        <v>0</v>
      </c>
      <c r="AQ21" s="497">
        <v>0</v>
      </c>
      <c r="AR21" s="497">
        <v>0</v>
      </c>
      <c r="AS21" s="497">
        <v>0</v>
      </c>
      <c r="AT21" s="497">
        <v>0</v>
      </c>
      <c r="AU21" s="497">
        <v>0</v>
      </c>
      <c r="AV21" s="497">
        <v>0</v>
      </c>
      <c r="AW21" s="497">
        <v>0</v>
      </c>
      <c r="AX21" s="497">
        <v>0</v>
      </c>
      <c r="AY21" s="497">
        <v>0</v>
      </c>
      <c r="AZ21" s="498">
        <v>0</v>
      </c>
    </row>
    <row r="22" spans="1:52" s="469" customFormat="1">
      <c r="A22" s="485">
        <f>'[4]Allocation Methodology'!A18</f>
        <v>14</v>
      </c>
      <c r="B22" s="486" t="str">
        <f>'[4]Allocation Methodology'!B18</f>
        <v>Energy Efficiency Assistance for Houses Pilot</v>
      </c>
      <c r="C22" s="486" t="str">
        <f>'[4]Allocation Methodology'!C18</f>
        <v>Consumer Low-Income</v>
      </c>
      <c r="D22" s="486" t="s">
        <v>17</v>
      </c>
      <c r="E22" s="486">
        <f>'[4]Allocation Methodology'!D18</f>
        <v>2007</v>
      </c>
      <c r="F22" s="487" t="str">
        <f>'[4]Allocation Methodology'!E18</f>
        <v>Final</v>
      </c>
      <c r="G22" s="471" t="b">
        <v>0</v>
      </c>
      <c r="H22" s="488">
        <v>0</v>
      </c>
      <c r="I22" s="489">
        <v>2.6126666666666666E-2</v>
      </c>
      <c r="J22" s="489">
        <v>2.6126666666666666E-2</v>
      </c>
      <c r="K22" s="489">
        <v>2.6126666666666666E-2</v>
      </c>
      <c r="L22" s="489">
        <v>2.6126666666666666E-2</v>
      </c>
      <c r="M22" s="489">
        <v>2.6126666666666666E-2</v>
      </c>
      <c r="N22" s="489">
        <v>2.6126666666666666E-2</v>
      </c>
      <c r="O22" s="489">
        <v>2.6126666666666666E-2</v>
      </c>
      <c r="P22" s="489">
        <v>2.6126666666666666E-2</v>
      </c>
      <c r="Q22" s="489">
        <v>2.6126666666666666E-2</v>
      </c>
      <c r="R22" s="489">
        <v>2.6126666666666666E-2</v>
      </c>
      <c r="S22" s="489">
        <v>2.6126666666666666E-2</v>
      </c>
      <c r="T22" s="489">
        <v>2.6126666666666666E-2</v>
      </c>
      <c r="U22" s="489">
        <v>2.6126666666666666E-2</v>
      </c>
      <c r="V22" s="489">
        <v>2.6126666666666666E-2</v>
      </c>
      <c r="W22" s="489">
        <v>2.6126666666666666E-2</v>
      </c>
      <c r="X22" s="489">
        <v>2.6126666666666666E-2</v>
      </c>
      <c r="Y22" s="489">
        <v>2.6126666666666666E-2</v>
      </c>
      <c r="Z22" s="489">
        <v>2.6126666666666666E-2</v>
      </c>
      <c r="AA22" s="489">
        <v>2.6126666666666666E-2</v>
      </c>
      <c r="AB22" s="489">
        <v>0</v>
      </c>
      <c r="AC22" s="489">
        <v>0</v>
      </c>
      <c r="AD22" s="489">
        <v>0</v>
      </c>
      <c r="AE22" s="489">
        <v>0</v>
      </c>
      <c r="AF22" s="489">
        <v>0</v>
      </c>
      <c r="AG22" s="490">
        <v>0</v>
      </c>
      <c r="AH22" s="490">
        <v>0</v>
      </c>
      <c r="AI22" s="490">
        <v>0</v>
      </c>
      <c r="AJ22" s="490">
        <v>0</v>
      </c>
      <c r="AK22" s="490">
        <v>0</v>
      </c>
      <c r="AL22" s="490">
        <v>0</v>
      </c>
      <c r="AM22" s="490">
        <v>0</v>
      </c>
      <c r="AN22" s="490">
        <v>0</v>
      </c>
      <c r="AO22" s="490">
        <v>0</v>
      </c>
      <c r="AP22" s="490">
        <v>0</v>
      </c>
      <c r="AQ22" s="490">
        <v>0</v>
      </c>
      <c r="AR22" s="490">
        <v>0</v>
      </c>
      <c r="AS22" s="490">
        <v>0</v>
      </c>
      <c r="AT22" s="490">
        <v>0</v>
      </c>
      <c r="AU22" s="490">
        <v>0</v>
      </c>
      <c r="AV22" s="490">
        <v>0</v>
      </c>
      <c r="AW22" s="490">
        <v>0</v>
      </c>
      <c r="AX22" s="490">
        <v>0</v>
      </c>
      <c r="AY22" s="490">
        <v>0</v>
      </c>
      <c r="AZ22" s="491">
        <v>0</v>
      </c>
    </row>
    <row r="23" spans="1:52" s="469" customFormat="1">
      <c r="A23" s="492">
        <f>'[4]Allocation Methodology'!A19</f>
        <v>15</v>
      </c>
      <c r="B23" s="493" t="str">
        <f>'[4]Allocation Methodology'!B19</f>
        <v>Electricity Retrofit Incentive</v>
      </c>
      <c r="C23" s="493" t="str">
        <f>'[4]Allocation Methodology'!C19</f>
        <v>Business</v>
      </c>
      <c r="D23" s="493" t="s">
        <v>480</v>
      </c>
      <c r="E23" s="493">
        <f>'[4]Allocation Methodology'!D19</f>
        <v>2007</v>
      </c>
      <c r="F23" s="494" t="str">
        <f>'[4]Allocation Methodology'!E19</f>
        <v>Final</v>
      </c>
      <c r="G23" s="471" t="b">
        <v>0</v>
      </c>
      <c r="H23" s="495">
        <v>0</v>
      </c>
      <c r="I23" s="496">
        <v>0</v>
      </c>
      <c r="J23" s="496">
        <v>0</v>
      </c>
      <c r="K23" s="496">
        <v>0</v>
      </c>
      <c r="L23" s="496">
        <v>0</v>
      </c>
      <c r="M23" s="496">
        <v>0</v>
      </c>
      <c r="N23" s="496">
        <v>0</v>
      </c>
      <c r="O23" s="496">
        <v>0</v>
      </c>
      <c r="P23" s="496">
        <v>0</v>
      </c>
      <c r="Q23" s="496">
        <v>0</v>
      </c>
      <c r="R23" s="496">
        <v>0</v>
      </c>
      <c r="S23" s="496">
        <v>0</v>
      </c>
      <c r="T23" s="496">
        <v>0</v>
      </c>
      <c r="U23" s="496">
        <v>0</v>
      </c>
      <c r="V23" s="496">
        <v>0</v>
      </c>
      <c r="W23" s="496">
        <v>0</v>
      </c>
      <c r="X23" s="496">
        <v>0</v>
      </c>
      <c r="Y23" s="496">
        <v>0</v>
      </c>
      <c r="Z23" s="496">
        <v>0</v>
      </c>
      <c r="AA23" s="496">
        <v>0</v>
      </c>
      <c r="AB23" s="496">
        <v>0</v>
      </c>
      <c r="AC23" s="496">
        <v>0</v>
      </c>
      <c r="AD23" s="496">
        <v>0</v>
      </c>
      <c r="AE23" s="496">
        <v>0</v>
      </c>
      <c r="AF23" s="496">
        <v>0</v>
      </c>
      <c r="AG23" s="497">
        <v>0</v>
      </c>
      <c r="AH23" s="497">
        <v>0</v>
      </c>
      <c r="AI23" s="497">
        <v>0</v>
      </c>
      <c r="AJ23" s="497">
        <v>0</v>
      </c>
      <c r="AK23" s="497">
        <v>0</v>
      </c>
      <c r="AL23" s="497">
        <v>0</v>
      </c>
      <c r="AM23" s="497">
        <v>0</v>
      </c>
      <c r="AN23" s="497">
        <v>0</v>
      </c>
      <c r="AO23" s="497">
        <v>0</v>
      </c>
      <c r="AP23" s="497">
        <v>0</v>
      </c>
      <c r="AQ23" s="497">
        <v>0</v>
      </c>
      <c r="AR23" s="497">
        <v>0</v>
      </c>
      <c r="AS23" s="497">
        <v>0</v>
      </c>
      <c r="AT23" s="497">
        <v>0</v>
      </c>
      <c r="AU23" s="497">
        <v>0</v>
      </c>
      <c r="AV23" s="497">
        <v>0</v>
      </c>
      <c r="AW23" s="497">
        <v>0</v>
      </c>
      <c r="AX23" s="497">
        <v>0</v>
      </c>
      <c r="AY23" s="497">
        <v>0</v>
      </c>
      <c r="AZ23" s="498">
        <v>0</v>
      </c>
    </row>
    <row r="24" spans="1:52" s="469" customFormat="1">
      <c r="A24" s="485">
        <f>'[4]Allocation Methodology'!A20</f>
        <v>16</v>
      </c>
      <c r="B24" s="486" t="str">
        <f>'[4]Allocation Methodology'!B20</f>
        <v>Toronto Comprehensive</v>
      </c>
      <c r="C24" s="486" t="str">
        <f>'[4]Allocation Methodology'!C20</f>
        <v>Business</v>
      </c>
      <c r="D24" s="486" t="s">
        <v>58</v>
      </c>
      <c r="E24" s="486">
        <f>'[4]Allocation Methodology'!D20</f>
        <v>2007</v>
      </c>
      <c r="F24" s="487" t="str">
        <f>'[4]Allocation Methodology'!E20</f>
        <v>Final</v>
      </c>
      <c r="G24" s="471" t="b">
        <v>0</v>
      </c>
      <c r="H24" s="488">
        <v>0</v>
      </c>
      <c r="I24" s="489">
        <v>0</v>
      </c>
      <c r="J24" s="489">
        <v>0</v>
      </c>
      <c r="K24" s="489">
        <v>0</v>
      </c>
      <c r="L24" s="489">
        <v>0</v>
      </c>
      <c r="M24" s="489">
        <v>0</v>
      </c>
      <c r="N24" s="489">
        <v>0</v>
      </c>
      <c r="O24" s="489">
        <v>0</v>
      </c>
      <c r="P24" s="489">
        <v>0</v>
      </c>
      <c r="Q24" s="489">
        <v>0</v>
      </c>
      <c r="R24" s="489">
        <v>0</v>
      </c>
      <c r="S24" s="489">
        <v>0</v>
      </c>
      <c r="T24" s="489">
        <v>0</v>
      </c>
      <c r="U24" s="489">
        <v>0</v>
      </c>
      <c r="V24" s="489">
        <v>0</v>
      </c>
      <c r="W24" s="489">
        <v>0</v>
      </c>
      <c r="X24" s="489">
        <v>0</v>
      </c>
      <c r="Y24" s="489">
        <v>0</v>
      </c>
      <c r="Z24" s="489">
        <v>0</v>
      </c>
      <c r="AA24" s="489">
        <v>0</v>
      </c>
      <c r="AB24" s="489">
        <v>0</v>
      </c>
      <c r="AC24" s="489">
        <v>0</v>
      </c>
      <c r="AD24" s="489">
        <v>0</v>
      </c>
      <c r="AE24" s="489">
        <v>0</v>
      </c>
      <c r="AF24" s="489">
        <v>0</v>
      </c>
      <c r="AG24" s="490">
        <v>0</v>
      </c>
      <c r="AH24" s="490">
        <v>0</v>
      </c>
      <c r="AI24" s="490">
        <v>0</v>
      </c>
      <c r="AJ24" s="490">
        <v>0</v>
      </c>
      <c r="AK24" s="490">
        <v>0</v>
      </c>
      <c r="AL24" s="490">
        <v>0</v>
      </c>
      <c r="AM24" s="490">
        <v>0</v>
      </c>
      <c r="AN24" s="490">
        <v>0</v>
      </c>
      <c r="AO24" s="490">
        <v>0</v>
      </c>
      <c r="AP24" s="490">
        <v>0</v>
      </c>
      <c r="AQ24" s="490">
        <v>0</v>
      </c>
      <c r="AR24" s="490">
        <v>0</v>
      </c>
      <c r="AS24" s="490">
        <v>0</v>
      </c>
      <c r="AT24" s="490">
        <v>0</v>
      </c>
      <c r="AU24" s="490">
        <v>0</v>
      </c>
      <c r="AV24" s="490">
        <v>0</v>
      </c>
      <c r="AW24" s="490">
        <v>0</v>
      </c>
      <c r="AX24" s="490">
        <v>0</v>
      </c>
      <c r="AY24" s="490">
        <v>0</v>
      </c>
      <c r="AZ24" s="491">
        <v>0</v>
      </c>
    </row>
    <row r="25" spans="1:52" s="469" customFormat="1">
      <c r="A25" s="492">
        <f>'[4]Allocation Methodology'!A21</f>
        <v>17</v>
      </c>
      <c r="B25" s="493" t="str">
        <f>'[4]Allocation Methodology'!B21</f>
        <v>Demand Response 1</v>
      </c>
      <c r="C25" s="493" t="str">
        <f>'[4]Allocation Methodology'!C21</f>
        <v>Business, Industrial</v>
      </c>
      <c r="D25" s="493" t="s">
        <v>480</v>
      </c>
      <c r="E25" s="493">
        <f>'[4]Allocation Methodology'!D21</f>
        <v>2007</v>
      </c>
      <c r="F25" s="494" t="str">
        <f>'[4]Allocation Methodology'!E21</f>
        <v>Final</v>
      </c>
      <c r="G25" s="471" t="b">
        <v>0</v>
      </c>
      <c r="H25" s="495">
        <v>0</v>
      </c>
      <c r="I25" s="496">
        <v>1.9100236982573271</v>
      </c>
      <c r="J25" s="496">
        <v>0</v>
      </c>
      <c r="K25" s="496">
        <v>0</v>
      </c>
      <c r="L25" s="496">
        <v>0</v>
      </c>
      <c r="M25" s="496">
        <v>0</v>
      </c>
      <c r="N25" s="496">
        <v>0</v>
      </c>
      <c r="O25" s="496">
        <v>0</v>
      </c>
      <c r="P25" s="496">
        <v>0</v>
      </c>
      <c r="Q25" s="496">
        <v>0</v>
      </c>
      <c r="R25" s="496">
        <v>0</v>
      </c>
      <c r="S25" s="496">
        <v>0</v>
      </c>
      <c r="T25" s="496">
        <v>0</v>
      </c>
      <c r="U25" s="496">
        <v>0</v>
      </c>
      <c r="V25" s="496">
        <v>0</v>
      </c>
      <c r="W25" s="496">
        <v>0</v>
      </c>
      <c r="X25" s="496">
        <v>0</v>
      </c>
      <c r="Y25" s="496">
        <v>0</v>
      </c>
      <c r="Z25" s="496">
        <v>0</v>
      </c>
      <c r="AA25" s="496">
        <v>0</v>
      </c>
      <c r="AB25" s="496">
        <v>0</v>
      </c>
      <c r="AC25" s="496">
        <v>0</v>
      </c>
      <c r="AD25" s="496">
        <v>0</v>
      </c>
      <c r="AE25" s="496">
        <v>0</v>
      </c>
      <c r="AF25" s="496">
        <v>0</v>
      </c>
      <c r="AG25" s="497">
        <v>0</v>
      </c>
      <c r="AH25" s="497">
        <v>0</v>
      </c>
      <c r="AI25" s="497">
        <v>0</v>
      </c>
      <c r="AJ25" s="497">
        <v>0</v>
      </c>
      <c r="AK25" s="497">
        <v>0</v>
      </c>
      <c r="AL25" s="497">
        <v>0</v>
      </c>
      <c r="AM25" s="497">
        <v>0</v>
      </c>
      <c r="AN25" s="497">
        <v>0</v>
      </c>
      <c r="AO25" s="497">
        <v>0</v>
      </c>
      <c r="AP25" s="497">
        <v>0</v>
      </c>
      <c r="AQ25" s="497">
        <v>0</v>
      </c>
      <c r="AR25" s="497">
        <v>0</v>
      </c>
      <c r="AS25" s="497">
        <v>0</v>
      </c>
      <c r="AT25" s="497">
        <v>0</v>
      </c>
      <c r="AU25" s="497">
        <v>0</v>
      </c>
      <c r="AV25" s="497">
        <v>0</v>
      </c>
      <c r="AW25" s="497">
        <v>0</v>
      </c>
      <c r="AX25" s="497">
        <v>0</v>
      </c>
      <c r="AY25" s="497">
        <v>0</v>
      </c>
      <c r="AZ25" s="498">
        <v>0</v>
      </c>
    </row>
    <row r="26" spans="1:52" s="469" customFormat="1">
      <c r="A26" s="485">
        <f>'[4]Allocation Methodology'!A22</f>
        <v>18</v>
      </c>
      <c r="B26" s="486" t="str">
        <f>'[4]Allocation Methodology'!B22</f>
        <v>Loblaw &amp; York Region Demand Response</v>
      </c>
      <c r="C26" s="486" t="str">
        <f>'[4]Allocation Methodology'!C22</f>
        <v>Business, Industrial</v>
      </c>
      <c r="D26" s="486" t="s">
        <v>480</v>
      </c>
      <c r="E26" s="486">
        <f>'[4]Allocation Methodology'!D22</f>
        <v>2007</v>
      </c>
      <c r="F26" s="487" t="str">
        <f>'[4]Allocation Methodology'!E22</f>
        <v>Final</v>
      </c>
      <c r="G26" s="471" t="b">
        <v>0</v>
      </c>
      <c r="H26" s="488">
        <v>0</v>
      </c>
      <c r="I26" s="489">
        <v>0.15889278599021095</v>
      </c>
      <c r="J26" s="489">
        <v>0</v>
      </c>
      <c r="K26" s="489">
        <v>0</v>
      </c>
      <c r="L26" s="489">
        <v>0</v>
      </c>
      <c r="M26" s="489">
        <v>0</v>
      </c>
      <c r="N26" s="489">
        <v>0</v>
      </c>
      <c r="O26" s="489">
        <v>0</v>
      </c>
      <c r="P26" s="489">
        <v>0</v>
      </c>
      <c r="Q26" s="489">
        <v>0</v>
      </c>
      <c r="R26" s="489">
        <v>0</v>
      </c>
      <c r="S26" s="489">
        <v>0</v>
      </c>
      <c r="T26" s="489">
        <v>0</v>
      </c>
      <c r="U26" s="489">
        <v>0</v>
      </c>
      <c r="V26" s="489">
        <v>0</v>
      </c>
      <c r="W26" s="489">
        <v>0</v>
      </c>
      <c r="X26" s="489">
        <v>0</v>
      </c>
      <c r="Y26" s="489">
        <v>0</v>
      </c>
      <c r="Z26" s="489">
        <v>0</v>
      </c>
      <c r="AA26" s="489">
        <v>0</v>
      </c>
      <c r="AB26" s="489">
        <v>0</v>
      </c>
      <c r="AC26" s="489">
        <v>0</v>
      </c>
      <c r="AD26" s="489">
        <v>0</v>
      </c>
      <c r="AE26" s="489">
        <v>0</v>
      </c>
      <c r="AF26" s="489">
        <v>0</v>
      </c>
      <c r="AG26" s="490">
        <v>0</v>
      </c>
      <c r="AH26" s="490">
        <v>0</v>
      </c>
      <c r="AI26" s="490">
        <v>0</v>
      </c>
      <c r="AJ26" s="490">
        <v>0</v>
      </c>
      <c r="AK26" s="490">
        <v>0</v>
      </c>
      <c r="AL26" s="490">
        <v>0</v>
      </c>
      <c r="AM26" s="490">
        <v>0</v>
      </c>
      <c r="AN26" s="490">
        <v>0</v>
      </c>
      <c r="AO26" s="490">
        <v>0</v>
      </c>
      <c r="AP26" s="490">
        <v>0</v>
      </c>
      <c r="AQ26" s="490">
        <v>0</v>
      </c>
      <c r="AR26" s="490">
        <v>0</v>
      </c>
      <c r="AS26" s="490">
        <v>0</v>
      </c>
      <c r="AT26" s="490">
        <v>0</v>
      </c>
      <c r="AU26" s="490">
        <v>0</v>
      </c>
      <c r="AV26" s="490">
        <v>0</v>
      </c>
      <c r="AW26" s="490">
        <v>0</v>
      </c>
      <c r="AX26" s="490">
        <v>0</v>
      </c>
      <c r="AY26" s="490">
        <v>0</v>
      </c>
      <c r="AZ26" s="491">
        <v>0</v>
      </c>
    </row>
    <row r="27" spans="1:52" s="469" customFormat="1">
      <c r="A27" s="499">
        <f>'[4]Allocation Methodology'!A23</f>
        <v>19</v>
      </c>
      <c r="B27" s="500" t="str">
        <f>'[4]Allocation Methodology'!B23</f>
        <v>Renewable Energy Standard Offer</v>
      </c>
      <c r="C27" s="500" t="str">
        <f>'[4]Allocation Methodology'!C23</f>
        <v>Consumer, Business, Industrial</v>
      </c>
      <c r="D27" s="500" t="s">
        <v>17</v>
      </c>
      <c r="E27" s="500">
        <f>'[4]Allocation Methodology'!D23</f>
        <v>2007</v>
      </c>
      <c r="F27" s="501" t="str">
        <f>'[4]Allocation Methodology'!E23</f>
        <v>Final</v>
      </c>
      <c r="G27" s="471" t="b">
        <v>0</v>
      </c>
      <c r="H27" s="502">
        <v>0</v>
      </c>
      <c r="I27" s="503">
        <v>2.146E-2</v>
      </c>
      <c r="J27" s="503">
        <v>2.146E-2</v>
      </c>
      <c r="K27" s="503">
        <v>2.146E-2</v>
      </c>
      <c r="L27" s="503">
        <v>2.146E-2</v>
      </c>
      <c r="M27" s="503">
        <v>2.146E-2</v>
      </c>
      <c r="N27" s="503">
        <v>2.146E-2</v>
      </c>
      <c r="O27" s="503">
        <v>2.146E-2</v>
      </c>
      <c r="P27" s="503">
        <v>2.146E-2</v>
      </c>
      <c r="Q27" s="503">
        <v>2.146E-2</v>
      </c>
      <c r="R27" s="503">
        <v>2.146E-2</v>
      </c>
      <c r="S27" s="503">
        <v>2.146E-2</v>
      </c>
      <c r="T27" s="503">
        <v>2.146E-2</v>
      </c>
      <c r="U27" s="503">
        <v>2.146E-2</v>
      </c>
      <c r="V27" s="503">
        <v>2.146E-2</v>
      </c>
      <c r="W27" s="503">
        <v>2.146E-2</v>
      </c>
      <c r="X27" s="503">
        <v>2.146E-2</v>
      </c>
      <c r="Y27" s="503">
        <v>2.146E-2</v>
      </c>
      <c r="Z27" s="503">
        <v>2.146E-2</v>
      </c>
      <c r="AA27" s="503">
        <v>2.146E-2</v>
      </c>
      <c r="AB27" s="503">
        <v>2.146E-2</v>
      </c>
      <c r="AC27" s="503">
        <v>0</v>
      </c>
      <c r="AD27" s="503">
        <v>0</v>
      </c>
      <c r="AE27" s="503">
        <v>0</v>
      </c>
      <c r="AF27" s="503">
        <v>0</v>
      </c>
      <c r="AG27" s="504">
        <v>0</v>
      </c>
      <c r="AH27" s="504">
        <v>0</v>
      </c>
      <c r="AI27" s="504">
        <v>0</v>
      </c>
      <c r="AJ27" s="504">
        <v>0</v>
      </c>
      <c r="AK27" s="504">
        <v>0</v>
      </c>
      <c r="AL27" s="504">
        <v>0</v>
      </c>
      <c r="AM27" s="504">
        <v>0</v>
      </c>
      <c r="AN27" s="504">
        <v>0</v>
      </c>
      <c r="AO27" s="504">
        <v>0</v>
      </c>
      <c r="AP27" s="504">
        <v>0</v>
      </c>
      <c r="AQ27" s="504">
        <v>0</v>
      </c>
      <c r="AR27" s="504">
        <v>0</v>
      </c>
      <c r="AS27" s="504">
        <v>0</v>
      </c>
      <c r="AT27" s="504">
        <v>0</v>
      </c>
      <c r="AU27" s="504">
        <v>0</v>
      </c>
      <c r="AV27" s="504">
        <v>0</v>
      </c>
      <c r="AW27" s="504">
        <v>0</v>
      </c>
      <c r="AX27" s="504">
        <v>0</v>
      </c>
      <c r="AY27" s="504">
        <v>0</v>
      </c>
      <c r="AZ27" s="505">
        <v>0</v>
      </c>
    </row>
    <row r="28" spans="1:52" s="469" customFormat="1">
      <c r="A28" s="506">
        <f>'[4]Allocation Methodology'!A24</f>
        <v>20</v>
      </c>
      <c r="B28" s="507" t="str">
        <f>'[4]Allocation Methodology'!B24</f>
        <v>Great Refrigerator Roundup</v>
      </c>
      <c r="C28" s="507" t="str">
        <f>'[4]Allocation Methodology'!C24</f>
        <v>Consumer</v>
      </c>
      <c r="D28" s="507" t="s">
        <v>17</v>
      </c>
      <c r="E28" s="507">
        <f>'[4]Allocation Methodology'!D24</f>
        <v>2008</v>
      </c>
      <c r="F28" s="508" t="str">
        <f>'[4]Allocation Methodology'!E24</f>
        <v>Final</v>
      </c>
      <c r="G28" s="471" t="b">
        <v>0</v>
      </c>
      <c r="H28" s="509">
        <v>0</v>
      </c>
      <c r="I28" s="510">
        <v>0</v>
      </c>
      <c r="J28" s="510">
        <v>1.2514288895960003E-2</v>
      </c>
      <c r="K28" s="510">
        <v>1.2514288895960003E-2</v>
      </c>
      <c r="L28" s="510">
        <v>1.2514288895960003E-2</v>
      </c>
      <c r="M28" s="510">
        <v>1.2514288895960003E-2</v>
      </c>
      <c r="N28" s="510">
        <v>1.1941168895960003E-2</v>
      </c>
      <c r="O28" s="510">
        <v>1.1941168895960003E-2</v>
      </c>
      <c r="P28" s="510">
        <v>1.1941168895960003E-2</v>
      </c>
      <c r="Q28" s="510">
        <v>1.1941168895960003E-2</v>
      </c>
      <c r="R28" s="510">
        <v>9.2565183699999994E-3</v>
      </c>
      <c r="S28" s="510">
        <v>0</v>
      </c>
      <c r="T28" s="510">
        <v>0</v>
      </c>
      <c r="U28" s="510">
        <v>0</v>
      </c>
      <c r="V28" s="510">
        <v>0</v>
      </c>
      <c r="W28" s="510">
        <v>0</v>
      </c>
      <c r="X28" s="510">
        <v>0</v>
      </c>
      <c r="Y28" s="510">
        <v>0</v>
      </c>
      <c r="Z28" s="510">
        <v>0</v>
      </c>
      <c r="AA28" s="510">
        <v>0</v>
      </c>
      <c r="AB28" s="510">
        <v>0</v>
      </c>
      <c r="AC28" s="510">
        <v>0</v>
      </c>
      <c r="AD28" s="510">
        <v>0</v>
      </c>
      <c r="AE28" s="510">
        <v>0</v>
      </c>
      <c r="AF28" s="510">
        <v>0</v>
      </c>
      <c r="AG28" s="511">
        <v>0</v>
      </c>
      <c r="AH28" s="511">
        <v>0</v>
      </c>
      <c r="AI28" s="511">
        <v>0</v>
      </c>
      <c r="AJ28" s="511">
        <v>0</v>
      </c>
      <c r="AK28" s="511">
        <v>0</v>
      </c>
      <c r="AL28" s="511">
        <v>0</v>
      </c>
      <c r="AM28" s="511">
        <v>0</v>
      </c>
      <c r="AN28" s="511">
        <v>0</v>
      </c>
      <c r="AO28" s="511">
        <v>0</v>
      </c>
      <c r="AP28" s="511">
        <v>0</v>
      </c>
      <c r="AQ28" s="511">
        <v>0</v>
      </c>
      <c r="AR28" s="511">
        <v>0</v>
      </c>
      <c r="AS28" s="511">
        <v>0</v>
      </c>
      <c r="AT28" s="511">
        <v>0</v>
      </c>
      <c r="AU28" s="511">
        <v>0</v>
      </c>
      <c r="AV28" s="511">
        <v>0</v>
      </c>
      <c r="AW28" s="511">
        <v>0</v>
      </c>
      <c r="AX28" s="511">
        <v>0</v>
      </c>
      <c r="AY28" s="511">
        <v>0</v>
      </c>
      <c r="AZ28" s="512">
        <v>0</v>
      </c>
    </row>
    <row r="29" spans="1:52" s="469" customFormat="1">
      <c r="A29" s="492">
        <f>'[4]Allocation Methodology'!A25</f>
        <v>21</v>
      </c>
      <c r="B29" s="493" t="str">
        <f>'[4]Allocation Methodology'!B25</f>
        <v>Cool Savings Rebate</v>
      </c>
      <c r="C29" s="493" t="str">
        <f>'[4]Allocation Methodology'!C25</f>
        <v>Consumer</v>
      </c>
      <c r="D29" s="493" t="s">
        <v>17</v>
      </c>
      <c r="E29" s="493">
        <f>'[4]Allocation Methodology'!D25</f>
        <v>2008</v>
      </c>
      <c r="F29" s="494" t="str">
        <f>'[4]Allocation Methodology'!E25</f>
        <v>Final</v>
      </c>
      <c r="G29" s="471" t="b">
        <v>0</v>
      </c>
      <c r="H29" s="495">
        <v>0</v>
      </c>
      <c r="I29" s="496">
        <v>0</v>
      </c>
      <c r="J29" s="496">
        <v>7.3226482662845205E-2</v>
      </c>
      <c r="K29" s="496">
        <v>7.3226482662845205E-2</v>
      </c>
      <c r="L29" s="496">
        <v>7.3226482662845205E-2</v>
      </c>
      <c r="M29" s="496">
        <v>7.3226482662845205E-2</v>
      </c>
      <c r="N29" s="496">
        <v>7.3226482662845205E-2</v>
      </c>
      <c r="O29" s="496">
        <v>7.3226482662845205E-2</v>
      </c>
      <c r="P29" s="496">
        <v>7.3226482662845205E-2</v>
      </c>
      <c r="Q29" s="496">
        <v>7.3226482662845205E-2</v>
      </c>
      <c r="R29" s="496">
        <v>7.3226482662845205E-2</v>
      </c>
      <c r="S29" s="496">
        <v>7.3226482662845205E-2</v>
      </c>
      <c r="T29" s="496">
        <v>7.3226482662845205E-2</v>
      </c>
      <c r="U29" s="496">
        <v>7.3226482662845205E-2</v>
      </c>
      <c r="V29" s="496">
        <v>7.3226482662845205E-2</v>
      </c>
      <c r="W29" s="496">
        <v>7.3226482662845205E-2</v>
      </c>
      <c r="X29" s="496">
        <v>7.3226482662845205E-2</v>
      </c>
      <c r="Y29" s="496">
        <v>5.9382090709696744E-2</v>
      </c>
      <c r="Z29" s="496">
        <v>5.9382090709696744E-2</v>
      </c>
      <c r="AA29" s="496">
        <v>5.9382090709696744E-2</v>
      </c>
      <c r="AB29" s="496">
        <v>0</v>
      </c>
      <c r="AC29" s="496">
        <v>0</v>
      </c>
      <c r="AD29" s="496">
        <v>0</v>
      </c>
      <c r="AE29" s="496">
        <v>0</v>
      </c>
      <c r="AF29" s="496">
        <v>0</v>
      </c>
      <c r="AG29" s="497">
        <v>0</v>
      </c>
      <c r="AH29" s="497">
        <v>0</v>
      </c>
      <c r="AI29" s="497">
        <v>0</v>
      </c>
      <c r="AJ29" s="497">
        <v>0</v>
      </c>
      <c r="AK29" s="497">
        <v>0</v>
      </c>
      <c r="AL29" s="497">
        <v>0</v>
      </c>
      <c r="AM29" s="497">
        <v>0</v>
      </c>
      <c r="AN29" s="497">
        <v>0</v>
      </c>
      <c r="AO29" s="497">
        <v>0</v>
      </c>
      <c r="AP29" s="497">
        <v>0</v>
      </c>
      <c r="AQ29" s="497">
        <v>0</v>
      </c>
      <c r="AR29" s="497">
        <v>0</v>
      </c>
      <c r="AS29" s="497">
        <v>0</v>
      </c>
      <c r="AT29" s="497">
        <v>0</v>
      </c>
      <c r="AU29" s="497">
        <v>0</v>
      </c>
      <c r="AV29" s="497">
        <v>0</v>
      </c>
      <c r="AW29" s="497">
        <v>0</v>
      </c>
      <c r="AX29" s="497">
        <v>0</v>
      </c>
      <c r="AY29" s="497">
        <v>0</v>
      </c>
      <c r="AZ29" s="498">
        <v>0</v>
      </c>
    </row>
    <row r="30" spans="1:52" s="469" customFormat="1">
      <c r="A30" s="485">
        <f>'[4]Allocation Methodology'!A26</f>
        <v>22</v>
      </c>
      <c r="B30" s="486" t="str">
        <f>'[4]Allocation Methodology'!B26</f>
        <v>Every Kilowatt Counts Power Savings Event</v>
      </c>
      <c r="C30" s="486" t="str">
        <f>'[4]Allocation Methodology'!C26</f>
        <v>Consumer</v>
      </c>
      <c r="D30" s="486" t="s">
        <v>17</v>
      </c>
      <c r="E30" s="486">
        <f>'[4]Allocation Methodology'!D26</f>
        <v>2008</v>
      </c>
      <c r="F30" s="487" t="str">
        <f>'[4]Allocation Methodology'!E26</f>
        <v>Final</v>
      </c>
      <c r="G30" s="471" t="b">
        <v>0</v>
      </c>
      <c r="H30" s="488">
        <v>0</v>
      </c>
      <c r="I30" s="489">
        <v>0</v>
      </c>
      <c r="J30" s="489">
        <v>3.2001137256771957E-2</v>
      </c>
      <c r="K30" s="489">
        <v>3.0579226462291307E-2</v>
      </c>
      <c r="L30" s="489">
        <v>3.0579226462291307E-2</v>
      </c>
      <c r="M30" s="489">
        <v>3.0579226462291307E-2</v>
      </c>
      <c r="N30" s="489">
        <v>2.7794435564226144E-2</v>
      </c>
      <c r="O30" s="489">
        <v>2.7794435564226144E-2</v>
      </c>
      <c r="P30" s="489">
        <v>2.1380143290994958E-2</v>
      </c>
      <c r="Q30" s="489">
        <v>1.9213691127003774E-2</v>
      </c>
      <c r="R30" s="489">
        <v>1.4081555003652657E-2</v>
      </c>
      <c r="S30" s="489">
        <v>1.1359573148502024E-2</v>
      </c>
      <c r="T30" s="489">
        <v>1.0012830430589256E-2</v>
      </c>
      <c r="U30" s="489">
        <v>1.0012830430589256E-2</v>
      </c>
      <c r="V30" s="489">
        <v>4.9017613883593171E-3</v>
      </c>
      <c r="W30" s="489">
        <v>4.9017613883593171E-3</v>
      </c>
      <c r="X30" s="489">
        <v>4.9017613883593171E-3</v>
      </c>
      <c r="Y30" s="489">
        <v>4.9017613883593171E-3</v>
      </c>
      <c r="Z30" s="489">
        <v>0</v>
      </c>
      <c r="AA30" s="489">
        <v>0</v>
      </c>
      <c r="AB30" s="489">
        <v>0</v>
      </c>
      <c r="AC30" s="489">
        <v>0</v>
      </c>
      <c r="AD30" s="489">
        <v>0</v>
      </c>
      <c r="AE30" s="489">
        <v>0</v>
      </c>
      <c r="AF30" s="489">
        <v>0</v>
      </c>
      <c r="AG30" s="490">
        <v>0</v>
      </c>
      <c r="AH30" s="490">
        <v>0</v>
      </c>
      <c r="AI30" s="490">
        <v>0</v>
      </c>
      <c r="AJ30" s="490">
        <v>0</v>
      </c>
      <c r="AK30" s="490">
        <v>0</v>
      </c>
      <c r="AL30" s="490">
        <v>0</v>
      </c>
      <c r="AM30" s="490">
        <v>0</v>
      </c>
      <c r="AN30" s="490">
        <v>0</v>
      </c>
      <c r="AO30" s="490">
        <v>0</v>
      </c>
      <c r="AP30" s="490">
        <v>0</v>
      </c>
      <c r="AQ30" s="490">
        <v>0</v>
      </c>
      <c r="AR30" s="490">
        <v>0</v>
      </c>
      <c r="AS30" s="490">
        <v>0</v>
      </c>
      <c r="AT30" s="490">
        <v>0</v>
      </c>
      <c r="AU30" s="490">
        <v>0</v>
      </c>
      <c r="AV30" s="490">
        <v>0</v>
      </c>
      <c r="AW30" s="490">
        <v>0</v>
      </c>
      <c r="AX30" s="490">
        <v>0</v>
      </c>
      <c r="AY30" s="490">
        <v>0</v>
      </c>
      <c r="AZ30" s="491">
        <v>0</v>
      </c>
    </row>
    <row r="31" spans="1:52" s="469" customFormat="1">
      <c r="A31" s="492">
        <f>'[4]Allocation Methodology'!A27</f>
        <v>23</v>
      </c>
      <c r="B31" s="513" t="str">
        <f>'[4]Allocation Methodology'!B27</f>
        <v>peaksaver®</v>
      </c>
      <c r="C31" s="493" t="str">
        <f>'[4]Allocation Methodology'!C27</f>
        <v>Consumer, Business</v>
      </c>
      <c r="D31" s="493" t="s">
        <v>58</v>
      </c>
      <c r="E31" s="493">
        <f>'[4]Allocation Methodology'!D27</f>
        <v>2008</v>
      </c>
      <c r="F31" s="494" t="str">
        <f>'[4]Allocation Methodology'!E27</f>
        <v>Final</v>
      </c>
      <c r="G31" s="471" t="b">
        <v>0</v>
      </c>
      <c r="H31" s="495">
        <v>0</v>
      </c>
      <c r="I31" s="496">
        <v>0</v>
      </c>
      <c r="J31" s="496">
        <v>0</v>
      </c>
      <c r="K31" s="496">
        <v>0</v>
      </c>
      <c r="L31" s="496">
        <v>0</v>
      </c>
      <c r="M31" s="496">
        <v>0</v>
      </c>
      <c r="N31" s="496">
        <v>0</v>
      </c>
      <c r="O31" s="496">
        <v>0</v>
      </c>
      <c r="P31" s="496">
        <v>0</v>
      </c>
      <c r="Q31" s="496">
        <v>0</v>
      </c>
      <c r="R31" s="496">
        <v>0</v>
      </c>
      <c r="S31" s="496">
        <v>0</v>
      </c>
      <c r="T31" s="496">
        <v>0</v>
      </c>
      <c r="U31" s="496">
        <v>0</v>
      </c>
      <c r="V31" s="496">
        <v>0</v>
      </c>
      <c r="W31" s="496">
        <v>0</v>
      </c>
      <c r="X31" s="496">
        <v>0</v>
      </c>
      <c r="Y31" s="496">
        <v>0</v>
      </c>
      <c r="Z31" s="496">
        <v>0</v>
      </c>
      <c r="AA31" s="496">
        <v>0</v>
      </c>
      <c r="AB31" s="496">
        <v>0</v>
      </c>
      <c r="AC31" s="496">
        <v>0</v>
      </c>
      <c r="AD31" s="496">
        <v>0</v>
      </c>
      <c r="AE31" s="496">
        <v>0</v>
      </c>
      <c r="AF31" s="496">
        <v>0</v>
      </c>
      <c r="AG31" s="497">
        <v>0</v>
      </c>
      <c r="AH31" s="497">
        <v>0</v>
      </c>
      <c r="AI31" s="497">
        <v>0</v>
      </c>
      <c r="AJ31" s="497">
        <v>0</v>
      </c>
      <c r="AK31" s="497">
        <v>0</v>
      </c>
      <c r="AL31" s="497">
        <v>0</v>
      </c>
      <c r="AM31" s="497">
        <v>0</v>
      </c>
      <c r="AN31" s="497">
        <v>0</v>
      </c>
      <c r="AO31" s="497">
        <v>0</v>
      </c>
      <c r="AP31" s="497">
        <v>0</v>
      </c>
      <c r="AQ31" s="497">
        <v>0</v>
      </c>
      <c r="AR31" s="497">
        <v>0</v>
      </c>
      <c r="AS31" s="497">
        <v>0</v>
      </c>
      <c r="AT31" s="497">
        <v>0</v>
      </c>
      <c r="AU31" s="497">
        <v>0</v>
      </c>
      <c r="AV31" s="497">
        <v>0</v>
      </c>
      <c r="AW31" s="497">
        <v>0</v>
      </c>
      <c r="AX31" s="497">
        <v>0</v>
      </c>
      <c r="AY31" s="497">
        <v>0</v>
      </c>
      <c r="AZ31" s="498">
        <v>0</v>
      </c>
    </row>
    <row r="32" spans="1:52" s="469" customFormat="1">
      <c r="A32" s="485">
        <f>'[4]Allocation Methodology'!A28</f>
        <v>24</v>
      </c>
      <c r="B32" s="486" t="str">
        <f>'[4]Allocation Methodology'!B28</f>
        <v>Summer Sweepstakes</v>
      </c>
      <c r="C32" s="486" t="str">
        <f>'[4]Allocation Methodology'!C28</f>
        <v>Consumer</v>
      </c>
      <c r="D32" s="486" t="s">
        <v>17</v>
      </c>
      <c r="E32" s="486">
        <f>'[4]Allocation Methodology'!D28</f>
        <v>2008</v>
      </c>
      <c r="F32" s="487" t="str">
        <f>'[4]Allocation Methodology'!E28</f>
        <v>Final</v>
      </c>
      <c r="G32" s="471" t="b">
        <v>0</v>
      </c>
      <c r="H32" s="488">
        <v>0</v>
      </c>
      <c r="I32" s="489">
        <v>0</v>
      </c>
      <c r="J32" s="489">
        <v>6.6546992181266945E-2</v>
      </c>
      <c r="K32" s="489">
        <v>3.8161664120042189E-2</v>
      </c>
      <c r="L32" s="489">
        <v>3.8161664120042189E-2</v>
      </c>
      <c r="M32" s="489">
        <v>3.8161664120042189E-2</v>
      </c>
      <c r="N32" s="489">
        <v>3.8161664120042189E-2</v>
      </c>
      <c r="O32" s="489">
        <v>3.8161664120042189E-2</v>
      </c>
      <c r="P32" s="489">
        <v>3.8161664120042189E-2</v>
      </c>
      <c r="Q32" s="489">
        <v>3.8161664120042189E-2</v>
      </c>
      <c r="R32" s="489">
        <v>3.6833533179924688E-2</v>
      </c>
      <c r="S32" s="489">
        <v>3.6833533179924688E-2</v>
      </c>
      <c r="T32" s="489">
        <v>3.6443636323965113E-2</v>
      </c>
      <c r="U32" s="489">
        <v>3.6443636323965113E-2</v>
      </c>
      <c r="V32" s="489">
        <v>3.6443636323965113E-2</v>
      </c>
      <c r="W32" s="489">
        <v>3.5980238530188807E-2</v>
      </c>
      <c r="X32" s="489">
        <v>3.580621443590911E-2</v>
      </c>
      <c r="Y32" s="489">
        <v>3.4039082115023371E-2</v>
      </c>
      <c r="Z32" s="489">
        <v>3.4039082115023371E-2</v>
      </c>
      <c r="AA32" s="489">
        <v>3.4039082115023371E-2</v>
      </c>
      <c r="AB32" s="489">
        <v>3.4039082115023371E-2</v>
      </c>
      <c r="AC32" s="489">
        <v>3.4039082115023371E-2</v>
      </c>
      <c r="AD32" s="489">
        <v>0</v>
      </c>
      <c r="AE32" s="489">
        <v>0</v>
      </c>
      <c r="AF32" s="489">
        <v>0</v>
      </c>
      <c r="AG32" s="490">
        <v>0</v>
      </c>
      <c r="AH32" s="490">
        <v>0</v>
      </c>
      <c r="AI32" s="490">
        <v>0</v>
      </c>
      <c r="AJ32" s="490">
        <v>0</v>
      </c>
      <c r="AK32" s="490">
        <v>0</v>
      </c>
      <c r="AL32" s="490">
        <v>0</v>
      </c>
      <c r="AM32" s="490">
        <v>0</v>
      </c>
      <c r="AN32" s="490">
        <v>0</v>
      </c>
      <c r="AO32" s="490">
        <v>0</v>
      </c>
      <c r="AP32" s="490">
        <v>0</v>
      </c>
      <c r="AQ32" s="490">
        <v>0</v>
      </c>
      <c r="AR32" s="490">
        <v>0</v>
      </c>
      <c r="AS32" s="490">
        <v>0</v>
      </c>
      <c r="AT32" s="490">
        <v>0</v>
      </c>
      <c r="AU32" s="490">
        <v>0</v>
      </c>
      <c r="AV32" s="490">
        <v>0</v>
      </c>
      <c r="AW32" s="490">
        <v>0</v>
      </c>
      <c r="AX32" s="490">
        <v>0</v>
      </c>
      <c r="AY32" s="490">
        <v>0</v>
      </c>
      <c r="AZ32" s="491">
        <v>0</v>
      </c>
    </row>
    <row r="33" spans="1:52" s="469" customFormat="1">
      <c r="A33" s="492">
        <f>'[4]Allocation Methodology'!A29</f>
        <v>25</v>
      </c>
      <c r="B33" s="493" t="str">
        <f>'[4]Allocation Methodology'!B29</f>
        <v>Electricity Retrofit Incentive</v>
      </c>
      <c r="C33" s="493" t="str">
        <f>'[4]Allocation Methodology'!C29</f>
        <v>Consumer, Business</v>
      </c>
      <c r="D33" s="493" t="s">
        <v>480</v>
      </c>
      <c r="E33" s="493">
        <f>'[4]Allocation Methodology'!D29</f>
        <v>2008</v>
      </c>
      <c r="F33" s="494" t="str">
        <f>'[4]Allocation Methodology'!E29</f>
        <v>Final</v>
      </c>
      <c r="G33" s="471" t="b">
        <v>0</v>
      </c>
      <c r="H33" s="495">
        <v>0</v>
      </c>
      <c r="I33" s="496">
        <v>0</v>
      </c>
      <c r="J33" s="496">
        <v>0.17699903062552166</v>
      </c>
      <c r="K33" s="496">
        <v>0.17700302476915533</v>
      </c>
      <c r="L33" s="496">
        <v>0.17700302476915533</v>
      </c>
      <c r="M33" s="496">
        <v>0.17700302476915533</v>
      </c>
      <c r="N33" s="496">
        <v>0.17700302476915533</v>
      </c>
      <c r="O33" s="496">
        <v>0.17700302476915533</v>
      </c>
      <c r="P33" s="496">
        <v>0.17700302476915533</v>
      </c>
      <c r="Q33" s="496">
        <v>0.17700302476915533</v>
      </c>
      <c r="R33" s="496">
        <v>0.17436836293101649</v>
      </c>
      <c r="S33" s="496">
        <v>0.17436836293101649</v>
      </c>
      <c r="T33" s="496">
        <v>0.17436836293101649</v>
      </c>
      <c r="U33" s="496">
        <v>0.17436836293101649</v>
      </c>
      <c r="V33" s="496">
        <v>0.17436836293101649</v>
      </c>
      <c r="W33" s="496">
        <v>0.17436836293101649</v>
      </c>
      <c r="X33" s="496">
        <v>0.17436836293101649</v>
      </c>
      <c r="Y33" s="496">
        <v>0.16913731204308596</v>
      </c>
      <c r="Z33" s="496">
        <v>0</v>
      </c>
      <c r="AA33" s="496">
        <v>0</v>
      </c>
      <c r="AB33" s="496">
        <v>0</v>
      </c>
      <c r="AC33" s="496">
        <v>0</v>
      </c>
      <c r="AD33" s="496">
        <v>0</v>
      </c>
      <c r="AE33" s="496">
        <v>0</v>
      </c>
      <c r="AF33" s="496">
        <v>0</v>
      </c>
      <c r="AG33" s="497">
        <v>0</v>
      </c>
      <c r="AH33" s="497">
        <v>0</v>
      </c>
      <c r="AI33" s="497">
        <v>0</v>
      </c>
      <c r="AJ33" s="497">
        <v>0</v>
      </c>
      <c r="AK33" s="497">
        <v>0</v>
      </c>
      <c r="AL33" s="497">
        <v>0</v>
      </c>
      <c r="AM33" s="497">
        <v>0</v>
      </c>
      <c r="AN33" s="497">
        <v>0</v>
      </c>
      <c r="AO33" s="497">
        <v>0</v>
      </c>
      <c r="AP33" s="497">
        <v>0</v>
      </c>
      <c r="AQ33" s="497">
        <v>0</v>
      </c>
      <c r="AR33" s="497">
        <v>0</v>
      </c>
      <c r="AS33" s="497">
        <v>0</v>
      </c>
      <c r="AT33" s="497">
        <v>0</v>
      </c>
      <c r="AU33" s="497">
        <v>0</v>
      </c>
      <c r="AV33" s="497">
        <v>0</v>
      </c>
      <c r="AW33" s="497">
        <v>0</v>
      </c>
      <c r="AX33" s="497">
        <v>0</v>
      </c>
      <c r="AY33" s="497">
        <v>0</v>
      </c>
      <c r="AZ33" s="498">
        <v>0</v>
      </c>
    </row>
    <row r="34" spans="1:52" s="469" customFormat="1">
      <c r="A34" s="485">
        <f>'[4]Allocation Methodology'!A30</f>
        <v>26</v>
      </c>
      <c r="B34" s="486" t="str">
        <f>'[4]Allocation Methodology'!B30</f>
        <v>Toronto Comprehensive</v>
      </c>
      <c r="C34" s="486" t="str">
        <f>'[4]Allocation Methodology'!C30</f>
        <v>Consumer, Consumer Low-Income, Business</v>
      </c>
      <c r="D34" s="486" t="s">
        <v>58</v>
      </c>
      <c r="E34" s="486">
        <f>'[4]Allocation Methodology'!D30</f>
        <v>2008</v>
      </c>
      <c r="F34" s="487" t="str">
        <f>'[4]Allocation Methodology'!E30</f>
        <v>Final</v>
      </c>
      <c r="G34" s="471" t="b">
        <v>0</v>
      </c>
      <c r="H34" s="488">
        <v>0</v>
      </c>
      <c r="I34" s="489">
        <v>0</v>
      </c>
      <c r="J34" s="489">
        <v>0</v>
      </c>
      <c r="K34" s="489">
        <v>0</v>
      </c>
      <c r="L34" s="489">
        <v>0</v>
      </c>
      <c r="M34" s="489">
        <v>0</v>
      </c>
      <c r="N34" s="489">
        <v>0</v>
      </c>
      <c r="O34" s="489">
        <v>0</v>
      </c>
      <c r="P34" s="489">
        <v>0</v>
      </c>
      <c r="Q34" s="489">
        <v>0</v>
      </c>
      <c r="R34" s="489">
        <v>0</v>
      </c>
      <c r="S34" s="489">
        <v>0</v>
      </c>
      <c r="T34" s="489">
        <v>0</v>
      </c>
      <c r="U34" s="489">
        <v>0</v>
      </c>
      <c r="V34" s="489">
        <v>0</v>
      </c>
      <c r="W34" s="489">
        <v>0</v>
      </c>
      <c r="X34" s="489">
        <v>0</v>
      </c>
      <c r="Y34" s="489">
        <v>0</v>
      </c>
      <c r="Z34" s="489">
        <v>0</v>
      </c>
      <c r="AA34" s="489">
        <v>0</v>
      </c>
      <c r="AB34" s="489">
        <v>0</v>
      </c>
      <c r="AC34" s="489">
        <v>0</v>
      </c>
      <c r="AD34" s="489">
        <v>0</v>
      </c>
      <c r="AE34" s="489">
        <v>0</v>
      </c>
      <c r="AF34" s="489">
        <v>0</v>
      </c>
      <c r="AG34" s="490">
        <v>0</v>
      </c>
      <c r="AH34" s="490">
        <v>0</v>
      </c>
      <c r="AI34" s="490">
        <v>0</v>
      </c>
      <c r="AJ34" s="490">
        <v>0</v>
      </c>
      <c r="AK34" s="490">
        <v>0</v>
      </c>
      <c r="AL34" s="490">
        <v>0</v>
      </c>
      <c r="AM34" s="490">
        <v>0</v>
      </c>
      <c r="AN34" s="490">
        <v>0</v>
      </c>
      <c r="AO34" s="490">
        <v>0</v>
      </c>
      <c r="AP34" s="490">
        <v>0</v>
      </c>
      <c r="AQ34" s="490">
        <v>0</v>
      </c>
      <c r="AR34" s="490">
        <v>0</v>
      </c>
      <c r="AS34" s="490">
        <v>0</v>
      </c>
      <c r="AT34" s="490">
        <v>0</v>
      </c>
      <c r="AU34" s="490">
        <v>0</v>
      </c>
      <c r="AV34" s="490">
        <v>0</v>
      </c>
      <c r="AW34" s="490">
        <v>0</v>
      </c>
      <c r="AX34" s="490">
        <v>0</v>
      </c>
      <c r="AY34" s="490">
        <v>0</v>
      </c>
      <c r="AZ34" s="491">
        <v>0</v>
      </c>
    </row>
    <row r="35" spans="1:52" s="469" customFormat="1">
      <c r="A35" s="492">
        <f>'[4]Allocation Methodology'!A31</f>
        <v>27</v>
      </c>
      <c r="B35" s="493" t="str">
        <f>'[4]Allocation Methodology'!B31</f>
        <v>High Performance New Construction</v>
      </c>
      <c r="C35" s="493" t="str">
        <f>'[4]Allocation Methodology'!C31</f>
        <v>Business</v>
      </c>
      <c r="D35" s="493" t="s">
        <v>480</v>
      </c>
      <c r="E35" s="493">
        <f>'[4]Allocation Methodology'!D31</f>
        <v>2008</v>
      </c>
      <c r="F35" s="494" t="str">
        <f>'[4]Allocation Methodology'!E31</f>
        <v>Final</v>
      </c>
      <c r="G35" s="471" t="b">
        <v>0</v>
      </c>
      <c r="H35" s="495">
        <v>0</v>
      </c>
      <c r="I35" s="496">
        <v>0</v>
      </c>
      <c r="J35" s="496">
        <v>2.2487549480987089E-3</v>
      </c>
      <c r="K35" s="496">
        <v>2.2487549480987089E-3</v>
      </c>
      <c r="L35" s="496">
        <v>2.2487549480987089E-3</v>
      </c>
      <c r="M35" s="496">
        <v>2.2487549480987089E-3</v>
      </c>
      <c r="N35" s="496">
        <v>2.2487549480987089E-3</v>
      </c>
      <c r="O35" s="496">
        <v>2.2487549480987089E-3</v>
      </c>
      <c r="P35" s="496">
        <v>2.2487549480987089E-3</v>
      </c>
      <c r="Q35" s="496">
        <v>2.2487549480987089E-3</v>
      </c>
      <c r="R35" s="496">
        <v>2.2487549480987089E-3</v>
      </c>
      <c r="S35" s="496">
        <v>2.2487549480987089E-3</v>
      </c>
      <c r="T35" s="496">
        <v>2.2487549480987089E-3</v>
      </c>
      <c r="U35" s="496">
        <v>2.2487549480987089E-3</v>
      </c>
      <c r="V35" s="496">
        <v>2.2487549480987089E-3</v>
      </c>
      <c r="W35" s="496">
        <v>2.2487549480987089E-3</v>
      </c>
      <c r="X35" s="496">
        <v>0</v>
      </c>
      <c r="Y35" s="496">
        <v>0</v>
      </c>
      <c r="Z35" s="496">
        <v>0</v>
      </c>
      <c r="AA35" s="496">
        <v>0</v>
      </c>
      <c r="AB35" s="496">
        <v>0</v>
      </c>
      <c r="AC35" s="496">
        <v>0</v>
      </c>
      <c r="AD35" s="496">
        <v>0</v>
      </c>
      <c r="AE35" s="496">
        <v>0</v>
      </c>
      <c r="AF35" s="496">
        <v>0</v>
      </c>
      <c r="AG35" s="497">
        <v>0</v>
      </c>
      <c r="AH35" s="497">
        <v>0</v>
      </c>
      <c r="AI35" s="497">
        <v>0</v>
      </c>
      <c r="AJ35" s="497">
        <v>0</v>
      </c>
      <c r="AK35" s="497">
        <v>0</v>
      </c>
      <c r="AL35" s="497">
        <v>0</v>
      </c>
      <c r="AM35" s="497">
        <v>0</v>
      </c>
      <c r="AN35" s="497">
        <v>0</v>
      </c>
      <c r="AO35" s="497">
        <v>0</v>
      </c>
      <c r="AP35" s="497">
        <v>0</v>
      </c>
      <c r="AQ35" s="497">
        <v>0</v>
      </c>
      <c r="AR35" s="497">
        <v>0</v>
      </c>
      <c r="AS35" s="497">
        <v>0</v>
      </c>
      <c r="AT35" s="497">
        <v>0</v>
      </c>
      <c r="AU35" s="497">
        <v>0</v>
      </c>
      <c r="AV35" s="497">
        <v>0</v>
      </c>
      <c r="AW35" s="497">
        <v>0</v>
      </c>
      <c r="AX35" s="497">
        <v>0</v>
      </c>
      <c r="AY35" s="497">
        <v>0</v>
      </c>
      <c r="AZ35" s="498">
        <v>0</v>
      </c>
    </row>
    <row r="36" spans="1:52" s="469" customFormat="1">
      <c r="A36" s="485">
        <f>'[4]Allocation Methodology'!A32</f>
        <v>28</v>
      </c>
      <c r="B36" s="486" t="str">
        <f>'[4]Allocation Methodology'!B32</f>
        <v>Power Savings Blitz</v>
      </c>
      <c r="C36" s="486" t="str">
        <f>'[4]Allocation Methodology'!C32</f>
        <v>Business</v>
      </c>
      <c r="D36" s="486" t="s">
        <v>486</v>
      </c>
      <c r="E36" s="486">
        <f>'[4]Allocation Methodology'!D32</f>
        <v>2008</v>
      </c>
      <c r="F36" s="487" t="str">
        <f>'[4]Allocation Methodology'!E32</f>
        <v>Final</v>
      </c>
      <c r="G36" s="471" t="b">
        <v>0</v>
      </c>
      <c r="H36" s="488">
        <v>0</v>
      </c>
      <c r="I36" s="489">
        <v>0</v>
      </c>
      <c r="J36" s="489">
        <v>0</v>
      </c>
      <c r="K36" s="489">
        <v>0</v>
      </c>
      <c r="L36" s="489">
        <v>0</v>
      </c>
      <c r="M36" s="489">
        <v>0</v>
      </c>
      <c r="N36" s="489">
        <v>0</v>
      </c>
      <c r="O36" s="489">
        <v>0</v>
      </c>
      <c r="P36" s="489">
        <v>0</v>
      </c>
      <c r="Q36" s="489">
        <v>0</v>
      </c>
      <c r="R36" s="489">
        <v>0</v>
      </c>
      <c r="S36" s="489">
        <v>0</v>
      </c>
      <c r="T36" s="489">
        <v>0</v>
      </c>
      <c r="U36" s="489">
        <v>0</v>
      </c>
      <c r="V36" s="489">
        <v>0</v>
      </c>
      <c r="W36" s="489">
        <v>0</v>
      </c>
      <c r="X36" s="489">
        <v>0</v>
      </c>
      <c r="Y36" s="489">
        <v>0</v>
      </c>
      <c r="Z36" s="489">
        <v>0</v>
      </c>
      <c r="AA36" s="489">
        <v>0</v>
      </c>
      <c r="AB36" s="489">
        <v>0</v>
      </c>
      <c r="AC36" s="489">
        <v>0</v>
      </c>
      <c r="AD36" s="489">
        <v>0</v>
      </c>
      <c r="AE36" s="489">
        <v>0</v>
      </c>
      <c r="AF36" s="489">
        <v>0</v>
      </c>
      <c r="AG36" s="490">
        <v>0</v>
      </c>
      <c r="AH36" s="490">
        <v>0</v>
      </c>
      <c r="AI36" s="490">
        <v>0</v>
      </c>
      <c r="AJ36" s="490">
        <v>0</v>
      </c>
      <c r="AK36" s="490">
        <v>0</v>
      </c>
      <c r="AL36" s="490">
        <v>0</v>
      </c>
      <c r="AM36" s="490">
        <v>0</v>
      </c>
      <c r="AN36" s="490">
        <v>0</v>
      </c>
      <c r="AO36" s="490">
        <v>0</v>
      </c>
      <c r="AP36" s="490">
        <v>0</v>
      </c>
      <c r="AQ36" s="490">
        <v>0</v>
      </c>
      <c r="AR36" s="490">
        <v>0</v>
      </c>
      <c r="AS36" s="490">
        <v>0</v>
      </c>
      <c r="AT36" s="490">
        <v>0</v>
      </c>
      <c r="AU36" s="490">
        <v>0</v>
      </c>
      <c r="AV36" s="490">
        <v>0</v>
      </c>
      <c r="AW36" s="490">
        <v>0</v>
      </c>
      <c r="AX36" s="490">
        <v>0</v>
      </c>
      <c r="AY36" s="490">
        <v>0</v>
      </c>
      <c r="AZ36" s="491">
        <v>0</v>
      </c>
    </row>
    <row r="37" spans="1:52" s="469" customFormat="1">
      <c r="A37" s="492">
        <f>'[4]Allocation Methodology'!A33</f>
        <v>29</v>
      </c>
      <c r="B37" s="493" t="str">
        <f>'[4]Allocation Methodology'!B33</f>
        <v>Demand Response 1</v>
      </c>
      <c r="C37" s="493" t="str">
        <f>'[4]Allocation Methodology'!C33</f>
        <v>Business, Industrial</v>
      </c>
      <c r="D37" s="493" t="s">
        <v>480</v>
      </c>
      <c r="E37" s="493">
        <f>'[4]Allocation Methodology'!D33</f>
        <v>2008</v>
      </c>
      <c r="F37" s="494" t="str">
        <f>'[4]Allocation Methodology'!E33</f>
        <v>Final</v>
      </c>
      <c r="G37" s="471" t="b">
        <v>0</v>
      </c>
      <c r="H37" s="495">
        <v>0</v>
      </c>
      <c r="I37" s="496">
        <v>0</v>
      </c>
      <c r="J37" s="496">
        <v>2.9071771689317281</v>
      </c>
      <c r="K37" s="496">
        <v>0</v>
      </c>
      <c r="L37" s="496">
        <v>0</v>
      </c>
      <c r="M37" s="496">
        <v>0</v>
      </c>
      <c r="N37" s="496">
        <v>0</v>
      </c>
      <c r="O37" s="496">
        <v>0</v>
      </c>
      <c r="P37" s="496">
        <v>0</v>
      </c>
      <c r="Q37" s="496">
        <v>0</v>
      </c>
      <c r="R37" s="496">
        <v>0</v>
      </c>
      <c r="S37" s="496">
        <v>0</v>
      </c>
      <c r="T37" s="496">
        <v>0</v>
      </c>
      <c r="U37" s="496">
        <v>0</v>
      </c>
      <c r="V37" s="496">
        <v>0</v>
      </c>
      <c r="W37" s="496">
        <v>0</v>
      </c>
      <c r="X37" s="496">
        <v>0</v>
      </c>
      <c r="Y37" s="496">
        <v>0</v>
      </c>
      <c r="Z37" s="496">
        <v>0</v>
      </c>
      <c r="AA37" s="496">
        <v>0</v>
      </c>
      <c r="AB37" s="496">
        <v>0</v>
      </c>
      <c r="AC37" s="496">
        <v>0</v>
      </c>
      <c r="AD37" s="496">
        <v>0</v>
      </c>
      <c r="AE37" s="496">
        <v>0</v>
      </c>
      <c r="AF37" s="496">
        <v>0</v>
      </c>
      <c r="AG37" s="497">
        <v>0</v>
      </c>
      <c r="AH37" s="497">
        <v>0</v>
      </c>
      <c r="AI37" s="497">
        <v>0</v>
      </c>
      <c r="AJ37" s="497">
        <v>0</v>
      </c>
      <c r="AK37" s="497">
        <v>0</v>
      </c>
      <c r="AL37" s="497">
        <v>0</v>
      </c>
      <c r="AM37" s="497">
        <v>0</v>
      </c>
      <c r="AN37" s="497">
        <v>0</v>
      </c>
      <c r="AO37" s="497">
        <v>0</v>
      </c>
      <c r="AP37" s="497">
        <v>0</v>
      </c>
      <c r="AQ37" s="497">
        <v>0</v>
      </c>
      <c r="AR37" s="497">
        <v>0</v>
      </c>
      <c r="AS37" s="497">
        <v>0</v>
      </c>
      <c r="AT37" s="497">
        <v>0</v>
      </c>
      <c r="AU37" s="497">
        <v>0</v>
      </c>
      <c r="AV37" s="497">
        <v>0</v>
      </c>
      <c r="AW37" s="497">
        <v>0</v>
      </c>
      <c r="AX37" s="497">
        <v>0</v>
      </c>
      <c r="AY37" s="497">
        <v>0</v>
      </c>
      <c r="AZ37" s="498">
        <v>0</v>
      </c>
    </row>
    <row r="38" spans="1:52" s="469" customFormat="1">
      <c r="A38" s="485">
        <f>'[4]Allocation Methodology'!A34</f>
        <v>30</v>
      </c>
      <c r="B38" s="486" t="str">
        <f>'[4]Allocation Methodology'!B34</f>
        <v>Demand Response 3</v>
      </c>
      <c r="C38" s="486" t="str">
        <f>'[4]Allocation Methodology'!C34</f>
        <v>Business, Industrial</v>
      </c>
      <c r="D38" s="486" t="s">
        <v>480</v>
      </c>
      <c r="E38" s="486">
        <f>'[4]Allocation Methodology'!D34</f>
        <v>2008</v>
      </c>
      <c r="F38" s="487" t="str">
        <f>'[4]Allocation Methodology'!E34</f>
        <v>Final</v>
      </c>
      <c r="G38" s="471" t="b">
        <v>0</v>
      </c>
      <c r="H38" s="488">
        <v>0</v>
      </c>
      <c r="I38" s="489">
        <v>0</v>
      </c>
      <c r="J38" s="489">
        <v>0.56218873702467731</v>
      </c>
      <c r="K38" s="489">
        <v>0</v>
      </c>
      <c r="L38" s="489">
        <v>0</v>
      </c>
      <c r="M38" s="489">
        <v>0</v>
      </c>
      <c r="N38" s="489">
        <v>0</v>
      </c>
      <c r="O38" s="489">
        <v>0</v>
      </c>
      <c r="P38" s="489">
        <v>0</v>
      </c>
      <c r="Q38" s="489">
        <v>0</v>
      </c>
      <c r="R38" s="489">
        <v>0</v>
      </c>
      <c r="S38" s="489">
        <v>0</v>
      </c>
      <c r="T38" s="489">
        <v>0</v>
      </c>
      <c r="U38" s="489">
        <v>0</v>
      </c>
      <c r="V38" s="489">
        <v>0</v>
      </c>
      <c r="W38" s="489">
        <v>0</v>
      </c>
      <c r="X38" s="489">
        <v>0</v>
      </c>
      <c r="Y38" s="489">
        <v>0</v>
      </c>
      <c r="Z38" s="489">
        <v>0</v>
      </c>
      <c r="AA38" s="489">
        <v>0</v>
      </c>
      <c r="AB38" s="489">
        <v>0</v>
      </c>
      <c r="AC38" s="489">
        <v>0</v>
      </c>
      <c r="AD38" s="489">
        <v>0</v>
      </c>
      <c r="AE38" s="489">
        <v>0</v>
      </c>
      <c r="AF38" s="489">
        <v>0</v>
      </c>
      <c r="AG38" s="490">
        <v>0</v>
      </c>
      <c r="AH38" s="490">
        <v>0</v>
      </c>
      <c r="AI38" s="490">
        <v>0</v>
      </c>
      <c r="AJ38" s="490">
        <v>0</v>
      </c>
      <c r="AK38" s="490">
        <v>0</v>
      </c>
      <c r="AL38" s="490">
        <v>0</v>
      </c>
      <c r="AM38" s="490">
        <v>0</v>
      </c>
      <c r="AN38" s="490">
        <v>0</v>
      </c>
      <c r="AO38" s="490">
        <v>0</v>
      </c>
      <c r="AP38" s="490">
        <v>0</v>
      </c>
      <c r="AQ38" s="490">
        <v>0</v>
      </c>
      <c r="AR38" s="490">
        <v>0</v>
      </c>
      <c r="AS38" s="490">
        <v>0</v>
      </c>
      <c r="AT38" s="490">
        <v>0</v>
      </c>
      <c r="AU38" s="490">
        <v>0</v>
      </c>
      <c r="AV38" s="490">
        <v>0</v>
      </c>
      <c r="AW38" s="490">
        <v>0</v>
      </c>
      <c r="AX38" s="490">
        <v>0</v>
      </c>
      <c r="AY38" s="490">
        <v>0</v>
      </c>
      <c r="AZ38" s="491">
        <v>0</v>
      </c>
    </row>
    <row r="39" spans="1:52" s="469" customFormat="1">
      <c r="A39" s="492">
        <f>'[4]Allocation Methodology'!A35</f>
        <v>31</v>
      </c>
      <c r="B39" s="493" t="str">
        <f>'[4]Allocation Methodology'!B35</f>
        <v>Loblaw &amp; York Region Demand Response</v>
      </c>
      <c r="C39" s="493" t="str">
        <f>'[4]Allocation Methodology'!C35</f>
        <v>Business, Industrial</v>
      </c>
      <c r="D39" s="493" t="s">
        <v>480</v>
      </c>
      <c r="E39" s="493">
        <f>'[4]Allocation Methodology'!D35</f>
        <v>2008</v>
      </c>
      <c r="F39" s="494" t="str">
        <f>'[4]Allocation Methodology'!E35</f>
        <v>Final</v>
      </c>
      <c r="G39" s="471" t="b">
        <v>0</v>
      </c>
      <c r="H39" s="495">
        <v>0</v>
      </c>
      <c r="I39" s="496">
        <v>0</v>
      </c>
      <c r="J39" s="496">
        <v>0.19319450598224494</v>
      </c>
      <c r="K39" s="496">
        <v>0</v>
      </c>
      <c r="L39" s="496">
        <v>0</v>
      </c>
      <c r="M39" s="496">
        <v>0</v>
      </c>
      <c r="N39" s="496">
        <v>0</v>
      </c>
      <c r="O39" s="496">
        <v>0</v>
      </c>
      <c r="P39" s="496">
        <v>0</v>
      </c>
      <c r="Q39" s="496">
        <v>0</v>
      </c>
      <c r="R39" s="496">
        <v>0</v>
      </c>
      <c r="S39" s="496">
        <v>0</v>
      </c>
      <c r="T39" s="496">
        <v>0</v>
      </c>
      <c r="U39" s="496">
        <v>0</v>
      </c>
      <c r="V39" s="496">
        <v>0</v>
      </c>
      <c r="W39" s="496">
        <v>0</v>
      </c>
      <c r="X39" s="496">
        <v>0</v>
      </c>
      <c r="Y39" s="496">
        <v>0</v>
      </c>
      <c r="Z39" s="496">
        <v>0</v>
      </c>
      <c r="AA39" s="496">
        <v>0</v>
      </c>
      <c r="AB39" s="496">
        <v>0</v>
      </c>
      <c r="AC39" s="496">
        <v>0</v>
      </c>
      <c r="AD39" s="496">
        <v>0</v>
      </c>
      <c r="AE39" s="496">
        <v>0</v>
      </c>
      <c r="AF39" s="496">
        <v>0</v>
      </c>
      <c r="AG39" s="497">
        <v>0</v>
      </c>
      <c r="AH39" s="497">
        <v>0</v>
      </c>
      <c r="AI39" s="497">
        <v>0</v>
      </c>
      <c r="AJ39" s="497">
        <v>0</v>
      </c>
      <c r="AK39" s="497">
        <v>0</v>
      </c>
      <c r="AL39" s="497">
        <v>0</v>
      </c>
      <c r="AM39" s="497">
        <v>0</v>
      </c>
      <c r="AN39" s="497">
        <v>0</v>
      </c>
      <c r="AO39" s="497">
        <v>0</v>
      </c>
      <c r="AP39" s="497">
        <v>0</v>
      </c>
      <c r="AQ39" s="497">
        <v>0</v>
      </c>
      <c r="AR39" s="497">
        <v>0</v>
      </c>
      <c r="AS39" s="497">
        <v>0</v>
      </c>
      <c r="AT39" s="497">
        <v>0</v>
      </c>
      <c r="AU39" s="497">
        <v>0</v>
      </c>
      <c r="AV39" s="497">
        <v>0</v>
      </c>
      <c r="AW39" s="497">
        <v>0</v>
      </c>
      <c r="AX39" s="497">
        <v>0</v>
      </c>
      <c r="AY39" s="497">
        <v>0</v>
      </c>
      <c r="AZ39" s="498">
        <v>0</v>
      </c>
    </row>
    <row r="40" spans="1:52" s="469" customFormat="1">
      <c r="A40" s="485">
        <f>'[4]Allocation Methodology'!A36</f>
        <v>32</v>
      </c>
      <c r="B40" s="486" t="str">
        <f>'[4]Allocation Methodology'!B36</f>
        <v>Renewable Energy Standard Offer</v>
      </c>
      <c r="C40" s="486" t="str">
        <f>'[4]Allocation Methodology'!C36</f>
        <v>Consumer, Business</v>
      </c>
      <c r="D40" s="486" t="s">
        <v>17</v>
      </c>
      <c r="E40" s="486">
        <f>'[4]Allocation Methodology'!D36</f>
        <v>2008</v>
      </c>
      <c r="F40" s="487" t="str">
        <f>'[4]Allocation Methodology'!E36</f>
        <v>Final</v>
      </c>
      <c r="G40" s="471" t="b">
        <v>0</v>
      </c>
      <c r="H40" s="488">
        <v>0</v>
      </c>
      <c r="I40" s="489">
        <v>0</v>
      </c>
      <c r="J40" s="489">
        <v>1.2230000000000001E-2</v>
      </c>
      <c r="K40" s="489">
        <v>1.2230000000000001E-2</v>
      </c>
      <c r="L40" s="489">
        <v>1.2230000000000001E-2</v>
      </c>
      <c r="M40" s="489">
        <v>1.2230000000000001E-2</v>
      </c>
      <c r="N40" s="489">
        <v>1.2230000000000001E-2</v>
      </c>
      <c r="O40" s="489">
        <v>1.2230000000000001E-2</v>
      </c>
      <c r="P40" s="489">
        <v>1.2230000000000001E-2</v>
      </c>
      <c r="Q40" s="489">
        <v>1.2230000000000001E-2</v>
      </c>
      <c r="R40" s="489">
        <v>1.2230000000000001E-2</v>
      </c>
      <c r="S40" s="489">
        <v>1.2230000000000001E-2</v>
      </c>
      <c r="T40" s="489">
        <v>1.2230000000000001E-2</v>
      </c>
      <c r="U40" s="489">
        <v>1.2230000000000001E-2</v>
      </c>
      <c r="V40" s="489">
        <v>1.2230000000000001E-2</v>
      </c>
      <c r="W40" s="489">
        <v>1.2230000000000001E-2</v>
      </c>
      <c r="X40" s="489">
        <v>1.2230000000000001E-2</v>
      </c>
      <c r="Y40" s="489">
        <v>1.2230000000000001E-2</v>
      </c>
      <c r="Z40" s="489">
        <v>1.2230000000000001E-2</v>
      </c>
      <c r="AA40" s="489">
        <v>1.2230000000000001E-2</v>
      </c>
      <c r="AB40" s="489">
        <v>1.2230000000000001E-2</v>
      </c>
      <c r="AC40" s="489">
        <v>1.2230000000000001E-2</v>
      </c>
      <c r="AD40" s="489">
        <v>0</v>
      </c>
      <c r="AE40" s="489">
        <v>0</v>
      </c>
      <c r="AF40" s="489">
        <v>0</v>
      </c>
      <c r="AG40" s="490">
        <v>0</v>
      </c>
      <c r="AH40" s="490">
        <v>0</v>
      </c>
      <c r="AI40" s="490">
        <v>0</v>
      </c>
      <c r="AJ40" s="490">
        <v>0</v>
      </c>
      <c r="AK40" s="490">
        <v>0</v>
      </c>
      <c r="AL40" s="490">
        <v>0</v>
      </c>
      <c r="AM40" s="490">
        <v>0</v>
      </c>
      <c r="AN40" s="490">
        <v>0</v>
      </c>
      <c r="AO40" s="490">
        <v>0</v>
      </c>
      <c r="AP40" s="490">
        <v>0</v>
      </c>
      <c r="AQ40" s="490">
        <v>0</v>
      </c>
      <c r="AR40" s="490">
        <v>0</v>
      </c>
      <c r="AS40" s="490">
        <v>0</v>
      </c>
      <c r="AT40" s="490">
        <v>0</v>
      </c>
      <c r="AU40" s="490">
        <v>0</v>
      </c>
      <c r="AV40" s="490">
        <v>0</v>
      </c>
      <c r="AW40" s="490">
        <v>0</v>
      </c>
      <c r="AX40" s="490">
        <v>0</v>
      </c>
      <c r="AY40" s="490">
        <v>0</v>
      </c>
      <c r="AZ40" s="491">
        <v>0</v>
      </c>
    </row>
    <row r="41" spans="1:52" s="469" customFormat="1">
      <c r="A41" s="492">
        <f>'[4]Allocation Methodology'!A37</f>
        <v>33</v>
      </c>
      <c r="B41" s="493" t="str">
        <f>'[4]Allocation Methodology'!B37</f>
        <v>Other Customer Based Generation</v>
      </c>
      <c r="C41" s="493" t="str">
        <f>'[4]Allocation Methodology'!C37</f>
        <v>Business</v>
      </c>
      <c r="D41" s="493" t="s">
        <v>17</v>
      </c>
      <c r="E41" s="493">
        <f>'[4]Allocation Methodology'!D37</f>
        <v>2008</v>
      </c>
      <c r="F41" s="494" t="str">
        <f>'[4]Allocation Methodology'!E37</f>
        <v>Final</v>
      </c>
      <c r="G41" s="471" t="b">
        <v>0</v>
      </c>
      <c r="H41" s="495">
        <v>0</v>
      </c>
      <c r="I41" s="496">
        <v>0</v>
      </c>
      <c r="J41" s="496">
        <v>0</v>
      </c>
      <c r="K41" s="496">
        <v>0</v>
      </c>
      <c r="L41" s="496">
        <v>0</v>
      </c>
      <c r="M41" s="496">
        <v>0</v>
      </c>
      <c r="N41" s="496">
        <v>0</v>
      </c>
      <c r="O41" s="496">
        <v>0</v>
      </c>
      <c r="P41" s="496">
        <v>0</v>
      </c>
      <c r="Q41" s="496">
        <v>0</v>
      </c>
      <c r="R41" s="496">
        <v>0</v>
      </c>
      <c r="S41" s="496">
        <v>0</v>
      </c>
      <c r="T41" s="496">
        <v>0</v>
      </c>
      <c r="U41" s="496">
        <v>0</v>
      </c>
      <c r="V41" s="496">
        <v>0</v>
      </c>
      <c r="W41" s="496">
        <v>0</v>
      </c>
      <c r="X41" s="496">
        <v>0</v>
      </c>
      <c r="Y41" s="496">
        <v>0</v>
      </c>
      <c r="Z41" s="496">
        <v>0</v>
      </c>
      <c r="AA41" s="496">
        <v>0</v>
      </c>
      <c r="AB41" s="496">
        <v>0</v>
      </c>
      <c r="AC41" s="496">
        <v>0</v>
      </c>
      <c r="AD41" s="496">
        <v>0</v>
      </c>
      <c r="AE41" s="496">
        <v>0</v>
      </c>
      <c r="AF41" s="496">
        <v>0</v>
      </c>
      <c r="AG41" s="497">
        <v>0</v>
      </c>
      <c r="AH41" s="497">
        <v>0</v>
      </c>
      <c r="AI41" s="497">
        <v>0</v>
      </c>
      <c r="AJ41" s="497">
        <v>0</v>
      </c>
      <c r="AK41" s="497">
        <v>0</v>
      </c>
      <c r="AL41" s="497">
        <v>0</v>
      </c>
      <c r="AM41" s="497">
        <v>0</v>
      </c>
      <c r="AN41" s="497">
        <v>0</v>
      </c>
      <c r="AO41" s="497">
        <v>0</v>
      </c>
      <c r="AP41" s="497">
        <v>0</v>
      </c>
      <c r="AQ41" s="497">
        <v>0</v>
      </c>
      <c r="AR41" s="497">
        <v>0</v>
      </c>
      <c r="AS41" s="497">
        <v>0</v>
      </c>
      <c r="AT41" s="497">
        <v>0</v>
      </c>
      <c r="AU41" s="497">
        <v>0</v>
      </c>
      <c r="AV41" s="497">
        <v>0</v>
      </c>
      <c r="AW41" s="497">
        <v>0</v>
      </c>
      <c r="AX41" s="497">
        <v>0</v>
      </c>
      <c r="AY41" s="497">
        <v>0</v>
      </c>
      <c r="AZ41" s="498">
        <v>0</v>
      </c>
    </row>
    <row r="42" spans="1:52" s="469" customFormat="1">
      <c r="A42" s="514">
        <f>'[4]Allocation Methodology'!A38</f>
        <v>34</v>
      </c>
      <c r="B42" s="515" t="str">
        <f>'[4]Allocation Methodology'!B38</f>
        <v>LDC Custom - Hydro One Networks Inc. - Double Return</v>
      </c>
      <c r="C42" s="515" t="str">
        <f>'[4]Allocation Methodology'!C38</f>
        <v>Business, Industrial</v>
      </c>
      <c r="D42" s="515" t="s">
        <v>58</v>
      </c>
      <c r="E42" s="515">
        <f>'[4]Allocation Methodology'!D38</f>
        <v>2008</v>
      </c>
      <c r="F42" s="516" t="str">
        <f>'[4]Allocation Methodology'!E38</f>
        <v>Final</v>
      </c>
      <c r="G42" s="471" t="b">
        <v>0</v>
      </c>
      <c r="H42" s="517">
        <v>0</v>
      </c>
      <c r="I42" s="518">
        <v>0</v>
      </c>
      <c r="J42" s="518">
        <v>0</v>
      </c>
      <c r="K42" s="518">
        <v>0</v>
      </c>
      <c r="L42" s="518">
        <v>0</v>
      </c>
      <c r="M42" s="518">
        <v>0</v>
      </c>
      <c r="N42" s="518">
        <v>0</v>
      </c>
      <c r="O42" s="518">
        <v>0</v>
      </c>
      <c r="P42" s="518">
        <v>0</v>
      </c>
      <c r="Q42" s="518">
        <v>0</v>
      </c>
      <c r="R42" s="518">
        <v>0</v>
      </c>
      <c r="S42" s="518">
        <v>0</v>
      </c>
      <c r="T42" s="518">
        <v>0</v>
      </c>
      <c r="U42" s="518">
        <v>0</v>
      </c>
      <c r="V42" s="518">
        <v>0</v>
      </c>
      <c r="W42" s="518">
        <v>0</v>
      </c>
      <c r="X42" s="518">
        <v>0</v>
      </c>
      <c r="Y42" s="518">
        <v>0</v>
      </c>
      <c r="Z42" s="518">
        <v>0</v>
      </c>
      <c r="AA42" s="518">
        <v>0</v>
      </c>
      <c r="AB42" s="518">
        <v>0</v>
      </c>
      <c r="AC42" s="518">
        <v>0</v>
      </c>
      <c r="AD42" s="518">
        <v>0</v>
      </c>
      <c r="AE42" s="518">
        <v>0</v>
      </c>
      <c r="AF42" s="518">
        <v>0</v>
      </c>
      <c r="AG42" s="519">
        <v>0</v>
      </c>
      <c r="AH42" s="519">
        <v>0</v>
      </c>
      <c r="AI42" s="519">
        <v>0</v>
      </c>
      <c r="AJ42" s="519">
        <v>0</v>
      </c>
      <c r="AK42" s="519">
        <v>0</v>
      </c>
      <c r="AL42" s="519">
        <v>0</v>
      </c>
      <c r="AM42" s="519">
        <v>0</v>
      </c>
      <c r="AN42" s="519">
        <v>0</v>
      </c>
      <c r="AO42" s="519">
        <v>0</v>
      </c>
      <c r="AP42" s="519">
        <v>0</v>
      </c>
      <c r="AQ42" s="519">
        <v>0</v>
      </c>
      <c r="AR42" s="519">
        <v>0</v>
      </c>
      <c r="AS42" s="519">
        <v>0</v>
      </c>
      <c r="AT42" s="519">
        <v>0</v>
      </c>
      <c r="AU42" s="519">
        <v>0</v>
      </c>
      <c r="AV42" s="519">
        <v>0</v>
      </c>
      <c r="AW42" s="519">
        <v>0</v>
      </c>
      <c r="AX42" s="519">
        <v>0</v>
      </c>
      <c r="AY42" s="519">
        <v>0</v>
      </c>
      <c r="AZ42" s="520">
        <v>0</v>
      </c>
    </row>
    <row r="43" spans="1:52" s="469" customFormat="1">
      <c r="A43" s="478">
        <f>'[4]Allocation Methodology'!A39</f>
        <v>35</v>
      </c>
      <c r="B43" s="479" t="str">
        <f>'[4]Allocation Methodology'!B39</f>
        <v>Great Refrigerator Roundup</v>
      </c>
      <c r="C43" s="479" t="str">
        <f>'[4]Allocation Methodology'!C39</f>
        <v>Consumer</v>
      </c>
      <c r="D43" s="479" t="s">
        <v>17</v>
      </c>
      <c r="E43" s="479">
        <f>'[4]Allocation Methodology'!D39</f>
        <v>2009</v>
      </c>
      <c r="F43" s="480" t="str">
        <f>'[4]Allocation Methodology'!E39</f>
        <v>Final</v>
      </c>
      <c r="G43" s="471" t="b">
        <v>0</v>
      </c>
      <c r="H43" s="481">
        <v>0</v>
      </c>
      <c r="I43" s="482">
        <v>0</v>
      </c>
      <c r="J43" s="482">
        <v>0</v>
      </c>
      <c r="K43" s="482">
        <v>1.7622945066093177E-2</v>
      </c>
      <c r="L43" s="482">
        <v>1.7622945066093177E-2</v>
      </c>
      <c r="M43" s="482">
        <v>1.7622945066093177E-2</v>
      </c>
      <c r="N43" s="482">
        <v>1.7007093418450196E-2</v>
      </c>
      <c r="O43" s="482">
        <v>1.206498763490913E-2</v>
      </c>
      <c r="P43" s="482">
        <v>0</v>
      </c>
      <c r="Q43" s="482">
        <v>0</v>
      </c>
      <c r="R43" s="482">
        <v>0</v>
      </c>
      <c r="S43" s="482">
        <v>0</v>
      </c>
      <c r="T43" s="482">
        <v>0</v>
      </c>
      <c r="U43" s="482">
        <v>0</v>
      </c>
      <c r="V43" s="482">
        <v>0</v>
      </c>
      <c r="W43" s="482">
        <v>0</v>
      </c>
      <c r="X43" s="482">
        <v>0</v>
      </c>
      <c r="Y43" s="482">
        <v>0</v>
      </c>
      <c r="Z43" s="482">
        <v>0</v>
      </c>
      <c r="AA43" s="482">
        <v>0</v>
      </c>
      <c r="AB43" s="482">
        <v>0</v>
      </c>
      <c r="AC43" s="482">
        <v>0</v>
      </c>
      <c r="AD43" s="482">
        <v>0</v>
      </c>
      <c r="AE43" s="482">
        <v>0</v>
      </c>
      <c r="AF43" s="482">
        <v>0</v>
      </c>
      <c r="AG43" s="483">
        <v>0</v>
      </c>
      <c r="AH43" s="483">
        <v>0</v>
      </c>
      <c r="AI43" s="483">
        <v>0</v>
      </c>
      <c r="AJ43" s="483">
        <v>0</v>
      </c>
      <c r="AK43" s="483">
        <v>0</v>
      </c>
      <c r="AL43" s="483">
        <v>0</v>
      </c>
      <c r="AM43" s="483">
        <v>0</v>
      </c>
      <c r="AN43" s="483">
        <v>0</v>
      </c>
      <c r="AO43" s="483">
        <v>0</v>
      </c>
      <c r="AP43" s="483">
        <v>0</v>
      </c>
      <c r="AQ43" s="483">
        <v>0</v>
      </c>
      <c r="AR43" s="483">
        <v>0</v>
      </c>
      <c r="AS43" s="483">
        <v>0</v>
      </c>
      <c r="AT43" s="483">
        <v>0</v>
      </c>
      <c r="AU43" s="483">
        <v>0</v>
      </c>
      <c r="AV43" s="483">
        <v>0</v>
      </c>
      <c r="AW43" s="483">
        <v>0</v>
      </c>
      <c r="AX43" s="483">
        <v>0</v>
      </c>
      <c r="AY43" s="483">
        <v>0</v>
      </c>
      <c r="AZ43" s="484">
        <v>0</v>
      </c>
    </row>
    <row r="44" spans="1:52" s="469" customFormat="1">
      <c r="A44" s="485">
        <f>'[4]Allocation Methodology'!A40</f>
        <v>36</v>
      </c>
      <c r="B44" s="486" t="str">
        <f>'[4]Allocation Methodology'!B40</f>
        <v>Cool Savings Rebate</v>
      </c>
      <c r="C44" s="486" t="str">
        <f>'[4]Allocation Methodology'!C40</f>
        <v>Consumer</v>
      </c>
      <c r="D44" s="486" t="s">
        <v>17</v>
      </c>
      <c r="E44" s="486">
        <f>'[4]Allocation Methodology'!D40</f>
        <v>2009</v>
      </c>
      <c r="F44" s="487" t="str">
        <f>'[4]Allocation Methodology'!E40</f>
        <v>Final</v>
      </c>
      <c r="G44" s="471" t="b">
        <v>0</v>
      </c>
      <c r="H44" s="488">
        <v>0</v>
      </c>
      <c r="I44" s="489">
        <v>0</v>
      </c>
      <c r="J44" s="489">
        <v>0</v>
      </c>
      <c r="K44" s="489">
        <v>9.6339726886089508E-2</v>
      </c>
      <c r="L44" s="489">
        <v>9.6339726886089508E-2</v>
      </c>
      <c r="M44" s="489">
        <v>9.6339726886089508E-2</v>
      </c>
      <c r="N44" s="489">
        <v>9.5889283688434163E-2</v>
      </c>
      <c r="O44" s="489">
        <v>9.5814937154006352E-2</v>
      </c>
      <c r="P44" s="489">
        <v>9.5770686413772371E-2</v>
      </c>
      <c r="Q44" s="489">
        <v>9.5770686413772371E-2</v>
      </c>
      <c r="R44" s="489">
        <v>9.5770686413772371E-2</v>
      </c>
      <c r="S44" s="489">
        <v>9.5770686413772371E-2</v>
      </c>
      <c r="T44" s="489">
        <v>9.5770686413772371E-2</v>
      </c>
      <c r="U44" s="489">
        <v>9.4310611253790533E-2</v>
      </c>
      <c r="V44" s="489">
        <v>9.4310611253790533E-2</v>
      </c>
      <c r="W44" s="489">
        <v>9.4310611253790533E-2</v>
      </c>
      <c r="X44" s="489">
        <v>9.4310611253790533E-2</v>
      </c>
      <c r="Y44" s="489">
        <v>9.4310611253790533E-2</v>
      </c>
      <c r="Z44" s="489">
        <v>9.201755565670848E-2</v>
      </c>
      <c r="AA44" s="489">
        <v>9.201755565670848E-2</v>
      </c>
      <c r="AB44" s="489">
        <v>9.201755565670848E-2</v>
      </c>
      <c r="AC44" s="489">
        <v>6.7651123459698814E-2</v>
      </c>
      <c r="AD44" s="489">
        <v>0</v>
      </c>
      <c r="AE44" s="489">
        <v>0</v>
      </c>
      <c r="AF44" s="489">
        <v>0</v>
      </c>
      <c r="AG44" s="490">
        <v>0</v>
      </c>
      <c r="AH44" s="490">
        <v>0</v>
      </c>
      <c r="AI44" s="490">
        <v>0</v>
      </c>
      <c r="AJ44" s="490">
        <v>0</v>
      </c>
      <c r="AK44" s="490">
        <v>0</v>
      </c>
      <c r="AL44" s="490">
        <v>0</v>
      </c>
      <c r="AM44" s="490">
        <v>0</v>
      </c>
      <c r="AN44" s="490">
        <v>0</v>
      </c>
      <c r="AO44" s="490">
        <v>0</v>
      </c>
      <c r="AP44" s="490">
        <v>0</v>
      </c>
      <c r="AQ44" s="490">
        <v>0</v>
      </c>
      <c r="AR44" s="490">
        <v>0</v>
      </c>
      <c r="AS44" s="490">
        <v>0</v>
      </c>
      <c r="AT44" s="490">
        <v>0</v>
      </c>
      <c r="AU44" s="490">
        <v>0</v>
      </c>
      <c r="AV44" s="490">
        <v>0</v>
      </c>
      <c r="AW44" s="490">
        <v>0</v>
      </c>
      <c r="AX44" s="490">
        <v>0</v>
      </c>
      <c r="AY44" s="490">
        <v>0</v>
      </c>
      <c r="AZ44" s="491">
        <v>0</v>
      </c>
    </row>
    <row r="45" spans="1:52" s="469" customFormat="1">
      <c r="A45" s="492">
        <f>'[4]Allocation Methodology'!A41</f>
        <v>37</v>
      </c>
      <c r="B45" s="493" t="str">
        <f>'[4]Allocation Methodology'!B41</f>
        <v>Every Kilowatt Counts Power Savings Event</v>
      </c>
      <c r="C45" s="493" t="str">
        <f>'[4]Allocation Methodology'!C41</f>
        <v>Consumer</v>
      </c>
      <c r="D45" s="493" t="s">
        <v>17</v>
      </c>
      <c r="E45" s="493">
        <f>'[4]Allocation Methodology'!D41</f>
        <v>2009</v>
      </c>
      <c r="F45" s="494" t="str">
        <f>'[4]Allocation Methodology'!E41</f>
        <v>Final</v>
      </c>
      <c r="G45" s="471" t="b">
        <v>0</v>
      </c>
      <c r="H45" s="495">
        <v>0</v>
      </c>
      <c r="I45" s="496">
        <v>0</v>
      </c>
      <c r="J45" s="496">
        <v>0</v>
      </c>
      <c r="K45" s="496">
        <v>2.5768014820738688E-2</v>
      </c>
      <c r="L45" s="496">
        <v>2.5332323263717503E-2</v>
      </c>
      <c r="M45" s="496">
        <v>2.5332323263717503E-2</v>
      </c>
      <c r="N45" s="496">
        <v>2.5332323263717503E-2</v>
      </c>
      <c r="O45" s="496">
        <v>2.5218581648874513E-2</v>
      </c>
      <c r="P45" s="496">
        <v>2.5218581648874513E-2</v>
      </c>
      <c r="Q45" s="496">
        <v>2.3372467239253285E-2</v>
      </c>
      <c r="R45" s="496">
        <v>2.3372467239253285E-2</v>
      </c>
      <c r="S45" s="496">
        <v>1.7872280585685924E-2</v>
      </c>
      <c r="T45" s="496">
        <v>1.7872280585685924E-2</v>
      </c>
      <c r="U45" s="496">
        <v>1.5862888668755945E-2</v>
      </c>
      <c r="V45" s="496">
        <v>1.5856285998175308E-2</v>
      </c>
      <c r="W45" s="496">
        <v>8.0605704408814403E-3</v>
      </c>
      <c r="X45" s="496">
        <v>8.0605704408814403E-3</v>
      </c>
      <c r="Y45" s="496">
        <v>7.6855221651858435E-3</v>
      </c>
      <c r="Z45" s="496">
        <v>1.3253665025346596E-3</v>
      </c>
      <c r="AA45" s="496">
        <v>5.9356034643395751E-4</v>
      </c>
      <c r="AB45" s="496">
        <v>5.9356034643395751E-4</v>
      </c>
      <c r="AC45" s="496">
        <v>3.7147291538171257E-4</v>
      </c>
      <c r="AD45" s="496">
        <v>3.7147291538171257E-4</v>
      </c>
      <c r="AE45" s="496">
        <v>0</v>
      </c>
      <c r="AF45" s="496">
        <v>0</v>
      </c>
      <c r="AG45" s="497">
        <v>0</v>
      </c>
      <c r="AH45" s="497">
        <v>0</v>
      </c>
      <c r="AI45" s="497">
        <v>0</v>
      </c>
      <c r="AJ45" s="497">
        <v>0</v>
      </c>
      <c r="AK45" s="497">
        <v>0</v>
      </c>
      <c r="AL45" s="497">
        <v>0</v>
      </c>
      <c r="AM45" s="497">
        <v>0</v>
      </c>
      <c r="AN45" s="497">
        <v>0</v>
      </c>
      <c r="AO45" s="497">
        <v>0</v>
      </c>
      <c r="AP45" s="497">
        <v>0</v>
      </c>
      <c r="AQ45" s="497">
        <v>0</v>
      </c>
      <c r="AR45" s="497">
        <v>0</v>
      </c>
      <c r="AS45" s="497">
        <v>0</v>
      </c>
      <c r="AT45" s="497">
        <v>0</v>
      </c>
      <c r="AU45" s="497">
        <v>0</v>
      </c>
      <c r="AV45" s="497">
        <v>0</v>
      </c>
      <c r="AW45" s="497">
        <v>0</v>
      </c>
      <c r="AX45" s="497">
        <v>0</v>
      </c>
      <c r="AY45" s="497">
        <v>0</v>
      </c>
      <c r="AZ45" s="498">
        <v>0</v>
      </c>
    </row>
    <row r="46" spans="1:52" s="469" customFormat="1">
      <c r="A46" s="485">
        <f>'[4]Allocation Methodology'!A42</f>
        <v>38</v>
      </c>
      <c r="B46" s="521" t="str">
        <f>'[4]Allocation Methodology'!B42</f>
        <v>peaksaver®</v>
      </c>
      <c r="C46" s="486" t="str">
        <f>'[4]Allocation Methodology'!C42</f>
        <v>Consumer, Business</v>
      </c>
      <c r="D46" s="486" t="s">
        <v>58</v>
      </c>
      <c r="E46" s="486">
        <f>'[4]Allocation Methodology'!D42</f>
        <v>2009</v>
      </c>
      <c r="F46" s="487" t="str">
        <f>'[4]Allocation Methodology'!E42</f>
        <v>Final</v>
      </c>
      <c r="G46" s="471" t="b">
        <v>0</v>
      </c>
      <c r="H46" s="488">
        <v>0</v>
      </c>
      <c r="I46" s="489">
        <v>0</v>
      </c>
      <c r="J46" s="489">
        <v>0</v>
      </c>
      <c r="K46" s="489">
        <v>0</v>
      </c>
      <c r="L46" s="489">
        <v>0</v>
      </c>
      <c r="M46" s="489">
        <v>0</v>
      </c>
      <c r="N46" s="489">
        <v>0</v>
      </c>
      <c r="O46" s="489">
        <v>0</v>
      </c>
      <c r="P46" s="489">
        <v>0</v>
      </c>
      <c r="Q46" s="489">
        <v>0</v>
      </c>
      <c r="R46" s="489">
        <v>0</v>
      </c>
      <c r="S46" s="489">
        <v>0</v>
      </c>
      <c r="T46" s="489">
        <v>0</v>
      </c>
      <c r="U46" s="489">
        <v>0</v>
      </c>
      <c r="V46" s="489">
        <v>0</v>
      </c>
      <c r="W46" s="489">
        <v>0</v>
      </c>
      <c r="X46" s="489">
        <v>0</v>
      </c>
      <c r="Y46" s="489">
        <v>0</v>
      </c>
      <c r="Z46" s="489">
        <v>0</v>
      </c>
      <c r="AA46" s="489">
        <v>0</v>
      </c>
      <c r="AB46" s="489">
        <v>0</v>
      </c>
      <c r="AC46" s="489">
        <v>0</v>
      </c>
      <c r="AD46" s="489">
        <v>0</v>
      </c>
      <c r="AE46" s="489">
        <v>0</v>
      </c>
      <c r="AF46" s="489">
        <v>0</v>
      </c>
      <c r="AG46" s="490">
        <v>0</v>
      </c>
      <c r="AH46" s="490">
        <v>0</v>
      </c>
      <c r="AI46" s="490">
        <v>0</v>
      </c>
      <c r="AJ46" s="490">
        <v>0</v>
      </c>
      <c r="AK46" s="490">
        <v>0</v>
      </c>
      <c r="AL46" s="490">
        <v>0</v>
      </c>
      <c r="AM46" s="490">
        <v>0</v>
      </c>
      <c r="AN46" s="490">
        <v>0</v>
      </c>
      <c r="AO46" s="490">
        <v>0</v>
      </c>
      <c r="AP46" s="490">
        <v>0</v>
      </c>
      <c r="AQ46" s="490">
        <v>0</v>
      </c>
      <c r="AR46" s="490">
        <v>0</v>
      </c>
      <c r="AS46" s="490">
        <v>0</v>
      </c>
      <c r="AT46" s="490">
        <v>0</v>
      </c>
      <c r="AU46" s="490">
        <v>0</v>
      </c>
      <c r="AV46" s="490">
        <v>0</v>
      </c>
      <c r="AW46" s="490">
        <v>0</v>
      </c>
      <c r="AX46" s="490">
        <v>0</v>
      </c>
      <c r="AY46" s="490">
        <v>0</v>
      </c>
      <c r="AZ46" s="491">
        <v>0</v>
      </c>
    </row>
    <row r="47" spans="1:52" s="469" customFormat="1">
      <c r="A47" s="492">
        <f>'[4]Allocation Methodology'!A43</f>
        <v>39</v>
      </c>
      <c r="B47" s="493" t="str">
        <f>'[4]Allocation Methodology'!B43</f>
        <v>Electricity Retrofit Incentive</v>
      </c>
      <c r="C47" s="493" t="str">
        <f>'[4]Allocation Methodology'!C43</f>
        <v>Consumer, Business</v>
      </c>
      <c r="D47" s="493" t="s">
        <v>480</v>
      </c>
      <c r="E47" s="493">
        <f>'[4]Allocation Methodology'!D43</f>
        <v>2009</v>
      </c>
      <c r="F47" s="494" t="str">
        <f>'[4]Allocation Methodology'!E43</f>
        <v>Final</v>
      </c>
      <c r="G47" s="471" t="b">
        <v>0</v>
      </c>
      <c r="H47" s="495">
        <v>0</v>
      </c>
      <c r="I47" s="496">
        <v>0</v>
      </c>
      <c r="J47" s="496">
        <v>0</v>
      </c>
      <c r="K47" s="496">
        <v>8.3498803827751183E-2</v>
      </c>
      <c r="L47" s="496">
        <v>8.3498803827751183E-2</v>
      </c>
      <c r="M47" s="496">
        <v>8.3498803827751183E-2</v>
      </c>
      <c r="N47" s="496">
        <v>8.3498803827751183E-2</v>
      </c>
      <c r="O47" s="496">
        <v>8.3498803827751183E-2</v>
      </c>
      <c r="P47" s="496">
        <v>8.3498803827751183E-2</v>
      </c>
      <c r="Q47" s="496">
        <v>8.3498803827751183E-2</v>
      </c>
      <c r="R47" s="496">
        <v>6.0340909090909084E-2</v>
      </c>
      <c r="S47" s="496">
        <v>6.0340909090909084E-2</v>
      </c>
      <c r="T47" s="496">
        <v>6.0340909090909084E-2</v>
      </c>
      <c r="U47" s="496">
        <v>6.0340909090909084E-2</v>
      </c>
      <c r="V47" s="496">
        <v>0</v>
      </c>
      <c r="W47" s="496">
        <v>0</v>
      </c>
      <c r="X47" s="496">
        <v>0</v>
      </c>
      <c r="Y47" s="496">
        <v>0</v>
      </c>
      <c r="Z47" s="496">
        <v>0</v>
      </c>
      <c r="AA47" s="496">
        <v>0</v>
      </c>
      <c r="AB47" s="496">
        <v>0</v>
      </c>
      <c r="AC47" s="496">
        <v>0</v>
      </c>
      <c r="AD47" s="496">
        <v>0</v>
      </c>
      <c r="AE47" s="496">
        <v>0</v>
      </c>
      <c r="AF47" s="496">
        <v>0</v>
      </c>
      <c r="AG47" s="497">
        <v>0</v>
      </c>
      <c r="AH47" s="497">
        <v>0</v>
      </c>
      <c r="AI47" s="497">
        <v>0</v>
      </c>
      <c r="AJ47" s="497">
        <v>0</v>
      </c>
      <c r="AK47" s="497">
        <v>0</v>
      </c>
      <c r="AL47" s="497">
        <v>0</v>
      </c>
      <c r="AM47" s="497">
        <v>0</v>
      </c>
      <c r="AN47" s="497">
        <v>0</v>
      </c>
      <c r="AO47" s="497">
        <v>0</v>
      </c>
      <c r="AP47" s="497">
        <v>0</v>
      </c>
      <c r="AQ47" s="497">
        <v>0</v>
      </c>
      <c r="AR47" s="497">
        <v>0</v>
      </c>
      <c r="AS47" s="497">
        <v>0</v>
      </c>
      <c r="AT47" s="497">
        <v>0</v>
      </c>
      <c r="AU47" s="497">
        <v>0</v>
      </c>
      <c r="AV47" s="497">
        <v>0</v>
      </c>
      <c r="AW47" s="497">
        <v>0</v>
      </c>
      <c r="AX47" s="497">
        <v>0</v>
      </c>
      <c r="AY47" s="497">
        <v>0</v>
      </c>
      <c r="AZ47" s="498">
        <v>0</v>
      </c>
    </row>
    <row r="48" spans="1:52" s="469" customFormat="1">
      <c r="A48" s="485">
        <f>'[4]Allocation Methodology'!A44</f>
        <v>40</v>
      </c>
      <c r="B48" s="486" t="str">
        <f>'[4]Allocation Methodology'!B44</f>
        <v>Toronto Comprehensive</v>
      </c>
      <c r="C48" s="486" t="str">
        <f>'[4]Allocation Methodology'!C44</f>
        <v>Consumer, Consumer Low-Income, Business, Industrial</v>
      </c>
      <c r="D48" s="486" t="s">
        <v>58</v>
      </c>
      <c r="E48" s="486">
        <f>'[4]Allocation Methodology'!D44</f>
        <v>2009</v>
      </c>
      <c r="F48" s="487" t="str">
        <f>'[4]Allocation Methodology'!E44</f>
        <v>Final</v>
      </c>
      <c r="G48" s="471" t="b">
        <v>0</v>
      </c>
      <c r="H48" s="488">
        <v>0</v>
      </c>
      <c r="I48" s="489">
        <v>0</v>
      </c>
      <c r="J48" s="489">
        <v>0</v>
      </c>
      <c r="K48" s="489">
        <v>0</v>
      </c>
      <c r="L48" s="489">
        <v>0</v>
      </c>
      <c r="M48" s="489">
        <v>0</v>
      </c>
      <c r="N48" s="489">
        <v>0</v>
      </c>
      <c r="O48" s="489">
        <v>0</v>
      </c>
      <c r="P48" s="489">
        <v>0</v>
      </c>
      <c r="Q48" s="489">
        <v>0</v>
      </c>
      <c r="R48" s="489">
        <v>0</v>
      </c>
      <c r="S48" s="489">
        <v>0</v>
      </c>
      <c r="T48" s="489">
        <v>0</v>
      </c>
      <c r="U48" s="489">
        <v>0</v>
      </c>
      <c r="V48" s="489">
        <v>0</v>
      </c>
      <c r="W48" s="489">
        <v>0</v>
      </c>
      <c r="X48" s="489">
        <v>0</v>
      </c>
      <c r="Y48" s="489">
        <v>0</v>
      </c>
      <c r="Z48" s="489">
        <v>0</v>
      </c>
      <c r="AA48" s="489">
        <v>0</v>
      </c>
      <c r="AB48" s="489">
        <v>0</v>
      </c>
      <c r="AC48" s="489">
        <v>0</v>
      </c>
      <c r="AD48" s="489">
        <v>0</v>
      </c>
      <c r="AE48" s="489">
        <v>0</v>
      </c>
      <c r="AF48" s="489">
        <v>0</v>
      </c>
      <c r="AG48" s="490">
        <v>0</v>
      </c>
      <c r="AH48" s="490">
        <v>0</v>
      </c>
      <c r="AI48" s="490">
        <v>0</v>
      </c>
      <c r="AJ48" s="490">
        <v>0</v>
      </c>
      <c r="AK48" s="490">
        <v>0</v>
      </c>
      <c r="AL48" s="490">
        <v>0</v>
      </c>
      <c r="AM48" s="490">
        <v>0</v>
      </c>
      <c r="AN48" s="490">
        <v>0</v>
      </c>
      <c r="AO48" s="490">
        <v>0</v>
      </c>
      <c r="AP48" s="490">
        <v>0</v>
      </c>
      <c r="AQ48" s="490">
        <v>0</v>
      </c>
      <c r="AR48" s="490">
        <v>0</v>
      </c>
      <c r="AS48" s="490">
        <v>0</v>
      </c>
      <c r="AT48" s="490">
        <v>0</v>
      </c>
      <c r="AU48" s="490">
        <v>0</v>
      </c>
      <c r="AV48" s="490">
        <v>0</v>
      </c>
      <c r="AW48" s="490">
        <v>0</v>
      </c>
      <c r="AX48" s="490">
        <v>0</v>
      </c>
      <c r="AY48" s="490">
        <v>0</v>
      </c>
      <c r="AZ48" s="491">
        <v>0</v>
      </c>
    </row>
    <row r="49" spans="1:52" s="469" customFormat="1">
      <c r="A49" s="492">
        <f>'[4]Allocation Methodology'!A45</f>
        <v>41</v>
      </c>
      <c r="B49" s="493" t="str">
        <f>'[4]Allocation Methodology'!B45</f>
        <v>High Performance New Construction</v>
      </c>
      <c r="C49" s="493" t="str">
        <f>'[4]Allocation Methodology'!C45</f>
        <v>Business</v>
      </c>
      <c r="D49" s="493" t="s">
        <v>480</v>
      </c>
      <c r="E49" s="493">
        <f>'[4]Allocation Methodology'!D45</f>
        <v>2009</v>
      </c>
      <c r="F49" s="494" t="str">
        <f>'[4]Allocation Methodology'!E45</f>
        <v>Final</v>
      </c>
      <c r="G49" s="471" t="b">
        <v>0</v>
      </c>
      <c r="H49" s="495">
        <v>0</v>
      </c>
      <c r="I49" s="496">
        <v>0</v>
      </c>
      <c r="J49" s="496">
        <v>0</v>
      </c>
      <c r="K49" s="496">
        <v>2.6484318261489666E-2</v>
      </c>
      <c r="L49" s="496">
        <v>2.6484318261489666E-2</v>
      </c>
      <c r="M49" s="496">
        <v>2.6484318261489666E-2</v>
      </c>
      <c r="N49" s="496">
        <v>2.6484318261489666E-2</v>
      </c>
      <c r="O49" s="496">
        <v>2.6484318261489666E-2</v>
      </c>
      <c r="P49" s="496">
        <v>2.6484318261489666E-2</v>
      </c>
      <c r="Q49" s="496">
        <v>2.6484318261489666E-2</v>
      </c>
      <c r="R49" s="496">
        <v>2.6484318261489666E-2</v>
      </c>
      <c r="S49" s="496">
        <v>2.6484318261489666E-2</v>
      </c>
      <c r="T49" s="496">
        <v>2.6484318261489666E-2</v>
      </c>
      <c r="U49" s="496">
        <v>2.6484318261489666E-2</v>
      </c>
      <c r="V49" s="496">
        <v>2.6484318261489666E-2</v>
      </c>
      <c r="W49" s="496">
        <v>2.6484318261489666E-2</v>
      </c>
      <c r="X49" s="496">
        <v>2.6484318261489666E-2</v>
      </c>
      <c r="Y49" s="496">
        <v>2.6484318261489666E-2</v>
      </c>
      <c r="Z49" s="496">
        <v>2.6484318261489666E-2</v>
      </c>
      <c r="AA49" s="496">
        <v>2.6484318261489666E-2</v>
      </c>
      <c r="AB49" s="496">
        <v>2.6484318261489666E-2</v>
      </c>
      <c r="AC49" s="496">
        <v>2.6484318261489666E-2</v>
      </c>
      <c r="AD49" s="496">
        <v>2.6484318261489666E-2</v>
      </c>
      <c r="AE49" s="496">
        <v>0</v>
      </c>
      <c r="AF49" s="496">
        <v>0</v>
      </c>
      <c r="AG49" s="497">
        <v>0</v>
      </c>
      <c r="AH49" s="497">
        <v>0</v>
      </c>
      <c r="AI49" s="497">
        <v>0</v>
      </c>
      <c r="AJ49" s="497">
        <v>0</v>
      </c>
      <c r="AK49" s="497">
        <v>0</v>
      </c>
      <c r="AL49" s="497">
        <v>0</v>
      </c>
      <c r="AM49" s="497">
        <v>0</v>
      </c>
      <c r="AN49" s="497">
        <v>0</v>
      </c>
      <c r="AO49" s="497">
        <v>0</v>
      </c>
      <c r="AP49" s="497">
        <v>0</v>
      </c>
      <c r="AQ49" s="497">
        <v>0</v>
      </c>
      <c r="AR49" s="497">
        <v>0</v>
      </c>
      <c r="AS49" s="497">
        <v>0</v>
      </c>
      <c r="AT49" s="497">
        <v>0</v>
      </c>
      <c r="AU49" s="497">
        <v>0</v>
      </c>
      <c r="AV49" s="497">
        <v>0</v>
      </c>
      <c r="AW49" s="497">
        <v>0</v>
      </c>
      <c r="AX49" s="497">
        <v>0</v>
      </c>
      <c r="AY49" s="497">
        <v>0</v>
      </c>
      <c r="AZ49" s="498">
        <v>0</v>
      </c>
    </row>
    <row r="50" spans="1:52" s="469" customFormat="1">
      <c r="A50" s="485">
        <f>'[4]Allocation Methodology'!A46</f>
        <v>42</v>
      </c>
      <c r="B50" s="486" t="str">
        <f>'[4]Allocation Methodology'!B46</f>
        <v>Power Savings Blitz</v>
      </c>
      <c r="C50" s="486" t="str">
        <f>'[4]Allocation Methodology'!C46</f>
        <v>Business</v>
      </c>
      <c r="D50" s="486" t="s">
        <v>486</v>
      </c>
      <c r="E50" s="486">
        <f>'[4]Allocation Methodology'!D46</f>
        <v>2009</v>
      </c>
      <c r="F50" s="487" t="str">
        <f>'[4]Allocation Methodology'!E46</f>
        <v>Final</v>
      </c>
      <c r="G50" s="471" t="b">
        <v>0</v>
      </c>
      <c r="H50" s="488">
        <v>0</v>
      </c>
      <c r="I50" s="489">
        <v>0</v>
      </c>
      <c r="J50" s="489">
        <v>0</v>
      </c>
      <c r="K50" s="489">
        <v>0.17507897077314688</v>
      </c>
      <c r="L50" s="489">
        <v>0.17507897077314688</v>
      </c>
      <c r="M50" s="489">
        <v>0.17507897077314688</v>
      </c>
      <c r="N50" s="489">
        <v>0.17507897077314688</v>
      </c>
      <c r="O50" s="489">
        <v>0.17507897077314688</v>
      </c>
      <c r="P50" s="489">
        <v>0.17507897077314688</v>
      </c>
      <c r="Q50" s="489">
        <v>0.17507897077314688</v>
      </c>
      <c r="R50" s="489">
        <v>0.17507897077314688</v>
      </c>
      <c r="S50" s="489">
        <v>0.17507897077314688</v>
      </c>
      <c r="T50" s="489">
        <v>0</v>
      </c>
      <c r="U50" s="489">
        <v>0</v>
      </c>
      <c r="V50" s="489">
        <v>0</v>
      </c>
      <c r="W50" s="489">
        <v>0</v>
      </c>
      <c r="X50" s="489">
        <v>0</v>
      </c>
      <c r="Y50" s="489">
        <v>0</v>
      </c>
      <c r="Z50" s="489">
        <v>0</v>
      </c>
      <c r="AA50" s="489">
        <v>0</v>
      </c>
      <c r="AB50" s="489">
        <v>0</v>
      </c>
      <c r="AC50" s="489">
        <v>0</v>
      </c>
      <c r="AD50" s="489">
        <v>0</v>
      </c>
      <c r="AE50" s="489">
        <v>0</v>
      </c>
      <c r="AF50" s="489">
        <v>0</v>
      </c>
      <c r="AG50" s="490">
        <v>0</v>
      </c>
      <c r="AH50" s="490">
        <v>0</v>
      </c>
      <c r="AI50" s="490">
        <v>0</v>
      </c>
      <c r="AJ50" s="490">
        <v>0</v>
      </c>
      <c r="AK50" s="490">
        <v>0</v>
      </c>
      <c r="AL50" s="490">
        <v>0</v>
      </c>
      <c r="AM50" s="490">
        <v>0</v>
      </c>
      <c r="AN50" s="490">
        <v>0</v>
      </c>
      <c r="AO50" s="490">
        <v>0</v>
      </c>
      <c r="AP50" s="490">
        <v>0</v>
      </c>
      <c r="AQ50" s="490">
        <v>0</v>
      </c>
      <c r="AR50" s="490">
        <v>0</v>
      </c>
      <c r="AS50" s="490">
        <v>0</v>
      </c>
      <c r="AT50" s="490">
        <v>0</v>
      </c>
      <c r="AU50" s="490">
        <v>0</v>
      </c>
      <c r="AV50" s="490">
        <v>0</v>
      </c>
      <c r="AW50" s="490">
        <v>0</v>
      </c>
      <c r="AX50" s="490">
        <v>0</v>
      </c>
      <c r="AY50" s="490">
        <v>0</v>
      </c>
      <c r="AZ50" s="491">
        <v>0</v>
      </c>
    </row>
    <row r="51" spans="1:52" s="469" customFormat="1">
      <c r="A51" s="492">
        <f>'[4]Allocation Methodology'!A47</f>
        <v>43</v>
      </c>
      <c r="B51" s="493" t="str">
        <f>'[4]Allocation Methodology'!B47</f>
        <v>Multi-Family Energy Efficiency Rebates</v>
      </c>
      <c r="C51" s="493" t="str">
        <f>'[4]Allocation Methodology'!C47</f>
        <v>Consumer, Consumer Low-Income</v>
      </c>
      <c r="D51" s="493" t="s">
        <v>58</v>
      </c>
      <c r="E51" s="493">
        <f>'[4]Allocation Methodology'!D47</f>
        <v>2009</v>
      </c>
      <c r="F51" s="494" t="str">
        <f>'[4]Allocation Methodology'!E47</f>
        <v>Final</v>
      </c>
      <c r="G51" s="471" t="b">
        <v>0</v>
      </c>
      <c r="H51" s="495">
        <v>0</v>
      </c>
      <c r="I51" s="496">
        <v>0</v>
      </c>
      <c r="J51" s="496">
        <v>0</v>
      </c>
      <c r="K51" s="496">
        <v>0</v>
      </c>
      <c r="L51" s="496">
        <v>0</v>
      </c>
      <c r="M51" s="496">
        <v>0</v>
      </c>
      <c r="N51" s="496">
        <v>0</v>
      </c>
      <c r="O51" s="496">
        <v>0</v>
      </c>
      <c r="P51" s="496">
        <v>0</v>
      </c>
      <c r="Q51" s="496">
        <v>0</v>
      </c>
      <c r="R51" s="496">
        <v>0</v>
      </c>
      <c r="S51" s="496">
        <v>0</v>
      </c>
      <c r="T51" s="496">
        <v>0</v>
      </c>
      <c r="U51" s="496">
        <v>0</v>
      </c>
      <c r="V51" s="496">
        <v>0</v>
      </c>
      <c r="W51" s="496">
        <v>0</v>
      </c>
      <c r="X51" s="496">
        <v>0</v>
      </c>
      <c r="Y51" s="496">
        <v>0</v>
      </c>
      <c r="Z51" s="496">
        <v>0</v>
      </c>
      <c r="AA51" s="496">
        <v>0</v>
      </c>
      <c r="AB51" s="496">
        <v>0</v>
      </c>
      <c r="AC51" s="496">
        <v>0</v>
      </c>
      <c r="AD51" s="496">
        <v>0</v>
      </c>
      <c r="AE51" s="496">
        <v>0</v>
      </c>
      <c r="AF51" s="496">
        <v>0</v>
      </c>
      <c r="AG51" s="497">
        <v>0</v>
      </c>
      <c r="AH51" s="497">
        <v>0</v>
      </c>
      <c r="AI51" s="497">
        <v>0</v>
      </c>
      <c r="AJ51" s="497">
        <v>0</v>
      </c>
      <c r="AK51" s="497">
        <v>0</v>
      </c>
      <c r="AL51" s="497">
        <v>0</v>
      </c>
      <c r="AM51" s="497">
        <v>0</v>
      </c>
      <c r="AN51" s="497">
        <v>0</v>
      </c>
      <c r="AO51" s="497">
        <v>0</v>
      </c>
      <c r="AP51" s="497">
        <v>0</v>
      </c>
      <c r="AQ51" s="497">
        <v>0</v>
      </c>
      <c r="AR51" s="497">
        <v>0</v>
      </c>
      <c r="AS51" s="497">
        <v>0</v>
      </c>
      <c r="AT51" s="497">
        <v>0</v>
      </c>
      <c r="AU51" s="497">
        <v>0</v>
      </c>
      <c r="AV51" s="497">
        <v>0</v>
      </c>
      <c r="AW51" s="497">
        <v>0</v>
      </c>
      <c r="AX51" s="497">
        <v>0</v>
      </c>
      <c r="AY51" s="497">
        <v>0</v>
      </c>
      <c r="AZ51" s="498">
        <v>0</v>
      </c>
    </row>
    <row r="52" spans="1:52" s="469" customFormat="1">
      <c r="A52" s="485">
        <f>'[4]Allocation Methodology'!A48</f>
        <v>44</v>
      </c>
      <c r="B52" s="486" t="str">
        <f>'[4]Allocation Methodology'!B48</f>
        <v>Demand Response 1</v>
      </c>
      <c r="C52" s="486" t="str">
        <f>'[4]Allocation Methodology'!C48</f>
        <v>Business, Industrial</v>
      </c>
      <c r="D52" s="486" t="s">
        <v>480</v>
      </c>
      <c r="E52" s="486">
        <f>'[4]Allocation Methodology'!D48</f>
        <v>2009</v>
      </c>
      <c r="F52" s="487" t="str">
        <f>'[4]Allocation Methodology'!E48</f>
        <v>Final</v>
      </c>
      <c r="G52" s="471" t="b">
        <v>0</v>
      </c>
      <c r="H52" s="488">
        <v>0</v>
      </c>
      <c r="I52" s="489">
        <v>0</v>
      </c>
      <c r="J52" s="489">
        <v>0</v>
      </c>
      <c r="K52" s="489">
        <v>1.1957688458910378</v>
      </c>
      <c r="L52" s="489">
        <v>0</v>
      </c>
      <c r="M52" s="489">
        <v>0</v>
      </c>
      <c r="N52" s="489">
        <v>0</v>
      </c>
      <c r="O52" s="489">
        <v>0</v>
      </c>
      <c r="P52" s="489">
        <v>0</v>
      </c>
      <c r="Q52" s="489">
        <v>0</v>
      </c>
      <c r="R52" s="489">
        <v>0</v>
      </c>
      <c r="S52" s="489">
        <v>0</v>
      </c>
      <c r="T52" s="489">
        <v>0</v>
      </c>
      <c r="U52" s="489">
        <v>0</v>
      </c>
      <c r="V52" s="489">
        <v>0</v>
      </c>
      <c r="W52" s="489">
        <v>0</v>
      </c>
      <c r="X52" s="489">
        <v>0</v>
      </c>
      <c r="Y52" s="489">
        <v>0</v>
      </c>
      <c r="Z52" s="489">
        <v>0</v>
      </c>
      <c r="AA52" s="489">
        <v>0</v>
      </c>
      <c r="AB52" s="489">
        <v>0</v>
      </c>
      <c r="AC52" s="489">
        <v>0</v>
      </c>
      <c r="AD52" s="489">
        <v>0</v>
      </c>
      <c r="AE52" s="489">
        <v>0</v>
      </c>
      <c r="AF52" s="489">
        <v>0</v>
      </c>
      <c r="AG52" s="490">
        <v>0</v>
      </c>
      <c r="AH52" s="490">
        <v>0</v>
      </c>
      <c r="AI52" s="490">
        <v>0</v>
      </c>
      <c r="AJ52" s="490">
        <v>0</v>
      </c>
      <c r="AK52" s="490">
        <v>0</v>
      </c>
      <c r="AL52" s="490">
        <v>0</v>
      </c>
      <c r="AM52" s="490">
        <v>0</v>
      </c>
      <c r="AN52" s="490">
        <v>0</v>
      </c>
      <c r="AO52" s="490">
        <v>0</v>
      </c>
      <c r="AP52" s="490">
        <v>0</v>
      </c>
      <c r="AQ52" s="490">
        <v>0</v>
      </c>
      <c r="AR52" s="490">
        <v>0</v>
      </c>
      <c r="AS52" s="490">
        <v>0</v>
      </c>
      <c r="AT52" s="490">
        <v>0</v>
      </c>
      <c r="AU52" s="490">
        <v>0</v>
      </c>
      <c r="AV52" s="490">
        <v>0</v>
      </c>
      <c r="AW52" s="490">
        <v>0</v>
      </c>
      <c r="AX52" s="490">
        <v>0</v>
      </c>
      <c r="AY52" s="490">
        <v>0</v>
      </c>
      <c r="AZ52" s="491">
        <v>0</v>
      </c>
    </row>
    <row r="53" spans="1:52" s="469" customFormat="1">
      <c r="A53" s="492">
        <f>'[4]Allocation Methodology'!A49</f>
        <v>45</v>
      </c>
      <c r="B53" s="493" t="str">
        <f>'[4]Allocation Methodology'!B49</f>
        <v>Demand Response 2</v>
      </c>
      <c r="C53" s="493" t="str">
        <f>'[4]Allocation Methodology'!C49</f>
        <v>Business, Industrial</v>
      </c>
      <c r="D53" s="493" t="s">
        <v>480</v>
      </c>
      <c r="E53" s="493">
        <f>'[4]Allocation Methodology'!D49</f>
        <v>2009</v>
      </c>
      <c r="F53" s="494" t="str">
        <f>'[4]Allocation Methodology'!E49</f>
        <v>Final</v>
      </c>
      <c r="G53" s="471" t="b">
        <v>0</v>
      </c>
      <c r="H53" s="495">
        <v>0</v>
      </c>
      <c r="I53" s="496">
        <v>0</v>
      </c>
      <c r="J53" s="496">
        <v>0</v>
      </c>
      <c r="K53" s="496">
        <v>0.81196286825126107</v>
      </c>
      <c r="L53" s="496">
        <v>0</v>
      </c>
      <c r="M53" s="496">
        <v>0</v>
      </c>
      <c r="N53" s="496">
        <v>0</v>
      </c>
      <c r="O53" s="496">
        <v>0</v>
      </c>
      <c r="P53" s="496">
        <v>0</v>
      </c>
      <c r="Q53" s="496">
        <v>0</v>
      </c>
      <c r="R53" s="496">
        <v>0</v>
      </c>
      <c r="S53" s="496">
        <v>0</v>
      </c>
      <c r="T53" s="496">
        <v>0</v>
      </c>
      <c r="U53" s="496">
        <v>0</v>
      </c>
      <c r="V53" s="496">
        <v>0</v>
      </c>
      <c r="W53" s="496">
        <v>0</v>
      </c>
      <c r="X53" s="496">
        <v>0</v>
      </c>
      <c r="Y53" s="496">
        <v>0</v>
      </c>
      <c r="Z53" s="496">
        <v>0</v>
      </c>
      <c r="AA53" s="496">
        <v>0</v>
      </c>
      <c r="AB53" s="496">
        <v>0</v>
      </c>
      <c r="AC53" s="496">
        <v>0</v>
      </c>
      <c r="AD53" s="496">
        <v>0</v>
      </c>
      <c r="AE53" s="496">
        <v>0</v>
      </c>
      <c r="AF53" s="496">
        <v>0</v>
      </c>
      <c r="AG53" s="497">
        <v>0</v>
      </c>
      <c r="AH53" s="497">
        <v>0</v>
      </c>
      <c r="AI53" s="497">
        <v>0</v>
      </c>
      <c r="AJ53" s="497">
        <v>0</v>
      </c>
      <c r="AK53" s="497">
        <v>0</v>
      </c>
      <c r="AL53" s="497">
        <v>0</v>
      </c>
      <c r="AM53" s="497">
        <v>0</v>
      </c>
      <c r="AN53" s="497">
        <v>0</v>
      </c>
      <c r="AO53" s="497">
        <v>0</v>
      </c>
      <c r="AP53" s="497">
        <v>0</v>
      </c>
      <c r="AQ53" s="497">
        <v>0</v>
      </c>
      <c r="AR53" s="497">
        <v>0</v>
      </c>
      <c r="AS53" s="497">
        <v>0</v>
      </c>
      <c r="AT53" s="497">
        <v>0</v>
      </c>
      <c r="AU53" s="497">
        <v>0</v>
      </c>
      <c r="AV53" s="497">
        <v>0</v>
      </c>
      <c r="AW53" s="497">
        <v>0</v>
      </c>
      <c r="AX53" s="497">
        <v>0</v>
      </c>
      <c r="AY53" s="497">
        <v>0</v>
      </c>
      <c r="AZ53" s="498">
        <v>0</v>
      </c>
    </row>
    <row r="54" spans="1:52" s="469" customFormat="1">
      <c r="A54" s="485">
        <f>'[4]Allocation Methodology'!A50</f>
        <v>46</v>
      </c>
      <c r="B54" s="486" t="str">
        <f>'[4]Allocation Methodology'!B50</f>
        <v>Demand Response 3</v>
      </c>
      <c r="C54" s="486" t="str">
        <f>'[4]Allocation Methodology'!C50</f>
        <v>Business, Industrial</v>
      </c>
      <c r="D54" s="486" t="s">
        <v>480</v>
      </c>
      <c r="E54" s="486">
        <f>'[4]Allocation Methodology'!D50</f>
        <v>2009</v>
      </c>
      <c r="F54" s="487" t="str">
        <f>'[4]Allocation Methodology'!E50</f>
        <v>Final</v>
      </c>
      <c r="G54" s="471" t="b">
        <v>0</v>
      </c>
      <c r="H54" s="488">
        <v>0</v>
      </c>
      <c r="I54" s="489">
        <v>0</v>
      </c>
      <c r="J54" s="489">
        <v>0</v>
      </c>
      <c r="K54" s="489">
        <v>1.1599469546446588</v>
      </c>
      <c r="L54" s="489">
        <v>0</v>
      </c>
      <c r="M54" s="489">
        <v>0</v>
      </c>
      <c r="N54" s="489">
        <v>0</v>
      </c>
      <c r="O54" s="489">
        <v>0</v>
      </c>
      <c r="P54" s="489">
        <v>0</v>
      </c>
      <c r="Q54" s="489">
        <v>0</v>
      </c>
      <c r="R54" s="489">
        <v>0</v>
      </c>
      <c r="S54" s="489">
        <v>0</v>
      </c>
      <c r="T54" s="489">
        <v>0</v>
      </c>
      <c r="U54" s="489">
        <v>0</v>
      </c>
      <c r="V54" s="489">
        <v>0</v>
      </c>
      <c r="W54" s="489">
        <v>0</v>
      </c>
      <c r="X54" s="489">
        <v>0</v>
      </c>
      <c r="Y54" s="489">
        <v>0</v>
      </c>
      <c r="Z54" s="489">
        <v>0</v>
      </c>
      <c r="AA54" s="489">
        <v>0</v>
      </c>
      <c r="AB54" s="489">
        <v>0</v>
      </c>
      <c r="AC54" s="489">
        <v>0</v>
      </c>
      <c r="AD54" s="489">
        <v>0</v>
      </c>
      <c r="AE54" s="489">
        <v>0</v>
      </c>
      <c r="AF54" s="489">
        <v>0</v>
      </c>
      <c r="AG54" s="490">
        <v>0</v>
      </c>
      <c r="AH54" s="490">
        <v>0</v>
      </c>
      <c r="AI54" s="490">
        <v>0</v>
      </c>
      <c r="AJ54" s="490">
        <v>0</v>
      </c>
      <c r="AK54" s="490">
        <v>0</v>
      </c>
      <c r="AL54" s="490">
        <v>0</v>
      </c>
      <c r="AM54" s="490">
        <v>0</v>
      </c>
      <c r="AN54" s="490">
        <v>0</v>
      </c>
      <c r="AO54" s="490">
        <v>0</v>
      </c>
      <c r="AP54" s="490">
        <v>0</v>
      </c>
      <c r="AQ54" s="490">
        <v>0</v>
      </c>
      <c r="AR54" s="490">
        <v>0</v>
      </c>
      <c r="AS54" s="490">
        <v>0</v>
      </c>
      <c r="AT54" s="490">
        <v>0</v>
      </c>
      <c r="AU54" s="490">
        <v>0</v>
      </c>
      <c r="AV54" s="490">
        <v>0</v>
      </c>
      <c r="AW54" s="490">
        <v>0</v>
      </c>
      <c r="AX54" s="490">
        <v>0</v>
      </c>
      <c r="AY54" s="490">
        <v>0</v>
      </c>
      <c r="AZ54" s="491">
        <v>0</v>
      </c>
    </row>
    <row r="55" spans="1:52" s="469" customFormat="1">
      <c r="A55" s="492">
        <f>'[4]Allocation Methodology'!A51</f>
        <v>47</v>
      </c>
      <c r="B55" s="493" t="str">
        <f>'[4]Allocation Methodology'!B51</f>
        <v>Loblaw &amp; York Region Demand Response</v>
      </c>
      <c r="C55" s="493" t="str">
        <f>'[4]Allocation Methodology'!C51</f>
        <v>Business, Industrial</v>
      </c>
      <c r="D55" s="493" t="s">
        <v>480</v>
      </c>
      <c r="E55" s="493">
        <f>'[4]Allocation Methodology'!D51</f>
        <v>2009</v>
      </c>
      <c r="F55" s="494" t="str">
        <f>'[4]Allocation Methodology'!E51</f>
        <v>Final</v>
      </c>
      <c r="G55" s="471" t="b">
        <v>0</v>
      </c>
      <c r="H55" s="495">
        <v>0</v>
      </c>
      <c r="I55" s="496">
        <v>0</v>
      </c>
      <c r="J55" s="496">
        <v>0</v>
      </c>
      <c r="K55" s="496">
        <v>0.19930617967747344</v>
      </c>
      <c r="L55" s="496">
        <v>0</v>
      </c>
      <c r="M55" s="496">
        <v>0</v>
      </c>
      <c r="N55" s="496">
        <v>0</v>
      </c>
      <c r="O55" s="496">
        <v>0</v>
      </c>
      <c r="P55" s="496">
        <v>0</v>
      </c>
      <c r="Q55" s="496">
        <v>0</v>
      </c>
      <c r="R55" s="496">
        <v>0</v>
      </c>
      <c r="S55" s="496">
        <v>0</v>
      </c>
      <c r="T55" s="496">
        <v>0</v>
      </c>
      <c r="U55" s="496">
        <v>0</v>
      </c>
      <c r="V55" s="496">
        <v>0</v>
      </c>
      <c r="W55" s="496">
        <v>0</v>
      </c>
      <c r="X55" s="496">
        <v>0</v>
      </c>
      <c r="Y55" s="496">
        <v>0</v>
      </c>
      <c r="Z55" s="496">
        <v>0</v>
      </c>
      <c r="AA55" s="496">
        <v>0</v>
      </c>
      <c r="AB55" s="496">
        <v>0</v>
      </c>
      <c r="AC55" s="496">
        <v>0</v>
      </c>
      <c r="AD55" s="496">
        <v>0</v>
      </c>
      <c r="AE55" s="496">
        <v>0</v>
      </c>
      <c r="AF55" s="496">
        <v>0</v>
      </c>
      <c r="AG55" s="497">
        <v>0</v>
      </c>
      <c r="AH55" s="497">
        <v>0</v>
      </c>
      <c r="AI55" s="497">
        <v>0</v>
      </c>
      <c r="AJ55" s="497">
        <v>0</v>
      </c>
      <c r="AK55" s="497">
        <v>0</v>
      </c>
      <c r="AL55" s="497">
        <v>0</v>
      </c>
      <c r="AM55" s="497">
        <v>0</v>
      </c>
      <c r="AN55" s="497">
        <v>0</v>
      </c>
      <c r="AO55" s="497">
        <v>0</v>
      </c>
      <c r="AP55" s="497">
        <v>0</v>
      </c>
      <c r="AQ55" s="497">
        <v>0</v>
      </c>
      <c r="AR55" s="497">
        <v>0</v>
      </c>
      <c r="AS55" s="497">
        <v>0</v>
      </c>
      <c r="AT55" s="497">
        <v>0</v>
      </c>
      <c r="AU55" s="497">
        <v>0</v>
      </c>
      <c r="AV55" s="497">
        <v>0</v>
      </c>
      <c r="AW55" s="497">
        <v>0</v>
      </c>
      <c r="AX55" s="497">
        <v>0</v>
      </c>
      <c r="AY55" s="497">
        <v>0</v>
      </c>
      <c r="AZ55" s="498">
        <v>0</v>
      </c>
    </row>
    <row r="56" spans="1:52" s="469" customFormat="1">
      <c r="A56" s="485">
        <f>'[4]Allocation Methodology'!A52</f>
        <v>48</v>
      </c>
      <c r="B56" s="486" t="str">
        <f>'[4]Allocation Methodology'!B52</f>
        <v>LDC Custom - Thunder Bay Hydro - Phantom Load</v>
      </c>
      <c r="C56" s="486" t="str">
        <f>'[4]Allocation Methodology'!C52</f>
        <v>Consumer</v>
      </c>
      <c r="D56" s="486" t="s">
        <v>58</v>
      </c>
      <c r="E56" s="486">
        <f>'[4]Allocation Methodology'!D52</f>
        <v>2009</v>
      </c>
      <c r="F56" s="487" t="str">
        <f>'[4]Allocation Methodology'!E52</f>
        <v>Final</v>
      </c>
      <c r="G56" s="471" t="b">
        <v>0</v>
      </c>
      <c r="H56" s="488">
        <v>0</v>
      </c>
      <c r="I56" s="489">
        <v>0</v>
      </c>
      <c r="J56" s="489">
        <v>0</v>
      </c>
      <c r="K56" s="489">
        <v>0</v>
      </c>
      <c r="L56" s="489">
        <v>0</v>
      </c>
      <c r="M56" s="489">
        <v>0</v>
      </c>
      <c r="N56" s="489">
        <v>0</v>
      </c>
      <c r="O56" s="489">
        <v>0</v>
      </c>
      <c r="P56" s="489">
        <v>0</v>
      </c>
      <c r="Q56" s="489">
        <v>0</v>
      </c>
      <c r="R56" s="489">
        <v>0</v>
      </c>
      <c r="S56" s="489">
        <v>0</v>
      </c>
      <c r="T56" s="489">
        <v>0</v>
      </c>
      <c r="U56" s="489">
        <v>0</v>
      </c>
      <c r="V56" s="489">
        <v>0</v>
      </c>
      <c r="W56" s="489">
        <v>0</v>
      </c>
      <c r="X56" s="489">
        <v>0</v>
      </c>
      <c r="Y56" s="489">
        <v>0</v>
      </c>
      <c r="Z56" s="489">
        <v>0</v>
      </c>
      <c r="AA56" s="489">
        <v>0</v>
      </c>
      <c r="AB56" s="489">
        <v>0</v>
      </c>
      <c r="AC56" s="489">
        <v>0</v>
      </c>
      <c r="AD56" s="489">
        <v>0</v>
      </c>
      <c r="AE56" s="489">
        <v>0</v>
      </c>
      <c r="AF56" s="489">
        <v>0</v>
      </c>
      <c r="AG56" s="490">
        <v>0</v>
      </c>
      <c r="AH56" s="490">
        <v>0</v>
      </c>
      <c r="AI56" s="490">
        <v>0</v>
      </c>
      <c r="AJ56" s="490">
        <v>0</v>
      </c>
      <c r="AK56" s="490">
        <v>0</v>
      </c>
      <c r="AL56" s="490">
        <v>0</v>
      </c>
      <c r="AM56" s="490">
        <v>0</v>
      </c>
      <c r="AN56" s="490">
        <v>0</v>
      </c>
      <c r="AO56" s="490">
        <v>0</v>
      </c>
      <c r="AP56" s="490">
        <v>0</v>
      </c>
      <c r="AQ56" s="490">
        <v>0</v>
      </c>
      <c r="AR56" s="490">
        <v>0</v>
      </c>
      <c r="AS56" s="490">
        <v>0</v>
      </c>
      <c r="AT56" s="490">
        <v>0</v>
      </c>
      <c r="AU56" s="490">
        <v>0</v>
      </c>
      <c r="AV56" s="490">
        <v>0</v>
      </c>
      <c r="AW56" s="490">
        <v>0</v>
      </c>
      <c r="AX56" s="490">
        <v>0</v>
      </c>
      <c r="AY56" s="490">
        <v>0</v>
      </c>
      <c r="AZ56" s="491">
        <v>0</v>
      </c>
    </row>
    <row r="57" spans="1:52" s="469" customFormat="1">
      <c r="A57" s="522">
        <f>'[4]Allocation Methodology'!A53</f>
        <v>49</v>
      </c>
      <c r="B57" s="523" t="str">
        <f>'[4]Allocation Methodology'!B53</f>
        <v>LDC Custom - Toronto Hydro - Summer Challenge</v>
      </c>
      <c r="C57" s="523" t="str">
        <f>'[4]Allocation Methodology'!C53</f>
        <v>Consumer</v>
      </c>
      <c r="D57" s="523" t="s">
        <v>58</v>
      </c>
      <c r="E57" s="523">
        <f>'[4]Allocation Methodology'!D53</f>
        <v>2009</v>
      </c>
      <c r="F57" s="524" t="str">
        <f>'[4]Allocation Methodology'!E53</f>
        <v>Final</v>
      </c>
      <c r="G57" s="471" t="b">
        <v>0</v>
      </c>
      <c r="H57" s="495">
        <v>0</v>
      </c>
      <c r="I57" s="496">
        <v>0</v>
      </c>
      <c r="J57" s="496">
        <v>0</v>
      </c>
      <c r="K57" s="496">
        <v>0</v>
      </c>
      <c r="L57" s="496">
        <v>0</v>
      </c>
      <c r="M57" s="496">
        <v>0</v>
      </c>
      <c r="N57" s="496">
        <v>0</v>
      </c>
      <c r="O57" s="496">
        <v>0</v>
      </c>
      <c r="P57" s="496">
        <v>0</v>
      </c>
      <c r="Q57" s="496">
        <v>0</v>
      </c>
      <c r="R57" s="496">
        <v>0</v>
      </c>
      <c r="S57" s="496">
        <v>0</v>
      </c>
      <c r="T57" s="496">
        <v>0</v>
      </c>
      <c r="U57" s="496">
        <v>0</v>
      </c>
      <c r="V57" s="496">
        <v>0</v>
      </c>
      <c r="W57" s="496">
        <v>0</v>
      </c>
      <c r="X57" s="496">
        <v>0</v>
      </c>
      <c r="Y57" s="496">
        <v>0</v>
      </c>
      <c r="Z57" s="496">
        <v>0</v>
      </c>
      <c r="AA57" s="496">
        <v>0</v>
      </c>
      <c r="AB57" s="496">
        <v>0</v>
      </c>
      <c r="AC57" s="496">
        <v>0</v>
      </c>
      <c r="AD57" s="496">
        <v>0</v>
      </c>
      <c r="AE57" s="496">
        <v>0</v>
      </c>
      <c r="AF57" s="496">
        <v>0</v>
      </c>
      <c r="AG57" s="497">
        <v>0</v>
      </c>
      <c r="AH57" s="497">
        <v>0</v>
      </c>
      <c r="AI57" s="497">
        <v>0</v>
      </c>
      <c r="AJ57" s="497">
        <v>0</v>
      </c>
      <c r="AK57" s="497">
        <v>0</v>
      </c>
      <c r="AL57" s="497">
        <v>0</v>
      </c>
      <c r="AM57" s="497">
        <v>0</v>
      </c>
      <c r="AN57" s="497">
        <v>0</v>
      </c>
      <c r="AO57" s="497">
        <v>0</v>
      </c>
      <c r="AP57" s="497">
        <v>0</v>
      </c>
      <c r="AQ57" s="497">
        <v>0</v>
      </c>
      <c r="AR57" s="497">
        <v>0</v>
      </c>
      <c r="AS57" s="497">
        <v>0</v>
      </c>
      <c r="AT57" s="497">
        <v>0</v>
      </c>
      <c r="AU57" s="497">
        <v>0</v>
      </c>
      <c r="AV57" s="497">
        <v>0</v>
      </c>
      <c r="AW57" s="497">
        <v>0</v>
      </c>
      <c r="AX57" s="497">
        <v>0</v>
      </c>
      <c r="AY57" s="497">
        <v>0</v>
      </c>
      <c r="AZ57" s="498">
        <v>0</v>
      </c>
    </row>
    <row r="58" spans="1:52" s="469" customFormat="1">
      <c r="A58" s="514">
        <f>'[4]Allocation Methodology'!A54</f>
        <v>50</v>
      </c>
      <c r="B58" s="515" t="str">
        <f>'[4]Allocation Methodology'!B54</f>
        <v>LDC Custom - PowerStream - Data Centers</v>
      </c>
      <c r="C58" s="515" t="str">
        <f>'[4]Allocation Methodology'!C54</f>
        <v>Business</v>
      </c>
      <c r="D58" s="515" t="s">
        <v>58</v>
      </c>
      <c r="E58" s="515">
        <f>'[4]Allocation Methodology'!D54</f>
        <v>2009</v>
      </c>
      <c r="F58" s="516" t="str">
        <f>'[4]Allocation Methodology'!E54</f>
        <v>Final</v>
      </c>
      <c r="G58" s="471"/>
      <c r="H58" s="517">
        <v>0</v>
      </c>
      <c r="I58" s="518">
        <v>0</v>
      </c>
      <c r="J58" s="518">
        <v>0</v>
      </c>
      <c r="K58" s="518">
        <v>0</v>
      </c>
      <c r="L58" s="518">
        <v>0</v>
      </c>
      <c r="M58" s="518">
        <v>0</v>
      </c>
      <c r="N58" s="518">
        <v>0</v>
      </c>
      <c r="O58" s="518">
        <v>0</v>
      </c>
      <c r="P58" s="518">
        <v>0</v>
      </c>
      <c r="Q58" s="518">
        <v>0</v>
      </c>
      <c r="R58" s="518">
        <v>0</v>
      </c>
      <c r="S58" s="518">
        <v>0</v>
      </c>
      <c r="T58" s="518">
        <v>0</v>
      </c>
      <c r="U58" s="518">
        <v>0</v>
      </c>
      <c r="V58" s="518">
        <v>0</v>
      </c>
      <c r="W58" s="518">
        <v>0</v>
      </c>
      <c r="X58" s="518">
        <v>0</v>
      </c>
      <c r="Y58" s="518">
        <v>0</v>
      </c>
      <c r="Z58" s="518">
        <v>0</v>
      </c>
      <c r="AA58" s="518">
        <v>0</v>
      </c>
      <c r="AB58" s="518">
        <v>0</v>
      </c>
      <c r="AC58" s="518">
        <v>0</v>
      </c>
      <c r="AD58" s="518">
        <v>0</v>
      </c>
      <c r="AE58" s="518">
        <v>0</v>
      </c>
      <c r="AF58" s="518">
        <v>0</v>
      </c>
      <c r="AG58" s="519">
        <v>0</v>
      </c>
      <c r="AH58" s="519">
        <v>0</v>
      </c>
      <c r="AI58" s="519">
        <v>0</v>
      </c>
      <c r="AJ58" s="519">
        <v>0</v>
      </c>
      <c r="AK58" s="519">
        <v>0</v>
      </c>
      <c r="AL58" s="519">
        <v>0</v>
      </c>
      <c r="AM58" s="519">
        <v>0</v>
      </c>
      <c r="AN58" s="519">
        <v>0</v>
      </c>
      <c r="AO58" s="519">
        <v>0</v>
      </c>
      <c r="AP58" s="519">
        <v>0</v>
      </c>
      <c r="AQ58" s="519">
        <v>0</v>
      </c>
      <c r="AR58" s="519">
        <v>0</v>
      </c>
      <c r="AS58" s="519">
        <v>0</v>
      </c>
      <c r="AT58" s="519">
        <v>0</v>
      </c>
      <c r="AU58" s="519">
        <v>0</v>
      </c>
      <c r="AV58" s="519">
        <v>0</v>
      </c>
      <c r="AW58" s="519">
        <v>0</v>
      </c>
      <c r="AX58" s="519">
        <v>0</v>
      </c>
      <c r="AY58" s="519">
        <v>0</v>
      </c>
      <c r="AZ58" s="520">
        <v>0</v>
      </c>
    </row>
    <row r="59" spans="1:52" s="469" customFormat="1">
      <c r="A59" s="478">
        <f>'[4]Allocation Methodology'!A55</f>
        <v>51</v>
      </c>
      <c r="B59" s="479" t="str">
        <f>'[4]Allocation Methodology'!B55</f>
        <v>Toronto Comprehensive Adjustment</v>
      </c>
      <c r="C59" s="479" t="str">
        <f>'[4]Allocation Methodology'!C55</f>
        <v>Consumer, Business</v>
      </c>
      <c r="D59" s="479" t="s">
        <v>58</v>
      </c>
      <c r="E59" s="479">
        <f>'[4]Allocation Methodology'!D55</f>
        <v>2008</v>
      </c>
      <c r="F59" s="480" t="str">
        <f>'[4]Allocation Methodology'!E55</f>
        <v>Final</v>
      </c>
      <c r="G59" s="471"/>
      <c r="H59" s="481">
        <v>0</v>
      </c>
      <c r="I59" s="482">
        <v>0</v>
      </c>
      <c r="J59" s="482">
        <v>0</v>
      </c>
      <c r="K59" s="482">
        <v>0</v>
      </c>
      <c r="L59" s="482">
        <v>0</v>
      </c>
      <c r="M59" s="482">
        <v>0</v>
      </c>
      <c r="N59" s="482">
        <v>0</v>
      </c>
      <c r="O59" s="482">
        <v>0</v>
      </c>
      <c r="P59" s="482">
        <v>0</v>
      </c>
      <c r="Q59" s="482">
        <v>0</v>
      </c>
      <c r="R59" s="482">
        <v>0</v>
      </c>
      <c r="S59" s="482">
        <v>0</v>
      </c>
      <c r="T59" s="482">
        <v>0</v>
      </c>
      <c r="U59" s="482">
        <v>0</v>
      </c>
      <c r="V59" s="482">
        <v>0</v>
      </c>
      <c r="W59" s="482">
        <v>0</v>
      </c>
      <c r="X59" s="482">
        <v>0</v>
      </c>
      <c r="Y59" s="482">
        <v>0</v>
      </c>
      <c r="Z59" s="482">
        <v>0</v>
      </c>
      <c r="AA59" s="482">
        <v>0</v>
      </c>
      <c r="AB59" s="482">
        <v>0</v>
      </c>
      <c r="AC59" s="482">
        <v>0</v>
      </c>
      <c r="AD59" s="482">
        <v>0</v>
      </c>
      <c r="AE59" s="482">
        <v>0</v>
      </c>
      <c r="AF59" s="482">
        <v>0</v>
      </c>
      <c r="AG59" s="483">
        <v>0</v>
      </c>
      <c r="AH59" s="483">
        <v>0</v>
      </c>
      <c r="AI59" s="483">
        <v>0</v>
      </c>
      <c r="AJ59" s="483">
        <v>0</v>
      </c>
      <c r="AK59" s="483">
        <v>0</v>
      </c>
      <c r="AL59" s="483">
        <v>0</v>
      </c>
      <c r="AM59" s="483">
        <v>0</v>
      </c>
      <c r="AN59" s="483">
        <v>0</v>
      </c>
      <c r="AO59" s="483">
        <v>0</v>
      </c>
      <c r="AP59" s="483">
        <v>0</v>
      </c>
      <c r="AQ59" s="483">
        <v>0</v>
      </c>
      <c r="AR59" s="483">
        <v>0</v>
      </c>
      <c r="AS59" s="483">
        <v>0</v>
      </c>
      <c r="AT59" s="483">
        <v>0</v>
      </c>
      <c r="AU59" s="483">
        <v>0</v>
      </c>
      <c r="AV59" s="483">
        <v>0</v>
      </c>
      <c r="AW59" s="483">
        <v>0</v>
      </c>
      <c r="AX59" s="483">
        <v>0</v>
      </c>
      <c r="AY59" s="483">
        <v>0</v>
      </c>
      <c r="AZ59" s="484">
        <v>0</v>
      </c>
    </row>
    <row r="60" spans="1:52" s="469" customFormat="1">
      <c r="A60" s="514">
        <f>'[4]Allocation Methodology'!A56</f>
        <v>52</v>
      </c>
      <c r="B60" s="515" t="str">
        <f>'[4]Allocation Methodology'!B56</f>
        <v>LDC Custom - Hydro One Networks Inc. - Double Return Adjustment</v>
      </c>
      <c r="C60" s="515" t="str">
        <f>'[4]Allocation Methodology'!C56</f>
        <v>Business, Industrial</v>
      </c>
      <c r="D60" s="515" t="s">
        <v>58</v>
      </c>
      <c r="E60" s="515">
        <f>'[4]Allocation Methodology'!D56</f>
        <v>2008</v>
      </c>
      <c r="F60" s="516" t="str">
        <f>'[4]Allocation Methodology'!E56</f>
        <v>Final</v>
      </c>
      <c r="G60" s="471"/>
      <c r="H60" s="517">
        <v>0</v>
      </c>
      <c r="I60" s="518">
        <v>0</v>
      </c>
      <c r="J60" s="518">
        <v>0</v>
      </c>
      <c r="K60" s="518">
        <v>0</v>
      </c>
      <c r="L60" s="518">
        <v>0</v>
      </c>
      <c r="M60" s="518">
        <v>0</v>
      </c>
      <c r="N60" s="518">
        <v>0</v>
      </c>
      <c r="O60" s="518">
        <v>0</v>
      </c>
      <c r="P60" s="518">
        <v>0</v>
      </c>
      <c r="Q60" s="518">
        <v>0</v>
      </c>
      <c r="R60" s="518">
        <v>0</v>
      </c>
      <c r="S60" s="518">
        <v>0</v>
      </c>
      <c r="T60" s="518">
        <v>0</v>
      </c>
      <c r="U60" s="518">
        <v>0</v>
      </c>
      <c r="V60" s="518">
        <v>0</v>
      </c>
      <c r="W60" s="518">
        <v>0</v>
      </c>
      <c r="X60" s="518">
        <v>0</v>
      </c>
      <c r="Y60" s="518">
        <v>0</v>
      </c>
      <c r="Z60" s="518">
        <v>0</v>
      </c>
      <c r="AA60" s="518">
        <v>0</v>
      </c>
      <c r="AB60" s="518">
        <v>0</v>
      </c>
      <c r="AC60" s="518">
        <v>0</v>
      </c>
      <c r="AD60" s="518">
        <v>0</v>
      </c>
      <c r="AE60" s="518">
        <v>0</v>
      </c>
      <c r="AF60" s="518">
        <v>0</v>
      </c>
      <c r="AG60" s="519">
        <v>0</v>
      </c>
      <c r="AH60" s="519">
        <v>0</v>
      </c>
      <c r="AI60" s="519">
        <v>0</v>
      </c>
      <c r="AJ60" s="519">
        <v>0</v>
      </c>
      <c r="AK60" s="519">
        <v>0</v>
      </c>
      <c r="AL60" s="519">
        <v>0</v>
      </c>
      <c r="AM60" s="519">
        <v>0</v>
      </c>
      <c r="AN60" s="519">
        <v>0</v>
      </c>
      <c r="AO60" s="519">
        <v>0</v>
      </c>
      <c r="AP60" s="519">
        <v>0</v>
      </c>
      <c r="AQ60" s="519">
        <v>0</v>
      </c>
      <c r="AR60" s="519">
        <v>0</v>
      </c>
      <c r="AS60" s="519">
        <v>0</v>
      </c>
      <c r="AT60" s="519">
        <v>0</v>
      </c>
      <c r="AU60" s="519">
        <v>0</v>
      </c>
      <c r="AV60" s="519">
        <v>0</v>
      </c>
      <c r="AW60" s="519">
        <v>0</v>
      </c>
      <c r="AX60" s="519">
        <v>0</v>
      </c>
      <c r="AY60" s="519">
        <v>0</v>
      </c>
      <c r="AZ60" s="520">
        <v>0</v>
      </c>
    </row>
    <row r="61" spans="1:52" s="469" customFormat="1">
      <c r="A61" s="478">
        <f>'[4]Allocation Methodology'!A57</f>
        <v>53</v>
      </c>
      <c r="B61" s="479" t="str">
        <f>'[4]Allocation Methodology'!B57</f>
        <v>Great Refrigerator Roundup</v>
      </c>
      <c r="C61" s="479" t="str">
        <f>'[4]Allocation Methodology'!C57</f>
        <v>Consumer</v>
      </c>
      <c r="D61" s="479" t="s">
        <v>17</v>
      </c>
      <c r="E61" s="479">
        <f>'[4]Allocation Methodology'!D57</f>
        <v>2010</v>
      </c>
      <c r="F61" s="480" t="str">
        <f>'[4]Allocation Methodology'!E57</f>
        <v>Final</v>
      </c>
      <c r="G61" s="471"/>
      <c r="H61" s="525">
        <v>0</v>
      </c>
      <c r="I61" s="526">
        <v>0</v>
      </c>
      <c r="J61" s="526">
        <v>0</v>
      </c>
      <c r="K61" s="526">
        <v>0</v>
      </c>
      <c r="L61" s="526">
        <v>1.3571767054916849E-2</v>
      </c>
      <c r="M61" s="526">
        <v>1.3571767054916849E-2</v>
      </c>
      <c r="N61" s="526">
        <v>1.3571767054916849E-2</v>
      </c>
      <c r="O61" s="526">
        <v>1.2617838813460935E-2</v>
      </c>
      <c r="P61" s="526">
        <v>9.0288108236690826E-3</v>
      </c>
      <c r="Q61" s="526">
        <v>0</v>
      </c>
      <c r="R61" s="526">
        <v>0</v>
      </c>
      <c r="S61" s="526">
        <v>0</v>
      </c>
      <c r="T61" s="526">
        <v>0</v>
      </c>
      <c r="U61" s="526">
        <v>0</v>
      </c>
      <c r="V61" s="526">
        <v>0</v>
      </c>
      <c r="W61" s="526">
        <v>0</v>
      </c>
      <c r="X61" s="526">
        <v>0</v>
      </c>
      <c r="Y61" s="526">
        <v>0</v>
      </c>
      <c r="Z61" s="526">
        <v>0</v>
      </c>
      <c r="AA61" s="526">
        <v>0</v>
      </c>
      <c r="AB61" s="526">
        <v>0</v>
      </c>
      <c r="AC61" s="526">
        <v>0</v>
      </c>
      <c r="AD61" s="526">
        <v>0</v>
      </c>
      <c r="AE61" s="526">
        <v>0</v>
      </c>
      <c r="AF61" s="526">
        <v>0</v>
      </c>
      <c r="AG61" s="527">
        <v>0</v>
      </c>
      <c r="AH61" s="527">
        <v>0</v>
      </c>
      <c r="AI61" s="527">
        <v>0</v>
      </c>
      <c r="AJ61" s="527">
        <v>0</v>
      </c>
      <c r="AK61" s="527">
        <v>0</v>
      </c>
      <c r="AL61" s="527">
        <v>0</v>
      </c>
      <c r="AM61" s="527">
        <v>0</v>
      </c>
      <c r="AN61" s="527">
        <v>0</v>
      </c>
      <c r="AO61" s="527">
        <v>0</v>
      </c>
      <c r="AP61" s="527">
        <v>0</v>
      </c>
      <c r="AQ61" s="527">
        <v>0</v>
      </c>
      <c r="AR61" s="527">
        <v>0</v>
      </c>
      <c r="AS61" s="527">
        <v>0</v>
      </c>
      <c r="AT61" s="527">
        <v>0</v>
      </c>
      <c r="AU61" s="527">
        <v>0</v>
      </c>
      <c r="AV61" s="527">
        <v>0</v>
      </c>
      <c r="AW61" s="527">
        <v>0</v>
      </c>
      <c r="AX61" s="527">
        <v>0</v>
      </c>
      <c r="AY61" s="527">
        <v>0</v>
      </c>
      <c r="AZ61" s="528">
        <v>0</v>
      </c>
    </row>
    <row r="62" spans="1:52" s="469" customFormat="1">
      <c r="A62" s="485">
        <f>'[4]Allocation Methodology'!A58</f>
        <v>54</v>
      </c>
      <c r="B62" s="486" t="str">
        <f>'[4]Allocation Methodology'!B58</f>
        <v>Cool Savings Rebate</v>
      </c>
      <c r="C62" s="486" t="str">
        <f>'[4]Allocation Methodology'!C58</f>
        <v>Consumer</v>
      </c>
      <c r="D62" s="486" t="s">
        <v>17</v>
      </c>
      <c r="E62" s="486">
        <f>'[4]Allocation Methodology'!D58</f>
        <v>2010</v>
      </c>
      <c r="F62" s="487" t="str">
        <f>'[4]Allocation Methodology'!E58</f>
        <v>Final</v>
      </c>
      <c r="G62" s="471"/>
      <c r="H62" s="488">
        <v>0</v>
      </c>
      <c r="I62" s="489">
        <v>0</v>
      </c>
      <c r="J62" s="489">
        <v>0</v>
      </c>
      <c r="K62" s="489">
        <v>0</v>
      </c>
      <c r="L62" s="489">
        <v>4.5320049962194832E-2</v>
      </c>
      <c r="M62" s="489">
        <v>4.5320049962194832E-2</v>
      </c>
      <c r="N62" s="489">
        <v>4.5320049962194832E-2</v>
      </c>
      <c r="O62" s="489">
        <v>4.5320049962194832E-2</v>
      </c>
      <c r="P62" s="489">
        <v>4.5320049962194832E-2</v>
      </c>
      <c r="Q62" s="489">
        <v>4.5320049962194832E-2</v>
      </c>
      <c r="R62" s="489">
        <v>4.5320049962194832E-2</v>
      </c>
      <c r="S62" s="489">
        <v>4.5320049962194832E-2</v>
      </c>
      <c r="T62" s="489">
        <v>4.5320049962194832E-2</v>
      </c>
      <c r="U62" s="489">
        <v>4.5320049962194832E-2</v>
      </c>
      <c r="V62" s="489">
        <v>4.5320049962194832E-2</v>
      </c>
      <c r="W62" s="489">
        <v>4.5320049962194832E-2</v>
      </c>
      <c r="X62" s="489">
        <v>4.5320049962194832E-2</v>
      </c>
      <c r="Y62" s="489">
        <v>4.5320049962194832E-2</v>
      </c>
      <c r="Z62" s="489">
        <v>4.5320049962194832E-2</v>
      </c>
      <c r="AA62" s="489">
        <v>4.4345889124962512E-2</v>
      </c>
      <c r="AB62" s="489">
        <v>4.4345889124962512E-2</v>
      </c>
      <c r="AC62" s="489">
        <v>4.4345889124962512E-2</v>
      </c>
      <c r="AD62" s="489">
        <v>3.9851884381790312E-2</v>
      </c>
      <c r="AE62" s="489">
        <v>0</v>
      </c>
      <c r="AF62" s="489">
        <v>0</v>
      </c>
      <c r="AG62" s="490">
        <v>0</v>
      </c>
      <c r="AH62" s="490">
        <v>0</v>
      </c>
      <c r="AI62" s="490">
        <v>0</v>
      </c>
      <c r="AJ62" s="490">
        <v>0</v>
      </c>
      <c r="AK62" s="490">
        <v>0</v>
      </c>
      <c r="AL62" s="490">
        <v>0</v>
      </c>
      <c r="AM62" s="490">
        <v>0</v>
      </c>
      <c r="AN62" s="490">
        <v>0</v>
      </c>
      <c r="AO62" s="490">
        <v>0</v>
      </c>
      <c r="AP62" s="490">
        <v>0</v>
      </c>
      <c r="AQ62" s="490">
        <v>0</v>
      </c>
      <c r="AR62" s="490">
        <v>0</v>
      </c>
      <c r="AS62" s="490">
        <v>0</v>
      </c>
      <c r="AT62" s="490">
        <v>0</v>
      </c>
      <c r="AU62" s="490">
        <v>0</v>
      </c>
      <c r="AV62" s="490">
        <v>0</v>
      </c>
      <c r="AW62" s="490">
        <v>0</v>
      </c>
      <c r="AX62" s="490">
        <v>0</v>
      </c>
      <c r="AY62" s="490">
        <v>0</v>
      </c>
      <c r="AZ62" s="491">
        <v>0</v>
      </c>
    </row>
    <row r="63" spans="1:52" s="469" customFormat="1">
      <c r="A63" s="492">
        <f>'[4]Allocation Methodology'!A59</f>
        <v>55</v>
      </c>
      <c r="B63" s="493" t="str">
        <f>'[4]Allocation Methodology'!B59</f>
        <v>Every Kilowatt Counts Power Savings Event</v>
      </c>
      <c r="C63" s="493" t="str">
        <f>'[4]Allocation Methodology'!C59</f>
        <v>Consumer</v>
      </c>
      <c r="D63" s="493" t="s">
        <v>17</v>
      </c>
      <c r="E63" s="493">
        <f>'[4]Allocation Methodology'!D59</f>
        <v>2010</v>
      </c>
      <c r="F63" s="494" t="str">
        <f>'[4]Allocation Methodology'!E59</f>
        <v>Final</v>
      </c>
      <c r="G63" s="471"/>
      <c r="H63" s="495">
        <v>0</v>
      </c>
      <c r="I63" s="496">
        <v>0</v>
      </c>
      <c r="J63" s="496">
        <v>0</v>
      </c>
      <c r="K63" s="496">
        <v>0</v>
      </c>
      <c r="L63" s="496">
        <v>7.9102505462775169E-3</v>
      </c>
      <c r="M63" s="496">
        <v>7.552654102152446E-3</v>
      </c>
      <c r="N63" s="496">
        <v>7.3715778473947748E-3</v>
      </c>
      <c r="O63" s="496">
        <v>7.3715778473947748E-3</v>
      </c>
      <c r="P63" s="496">
        <v>7.3715778473947748E-3</v>
      </c>
      <c r="Q63" s="496">
        <v>7.1302517976481478E-3</v>
      </c>
      <c r="R63" s="496">
        <v>6.8376049226685507E-3</v>
      </c>
      <c r="S63" s="496">
        <v>6.8376049226685507E-3</v>
      </c>
      <c r="T63" s="496">
        <v>6.8139925801342181E-3</v>
      </c>
      <c r="U63" s="496">
        <v>5.0749839832919304E-3</v>
      </c>
      <c r="V63" s="496">
        <v>2.9539306412880596E-3</v>
      </c>
      <c r="W63" s="496">
        <v>2.9539306412880596E-3</v>
      </c>
      <c r="X63" s="496">
        <v>2.7412498847349319E-3</v>
      </c>
      <c r="Y63" s="496">
        <v>2.7412498847349319E-3</v>
      </c>
      <c r="Z63" s="496">
        <v>2.7412498847349319E-3</v>
      </c>
      <c r="AA63" s="496">
        <v>3.7191837741592208E-4</v>
      </c>
      <c r="AB63" s="496">
        <v>5.1457930911912316E-6</v>
      </c>
      <c r="AC63" s="496">
        <v>5.1457930911912316E-6</v>
      </c>
      <c r="AD63" s="496">
        <v>5.1457930911912316E-6</v>
      </c>
      <c r="AE63" s="496">
        <v>5.1457930911912316E-6</v>
      </c>
      <c r="AF63" s="496">
        <v>0</v>
      </c>
      <c r="AG63" s="497">
        <v>0</v>
      </c>
      <c r="AH63" s="497">
        <v>0</v>
      </c>
      <c r="AI63" s="497">
        <v>0</v>
      </c>
      <c r="AJ63" s="497">
        <v>0</v>
      </c>
      <c r="AK63" s="497">
        <v>0</v>
      </c>
      <c r="AL63" s="497">
        <v>0</v>
      </c>
      <c r="AM63" s="497">
        <v>0</v>
      </c>
      <c r="AN63" s="497">
        <v>0</v>
      </c>
      <c r="AO63" s="497">
        <v>0</v>
      </c>
      <c r="AP63" s="497">
        <v>0</v>
      </c>
      <c r="AQ63" s="497">
        <v>0</v>
      </c>
      <c r="AR63" s="497">
        <v>0</v>
      </c>
      <c r="AS63" s="497">
        <v>0</v>
      </c>
      <c r="AT63" s="497">
        <v>0</v>
      </c>
      <c r="AU63" s="497">
        <v>0</v>
      </c>
      <c r="AV63" s="497">
        <v>0</v>
      </c>
      <c r="AW63" s="497">
        <v>0</v>
      </c>
      <c r="AX63" s="497">
        <v>0</v>
      </c>
      <c r="AY63" s="497">
        <v>0</v>
      </c>
      <c r="AZ63" s="498">
        <v>0</v>
      </c>
    </row>
    <row r="64" spans="1:52" s="469" customFormat="1">
      <c r="A64" s="485">
        <f>'[4]Allocation Methodology'!A60</f>
        <v>56</v>
      </c>
      <c r="B64" s="521" t="str">
        <f>'[4]Allocation Methodology'!B60</f>
        <v>peaksaver®</v>
      </c>
      <c r="C64" s="486" t="str">
        <f>'[4]Allocation Methodology'!C60</f>
        <v>Consumer, Business</v>
      </c>
      <c r="D64" s="486" t="s">
        <v>58</v>
      </c>
      <c r="E64" s="486">
        <f>'[4]Allocation Methodology'!D60</f>
        <v>2010</v>
      </c>
      <c r="F64" s="487" t="str">
        <f>'[4]Allocation Methodology'!E60</f>
        <v>Final</v>
      </c>
      <c r="G64" s="471"/>
      <c r="H64" s="488">
        <v>0</v>
      </c>
      <c r="I64" s="489">
        <v>0</v>
      </c>
      <c r="J64" s="489">
        <v>0</v>
      </c>
      <c r="K64" s="489">
        <v>0</v>
      </c>
      <c r="L64" s="489">
        <v>0</v>
      </c>
      <c r="M64" s="489">
        <v>0</v>
      </c>
      <c r="N64" s="489">
        <v>0</v>
      </c>
      <c r="O64" s="489">
        <v>0</v>
      </c>
      <c r="P64" s="489">
        <v>0</v>
      </c>
      <c r="Q64" s="489">
        <v>0</v>
      </c>
      <c r="R64" s="489">
        <v>0</v>
      </c>
      <c r="S64" s="489">
        <v>0</v>
      </c>
      <c r="T64" s="489">
        <v>0</v>
      </c>
      <c r="U64" s="489">
        <v>0</v>
      </c>
      <c r="V64" s="489">
        <v>0</v>
      </c>
      <c r="W64" s="489">
        <v>0</v>
      </c>
      <c r="X64" s="489">
        <v>0</v>
      </c>
      <c r="Y64" s="489">
        <v>0</v>
      </c>
      <c r="Z64" s="489">
        <v>0</v>
      </c>
      <c r="AA64" s="489">
        <v>0</v>
      </c>
      <c r="AB64" s="489">
        <v>0</v>
      </c>
      <c r="AC64" s="489">
        <v>0</v>
      </c>
      <c r="AD64" s="489">
        <v>0</v>
      </c>
      <c r="AE64" s="489">
        <v>0</v>
      </c>
      <c r="AF64" s="489">
        <v>0</v>
      </c>
      <c r="AG64" s="490">
        <v>0</v>
      </c>
      <c r="AH64" s="490">
        <v>0</v>
      </c>
      <c r="AI64" s="490">
        <v>0</v>
      </c>
      <c r="AJ64" s="490">
        <v>0</v>
      </c>
      <c r="AK64" s="490">
        <v>0</v>
      </c>
      <c r="AL64" s="490">
        <v>0</v>
      </c>
      <c r="AM64" s="490">
        <v>0</v>
      </c>
      <c r="AN64" s="490">
        <v>0</v>
      </c>
      <c r="AO64" s="490">
        <v>0</v>
      </c>
      <c r="AP64" s="490">
        <v>0</v>
      </c>
      <c r="AQ64" s="490">
        <v>0</v>
      </c>
      <c r="AR64" s="490">
        <v>0</v>
      </c>
      <c r="AS64" s="490">
        <v>0</v>
      </c>
      <c r="AT64" s="490">
        <v>0</v>
      </c>
      <c r="AU64" s="490">
        <v>0</v>
      </c>
      <c r="AV64" s="490">
        <v>0</v>
      </c>
      <c r="AW64" s="490">
        <v>0</v>
      </c>
      <c r="AX64" s="490">
        <v>0</v>
      </c>
      <c r="AY64" s="490">
        <v>0</v>
      </c>
      <c r="AZ64" s="491">
        <v>0</v>
      </c>
    </row>
    <row r="65" spans="1:52" s="469" customFormat="1">
      <c r="A65" s="492">
        <f>'[4]Allocation Methodology'!A61</f>
        <v>57</v>
      </c>
      <c r="B65" s="493" t="str">
        <f>'[4]Allocation Methodology'!B61</f>
        <v>Electricity Retrofit Incentive</v>
      </c>
      <c r="C65" s="493" t="str">
        <f>'[4]Allocation Methodology'!C61</f>
        <v>Consumer, Business</v>
      </c>
      <c r="D65" s="493" t="s">
        <v>480</v>
      </c>
      <c r="E65" s="493">
        <f>'[4]Allocation Methodology'!D61</f>
        <v>2010</v>
      </c>
      <c r="F65" s="494" t="str">
        <f>'[4]Allocation Methodology'!E61</f>
        <v>Final</v>
      </c>
      <c r="G65" s="471"/>
      <c r="H65" s="495">
        <v>0</v>
      </c>
      <c r="I65" s="496">
        <v>0</v>
      </c>
      <c r="J65" s="496">
        <v>0</v>
      </c>
      <c r="K65" s="496">
        <v>0</v>
      </c>
      <c r="L65" s="496">
        <v>4.2683321424087324E-2</v>
      </c>
      <c r="M65" s="496">
        <v>4.2683321424087324E-2</v>
      </c>
      <c r="N65" s="496">
        <v>4.2683321424087324E-2</v>
      </c>
      <c r="O65" s="496">
        <v>4.2683321424087324E-2</v>
      </c>
      <c r="P65" s="496">
        <v>4.2683321424087324E-2</v>
      </c>
      <c r="Q65" s="496">
        <v>4.2683321424087324E-2</v>
      </c>
      <c r="R65" s="496">
        <v>4.2683321424087324E-2</v>
      </c>
      <c r="S65" s="496">
        <v>4.2683321424087324E-2</v>
      </c>
      <c r="T65" s="496">
        <v>4.2683321424087324E-2</v>
      </c>
      <c r="U65" s="496">
        <v>4.2252176763237954E-2</v>
      </c>
      <c r="V65" s="496">
        <v>0</v>
      </c>
      <c r="W65" s="496">
        <v>0</v>
      </c>
      <c r="X65" s="496">
        <v>0</v>
      </c>
      <c r="Y65" s="496">
        <v>0</v>
      </c>
      <c r="Z65" s="496">
        <v>0</v>
      </c>
      <c r="AA65" s="496">
        <v>0</v>
      </c>
      <c r="AB65" s="496">
        <v>0</v>
      </c>
      <c r="AC65" s="496">
        <v>0</v>
      </c>
      <c r="AD65" s="496">
        <v>0</v>
      </c>
      <c r="AE65" s="496">
        <v>0</v>
      </c>
      <c r="AF65" s="496">
        <v>0</v>
      </c>
      <c r="AG65" s="497">
        <v>0</v>
      </c>
      <c r="AH65" s="497">
        <v>0</v>
      </c>
      <c r="AI65" s="497">
        <v>0</v>
      </c>
      <c r="AJ65" s="497">
        <v>0</v>
      </c>
      <c r="AK65" s="497">
        <v>0</v>
      </c>
      <c r="AL65" s="497">
        <v>0</v>
      </c>
      <c r="AM65" s="497">
        <v>0</v>
      </c>
      <c r="AN65" s="497">
        <v>0</v>
      </c>
      <c r="AO65" s="497">
        <v>0</v>
      </c>
      <c r="AP65" s="497">
        <v>0</v>
      </c>
      <c r="AQ65" s="497">
        <v>0</v>
      </c>
      <c r="AR65" s="497">
        <v>0</v>
      </c>
      <c r="AS65" s="497">
        <v>0</v>
      </c>
      <c r="AT65" s="497">
        <v>0</v>
      </c>
      <c r="AU65" s="497">
        <v>0</v>
      </c>
      <c r="AV65" s="497">
        <v>0</v>
      </c>
      <c r="AW65" s="497">
        <v>0</v>
      </c>
      <c r="AX65" s="497">
        <v>0</v>
      </c>
      <c r="AY65" s="497">
        <v>0</v>
      </c>
      <c r="AZ65" s="498">
        <v>0</v>
      </c>
    </row>
    <row r="66" spans="1:52" s="469" customFormat="1">
      <c r="A66" s="485">
        <f>'[4]Allocation Methodology'!A62</f>
        <v>58</v>
      </c>
      <c r="B66" s="486" t="str">
        <f>'[4]Allocation Methodology'!B62</f>
        <v>Toronto Comprehensive</v>
      </c>
      <c r="C66" s="486" t="str">
        <f>'[4]Allocation Methodology'!C62</f>
        <v>Consumer, Consumer Low-Income, Business, Industrial</v>
      </c>
      <c r="D66" s="486" t="s">
        <v>58</v>
      </c>
      <c r="E66" s="486">
        <f>'[4]Allocation Methodology'!D62</f>
        <v>2010</v>
      </c>
      <c r="F66" s="487" t="str">
        <f>'[4]Allocation Methodology'!E62</f>
        <v>Final</v>
      </c>
      <c r="G66" s="471"/>
      <c r="H66" s="488">
        <v>0</v>
      </c>
      <c r="I66" s="489">
        <v>0</v>
      </c>
      <c r="J66" s="489">
        <v>0</v>
      </c>
      <c r="K66" s="489">
        <v>0</v>
      </c>
      <c r="L66" s="489">
        <v>0</v>
      </c>
      <c r="M66" s="489">
        <v>0</v>
      </c>
      <c r="N66" s="489">
        <v>0</v>
      </c>
      <c r="O66" s="489">
        <v>0</v>
      </c>
      <c r="P66" s="489">
        <v>0</v>
      </c>
      <c r="Q66" s="489">
        <v>0</v>
      </c>
      <c r="R66" s="489">
        <v>0</v>
      </c>
      <c r="S66" s="489">
        <v>0</v>
      </c>
      <c r="T66" s="489">
        <v>0</v>
      </c>
      <c r="U66" s="489">
        <v>0</v>
      </c>
      <c r="V66" s="489">
        <v>0</v>
      </c>
      <c r="W66" s="489">
        <v>0</v>
      </c>
      <c r="X66" s="489">
        <v>0</v>
      </c>
      <c r="Y66" s="489">
        <v>0</v>
      </c>
      <c r="Z66" s="489">
        <v>0</v>
      </c>
      <c r="AA66" s="489">
        <v>0</v>
      </c>
      <c r="AB66" s="489">
        <v>0</v>
      </c>
      <c r="AC66" s="489">
        <v>0</v>
      </c>
      <c r="AD66" s="489">
        <v>0</v>
      </c>
      <c r="AE66" s="489">
        <v>0</v>
      </c>
      <c r="AF66" s="489">
        <v>0</v>
      </c>
      <c r="AG66" s="490">
        <v>0</v>
      </c>
      <c r="AH66" s="490">
        <v>0</v>
      </c>
      <c r="AI66" s="490">
        <v>0</v>
      </c>
      <c r="AJ66" s="490">
        <v>0</v>
      </c>
      <c r="AK66" s="490">
        <v>0</v>
      </c>
      <c r="AL66" s="490">
        <v>0</v>
      </c>
      <c r="AM66" s="490">
        <v>0</v>
      </c>
      <c r="AN66" s="490">
        <v>0</v>
      </c>
      <c r="AO66" s="490">
        <v>0</v>
      </c>
      <c r="AP66" s="490">
        <v>0</v>
      </c>
      <c r="AQ66" s="490">
        <v>0</v>
      </c>
      <c r="AR66" s="490">
        <v>0</v>
      </c>
      <c r="AS66" s="490">
        <v>0</v>
      </c>
      <c r="AT66" s="490">
        <v>0</v>
      </c>
      <c r="AU66" s="490">
        <v>0</v>
      </c>
      <c r="AV66" s="490">
        <v>0</v>
      </c>
      <c r="AW66" s="490">
        <v>0</v>
      </c>
      <c r="AX66" s="490">
        <v>0</v>
      </c>
      <c r="AY66" s="490">
        <v>0</v>
      </c>
      <c r="AZ66" s="491">
        <v>0</v>
      </c>
    </row>
    <row r="67" spans="1:52" s="469" customFormat="1">
      <c r="A67" s="492">
        <f>'[4]Allocation Methodology'!A63</f>
        <v>59</v>
      </c>
      <c r="B67" s="493" t="str">
        <f>'[4]Allocation Methodology'!B63</f>
        <v>High Performance New Construction</v>
      </c>
      <c r="C67" s="493" t="str">
        <f>'[4]Allocation Methodology'!C63</f>
        <v>Business</v>
      </c>
      <c r="D67" s="493" t="s">
        <v>480</v>
      </c>
      <c r="E67" s="493">
        <f>'[4]Allocation Methodology'!D63</f>
        <v>2010</v>
      </c>
      <c r="F67" s="494" t="str">
        <f>'[4]Allocation Methodology'!E63</f>
        <v>Final</v>
      </c>
      <c r="G67" s="471"/>
      <c r="H67" s="495">
        <v>0</v>
      </c>
      <c r="I67" s="496">
        <v>0</v>
      </c>
      <c r="J67" s="496">
        <v>0</v>
      </c>
      <c r="K67" s="496">
        <v>0</v>
      </c>
      <c r="L67" s="496">
        <v>8.6035163217314831E-2</v>
      </c>
      <c r="M67" s="496">
        <v>8.6035163217314831E-2</v>
      </c>
      <c r="N67" s="496">
        <v>8.6035163217314831E-2</v>
      </c>
      <c r="O67" s="496">
        <v>8.6035163217314831E-2</v>
      </c>
      <c r="P67" s="496">
        <v>8.6035163217314831E-2</v>
      </c>
      <c r="Q67" s="496">
        <v>8.6035163217314831E-2</v>
      </c>
      <c r="R67" s="496">
        <v>8.6035163217314831E-2</v>
      </c>
      <c r="S67" s="496">
        <v>8.6035163217314831E-2</v>
      </c>
      <c r="T67" s="496">
        <v>8.6035163217314831E-2</v>
      </c>
      <c r="U67" s="496">
        <v>8.6035163217314831E-2</v>
      </c>
      <c r="V67" s="496">
        <v>8.6035163217314831E-2</v>
      </c>
      <c r="W67" s="496">
        <v>8.6035163217314831E-2</v>
      </c>
      <c r="X67" s="496">
        <v>8.6035163217314831E-2</v>
      </c>
      <c r="Y67" s="496">
        <v>8.6035163217314831E-2</v>
      </c>
      <c r="Z67" s="496">
        <v>8.6035163217314831E-2</v>
      </c>
      <c r="AA67" s="496">
        <v>8.6035163217314831E-2</v>
      </c>
      <c r="AB67" s="496">
        <v>8.6035163217314831E-2</v>
      </c>
      <c r="AC67" s="496">
        <v>8.6035163217314831E-2</v>
      </c>
      <c r="AD67" s="496">
        <v>8.6035163217314831E-2</v>
      </c>
      <c r="AE67" s="496">
        <v>8.6035163217314831E-2</v>
      </c>
      <c r="AF67" s="496">
        <v>0</v>
      </c>
      <c r="AG67" s="497">
        <v>0</v>
      </c>
      <c r="AH67" s="497">
        <v>0</v>
      </c>
      <c r="AI67" s="497">
        <v>0</v>
      </c>
      <c r="AJ67" s="497">
        <v>0</v>
      </c>
      <c r="AK67" s="497">
        <v>0</v>
      </c>
      <c r="AL67" s="497">
        <v>0</v>
      </c>
      <c r="AM67" s="497">
        <v>0</v>
      </c>
      <c r="AN67" s="497">
        <v>0</v>
      </c>
      <c r="AO67" s="497">
        <v>0</v>
      </c>
      <c r="AP67" s="497">
        <v>0</v>
      </c>
      <c r="AQ67" s="497">
        <v>0</v>
      </c>
      <c r="AR67" s="497">
        <v>0</v>
      </c>
      <c r="AS67" s="497">
        <v>0</v>
      </c>
      <c r="AT67" s="497">
        <v>0</v>
      </c>
      <c r="AU67" s="497">
        <v>0</v>
      </c>
      <c r="AV67" s="497">
        <v>0</v>
      </c>
      <c r="AW67" s="497">
        <v>0</v>
      </c>
      <c r="AX67" s="497">
        <v>0</v>
      </c>
      <c r="AY67" s="497">
        <v>0</v>
      </c>
      <c r="AZ67" s="498">
        <v>0</v>
      </c>
    </row>
    <row r="68" spans="1:52" s="469" customFormat="1">
      <c r="A68" s="485">
        <f>'[4]Allocation Methodology'!A64</f>
        <v>60</v>
      </c>
      <c r="B68" s="486" t="str">
        <f>'[4]Allocation Methodology'!B64</f>
        <v>Power Savings Blitz</v>
      </c>
      <c r="C68" s="486" t="str">
        <f>'[4]Allocation Methodology'!C64</f>
        <v>Business</v>
      </c>
      <c r="D68" s="486" t="s">
        <v>486</v>
      </c>
      <c r="E68" s="486">
        <f>'[4]Allocation Methodology'!D64</f>
        <v>2010</v>
      </c>
      <c r="F68" s="487" t="str">
        <f>'[4]Allocation Methodology'!E64</f>
        <v>Final</v>
      </c>
      <c r="G68" s="471"/>
      <c r="H68" s="488">
        <v>0</v>
      </c>
      <c r="I68" s="489">
        <v>0</v>
      </c>
      <c r="J68" s="489">
        <v>0</v>
      </c>
      <c r="K68" s="489">
        <v>0</v>
      </c>
      <c r="L68" s="489">
        <v>0.17577762138762623</v>
      </c>
      <c r="M68" s="489">
        <v>0.17577762138762623</v>
      </c>
      <c r="N68" s="489">
        <v>0.17577762138762623</v>
      </c>
      <c r="O68" s="489">
        <v>0.17577762138762623</v>
      </c>
      <c r="P68" s="489">
        <v>0.17577762138762623</v>
      </c>
      <c r="Q68" s="489">
        <v>0.17577762138762623</v>
      </c>
      <c r="R68" s="489">
        <v>0.17577762138762623</v>
      </c>
      <c r="S68" s="489">
        <v>0.17577762138762623</v>
      </c>
      <c r="T68" s="489">
        <v>0</v>
      </c>
      <c r="U68" s="489">
        <v>0</v>
      </c>
      <c r="V68" s="489">
        <v>0</v>
      </c>
      <c r="W68" s="489">
        <v>0</v>
      </c>
      <c r="X68" s="489">
        <v>0</v>
      </c>
      <c r="Y68" s="489">
        <v>0</v>
      </c>
      <c r="Z68" s="489">
        <v>0</v>
      </c>
      <c r="AA68" s="489">
        <v>0</v>
      </c>
      <c r="AB68" s="489">
        <v>0</v>
      </c>
      <c r="AC68" s="489">
        <v>0</v>
      </c>
      <c r="AD68" s="489">
        <v>0</v>
      </c>
      <c r="AE68" s="489">
        <v>0</v>
      </c>
      <c r="AF68" s="489">
        <v>0</v>
      </c>
      <c r="AG68" s="490">
        <v>0</v>
      </c>
      <c r="AH68" s="490">
        <v>0</v>
      </c>
      <c r="AI68" s="490">
        <v>0</v>
      </c>
      <c r="AJ68" s="490">
        <v>0</v>
      </c>
      <c r="AK68" s="490">
        <v>0</v>
      </c>
      <c r="AL68" s="490">
        <v>0</v>
      </c>
      <c r="AM68" s="490">
        <v>0</v>
      </c>
      <c r="AN68" s="490">
        <v>0</v>
      </c>
      <c r="AO68" s="490">
        <v>0</v>
      </c>
      <c r="AP68" s="490">
        <v>0</v>
      </c>
      <c r="AQ68" s="490">
        <v>0</v>
      </c>
      <c r="AR68" s="490">
        <v>0</v>
      </c>
      <c r="AS68" s="490">
        <v>0</v>
      </c>
      <c r="AT68" s="490">
        <v>0</v>
      </c>
      <c r="AU68" s="490">
        <v>0</v>
      </c>
      <c r="AV68" s="490">
        <v>0</v>
      </c>
      <c r="AW68" s="490">
        <v>0</v>
      </c>
      <c r="AX68" s="490">
        <v>0</v>
      </c>
      <c r="AY68" s="490">
        <v>0</v>
      </c>
      <c r="AZ68" s="491">
        <v>0</v>
      </c>
    </row>
    <row r="69" spans="1:52" s="469" customFormat="1">
      <c r="A69" s="492">
        <f>'[4]Allocation Methodology'!A65</f>
        <v>61</v>
      </c>
      <c r="B69" s="493" t="str">
        <f>'[4]Allocation Methodology'!B65</f>
        <v>Multi-Family Energy Efficiency Rebates</v>
      </c>
      <c r="C69" s="493" t="str">
        <f>'[4]Allocation Methodology'!C65</f>
        <v>Consumer, Consumer Low-Income</v>
      </c>
      <c r="D69" s="493" t="s">
        <v>17</v>
      </c>
      <c r="E69" s="493">
        <f>'[4]Allocation Methodology'!D65</f>
        <v>2010</v>
      </c>
      <c r="F69" s="494" t="str">
        <f>'[4]Allocation Methodology'!E65</f>
        <v>Final</v>
      </c>
      <c r="G69" s="471"/>
      <c r="H69" s="495">
        <v>0</v>
      </c>
      <c r="I69" s="496">
        <v>0</v>
      </c>
      <c r="J69" s="496">
        <v>0</v>
      </c>
      <c r="K69" s="496">
        <v>0</v>
      </c>
      <c r="L69" s="496">
        <v>8.427273923639518E-3</v>
      </c>
      <c r="M69" s="496">
        <v>8.427273923639518E-3</v>
      </c>
      <c r="N69" s="496">
        <v>8.427273923639518E-3</v>
      </c>
      <c r="O69" s="496">
        <v>8.427273923639518E-3</v>
      </c>
      <c r="P69" s="496">
        <v>8.427273923639518E-3</v>
      </c>
      <c r="Q69" s="496">
        <v>8.427273923639518E-3</v>
      </c>
      <c r="R69" s="496">
        <v>8.427273923639518E-3</v>
      </c>
      <c r="S69" s="496">
        <v>8.427273923639518E-3</v>
      </c>
      <c r="T69" s="496">
        <v>8.427273923639518E-3</v>
      </c>
      <c r="U69" s="496">
        <v>8.427273923639518E-3</v>
      </c>
      <c r="V69" s="496">
        <v>0</v>
      </c>
      <c r="W69" s="496">
        <v>0</v>
      </c>
      <c r="X69" s="496">
        <v>0</v>
      </c>
      <c r="Y69" s="496">
        <v>0</v>
      </c>
      <c r="Z69" s="496">
        <v>0</v>
      </c>
      <c r="AA69" s="496">
        <v>0</v>
      </c>
      <c r="AB69" s="496">
        <v>0</v>
      </c>
      <c r="AC69" s="496">
        <v>0</v>
      </c>
      <c r="AD69" s="496">
        <v>0</v>
      </c>
      <c r="AE69" s="496">
        <v>0</v>
      </c>
      <c r="AF69" s="496">
        <v>0</v>
      </c>
      <c r="AG69" s="497">
        <v>0</v>
      </c>
      <c r="AH69" s="497">
        <v>0</v>
      </c>
      <c r="AI69" s="497">
        <v>0</v>
      </c>
      <c r="AJ69" s="497">
        <v>0</v>
      </c>
      <c r="AK69" s="497">
        <v>0</v>
      </c>
      <c r="AL69" s="497">
        <v>0</v>
      </c>
      <c r="AM69" s="497">
        <v>0</v>
      </c>
      <c r="AN69" s="497">
        <v>0</v>
      </c>
      <c r="AO69" s="497">
        <v>0</v>
      </c>
      <c r="AP69" s="497">
        <v>0</v>
      </c>
      <c r="AQ69" s="497">
        <v>0</v>
      </c>
      <c r="AR69" s="497">
        <v>0</v>
      </c>
      <c r="AS69" s="497">
        <v>0</v>
      </c>
      <c r="AT69" s="497">
        <v>0</v>
      </c>
      <c r="AU69" s="497">
        <v>0</v>
      </c>
      <c r="AV69" s="497">
        <v>0</v>
      </c>
      <c r="AW69" s="497">
        <v>0</v>
      </c>
      <c r="AX69" s="497">
        <v>0</v>
      </c>
      <c r="AY69" s="497">
        <v>0</v>
      </c>
      <c r="AZ69" s="498">
        <v>0</v>
      </c>
    </row>
    <row r="70" spans="1:52" s="469" customFormat="1">
      <c r="A70" s="485">
        <f>'[4]Allocation Methodology'!A66</f>
        <v>62</v>
      </c>
      <c r="B70" s="486" t="str">
        <f>'[4]Allocation Methodology'!B66</f>
        <v>Demand Response 2</v>
      </c>
      <c r="C70" s="486" t="str">
        <f>'[4]Allocation Methodology'!C66</f>
        <v>Business, Industrial</v>
      </c>
      <c r="D70" s="486" t="s">
        <v>480</v>
      </c>
      <c r="E70" s="486">
        <f>'[4]Allocation Methodology'!D66</f>
        <v>2010</v>
      </c>
      <c r="F70" s="487" t="str">
        <f>'[4]Allocation Methodology'!E66</f>
        <v>Final</v>
      </c>
      <c r="G70" s="471"/>
      <c r="H70" s="488">
        <v>0</v>
      </c>
      <c r="I70" s="489">
        <v>0</v>
      </c>
      <c r="J70" s="489">
        <v>0</v>
      </c>
      <c r="K70" s="489">
        <v>0</v>
      </c>
      <c r="L70" s="489">
        <v>0.79308195429135875</v>
      </c>
      <c r="M70" s="489">
        <v>0</v>
      </c>
      <c r="N70" s="489">
        <v>0</v>
      </c>
      <c r="O70" s="489">
        <v>0</v>
      </c>
      <c r="P70" s="489">
        <v>0</v>
      </c>
      <c r="Q70" s="489">
        <v>0</v>
      </c>
      <c r="R70" s="489">
        <v>0</v>
      </c>
      <c r="S70" s="489">
        <v>0</v>
      </c>
      <c r="T70" s="489">
        <v>0</v>
      </c>
      <c r="U70" s="489">
        <v>0</v>
      </c>
      <c r="V70" s="489">
        <v>0</v>
      </c>
      <c r="W70" s="489">
        <v>0</v>
      </c>
      <c r="X70" s="489">
        <v>0</v>
      </c>
      <c r="Y70" s="489">
        <v>0</v>
      </c>
      <c r="Z70" s="489">
        <v>0</v>
      </c>
      <c r="AA70" s="489">
        <v>0</v>
      </c>
      <c r="AB70" s="489">
        <v>0</v>
      </c>
      <c r="AC70" s="489">
        <v>0</v>
      </c>
      <c r="AD70" s="489">
        <v>0</v>
      </c>
      <c r="AE70" s="489">
        <v>0</v>
      </c>
      <c r="AF70" s="489">
        <v>0</v>
      </c>
      <c r="AG70" s="490">
        <v>0</v>
      </c>
      <c r="AH70" s="490">
        <v>0</v>
      </c>
      <c r="AI70" s="490">
        <v>0</v>
      </c>
      <c r="AJ70" s="490">
        <v>0</v>
      </c>
      <c r="AK70" s="490">
        <v>0</v>
      </c>
      <c r="AL70" s="490">
        <v>0</v>
      </c>
      <c r="AM70" s="490">
        <v>0</v>
      </c>
      <c r="AN70" s="490">
        <v>0</v>
      </c>
      <c r="AO70" s="490">
        <v>0</v>
      </c>
      <c r="AP70" s="490">
        <v>0</v>
      </c>
      <c r="AQ70" s="490">
        <v>0</v>
      </c>
      <c r="AR70" s="490">
        <v>0</v>
      </c>
      <c r="AS70" s="490">
        <v>0</v>
      </c>
      <c r="AT70" s="490">
        <v>0</v>
      </c>
      <c r="AU70" s="490">
        <v>0</v>
      </c>
      <c r="AV70" s="490">
        <v>0</v>
      </c>
      <c r="AW70" s="490">
        <v>0</v>
      </c>
      <c r="AX70" s="490">
        <v>0</v>
      </c>
      <c r="AY70" s="490">
        <v>0</v>
      </c>
      <c r="AZ70" s="491">
        <v>0</v>
      </c>
    </row>
    <row r="71" spans="1:52" s="469" customFormat="1">
      <c r="A71" s="492">
        <f>'[4]Allocation Methodology'!A67</f>
        <v>63</v>
      </c>
      <c r="B71" s="493" t="str">
        <f>'[4]Allocation Methodology'!B67</f>
        <v>Demand Response 3</v>
      </c>
      <c r="C71" s="493" t="str">
        <f>'[4]Allocation Methodology'!C67</f>
        <v>Business, Industrial</v>
      </c>
      <c r="D71" s="493" t="s">
        <v>480</v>
      </c>
      <c r="E71" s="493">
        <f>'[4]Allocation Methodology'!D67</f>
        <v>2010</v>
      </c>
      <c r="F71" s="494" t="str">
        <f>'[4]Allocation Methodology'!E67</f>
        <v>Final</v>
      </c>
      <c r="G71" s="471"/>
      <c r="H71" s="495">
        <v>0</v>
      </c>
      <c r="I71" s="496">
        <v>0</v>
      </c>
      <c r="J71" s="496">
        <v>0</v>
      </c>
      <c r="K71" s="496">
        <v>0</v>
      </c>
      <c r="L71" s="496">
        <v>1.67746830163979</v>
      </c>
      <c r="M71" s="496">
        <v>0</v>
      </c>
      <c r="N71" s="496">
        <v>0</v>
      </c>
      <c r="O71" s="496">
        <v>0</v>
      </c>
      <c r="P71" s="496">
        <v>0</v>
      </c>
      <c r="Q71" s="496">
        <v>0</v>
      </c>
      <c r="R71" s="496">
        <v>0</v>
      </c>
      <c r="S71" s="496">
        <v>0</v>
      </c>
      <c r="T71" s="496">
        <v>0</v>
      </c>
      <c r="U71" s="496">
        <v>0</v>
      </c>
      <c r="V71" s="496">
        <v>0</v>
      </c>
      <c r="W71" s="496">
        <v>0</v>
      </c>
      <c r="X71" s="496">
        <v>0</v>
      </c>
      <c r="Y71" s="496">
        <v>0</v>
      </c>
      <c r="Z71" s="496">
        <v>0</v>
      </c>
      <c r="AA71" s="496">
        <v>0</v>
      </c>
      <c r="AB71" s="496">
        <v>0</v>
      </c>
      <c r="AC71" s="496">
        <v>0</v>
      </c>
      <c r="AD71" s="496">
        <v>0</v>
      </c>
      <c r="AE71" s="496">
        <v>0</v>
      </c>
      <c r="AF71" s="496">
        <v>0</v>
      </c>
      <c r="AG71" s="497">
        <v>0</v>
      </c>
      <c r="AH71" s="497">
        <v>0</v>
      </c>
      <c r="AI71" s="497">
        <v>0</v>
      </c>
      <c r="AJ71" s="497">
        <v>0</v>
      </c>
      <c r="AK71" s="497">
        <v>0</v>
      </c>
      <c r="AL71" s="497">
        <v>0</v>
      </c>
      <c r="AM71" s="497">
        <v>0</v>
      </c>
      <c r="AN71" s="497">
        <v>0</v>
      </c>
      <c r="AO71" s="497">
        <v>0</v>
      </c>
      <c r="AP71" s="497">
        <v>0</v>
      </c>
      <c r="AQ71" s="497">
        <v>0</v>
      </c>
      <c r="AR71" s="497">
        <v>0</v>
      </c>
      <c r="AS71" s="497">
        <v>0</v>
      </c>
      <c r="AT71" s="497">
        <v>0</v>
      </c>
      <c r="AU71" s="497">
        <v>0</v>
      </c>
      <c r="AV71" s="497">
        <v>0</v>
      </c>
      <c r="AW71" s="497">
        <v>0</v>
      </c>
      <c r="AX71" s="497">
        <v>0</v>
      </c>
      <c r="AY71" s="497">
        <v>0</v>
      </c>
      <c r="AZ71" s="498">
        <v>0</v>
      </c>
    </row>
    <row r="72" spans="1:52" s="469" customFormat="1">
      <c r="A72" s="485">
        <f>'[4]Allocation Methodology'!A68</f>
        <v>64</v>
      </c>
      <c r="B72" s="486" t="str">
        <f>'[4]Allocation Methodology'!B68</f>
        <v>Loblaw &amp; York Region Demand Response</v>
      </c>
      <c r="C72" s="486" t="str">
        <f>'[4]Allocation Methodology'!C68</f>
        <v>Business, Industrial</v>
      </c>
      <c r="D72" s="486" t="s">
        <v>480</v>
      </c>
      <c r="E72" s="486">
        <f>'[4]Allocation Methodology'!D68</f>
        <v>2010</v>
      </c>
      <c r="F72" s="487" t="str">
        <f>'[4]Allocation Methodology'!E68</f>
        <v>Final</v>
      </c>
      <c r="G72" s="471"/>
      <c r="H72" s="488">
        <v>0</v>
      </c>
      <c r="I72" s="489">
        <v>0</v>
      </c>
      <c r="J72" s="489">
        <v>0</v>
      </c>
      <c r="K72" s="489">
        <v>0</v>
      </c>
      <c r="L72" s="489">
        <v>0.19467162928445872</v>
      </c>
      <c r="M72" s="489">
        <v>0</v>
      </c>
      <c r="N72" s="489">
        <v>0</v>
      </c>
      <c r="O72" s="489">
        <v>0</v>
      </c>
      <c r="P72" s="489">
        <v>0</v>
      </c>
      <c r="Q72" s="489">
        <v>0</v>
      </c>
      <c r="R72" s="489">
        <v>0</v>
      </c>
      <c r="S72" s="489">
        <v>0</v>
      </c>
      <c r="T72" s="489">
        <v>0</v>
      </c>
      <c r="U72" s="489">
        <v>0</v>
      </c>
      <c r="V72" s="489">
        <v>0</v>
      </c>
      <c r="W72" s="489">
        <v>0</v>
      </c>
      <c r="X72" s="489">
        <v>0</v>
      </c>
      <c r="Y72" s="489">
        <v>0</v>
      </c>
      <c r="Z72" s="489">
        <v>0</v>
      </c>
      <c r="AA72" s="489">
        <v>0</v>
      </c>
      <c r="AB72" s="489">
        <v>0</v>
      </c>
      <c r="AC72" s="489">
        <v>0</v>
      </c>
      <c r="AD72" s="489">
        <v>0</v>
      </c>
      <c r="AE72" s="489">
        <v>0</v>
      </c>
      <c r="AF72" s="489">
        <v>0</v>
      </c>
      <c r="AG72" s="490">
        <v>0</v>
      </c>
      <c r="AH72" s="490">
        <v>0</v>
      </c>
      <c r="AI72" s="490">
        <v>0</v>
      </c>
      <c r="AJ72" s="490">
        <v>0</v>
      </c>
      <c r="AK72" s="490">
        <v>0</v>
      </c>
      <c r="AL72" s="490">
        <v>0</v>
      </c>
      <c r="AM72" s="490">
        <v>0</v>
      </c>
      <c r="AN72" s="490">
        <v>0</v>
      </c>
      <c r="AO72" s="490">
        <v>0</v>
      </c>
      <c r="AP72" s="490">
        <v>0</v>
      </c>
      <c r="AQ72" s="490">
        <v>0</v>
      </c>
      <c r="AR72" s="490">
        <v>0</v>
      </c>
      <c r="AS72" s="490">
        <v>0</v>
      </c>
      <c r="AT72" s="490">
        <v>0</v>
      </c>
      <c r="AU72" s="490">
        <v>0</v>
      </c>
      <c r="AV72" s="490">
        <v>0</v>
      </c>
      <c r="AW72" s="490">
        <v>0</v>
      </c>
      <c r="AX72" s="490">
        <v>0</v>
      </c>
      <c r="AY72" s="490">
        <v>0</v>
      </c>
      <c r="AZ72" s="491">
        <v>0</v>
      </c>
    </row>
    <row r="73" spans="1:52" s="469" customFormat="1">
      <c r="A73" s="499">
        <f>'[4]Allocation Methodology'!A69</f>
        <v>65</v>
      </c>
      <c r="B73" s="500" t="str">
        <f>'[4]Allocation Methodology'!B69</f>
        <v>LDC Custom - Hydro Ottawa - Small Commercial Demand Response</v>
      </c>
      <c r="C73" s="500" t="str">
        <f>'[4]Allocation Methodology'!C69</f>
        <v>Consumer</v>
      </c>
      <c r="D73" s="500" t="s">
        <v>58</v>
      </c>
      <c r="E73" s="500">
        <f>'[4]Allocation Methodology'!D69</f>
        <v>2010</v>
      </c>
      <c r="F73" s="501" t="str">
        <f>'[4]Allocation Methodology'!E69</f>
        <v>Final</v>
      </c>
      <c r="G73" s="471"/>
      <c r="H73" s="502">
        <v>0</v>
      </c>
      <c r="I73" s="503">
        <v>0</v>
      </c>
      <c r="J73" s="503">
        <v>0</v>
      </c>
      <c r="K73" s="503">
        <v>0</v>
      </c>
      <c r="L73" s="503">
        <v>0</v>
      </c>
      <c r="M73" s="503">
        <v>0</v>
      </c>
      <c r="N73" s="503">
        <v>0</v>
      </c>
      <c r="O73" s="503">
        <v>0</v>
      </c>
      <c r="P73" s="503">
        <v>0</v>
      </c>
      <c r="Q73" s="503">
        <v>0</v>
      </c>
      <c r="R73" s="503">
        <v>0</v>
      </c>
      <c r="S73" s="503">
        <v>0</v>
      </c>
      <c r="T73" s="503">
        <v>0</v>
      </c>
      <c r="U73" s="503">
        <v>0</v>
      </c>
      <c r="V73" s="503">
        <v>0</v>
      </c>
      <c r="W73" s="503">
        <v>0</v>
      </c>
      <c r="X73" s="503">
        <v>0</v>
      </c>
      <c r="Y73" s="503">
        <v>0</v>
      </c>
      <c r="Z73" s="503">
        <v>0</v>
      </c>
      <c r="AA73" s="503">
        <v>0</v>
      </c>
      <c r="AB73" s="503">
        <v>0</v>
      </c>
      <c r="AC73" s="503">
        <v>0</v>
      </c>
      <c r="AD73" s="503">
        <v>0</v>
      </c>
      <c r="AE73" s="503">
        <v>0</v>
      </c>
      <c r="AF73" s="503">
        <v>0</v>
      </c>
      <c r="AG73" s="504">
        <v>0</v>
      </c>
      <c r="AH73" s="504">
        <v>0</v>
      </c>
      <c r="AI73" s="504">
        <v>0</v>
      </c>
      <c r="AJ73" s="504">
        <v>0</v>
      </c>
      <c r="AK73" s="504">
        <v>0</v>
      </c>
      <c r="AL73" s="504">
        <v>0</v>
      </c>
      <c r="AM73" s="504">
        <v>0</v>
      </c>
      <c r="AN73" s="504">
        <v>0</v>
      </c>
      <c r="AO73" s="504">
        <v>0</v>
      </c>
      <c r="AP73" s="504">
        <v>0</v>
      </c>
      <c r="AQ73" s="504">
        <v>0</v>
      </c>
      <c r="AR73" s="504">
        <v>0</v>
      </c>
      <c r="AS73" s="504">
        <v>0</v>
      </c>
      <c r="AT73" s="504">
        <v>0</v>
      </c>
      <c r="AU73" s="504">
        <v>0</v>
      </c>
      <c r="AV73" s="504">
        <v>0</v>
      </c>
      <c r="AW73" s="504">
        <v>0</v>
      </c>
      <c r="AX73" s="504">
        <v>0</v>
      </c>
      <c r="AY73" s="504">
        <v>0</v>
      </c>
      <c r="AZ73" s="505">
        <v>0</v>
      </c>
    </row>
    <row r="74" spans="1:52" s="469" customFormat="1" ht="4.5" customHeight="1">
      <c r="A74" s="477"/>
      <c r="B74" s="477"/>
      <c r="C74" s="477"/>
      <c r="D74" s="477"/>
      <c r="E74" s="477"/>
      <c r="F74" s="477"/>
      <c r="G74" s="467"/>
      <c r="H74" s="468"/>
      <c r="I74" s="468"/>
      <c r="J74" s="468"/>
      <c r="K74" s="468"/>
      <c r="L74" s="468"/>
      <c r="M74" s="468"/>
      <c r="N74" s="468"/>
      <c r="O74" s="468"/>
      <c r="P74" s="468"/>
      <c r="Q74" s="468"/>
      <c r="R74" s="468"/>
      <c r="S74" s="468"/>
      <c r="T74" s="468"/>
      <c r="U74" s="468"/>
      <c r="V74" s="468"/>
      <c r="W74" s="468"/>
      <c r="X74" s="468"/>
      <c r="Y74" s="468"/>
      <c r="Z74" s="468"/>
      <c r="AA74" s="468"/>
      <c r="AB74" s="468"/>
      <c r="AC74" s="468"/>
      <c r="AD74" s="468"/>
      <c r="AE74" s="468"/>
      <c r="AF74" s="468"/>
      <c r="AG74" s="468"/>
      <c r="AH74" s="468"/>
      <c r="AI74" s="468"/>
      <c r="AJ74" s="468"/>
      <c r="AK74" s="468"/>
      <c r="AL74" s="468"/>
      <c r="AM74" s="468"/>
      <c r="AN74" s="468"/>
      <c r="AO74" s="468"/>
      <c r="AP74" s="468"/>
      <c r="AQ74" s="468"/>
      <c r="AR74" s="468"/>
      <c r="AS74" s="468"/>
      <c r="AT74" s="468"/>
      <c r="AU74" s="468"/>
      <c r="AV74" s="468"/>
      <c r="AW74" s="468"/>
      <c r="AX74" s="468"/>
      <c r="AY74" s="468"/>
      <c r="AZ74" s="468"/>
    </row>
    <row r="75" spans="1:52" s="469" customFormat="1" ht="13">
      <c r="A75" s="529" t="s">
        <v>510</v>
      </c>
      <c r="B75" s="530"/>
      <c r="C75" s="530"/>
      <c r="D75" s="530"/>
      <c r="E75" s="530"/>
      <c r="F75" s="531"/>
      <c r="G75" s="467"/>
      <c r="H75" s="532">
        <f>SUM(H9:H13)</f>
        <v>1.984869925959966</v>
      </c>
      <c r="I75" s="532">
        <f>SUM(I9:I13)</f>
        <v>9.0861180185375187E-2</v>
      </c>
      <c r="J75" s="532">
        <f t="shared" ref="J75:AZ75" si="1">SUM(J9:J13)</f>
        <v>9.0861180185375187E-2</v>
      </c>
      <c r="K75" s="532">
        <f t="shared" si="1"/>
        <v>9.0861180185375187E-2</v>
      </c>
      <c r="L75" s="532">
        <f t="shared" si="1"/>
        <v>9.0861180185375187E-2</v>
      </c>
      <c r="M75" s="532">
        <f t="shared" si="1"/>
        <v>9.0861180185375187E-2</v>
      </c>
      <c r="N75" s="532">
        <f t="shared" si="1"/>
        <v>8.456281388969035E-2</v>
      </c>
      <c r="O75" s="532">
        <f t="shared" si="1"/>
        <v>8.456281388969035E-2</v>
      </c>
      <c r="P75" s="532">
        <f t="shared" si="1"/>
        <v>6.6138226327300514E-2</v>
      </c>
      <c r="Q75" s="532">
        <f t="shared" si="1"/>
        <v>6.6138226327300514E-2</v>
      </c>
      <c r="R75" s="532">
        <f t="shared" si="1"/>
        <v>6.6138226327300514E-2</v>
      </c>
      <c r="S75" s="532">
        <f t="shared" si="1"/>
        <v>6.6138226327300514E-2</v>
      </c>
      <c r="T75" s="532">
        <f t="shared" si="1"/>
        <v>6.6138226327300514E-2</v>
      </c>
      <c r="U75" s="532">
        <f t="shared" si="1"/>
        <v>6.6138226327300514E-2</v>
      </c>
      <c r="V75" s="532">
        <f t="shared" si="1"/>
        <v>4.0477891034883189E-2</v>
      </c>
      <c r="W75" s="532">
        <f t="shared" si="1"/>
        <v>2.7629942779000778E-2</v>
      </c>
      <c r="X75" s="532">
        <f t="shared" si="1"/>
        <v>2.7629942779000778E-2</v>
      </c>
      <c r="Y75" s="532">
        <f t="shared" si="1"/>
        <v>2.7629942779000778E-2</v>
      </c>
      <c r="Z75" s="532">
        <f t="shared" si="1"/>
        <v>7.7685709105042593E-4</v>
      </c>
      <c r="AA75" s="532">
        <f t="shared" si="1"/>
        <v>7.7685709105042593E-4</v>
      </c>
      <c r="AB75" s="532">
        <f t="shared" si="1"/>
        <v>0</v>
      </c>
      <c r="AC75" s="532">
        <f t="shared" si="1"/>
        <v>0</v>
      </c>
      <c r="AD75" s="532">
        <f t="shared" si="1"/>
        <v>0</v>
      </c>
      <c r="AE75" s="532">
        <f t="shared" si="1"/>
        <v>0</v>
      </c>
      <c r="AF75" s="532">
        <f t="shared" si="1"/>
        <v>0</v>
      </c>
      <c r="AG75" s="532">
        <f t="shared" si="1"/>
        <v>0</v>
      </c>
      <c r="AH75" s="532">
        <f t="shared" si="1"/>
        <v>0</v>
      </c>
      <c r="AI75" s="532">
        <f t="shared" si="1"/>
        <v>0</v>
      </c>
      <c r="AJ75" s="532">
        <f t="shared" si="1"/>
        <v>0</v>
      </c>
      <c r="AK75" s="532">
        <f t="shared" si="1"/>
        <v>0</v>
      </c>
      <c r="AL75" s="532">
        <f t="shared" si="1"/>
        <v>0</v>
      </c>
      <c r="AM75" s="532">
        <f t="shared" si="1"/>
        <v>0</v>
      </c>
      <c r="AN75" s="532">
        <f t="shared" si="1"/>
        <v>0</v>
      </c>
      <c r="AO75" s="532">
        <f t="shared" si="1"/>
        <v>0</v>
      </c>
      <c r="AP75" s="532">
        <f t="shared" si="1"/>
        <v>0</v>
      </c>
      <c r="AQ75" s="532">
        <f t="shared" si="1"/>
        <v>0</v>
      </c>
      <c r="AR75" s="532">
        <f t="shared" si="1"/>
        <v>0</v>
      </c>
      <c r="AS75" s="532">
        <f t="shared" si="1"/>
        <v>0</v>
      </c>
      <c r="AT75" s="532">
        <f t="shared" si="1"/>
        <v>0</v>
      </c>
      <c r="AU75" s="532">
        <f t="shared" si="1"/>
        <v>0</v>
      </c>
      <c r="AV75" s="532">
        <f t="shared" si="1"/>
        <v>0</v>
      </c>
      <c r="AW75" s="532">
        <f t="shared" si="1"/>
        <v>0</v>
      </c>
      <c r="AX75" s="532">
        <f t="shared" si="1"/>
        <v>0</v>
      </c>
      <c r="AY75" s="532">
        <f t="shared" si="1"/>
        <v>0</v>
      </c>
      <c r="AZ75" s="532">
        <f t="shared" si="1"/>
        <v>0</v>
      </c>
    </row>
    <row r="76" spans="1:52" s="469" customFormat="1" ht="4.5" customHeight="1">
      <c r="A76" s="477"/>
      <c r="B76" s="477"/>
      <c r="C76" s="477"/>
      <c r="D76" s="477"/>
      <c r="E76" s="477"/>
      <c r="F76" s="477"/>
      <c r="G76" s="467"/>
      <c r="H76" s="468"/>
      <c r="I76" s="468"/>
      <c r="J76" s="468"/>
      <c r="K76" s="468"/>
      <c r="L76" s="468"/>
      <c r="M76" s="468"/>
      <c r="N76" s="468"/>
      <c r="O76" s="468"/>
      <c r="P76" s="468"/>
      <c r="Q76" s="468"/>
      <c r="R76" s="468"/>
      <c r="S76" s="468"/>
      <c r="T76" s="468"/>
      <c r="U76" s="468"/>
      <c r="V76" s="468"/>
      <c r="W76" s="468"/>
      <c r="X76" s="468"/>
      <c r="Y76" s="468"/>
      <c r="Z76" s="468"/>
      <c r="AA76" s="468"/>
      <c r="AB76" s="468"/>
      <c r="AC76" s="468"/>
      <c r="AD76" s="468"/>
      <c r="AE76" s="468"/>
      <c r="AF76" s="468"/>
      <c r="AG76" s="468"/>
      <c r="AH76" s="468"/>
      <c r="AI76" s="468"/>
      <c r="AJ76" s="468"/>
      <c r="AK76" s="468"/>
      <c r="AL76" s="468"/>
      <c r="AM76" s="468"/>
      <c r="AN76" s="468"/>
      <c r="AO76" s="468"/>
      <c r="AP76" s="468"/>
      <c r="AQ76" s="468"/>
      <c r="AR76" s="468"/>
      <c r="AS76" s="468"/>
      <c r="AT76" s="468"/>
      <c r="AU76" s="468"/>
      <c r="AV76" s="468"/>
      <c r="AW76" s="468"/>
      <c r="AX76" s="468"/>
      <c r="AY76" s="468"/>
      <c r="AZ76" s="468"/>
    </row>
    <row r="77" spans="1:52" s="469" customFormat="1" ht="13">
      <c r="A77" s="529" t="s">
        <v>511</v>
      </c>
      <c r="B77" s="530"/>
      <c r="C77" s="530"/>
      <c r="D77" s="530"/>
      <c r="E77" s="530"/>
      <c r="F77" s="531"/>
      <c r="G77" s="467"/>
      <c r="H77" s="532">
        <f>SUM(H14:H27)</f>
        <v>0</v>
      </c>
      <c r="I77" s="532">
        <f t="shared" ref="I77:AZ77" si="2">SUM(I14:I27)</f>
        <v>2.4261690973101033</v>
      </c>
      <c r="J77" s="532">
        <f t="shared" si="2"/>
        <v>0.22504058299183888</v>
      </c>
      <c r="K77" s="532">
        <f t="shared" si="2"/>
        <v>0.19647329098433536</v>
      </c>
      <c r="L77" s="532">
        <f t="shared" si="2"/>
        <v>0.19647329098433536</v>
      </c>
      <c r="M77" s="532">
        <f t="shared" si="2"/>
        <v>0.19574717821513277</v>
      </c>
      <c r="N77" s="532">
        <f t="shared" si="2"/>
        <v>0.18963621750414988</v>
      </c>
      <c r="O77" s="532">
        <f t="shared" si="2"/>
        <v>0.18963621750414988</v>
      </c>
      <c r="P77" s="532">
        <f t="shared" si="2"/>
        <v>0.18963621750414988</v>
      </c>
      <c r="Q77" s="532">
        <f t="shared" si="2"/>
        <v>0.16917735702489659</v>
      </c>
      <c r="R77" s="532">
        <f t="shared" si="2"/>
        <v>0.16372305285025149</v>
      </c>
      <c r="S77" s="532">
        <f t="shared" si="2"/>
        <v>0.15037993530738042</v>
      </c>
      <c r="T77" s="532">
        <f t="shared" si="2"/>
        <v>0.15037993530738042</v>
      </c>
      <c r="U77" s="532">
        <f t="shared" si="2"/>
        <v>0.15037993530738042</v>
      </c>
      <c r="V77" s="532">
        <f t="shared" si="2"/>
        <v>0.15037993530738042</v>
      </c>
      <c r="W77" s="532">
        <f t="shared" si="2"/>
        <v>0.12036577877735077</v>
      </c>
      <c r="X77" s="532">
        <f t="shared" si="2"/>
        <v>6.1294835206653089E-2</v>
      </c>
      <c r="Y77" s="532">
        <f t="shared" si="2"/>
        <v>6.1141432228970324E-2</v>
      </c>
      <c r="Z77" s="532">
        <f t="shared" si="2"/>
        <v>6.1141432228970324E-2</v>
      </c>
      <c r="AA77" s="532">
        <f t="shared" si="2"/>
        <v>4.7586666666666666E-2</v>
      </c>
      <c r="AB77" s="532">
        <f t="shared" si="2"/>
        <v>2.146E-2</v>
      </c>
      <c r="AC77" s="532">
        <f t="shared" si="2"/>
        <v>0</v>
      </c>
      <c r="AD77" s="532">
        <f t="shared" si="2"/>
        <v>0</v>
      </c>
      <c r="AE77" s="532">
        <f t="shared" si="2"/>
        <v>0</v>
      </c>
      <c r="AF77" s="532">
        <f t="shared" si="2"/>
        <v>0</v>
      </c>
      <c r="AG77" s="532">
        <f t="shared" si="2"/>
        <v>0</v>
      </c>
      <c r="AH77" s="532">
        <f t="shared" si="2"/>
        <v>0</v>
      </c>
      <c r="AI77" s="532">
        <f t="shared" si="2"/>
        <v>0</v>
      </c>
      <c r="AJ77" s="532">
        <f t="shared" si="2"/>
        <v>0</v>
      </c>
      <c r="AK77" s="532">
        <f t="shared" si="2"/>
        <v>0</v>
      </c>
      <c r="AL77" s="532">
        <f t="shared" si="2"/>
        <v>0</v>
      </c>
      <c r="AM77" s="532">
        <f t="shared" si="2"/>
        <v>0</v>
      </c>
      <c r="AN77" s="532">
        <f t="shared" si="2"/>
        <v>0</v>
      </c>
      <c r="AO77" s="532">
        <f t="shared" si="2"/>
        <v>0</v>
      </c>
      <c r="AP77" s="532">
        <f t="shared" si="2"/>
        <v>0</v>
      </c>
      <c r="AQ77" s="532">
        <f t="shared" si="2"/>
        <v>0</v>
      </c>
      <c r="AR77" s="532">
        <f t="shared" si="2"/>
        <v>0</v>
      </c>
      <c r="AS77" s="532">
        <f t="shared" si="2"/>
        <v>0</v>
      </c>
      <c r="AT77" s="532">
        <f t="shared" si="2"/>
        <v>0</v>
      </c>
      <c r="AU77" s="532">
        <f t="shared" si="2"/>
        <v>0</v>
      </c>
      <c r="AV77" s="532">
        <f t="shared" si="2"/>
        <v>0</v>
      </c>
      <c r="AW77" s="532">
        <f t="shared" si="2"/>
        <v>0</v>
      </c>
      <c r="AX77" s="532">
        <f t="shared" si="2"/>
        <v>0</v>
      </c>
      <c r="AY77" s="532">
        <f t="shared" si="2"/>
        <v>0</v>
      </c>
      <c r="AZ77" s="532">
        <f t="shared" si="2"/>
        <v>0</v>
      </c>
    </row>
    <row r="78" spans="1:52" s="469" customFormat="1" ht="5.15" customHeight="1">
      <c r="A78" s="477"/>
      <c r="B78" s="477"/>
      <c r="C78" s="477"/>
      <c r="D78" s="477"/>
      <c r="E78" s="477"/>
      <c r="F78" s="477"/>
      <c r="G78" s="467"/>
      <c r="H78" s="468"/>
      <c r="I78" s="468"/>
      <c r="J78" s="468"/>
      <c r="K78" s="468"/>
      <c r="L78" s="468"/>
      <c r="M78" s="468"/>
      <c r="N78" s="468"/>
      <c r="O78" s="468"/>
      <c r="P78" s="468"/>
      <c r="Q78" s="468"/>
      <c r="R78" s="468"/>
      <c r="S78" s="468"/>
      <c r="T78" s="468"/>
      <c r="U78" s="468"/>
      <c r="V78" s="468"/>
      <c r="W78" s="468"/>
      <c r="X78" s="468"/>
      <c r="Y78" s="468"/>
      <c r="Z78" s="468"/>
      <c r="AA78" s="468"/>
      <c r="AB78" s="468"/>
      <c r="AC78" s="468"/>
      <c r="AD78" s="468"/>
      <c r="AE78" s="468"/>
      <c r="AF78" s="468"/>
      <c r="AG78" s="468"/>
      <c r="AH78" s="468"/>
      <c r="AI78" s="468"/>
      <c r="AJ78" s="468"/>
      <c r="AK78" s="468"/>
      <c r="AL78" s="468"/>
      <c r="AM78" s="468"/>
      <c r="AN78" s="468"/>
      <c r="AO78" s="468"/>
      <c r="AP78" s="468"/>
      <c r="AQ78" s="468"/>
      <c r="AR78" s="468"/>
      <c r="AS78" s="468"/>
      <c r="AT78" s="468"/>
      <c r="AU78" s="468"/>
      <c r="AV78" s="468"/>
      <c r="AW78" s="468"/>
      <c r="AX78" s="468"/>
      <c r="AY78" s="468"/>
      <c r="AZ78" s="468"/>
    </row>
    <row r="79" spans="1:52" s="469" customFormat="1" ht="13">
      <c r="A79" s="529" t="s">
        <v>512</v>
      </c>
      <c r="B79" s="530"/>
      <c r="C79" s="530"/>
      <c r="D79" s="530"/>
      <c r="E79" s="530"/>
      <c r="F79" s="531"/>
      <c r="G79" s="467"/>
      <c r="H79" s="532">
        <f>SUM(H28:H42,H59:H60)</f>
        <v>0</v>
      </c>
      <c r="I79" s="532">
        <f t="shared" ref="I79:AZ79" si="3">SUM(I28:I42,I59:I60)</f>
        <v>0</v>
      </c>
      <c r="J79" s="532">
        <f t="shared" si="3"/>
        <v>4.0383270985091144</v>
      </c>
      <c r="K79" s="532">
        <f t="shared" si="3"/>
        <v>0.34596344185839278</v>
      </c>
      <c r="L79" s="532">
        <f t="shared" si="3"/>
        <v>0.34596344185839278</v>
      </c>
      <c r="M79" s="532">
        <f t="shared" si="3"/>
        <v>0.34596344185839278</v>
      </c>
      <c r="N79" s="532">
        <f t="shared" si="3"/>
        <v>0.34260553096032759</v>
      </c>
      <c r="O79" s="532">
        <f t="shared" si="3"/>
        <v>0.34260553096032759</v>
      </c>
      <c r="P79" s="532">
        <f t="shared" si="3"/>
        <v>0.33619123868709644</v>
      </c>
      <c r="Q79" s="532">
        <f t="shared" si="3"/>
        <v>0.33402478652310524</v>
      </c>
      <c r="R79" s="532">
        <f t="shared" si="3"/>
        <v>0.32224520709553778</v>
      </c>
      <c r="S79" s="532">
        <f t="shared" si="3"/>
        <v>0.31026670687038715</v>
      </c>
      <c r="T79" s="532">
        <f t="shared" si="3"/>
        <v>0.30853006729651483</v>
      </c>
      <c r="U79" s="532">
        <f t="shared" si="3"/>
        <v>0.30853006729651483</v>
      </c>
      <c r="V79" s="532">
        <f t="shared" si="3"/>
        <v>0.30341899825428487</v>
      </c>
      <c r="W79" s="532">
        <f t="shared" si="3"/>
        <v>0.30295560046050857</v>
      </c>
      <c r="X79" s="532">
        <f t="shared" si="3"/>
        <v>0.30053282141813015</v>
      </c>
      <c r="Y79" s="532">
        <f t="shared" si="3"/>
        <v>0.2796902462561654</v>
      </c>
      <c r="Z79" s="532">
        <f t="shared" si="3"/>
        <v>0.10565117282472013</v>
      </c>
      <c r="AA79" s="532">
        <f t="shared" si="3"/>
        <v>0.10565117282472013</v>
      </c>
      <c r="AB79" s="532">
        <f t="shared" si="3"/>
        <v>4.6269082115023369E-2</v>
      </c>
      <c r="AC79" s="532">
        <f t="shared" si="3"/>
        <v>4.6269082115023369E-2</v>
      </c>
      <c r="AD79" s="532">
        <f t="shared" si="3"/>
        <v>0</v>
      </c>
      <c r="AE79" s="532">
        <f t="shared" si="3"/>
        <v>0</v>
      </c>
      <c r="AF79" s="532">
        <f t="shared" si="3"/>
        <v>0</v>
      </c>
      <c r="AG79" s="532">
        <f t="shared" si="3"/>
        <v>0</v>
      </c>
      <c r="AH79" s="532">
        <f t="shared" si="3"/>
        <v>0</v>
      </c>
      <c r="AI79" s="532">
        <f t="shared" si="3"/>
        <v>0</v>
      </c>
      <c r="AJ79" s="532">
        <f t="shared" si="3"/>
        <v>0</v>
      </c>
      <c r="AK79" s="532">
        <f t="shared" si="3"/>
        <v>0</v>
      </c>
      <c r="AL79" s="532">
        <f t="shared" si="3"/>
        <v>0</v>
      </c>
      <c r="AM79" s="532">
        <f t="shared" si="3"/>
        <v>0</v>
      </c>
      <c r="AN79" s="532">
        <f t="shared" si="3"/>
        <v>0</v>
      </c>
      <c r="AO79" s="532">
        <f t="shared" si="3"/>
        <v>0</v>
      </c>
      <c r="AP79" s="532">
        <f t="shared" si="3"/>
        <v>0</v>
      </c>
      <c r="AQ79" s="532">
        <f t="shared" si="3"/>
        <v>0</v>
      </c>
      <c r="AR79" s="532">
        <f t="shared" si="3"/>
        <v>0</v>
      </c>
      <c r="AS79" s="532">
        <f t="shared" si="3"/>
        <v>0</v>
      </c>
      <c r="AT79" s="532">
        <f t="shared" si="3"/>
        <v>0</v>
      </c>
      <c r="AU79" s="532">
        <f t="shared" si="3"/>
        <v>0</v>
      </c>
      <c r="AV79" s="532">
        <f t="shared" si="3"/>
        <v>0</v>
      </c>
      <c r="AW79" s="532">
        <f t="shared" si="3"/>
        <v>0</v>
      </c>
      <c r="AX79" s="532">
        <f t="shared" si="3"/>
        <v>0</v>
      </c>
      <c r="AY79" s="532">
        <f t="shared" si="3"/>
        <v>0</v>
      </c>
      <c r="AZ79" s="532">
        <f t="shared" si="3"/>
        <v>0</v>
      </c>
    </row>
    <row r="80" spans="1:52" s="469" customFormat="1" ht="4.5" customHeight="1">
      <c r="A80" s="477"/>
      <c r="B80" s="477"/>
      <c r="C80" s="477"/>
      <c r="D80" s="477"/>
      <c r="E80" s="477"/>
      <c r="F80" s="477"/>
      <c r="G80" s="467"/>
      <c r="H80" s="468"/>
      <c r="I80" s="468"/>
      <c r="J80" s="468"/>
      <c r="K80" s="468"/>
      <c r="L80" s="468"/>
      <c r="M80" s="468"/>
      <c r="N80" s="468"/>
      <c r="O80" s="468"/>
      <c r="P80" s="468"/>
      <c r="Q80" s="468"/>
      <c r="R80" s="468"/>
      <c r="S80" s="468"/>
      <c r="T80" s="468"/>
      <c r="U80" s="468"/>
      <c r="V80" s="468"/>
      <c r="W80" s="468"/>
      <c r="X80" s="468"/>
      <c r="Y80" s="468"/>
      <c r="Z80" s="468"/>
      <c r="AA80" s="468"/>
      <c r="AB80" s="468"/>
      <c r="AC80" s="468"/>
      <c r="AD80" s="468"/>
      <c r="AE80" s="468"/>
      <c r="AF80" s="468"/>
      <c r="AG80" s="468"/>
      <c r="AH80" s="468"/>
      <c r="AI80" s="468"/>
      <c r="AJ80" s="468"/>
      <c r="AK80" s="468"/>
      <c r="AL80" s="468"/>
      <c r="AM80" s="468"/>
      <c r="AN80" s="468"/>
      <c r="AO80" s="468"/>
      <c r="AP80" s="468"/>
      <c r="AQ80" s="468"/>
      <c r="AR80" s="468"/>
      <c r="AS80" s="468"/>
      <c r="AT80" s="468"/>
      <c r="AU80" s="468"/>
      <c r="AV80" s="468"/>
      <c r="AW80" s="468"/>
      <c r="AX80" s="468"/>
      <c r="AY80" s="468"/>
      <c r="AZ80" s="468"/>
    </row>
    <row r="81" spans="1:52" s="469" customFormat="1" ht="13">
      <c r="A81" s="529" t="s">
        <v>513</v>
      </c>
      <c r="B81" s="530"/>
      <c r="C81" s="530"/>
      <c r="D81" s="530"/>
      <c r="E81" s="530"/>
      <c r="F81" s="531"/>
      <c r="G81" s="467"/>
      <c r="H81" s="532">
        <f>SUM(H43:H58)</f>
        <v>0</v>
      </c>
      <c r="I81" s="532">
        <f t="shared" ref="I81:AZ81" si="4">SUM(I43:I58)</f>
        <v>0</v>
      </c>
      <c r="J81" s="532">
        <f t="shared" si="4"/>
        <v>0</v>
      </c>
      <c r="K81" s="532">
        <f t="shared" si="4"/>
        <v>3.7917776280997404</v>
      </c>
      <c r="L81" s="532">
        <f t="shared" si="4"/>
        <v>0.42435708807828793</v>
      </c>
      <c r="M81" s="532">
        <f t="shared" si="4"/>
        <v>0.42435708807828793</v>
      </c>
      <c r="N81" s="532">
        <f t="shared" si="4"/>
        <v>0.42329079323298957</v>
      </c>
      <c r="O81" s="532">
        <f t="shared" si="4"/>
        <v>0.41816059930017768</v>
      </c>
      <c r="P81" s="532">
        <f t="shared" si="4"/>
        <v>0.40605136092503463</v>
      </c>
      <c r="Q81" s="532">
        <f t="shared" si="4"/>
        <v>0.4042052465154134</v>
      </c>
      <c r="R81" s="532">
        <f t="shared" si="4"/>
        <v>0.3810473517785713</v>
      </c>
      <c r="S81" s="532">
        <f t="shared" si="4"/>
        <v>0.37554716512500391</v>
      </c>
      <c r="T81" s="532">
        <f t="shared" si="4"/>
        <v>0.20046819435185703</v>
      </c>
      <c r="U81" s="532">
        <f t="shared" si="4"/>
        <v>0.19699872727494522</v>
      </c>
      <c r="V81" s="532">
        <f t="shared" si="4"/>
        <v>0.13665121551345549</v>
      </c>
      <c r="W81" s="532">
        <f t="shared" si="4"/>
        <v>0.12885549995616163</v>
      </c>
      <c r="X81" s="532">
        <f t="shared" si="4"/>
        <v>0.12885549995616163</v>
      </c>
      <c r="Y81" s="532">
        <f t="shared" si="4"/>
        <v>0.12848045168046604</v>
      </c>
      <c r="Z81" s="532">
        <f t="shared" si="4"/>
        <v>0.11982724042073281</v>
      </c>
      <c r="AA81" s="532">
        <f t="shared" si="4"/>
        <v>0.11909543426463211</v>
      </c>
      <c r="AB81" s="532">
        <f t="shared" si="4"/>
        <v>0.11909543426463211</v>
      </c>
      <c r="AC81" s="532">
        <f t="shared" si="4"/>
        <v>9.4506914636570197E-2</v>
      </c>
      <c r="AD81" s="532">
        <f t="shared" si="4"/>
        <v>2.6855791176871379E-2</v>
      </c>
      <c r="AE81" s="532">
        <f t="shared" si="4"/>
        <v>0</v>
      </c>
      <c r="AF81" s="532">
        <f t="shared" si="4"/>
        <v>0</v>
      </c>
      <c r="AG81" s="532">
        <f t="shared" si="4"/>
        <v>0</v>
      </c>
      <c r="AH81" s="532">
        <f t="shared" si="4"/>
        <v>0</v>
      </c>
      <c r="AI81" s="532">
        <f t="shared" si="4"/>
        <v>0</v>
      </c>
      <c r="AJ81" s="532">
        <f t="shared" si="4"/>
        <v>0</v>
      </c>
      <c r="AK81" s="532">
        <f t="shared" si="4"/>
        <v>0</v>
      </c>
      <c r="AL81" s="532">
        <f t="shared" si="4"/>
        <v>0</v>
      </c>
      <c r="AM81" s="532">
        <f t="shared" si="4"/>
        <v>0</v>
      </c>
      <c r="AN81" s="532">
        <f t="shared" si="4"/>
        <v>0</v>
      </c>
      <c r="AO81" s="532">
        <f t="shared" si="4"/>
        <v>0</v>
      </c>
      <c r="AP81" s="532">
        <f t="shared" si="4"/>
        <v>0</v>
      </c>
      <c r="AQ81" s="532">
        <f t="shared" si="4"/>
        <v>0</v>
      </c>
      <c r="AR81" s="532">
        <f t="shared" si="4"/>
        <v>0</v>
      </c>
      <c r="AS81" s="532">
        <f t="shared" si="4"/>
        <v>0</v>
      </c>
      <c r="AT81" s="532">
        <f t="shared" si="4"/>
        <v>0</v>
      </c>
      <c r="AU81" s="532">
        <f t="shared" si="4"/>
        <v>0</v>
      </c>
      <c r="AV81" s="532">
        <f t="shared" si="4"/>
        <v>0</v>
      </c>
      <c r="AW81" s="532">
        <f t="shared" si="4"/>
        <v>0</v>
      </c>
      <c r="AX81" s="532">
        <f t="shared" si="4"/>
        <v>0</v>
      </c>
      <c r="AY81" s="532">
        <f t="shared" si="4"/>
        <v>0</v>
      </c>
      <c r="AZ81" s="532">
        <f t="shared" si="4"/>
        <v>0</v>
      </c>
    </row>
    <row r="82" spans="1:52" s="469" customFormat="1" ht="3.75" customHeight="1">
      <c r="A82" s="533"/>
      <c r="B82" s="533"/>
      <c r="C82" s="533"/>
      <c r="D82" s="533"/>
      <c r="E82" s="533"/>
      <c r="F82" s="533"/>
      <c r="G82" s="467"/>
      <c r="H82" s="534"/>
      <c r="I82" s="534"/>
      <c r="J82" s="534"/>
      <c r="K82" s="534"/>
      <c r="L82" s="534"/>
      <c r="M82" s="534"/>
      <c r="N82" s="534"/>
      <c r="O82" s="534"/>
      <c r="P82" s="534"/>
      <c r="Q82" s="534"/>
      <c r="R82" s="534"/>
      <c r="S82" s="534"/>
      <c r="T82" s="534"/>
      <c r="U82" s="534"/>
      <c r="V82" s="534"/>
      <c r="W82" s="534"/>
      <c r="X82" s="534"/>
      <c r="Y82" s="534"/>
      <c r="Z82" s="534"/>
      <c r="AA82" s="534"/>
      <c r="AB82" s="534"/>
      <c r="AC82" s="534"/>
      <c r="AD82" s="534"/>
      <c r="AE82" s="534"/>
      <c r="AF82" s="534"/>
      <c r="AG82" s="534"/>
      <c r="AH82" s="534"/>
      <c r="AI82" s="534"/>
      <c r="AJ82" s="534"/>
      <c r="AK82" s="534"/>
      <c r="AL82" s="534"/>
      <c r="AM82" s="534"/>
      <c r="AN82" s="534"/>
      <c r="AO82" s="534"/>
      <c r="AP82" s="534"/>
      <c r="AQ82" s="534"/>
      <c r="AR82" s="534"/>
      <c r="AS82" s="534"/>
      <c r="AT82" s="534"/>
      <c r="AU82" s="534"/>
      <c r="AV82" s="534"/>
      <c r="AW82" s="534"/>
      <c r="AX82" s="534"/>
      <c r="AY82" s="534"/>
      <c r="AZ82" s="534"/>
    </row>
    <row r="83" spans="1:52" s="469" customFormat="1" ht="13">
      <c r="A83" s="529" t="s">
        <v>514</v>
      </c>
      <c r="B83" s="530"/>
      <c r="C83" s="530"/>
      <c r="D83" s="530"/>
      <c r="E83" s="530"/>
      <c r="F83" s="531"/>
      <c r="G83" s="467"/>
      <c r="H83" s="532">
        <f>SUM(H61:H73)</f>
        <v>0</v>
      </c>
      <c r="I83" s="532">
        <f t="shared" ref="I83:AZ83" si="5">SUM(I61:I73)</f>
        <v>0</v>
      </c>
      <c r="J83" s="532">
        <f t="shared" si="5"/>
        <v>0</v>
      </c>
      <c r="K83" s="532">
        <f t="shared" si="5"/>
        <v>0</v>
      </c>
      <c r="L83" s="532">
        <f t="shared" si="5"/>
        <v>3.044947332731665</v>
      </c>
      <c r="M83" s="532">
        <f t="shared" si="5"/>
        <v>0.37936785107193205</v>
      </c>
      <c r="N83" s="532">
        <f t="shared" si="5"/>
        <v>0.37918677481717433</v>
      </c>
      <c r="O83" s="532">
        <f t="shared" si="5"/>
        <v>0.37823284657571843</v>
      </c>
      <c r="P83" s="532">
        <f t="shared" si="5"/>
        <v>0.37464381858592655</v>
      </c>
      <c r="Q83" s="532">
        <f t="shared" si="5"/>
        <v>0.36537368171251083</v>
      </c>
      <c r="R83" s="532">
        <f t="shared" si="5"/>
        <v>0.36508103483753129</v>
      </c>
      <c r="S83" s="532">
        <f t="shared" si="5"/>
        <v>0.36508103483753129</v>
      </c>
      <c r="T83" s="532">
        <f t="shared" si="5"/>
        <v>0.18927980110737072</v>
      </c>
      <c r="U83" s="532">
        <f t="shared" si="5"/>
        <v>0.18710964784967907</v>
      </c>
      <c r="V83" s="532">
        <f t="shared" si="5"/>
        <v>0.13430914382079773</v>
      </c>
      <c r="W83" s="532">
        <f t="shared" si="5"/>
        <v>0.13430914382079773</v>
      </c>
      <c r="X83" s="532">
        <f t="shared" si="5"/>
        <v>0.13409646306424461</v>
      </c>
      <c r="Y83" s="532">
        <f t="shared" si="5"/>
        <v>0.13409646306424461</v>
      </c>
      <c r="Z83" s="532">
        <f t="shared" si="5"/>
        <v>0.13409646306424461</v>
      </c>
      <c r="AA83" s="532">
        <f t="shared" si="5"/>
        <v>0.13075297071969327</v>
      </c>
      <c r="AB83" s="532">
        <f t="shared" si="5"/>
        <v>0.13038619813536853</v>
      </c>
      <c r="AC83" s="532">
        <f t="shared" si="5"/>
        <v>0.13038619813536853</v>
      </c>
      <c r="AD83" s="532">
        <f t="shared" si="5"/>
        <v>0.12589219339219632</v>
      </c>
      <c r="AE83" s="532">
        <f t="shared" si="5"/>
        <v>8.6040309010406019E-2</v>
      </c>
      <c r="AF83" s="532">
        <f t="shared" si="5"/>
        <v>0</v>
      </c>
      <c r="AG83" s="532">
        <f t="shared" si="5"/>
        <v>0</v>
      </c>
      <c r="AH83" s="532">
        <f t="shared" si="5"/>
        <v>0</v>
      </c>
      <c r="AI83" s="532">
        <f t="shared" si="5"/>
        <v>0</v>
      </c>
      <c r="AJ83" s="532">
        <f t="shared" si="5"/>
        <v>0</v>
      </c>
      <c r="AK83" s="532">
        <f t="shared" si="5"/>
        <v>0</v>
      </c>
      <c r="AL83" s="532">
        <f t="shared" si="5"/>
        <v>0</v>
      </c>
      <c r="AM83" s="532">
        <f t="shared" si="5"/>
        <v>0</v>
      </c>
      <c r="AN83" s="532">
        <f t="shared" si="5"/>
        <v>0</v>
      </c>
      <c r="AO83" s="532">
        <f t="shared" si="5"/>
        <v>0</v>
      </c>
      <c r="AP83" s="532">
        <f t="shared" si="5"/>
        <v>0</v>
      </c>
      <c r="AQ83" s="532">
        <f t="shared" si="5"/>
        <v>0</v>
      </c>
      <c r="AR83" s="532">
        <f t="shared" si="5"/>
        <v>0</v>
      </c>
      <c r="AS83" s="532">
        <f t="shared" si="5"/>
        <v>0</v>
      </c>
      <c r="AT83" s="532">
        <f t="shared" si="5"/>
        <v>0</v>
      </c>
      <c r="AU83" s="532">
        <f t="shared" si="5"/>
        <v>0</v>
      </c>
      <c r="AV83" s="532">
        <f t="shared" si="5"/>
        <v>0</v>
      </c>
      <c r="AW83" s="532">
        <f t="shared" si="5"/>
        <v>0</v>
      </c>
      <c r="AX83" s="532">
        <f t="shared" si="5"/>
        <v>0</v>
      </c>
      <c r="AY83" s="532">
        <f t="shared" si="5"/>
        <v>0</v>
      </c>
      <c r="AZ83" s="532">
        <f t="shared" si="5"/>
        <v>0</v>
      </c>
    </row>
    <row r="84" spans="1:52" s="469" customFormat="1" ht="4.5" customHeight="1">
      <c r="A84" s="477"/>
      <c r="B84" s="477"/>
      <c r="C84" s="477"/>
      <c r="D84" s="477"/>
      <c r="E84" s="477"/>
      <c r="F84" s="477"/>
      <c r="G84" s="467"/>
      <c r="H84" s="468"/>
      <c r="I84" s="468"/>
      <c r="J84" s="468"/>
      <c r="K84" s="468"/>
      <c r="L84" s="468"/>
      <c r="M84" s="468"/>
      <c r="N84" s="468"/>
      <c r="O84" s="468"/>
      <c r="P84" s="468"/>
      <c r="Q84" s="468"/>
      <c r="R84" s="468"/>
      <c r="S84" s="468"/>
      <c r="T84" s="468"/>
      <c r="U84" s="468"/>
      <c r="V84" s="468"/>
      <c r="W84" s="468"/>
      <c r="X84" s="468"/>
      <c r="Y84" s="468"/>
      <c r="Z84" s="468"/>
      <c r="AA84" s="468"/>
      <c r="AB84" s="468"/>
      <c r="AC84" s="468"/>
      <c r="AD84" s="468"/>
      <c r="AE84" s="468"/>
      <c r="AF84" s="468"/>
      <c r="AG84" s="468"/>
      <c r="AH84" s="468"/>
      <c r="AI84" s="468"/>
      <c r="AJ84" s="468"/>
      <c r="AK84" s="468"/>
      <c r="AL84" s="468"/>
      <c r="AM84" s="468"/>
      <c r="AN84" s="468"/>
      <c r="AO84" s="468"/>
      <c r="AP84" s="468"/>
      <c r="AQ84" s="468"/>
      <c r="AR84" s="468"/>
      <c r="AS84" s="468"/>
      <c r="AT84" s="468"/>
      <c r="AU84" s="468"/>
      <c r="AV84" s="468"/>
      <c r="AW84" s="468"/>
      <c r="AX84" s="468"/>
      <c r="AY84" s="468"/>
      <c r="AZ84" s="468"/>
    </row>
    <row r="85" spans="1:52" s="469" customFormat="1" ht="13">
      <c r="A85" s="529" t="s">
        <v>515</v>
      </c>
      <c r="B85" s="535"/>
      <c r="C85" s="535"/>
      <c r="D85" s="535"/>
      <c r="E85" s="535"/>
      <c r="F85" s="536"/>
      <c r="G85" s="467"/>
      <c r="H85" s="532">
        <f>SUM(H9:H73)</f>
        <v>1.984869925959966</v>
      </c>
      <c r="I85" s="532">
        <f>SUM(I9:I73)</f>
        <v>2.5170302774954783</v>
      </c>
      <c r="J85" s="532">
        <f t="shared" ref="J85:AZ85" si="6">SUM(J9:J73)</f>
        <v>4.3542288616863285</v>
      </c>
      <c r="K85" s="532">
        <f t="shared" si="6"/>
        <v>4.4250755411278435</v>
      </c>
      <c r="L85" s="532">
        <f t="shared" si="6"/>
        <v>4.1026023338380559</v>
      </c>
      <c r="M85" s="532">
        <f t="shared" si="6"/>
        <v>1.4362967394091208</v>
      </c>
      <c r="N85" s="532">
        <f t="shared" si="6"/>
        <v>1.4192821304043322</v>
      </c>
      <c r="O85" s="532">
        <f t="shared" si="6"/>
        <v>1.4131980082300644</v>
      </c>
      <c r="P85" s="532">
        <f t="shared" si="6"/>
        <v>1.3726608620295082</v>
      </c>
      <c r="Q85" s="532">
        <f t="shared" si="6"/>
        <v>1.3389192981032267</v>
      </c>
      <c r="R85" s="532">
        <f t="shared" si="6"/>
        <v>1.2982348728891926</v>
      </c>
      <c r="S85" s="532">
        <f t="shared" si="6"/>
        <v>1.2674130684676035</v>
      </c>
      <c r="T85" s="532">
        <f t="shared" si="6"/>
        <v>0.91479622439042363</v>
      </c>
      <c r="U85" s="532">
        <f t="shared" si="6"/>
        <v>0.90915660405582022</v>
      </c>
      <c r="V85" s="532">
        <f t="shared" si="6"/>
        <v>0.76523718393080176</v>
      </c>
      <c r="W85" s="532">
        <f t="shared" si="6"/>
        <v>0.71411596579381953</v>
      </c>
      <c r="X85" s="532">
        <f t="shared" si="6"/>
        <v>0.65240956242419024</v>
      </c>
      <c r="Y85" s="532">
        <f t="shared" si="6"/>
        <v>0.63103853600884718</v>
      </c>
      <c r="Z85" s="532">
        <f t="shared" si="6"/>
        <v>0.42149316562971828</v>
      </c>
      <c r="AA85" s="532">
        <f t="shared" si="6"/>
        <v>0.40386310156676253</v>
      </c>
      <c r="AB85" s="532">
        <f t="shared" si="6"/>
        <v>0.31721071451502403</v>
      </c>
      <c r="AC85" s="532">
        <f t="shared" si="6"/>
        <v>0.27116219488696208</v>
      </c>
      <c r="AD85" s="532">
        <f t="shared" si="6"/>
        <v>0.15274798456906771</v>
      </c>
      <c r="AE85" s="532">
        <f t="shared" si="6"/>
        <v>8.6040309010406019E-2</v>
      </c>
      <c r="AF85" s="532">
        <f t="shared" si="6"/>
        <v>0</v>
      </c>
      <c r="AG85" s="532">
        <f t="shared" si="6"/>
        <v>0</v>
      </c>
      <c r="AH85" s="532">
        <f t="shared" si="6"/>
        <v>0</v>
      </c>
      <c r="AI85" s="532">
        <f t="shared" si="6"/>
        <v>0</v>
      </c>
      <c r="AJ85" s="532">
        <f t="shared" si="6"/>
        <v>0</v>
      </c>
      <c r="AK85" s="532">
        <f t="shared" si="6"/>
        <v>0</v>
      </c>
      <c r="AL85" s="532">
        <f t="shared" si="6"/>
        <v>0</v>
      </c>
      <c r="AM85" s="532">
        <f t="shared" si="6"/>
        <v>0</v>
      </c>
      <c r="AN85" s="532">
        <f t="shared" si="6"/>
        <v>0</v>
      </c>
      <c r="AO85" s="532">
        <f t="shared" si="6"/>
        <v>0</v>
      </c>
      <c r="AP85" s="532">
        <f t="shared" si="6"/>
        <v>0</v>
      </c>
      <c r="AQ85" s="532">
        <f t="shared" si="6"/>
        <v>0</v>
      </c>
      <c r="AR85" s="532">
        <f t="shared" si="6"/>
        <v>0</v>
      </c>
      <c r="AS85" s="532">
        <f t="shared" si="6"/>
        <v>0</v>
      </c>
      <c r="AT85" s="532">
        <f t="shared" si="6"/>
        <v>0</v>
      </c>
      <c r="AU85" s="532">
        <f t="shared" si="6"/>
        <v>0</v>
      </c>
      <c r="AV85" s="532">
        <f t="shared" si="6"/>
        <v>0</v>
      </c>
      <c r="AW85" s="532">
        <f t="shared" si="6"/>
        <v>0</v>
      </c>
      <c r="AX85" s="532">
        <f t="shared" si="6"/>
        <v>0</v>
      </c>
      <c r="AY85" s="532">
        <f t="shared" si="6"/>
        <v>0</v>
      </c>
      <c r="AZ85" s="532">
        <f t="shared" si="6"/>
        <v>0</v>
      </c>
    </row>
    <row r="86" spans="1:52" s="540" customFormat="1">
      <c r="A86" s="537"/>
      <c r="B86" s="537"/>
      <c r="C86" s="537"/>
      <c r="D86" s="537"/>
      <c r="E86" s="537"/>
      <c r="F86" s="537"/>
      <c r="G86" s="538"/>
      <c r="H86" s="539">
        <v>65</v>
      </c>
      <c r="I86" s="539">
        <f>H86+1</f>
        <v>66</v>
      </c>
      <c r="J86" s="539">
        <f t="shared" ref="J86:AZ86" si="7">I86+1</f>
        <v>67</v>
      </c>
      <c r="K86" s="539">
        <f t="shared" si="7"/>
        <v>68</v>
      </c>
      <c r="L86" s="539">
        <f t="shared" si="7"/>
        <v>69</v>
      </c>
      <c r="M86" s="539">
        <f t="shared" si="7"/>
        <v>70</v>
      </c>
      <c r="N86" s="539">
        <f t="shared" si="7"/>
        <v>71</v>
      </c>
      <c r="O86" s="539">
        <f t="shared" si="7"/>
        <v>72</v>
      </c>
      <c r="P86" s="539">
        <f t="shared" si="7"/>
        <v>73</v>
      </c>
      <c r="Q86" s="539">
        <f t="shared" si="7"/>
        <v>74</v>
      </c>
      <c r="R86" s="539">
        <f t="shared" si="7"/>
        <v>75</v>
      </c>
      <c r="S86" s="539">
        <f t="shared" si="7"/>
        <v>76</v>
      </c>
      <c r="T86" s="539">
        <f t="shared" si="7"/>
        <v>77</v>
      </c>
      <c r="U86" s="539">
        <f t="shared" si="7"/>
        <v>78</v>
      </c>
      <c r="V86" s="539">
        <f t="shared" si="7"/>
        <v>79</v>
      </c>
      <c r="W86" s="539">
        <f t="shared" si="7"/>
        <v>80</v>
      </c>
      <c r="X86" s="539">
        <f t="shared" si="7"/>
        <v>81</v>
      </c>
      <c r="Y86" s="539">
        <f t="shared" si="7"/>
        <v>82</v>
      </c>
      <c r="Z86" s="539">
        <f t="shared" si="7"/>
        <v>83</v>
      </c>
      <c r="AA86" s="539">
        <f t="shared" si="7"/>
        <v>84</v>
      </c>
      <c r="AB86" s="539">
        <f t="shared" si="7"/>
        <v>85</v>
      </c>
      <c r="AC86" s="539">
        <f t="shared" si="7"/>
        <v>86</v>
      </c>
      <c r="AD86" s="539">
        <f t="shared" si="7"/>
        <v>87</v>
      </c>
      <c r="AE86" s="539">
        <f t="shared" si="7"/>
        <v>88</v>
      </c>
      <c r="AF86" s="539">
        <f t="shared" si="7"/>
        <v>89</v>
      </c>
      <c r="AG86" s="539">
        <f t="shared" si="7"/>
        <v>90</v>
      </c>
      <c r="AH86" s="539">
        <f t="shared" si="7"/>
        <v>91</v>
      </c>
      <c r="AI86" s="539">
        <f t="shared" si="7"/>
        <v>92</v>
      </c>
      <c r="AJ86" s="539">
        <f t="shared" si="7"/>
        <v>93</v>
      </c>
      <c r="AK86" s="539">
        <f t="shared" si="7"/>
        <v>94</v>
      </c>
      <c r="AL86" s="539">
        <f t="shared" si="7"/>
        <v>95</v>
      </c>
      <c r="AM86" s="539">
        <f t="shared" si="7"/>
        <v>96</v>
      </c>
      <c r="AN86" s="539">
        <f t="shared" si="7"/>
        <v>97</v>
      </c>
      <c r="AO86" s="539">
        <f t="shared" si="7"/>
        <v>98</v>
      </c>
      <c r="AP86" s="539">
        <f t="shared" si="7"/>
        <v>99</v>
      </c>
      <c r="AQ86" s="539">
        <f t="shared" si="7"/>
        <v>100</v>
      </c>
      <c r="AR86" s="539">
        <f t="shared" si="7"/>
        <v>101</v>
      </c>
      <c r="AS86" s="539">
        <f t="shared" si="7"/>
        <v>102</v>
      </c>
      <c r="AT86" s="539">
        <f t="shared" si="7"/>
        <v>103</v>
      </c>
      <c r="AU86" s="539">
        <f t="shared" si="7"/>
        <v>104</v>
      </c>
      <c r="AV86" s="539">
        <f t="shared" si="7"/>
        <v>105</v>
      </c>
      <c r="AW86" s="539">
        <f t="shared" si="7"/>
        <v>106</v>
      </c>
      <c r="AX86" s="539">
        <f t="shared" si="7"/>
        <v>107</v>
      </c>
      <c r="AY86" s="539">
        <f t="shared" si="7"/>
        <v>108</v>
      </c>
      <c r="AZ86" s="539">
        <f t="shared" si="7"/>
        <v>109</v>
      </c>
    </row>
    <row r="87" spans="1:52" s="469" customFormat="1">
      <c r="A87" s="466"/>
      <c r="B87" s="466"/>
      <c r="C87" s="466"/>
      <c r="D87" s="466"/>
      <c r="E87" s="466"/>
      <c r="F87" s="466"/>
      <c r="G87" s="467"/>
      <c r="H87" s="468"/>
      <c r="I87" s="468"/>
      <c r="J87" s="468"/>
      <c r="K87" s="468"/>
      <c r="L87" s="468"/>
      <c r="M87" s="468"/>
      <c r="N87" s="468"/>
      <c r="O87" s="468"/>
      <c r="P87" s="468"/>
      <c r="Q87" s="468"/>
      <c r="R87" s="468"/>
      <c r="S87" s="468"/>
      <c r="T87" s="468"/>
      <c r="U87" s="468"/>
      <c r="V87" s="468"/>
      <c r="W87" s="468"/>
      <c r="X87" s="468"/>
      <c r="Y87" s="468"/>
      <c r="Z87" s="468"/>
      <c r="AA87" s="468"/>
      <c r="AB87" s="468"/>
      <c r="AC87" s="468"/>
      <c r="AD87" s="468"/>
      <c r="AE87" s="468"/>
      <c r="AF87" s="468"/>
      <c r="AG87" s="468"/>
      <c r="AH87" s="468"/>
      <c r="AI87" s="468"/>
      <c r="AJ87" s="468"/>
      <c r="AK87" s="468"/>
      <c r="AL87" s="468"/>
      <c r="AM87" s="468"/>
      <c r="AN87" s="468"/>
      <c r="AO87" s="468"/>
      <c r="AP87" s="468"/>
      <c r="AQ87" s="468"/>
      <c r="AR87" s="468"/>
      <c r="AS87" s="468"/>
      <c r="AT87" s="468"/>
      <c r="AU87" s="468"/>
      <c r="AV87" s="468"/>
      <c r="AW87" s="468"/>
      <c r="AX87" s="468"/>
      <c r="AY87" s="468"/>
      <c r="AZ87" s="468"/>
    </row>
    <row r="88" spans="1:52" s="469" customFormat="1" ht="15.5">
      <c r="A88" s="474" t="s">
        <v>516</v>
      </c>
      <c r="B88" s="466"/>
      <c r="C88" s="466"/>
      <c r="D88" s="466"/>
      <c r="E88" s="466"/>
      <c r="F88" s="466"/>
      <c r="G88" s="467"/>
      <c r="H88" s="468"/>
      <c r="I88" s="468"/>
      <c r="J88" s="468"/>
      <c r="K88" s="468"/>
      <c r="L88" s="468"/>
      <c r="M88" s="468"/>
      <c r="N88" s="468"/>
      <c r="O88" s="468"/>
      <c r="P88" s="468"/>
      <c r="Q88" s="468"/>
      <c r="R88" s="468"/>
      <c r="S88" s="468"/>
      <c r="T88" s="468"/>
      <c r="U88" s="468"/>
      <c r="V88" s="468"/>
      <c r="W88" s="468"/>
      <c r="X88" s="468"/>
      <c r="Y88" s="468"/>
      <c r="Z88" s="468"/>
      <c r="AA88" s="468"/>
      <c r="AB88" s="468"/>
      <c r="AC88" s="468"/>
      <c r="AD88" s="468"/>
      <c r="AE88" s="468"/>
      <c r="AF88" s="468"/>
      <c r="AG88" s="468"/>
      <c r="AH88" s="468"/>
      <c r="AI88" s="468"/>
      <c r="AJ88" s="468"/>
      <c r="AK88" s="468"/>
      <c r="AL88" s="468"/>
      <c r="AM88" s="468"/>
      <c r="AN88" s="468"/>
      <c r="AO88" s="468"/>
      <c r="AP88" s="468"/>
      <c r="AQ88" s="468"/>
      <c r="AR88" s="468"/>
      <c r="AS88" s="468"/>
      <c r="AT88" s="468"/>
      <c r="AU88" s="468"/>
      <c r="AV88" s="468"/>
      <c r="AW88" s="468"/>
      <c r="AX88" s="468"/>
      <c r="AY88" s="468"/>
      <c r="AZ88" s="468"/>
    </row>
    <row r="89" spans="1:52" s="469" customFormat="1" ht="26">
      <c r="A89" s="475" t="s">
        <v>504</v>
      </c>
      <c r="B89" s="475" t="s">
        <v>505</v>
      </c>
      <c r="C89" s="475" t="s">
        <v>506</v>
      </c>
      <c r="D89" s="475"/>
      <c r="E89" s="476" t="s">
        <v>508</v>
      </c>
      <c r="F89" s="476" t="s">
        <v>509</v>
      </c>
      <c r="G89" s="467"/>
      <c r="H89" s="475">
        <v>2006</v>
      </c>
      <c r="I89" s="475">
        <f>H89+1</f>
        <v>2007</v>
      </c>
      <c r="J89" s="475">
        <f t="shared" ref="J89:AZ89" si="8">I89+1</f>
        <v>2008</v>
      </c>
      <c r="K89" s="475">
        <f t="shared" si="8"/>
        <v>2009</v>
      </c>
      <c r="L89" s="475">
        <f t="shared" si="8"/>
        <v>2010</v>
      </c>
      <c r="M89" s="475">
        <f t="shared" si="8"/>
        <v>2011</v>
      </c>
      <c r="N89" s="475">
        <f t="shared" si="8"/>
        <v>2012</v>
      </c>
      <c r="O89" s="475">
        <f t="shared" si="8"/>
        <v>2013</v>
      </c>
      <c r="P89" s="475">
        <f t="shared" si="8"/>
        <v>2014</v>
      </c>
      <c r="Q89" s="475">
        <f t="shared" si="8"/>
        <v>2015</v>
      </c>
      <c r="R89" s="475">
        <f t="shared" si="8"/>
        <v>2016</v>
      </c>
      <c r="S89" s="475">
        <f t="shared" si="8"/>
        <v>2017</v>
      </c>
      <c r="T89" s="475">
        <f t="shared" si="8"/>
        <v>2018</v>
      </c>
      <c r="U89" s="475">
        <f t="shared" si="8"/>
        <v>2019</v>
      </c>
      <c r="V89" s="475">
        <f t="shared" si="8"/>
        <v>2020</v>
      </c>
      <c r="W89" s="475">
        <f t="shared" si="8"/>
        <v>2021</v>
      </c>
      <c r="X89" s="475">
        <f t="shared" si="8"/>
        <v>2022</v>
      </c>
      <c r="Y89" s="475">
        <f t="shared" si="8"/>
        <v>2023</v>
      </c>
      <c r="Z89" s="475">
        <f t="shared" si="8"/>
        <v>2024</v>
      </c>
      <c r="AA89" s="475">
        <f t="shared" si="8"/>
        <v>2025</v>
      </c>
      <c r="AB89" s="475">
        <f t="shared" si="8"/>
        <v>2026</v>
      </c>
      <c r="AC89" s="475">
        <f t="shared" si="8"/>
        <v>2027</v>
      </c>
      <c r="AD89" s="475">
        <f t="shared" si="8"/>
        <v>2028</v>
      </c>
      <c r="AE89" s="475">
        <f t="shared" si="8"/>
        <v>2029</v>
      </c>
      <c r="AF89" s="475">
        <f t="shared" si="8"/>
        <v>2030</v>
      </c>
      <c r="AG89" s="475">
        <f t="shared" si="8"/>
        <v>2031</v>
      </c>
      <c r="AH89" s="475">
        <f t="shared" si="8"/>
        <v>2032</v>
      </c>
      <c r="AI89" s="475">
        <f t="shared" si="8"/>
        <v>2033</v>
      </c>
      <c r="AJ89" s="475">
        <f t="shared" si="8"/>
        <v>2034</v>
      </c>
      <c r="AK89" s="475">
        <f t="shared" si="8"/>
        <v>2035</v>
      </c>
      <c r="AL89" s="475">
        <f t="shared" si="8"/>
        <v>2036</v>
      </c>
      <c r="AM89" s="475">
        <f t="shared" si="8"/>
        <v>2037</v>
      </c>
      <c r="AN89" s="475">
        <f t="shared" si="8"/>
        <v>2038</v>
      </c>
      <c r="AO89" s="475">
        <f t="shared" si="8"/>
        <v>2039</v>
      </c>
      <c r="AP89" s="475">
        <f t="shared" si="8"/>
        <v>2040</v>
      </c>
      <c r="AQ89" s="475">
        <f t="shared" si="8"/>
        <v>2041</v>
      </c>
      <c r="AR89" s="475">
        <f t="shared" si="8"/>
        <v>2042</v>
      </c>
      <c r="AS89" s="475">
        <f t="shared" si="8"/>
        <v>2043</v>
      </c>
      <c r="AT89" s="475">
        <f t="shared" si="8"/>
        <v>2044</v>
      </c>
      <c r="AU89" s="475">
        <f t="shared" si="8"/>
        <v>2045</v>
      </c>
      <c r="AV89" s="475">
        <f t="shared" si="8"/>
        <v>2046</v>
      </c>
      <c r="AW89" s="475">
        <f t="shared" si="8"/>
        <v>2047</v>
      </c>
      <c r="AX89" s="475">
        <f t="shared" si="8"/>
        <v>2048</v>
      </c>
      <c r="AY89" s="475">
        <f t="shared" si="8"/>
        <v>2049</v>
      </c>
      <c r="AZ89" s="475">
        <f t="shared" si="8"/>
        <v>2050</v>
      </c>
    </row>
    <row r="90" spans="1:52" s="469" customFormat="1" ht="5.15" customHeight="1">
      <c r="A90" s="477"/>
      <c r="B90" s="477"/>
      <c r="C90" s="477"/>
      <c r="D90" s="477"/>
      <c r="E90" s="477"/>
      <c r="F90" s="477"/>
      <c r="G90" s="467"/>
      <c r="H90" s="466"/>
      <c r="I90" s="466"/>
      <c r="J90" s="466"/>
      <c r="K90" s="466"/>
      <c r="L90" s="466"/>
      <c r="M90" s="466"/>
      <c r="N90" s="466"/>
      <c r="O90" s="466"/>
      <c r="P90" s="466"/>
      <c r="Q90" s="466"/>
      <c r="R90" s="466"/>
      <c r="S90" s="466"/>
      <c r="T90" s="466"/>
      <c r="U90" s="466"/>
      <c r="V90" s="466"/>
      <c r="W90" s="466"/>
      <c r="X90" s="466"/>
      <c r="Y90" s="466"/>
      <c r="Z90" s="466"/>
      <c r="AA90" s="466"/>
      <c r="AB90" s="466"/>
      <c r="AC90" s="466"/>
      <c r="AD90" s="466"/>
      <c r="AE90" s="466"/>
      <c r="AF90" s="466"/>
      <c r="AG90" s="466"/>
      <c r="AH90" s="466"/>
      <c r="AI90" s="466"/>
      <c r="AJ90" s="466"/>
      <c r="AK90" s="466"/>
      <c r="AL90" s="466"/>
      <c r="AM90" s="466"/>
      <c r="AN90" s="466"/>
      <c r="AO90" s="466"/>
      <c r="AP90" s="466"/>
      <c r="AQ90" s="466"/>
      <c r="AR90" s="466"/>
      <c r="AS90" s="466"/>
      <c r="AT90" s="466"/>
      <c r="AU90" s="466"/>
      <c r="AV90" s="466"/>
      <c r="AW90" s="466"/>
      <c r="AX90" s="466"/>
      <c r="AY90" s="466"/>
      <c r="AZ90" s="466"/>
    </row>
    <row r="91" spans="1:52" s="469" customFormat="1">
      <c r="A91" s="478">
        <f>'[4]Allocation Methodology'!A5</f>
        <v>1</v>
      </c>
      <c r="B91" s="479" t="str">
        <f>'[4]Allocation Methodology'!B5</f>
        <v>Secondary Refrigerator Retirement Pilot</v>
      </c>
      <c r="C91" s="479" t="str">
        <f>'[4]Allocation Methodology'!C5</f>
        <v>Consumer</v>
      </c>
      <c r="D91" s="479" t="s">
        <v>17</v>
      </c>
      <c r="E91" s="479">
        <f>'[4]Allocation Methodology'!D5</f>
        <v>2006</v>
      </c>
      <c r="F91" s="480" t="str">
        <f>'[4]Allocation Methodology'!E5</f>
        <v>Final</v>
      </c>
      <c r="G91" s="471" t="b">
        <v>0</v>
      </c>
      <c r="H91" s="541">
        <v>27.786910128021361</v>
      </c>
      <c r="I91" s="542">
        <v>27.786910128021361</v>
      </c>
      <c r="J91" s="543">
        <v>27.786910128021361</v>
      </c>
      <c r="K91" s="542">
        <v>27.786910128021361</v>
      </c>
      <c r="L91" s="543">
        <v>27.786910128021361</v>
      </c>
      <c r="M91" s="543">
        <v>27.786910128021361</v>
      </c>
      <c r="N91" s="543">
        <v>0</v>
      </c>
      <c r="O91" s="543">
        <v>0</v>
      </c>
      <c r="P91" s="543">
        <v>0</v>
      </c>
      <c r="Q91" s="543">
        <v>0</v>
      </c>
      <c r="R91" s="543">
        <v>0</v>
      </c>
      <c r="S91" s="543">
        <v>0</v>
      </c>
      <c r="T91" s="543">
        <v>0</v>
      </c>
      <c r="U91" s="543">
        <v>0</v>
      </c>
      <c r="V91" s="543">
        <v>0</v>
      </c>
      <c r="W91" s="543">
        <v>0</v>
      </c>
      <c r="X91" s="543">
        <v>0</v>
      </c>
      <c r="Y91" s="543">
        <v>0</v>
      </c>
      <c r="Z91" s="543">
        <v>0</v>
      </c>
      <c r="AA91" s="543">
        <v>0</v>
      </c>
      <c r="AB91" s="543">
        <v>0</v>
      </c>
      <c r="AC91" s="543">
        <v>0</v>
      </c>
      <c r="AD91" s="543">
        <v>0</v>
      </c>
      <c r="AE91" s="543">
        <v>0</v>
      </c>
      <c r="AF91" s="543">
        <v>0</v>
      </c>
      <c r="AG91" s="543">
        <v>0</v>
      </c>
      <c r="AH91" s="543">
        <v>0</v>
      </c>
      <c r="AI91" s="543">
        <v>0</v>
      </c>
      <c r="AJ91" s="543">
        <v>0</v>
      </c>
      <c r="AK91" s="543">
        <v>0</v>
      </c>
      <c r="AL91" s="543">
        <v>0</v>
      </c>
      <c r="AM91" s="543">
        <v>0</v>
      </c>
      <c r="AN91" s="543">
        <v>0</v>
      </c>
      <c r="AO91" s="543">
        <v>0</v>
      </c>
      <c r="AP91" s="543">
        <v>0</v>
      </c>
      <c r="AQ91" s="543">
        <v>0</v>
      </c>
      <c r="AR91" s="543">
        <v>0</v>
      </c>
      <c r="AS91" s="543">
        <v>0</v>
      </c>
      <c r="AT91" s="543">
        <v>0</v>
      </c>
      <c r="AU91" s="543">
        <v>0</v>
      </c>
      <c r="AV91" s="543">
        <v>0</v>
      </c>
      <c r="AW91" s="543">
        <v>0</v>
      </c>
      <c r="AX91" s="543">
        <v>0</v>
      </c>
      <c r="AY91" s="543">
        <v>0</v>
      </c>
      <c r="AZ91" s="544">
        <v>0</v>
      </c>
    </row>
    <row r="92" spans="1:52" s="469" customFormat="1">
      <c r="A92" s="485">
        <f>'[4]Allocation Methodology'!A6</f>
        <v>2</v>
      </c>
      <c r="B92" s="486" t="str">
        <f>'[4]Allocation Methodology'!B6</f>
        <v>Cool &amp; Hot Savings Rebate</v>
      </c>
      <c r="C92" s="486" t="str">
        <f>'[4]Allocation Methodology'!C6</f>
        <v>Consumer</v>
      </c>
      <c r="D92" s="486" t="s">
        <v>17</v>
      </c>
      <c r="E92" s="486">
        <f>'[4]Allocation Methodology'!D6</f>
        <v>2006</v>
      </c>
      <c r="F92" s="487" t="str">
        <f>'[4]Allocation Methodology'!E6</f>
        <v>Final</v>
      </c>
      <c r="G92" s="471" t="b">
        <v>0</v>
      </c>
      <c r="H92" s="545">
        <v>68.594205032184831</v>
      </c>
      <c r="I92" s="546">
        <v>68.594205032184831</v>
      </c>
      <c r="J92" s="546">
        <v>68.594205032184831</v>
      </c>
      <c r="K92" s="546">
        <v>68.594205032184831</v>
      </c>
      <c r="L92" s="546">
        <v>68.594205032184831</v>
      </c>
      <c r="M92" s="546">
        <v>68.594205032184831</v>
      </c>
      <c r="N92" s="546">
        <v>68.594205032184831</v>
      </c>
      <c r="O92" s="546">
        <v>68.594205032184831</v>
      </c>
      <c r="P92" s="546">
        <v>50.606642727339562</v>
      </c>
      <c r="Q92" s="546">
        <v>50.606642727339562</v>
      </c>
      <c r="R92" s="546">
        <v>50.606642727339562</v>
      </c>
      <c r="S92" s="546">
        <v>50.606642727339562</v>
      </c>
      <c r="T92" s="546">
        <v>50.606642727339562</v>
      </c>
      <c r="U92" s="546">
        <v>50.606642727339562</v>
      </c>
      <c r="V92" s="546">
        <v>25.517419987395233</v>
      </c>
      <c r="W92" s="546">
        <v>9.9462305879994481</v>
      </c>
      <c r="X92" s="546">
        <v>9.9462305879994481</v>
      </c>
      <c r="Y92" s="546">
        <v>9.9462305879994481</v>
      </c>
      <c r="Z92" s="546">
        <v>0</v>
      </c>
      <c r="AA92" s="546">
        <v>0</v>
      </c>
      <c r="AB92" s="546">
        <v>0</v>
      </c>
      <c r="AC92" s="546">
        <v>0</v>
      </c>
      <c r="AD92" s="546">
        <v>0</v>
      </c>
      <c r="AE92" s="546">
        <v>0</v>
      </c>
      <c r="AF92" s="546">
        <v>0</v>
      </c>
      <c r="AG92" s="546">
        <v>0</v>
      </c>
      <c r="AH92" s="546">
        <v>0</v>
      </c>
      <c r="AI92" s="546">
        <v>0</v>
      </c>
      <c r="AJ92" s="546">
        <v>0</v>
      </c>
      <c r="AK92" s="546">
        <v>0</v>
      </c>
      <c r="AL92" s="546">
        <v>0</v>
      </c>
      <c r="AM92" s="546">
        <v>0</v>
      </c>
      <c r="AN92" s="546">
        <v>0</v>
      </c>
      <c r="AO92" s="546">
        <v>0</v>
      </c>
      <c r="AP92" s="546">
        <v>0</v>
      </c>
      <c r="AQ92" s="546">
        <v>0</v>
      </c>
      <c r="AR92" s="546">
        <v>0</v>
      </c>
      <c r="AS92" s="546">
        <v>0</v>
      </c>
      <c r="AT92" s="546">
        <v>0</v>
      </c>
      <c r="AU92" s="546">
        <v>0</v>
      </c>
      <c r="AV92" s="546">
        <v>0</v>
      </c>
      <c r="AW92" s="546">
        <v>0</v>
      </c>
      <c r="AX92" s="546">
        <v>0</v>
      </c>
      <c r="AY92" s="546">
        <v>0</v>
      </c>
      <c r="AZ92" s="547">
        <v>0</v>
      </c>
    </row>
    <row r="93" spans="1:52" s="469" customFormat="1">
      <c r="A93" s="492">
        <f>'[4]Allocation Methodology'!A7</f>
        <v>3</v>
      </c>
      <c r="B93" s="493" t="str">
        <f>'[4]Allocation Methodology'!B7</f>
        <v>Every Kilowatt Counts</v>
      </c>
      <c r="C93" s="493" t="str">
        <f>'[4]Allocation Methodology'!C7</f>
        <v>Consumer</v>
      </c>
      <c r="D93" s="493" t="s">
        <v>17</v>
      </c>
      <c r="E93" s="493">
        <f>'[4]Allocation Methodology'!D7</f>
        <v>2006</v>
      </c>
      <c r="F93" s="494" t="str">
        <f>'[4]Allocation Methodology'!E7</f>
        <v>Final</v>
      </c>
      <c r="G93" s="471" t="b">
        <v>0</v>
      </c>
      <c r="H93" s="548">
        <v>1779.857419207262</v>
      </c>
      <c r="I93" s="549">
        <v>1779.857419207262</v>
      </c>
      <c r="J93" s="549">
        <v>1779.857419207262</v>
      </c>
      <c r="K93" s="549">
        <v>1779.857419207262</v>
      </c>
      <c r="L93" s="549">
        <v>229.4799735529177</v>
      </c>
      <c r="M93" s="549">
        <v>229.4799735529177</v>
      </c>
      <c r="N93" s="549">
        <v>229.4799735529177</v>
      </c>
      <c r="O93" s="549">
        <v>229.4799735529177</v>
      </c>
      <c r="P93" s="549">
        <v>229.4799735529177</v>
      </c>
      <c r="Q93" s="549">
        <v>229.4799735529177</v>
      </c>
      <c r="R93" s="549">
        <v>214.01342869268902</v>
      </c>
      <c r="S93" s="549">
        <v>214.01342869268902</v>
      </c>
      <c r="T93" s="549">
        <v>214.01342869268902</v>
      </c>
      <c r="U93" s="549">
        <v>214.01342869268902</v>
      </c>
      <c r="V93" s="549">
        <v>214.01342869268902</v>
      </c>
      <c r="W93" s="549">
        <v>198.25763518941719</v>
      </c>
      <c r="X93" s="549">
        <v>198.25763518941719</v>
      </c>
      <c r="Y93" s="549">
        <v>198.25763518941719</v>
      </c>
      <c r="Z93" s="549">
        <v>112.49868174790195</v>
      </c>
      <c r="AA93" s="549">
        <v>112.49868174790195</v>
      </c>
      <c r="AB93" s="549">
        <v>65.642743632997878</v>
      </c>
      <c r="AC93" s="549">
        <v>65.642743632997878</v>
      </c>
      <c r="AD93" s="549">
        <v>65.642743632997878</v>
      </c>
      <c r="AE93" s="549">
        <v>65.642743632997878</v>
      </c>
      <c r="AF93" s="549">
        <v>65.642743632997878</v>
      </c>
      <c r="AG93" s="549">
        <v>10.651235022659334</v>
      </c>
      <c r="AH93" s="549">
        <v>10.651235022659334</v>
      </c>
      <c r="AI93" s="549">
        <v>10.651235022659334</v>
      </c>
      <c r="AJ93" s="549">
        <v>10.651235022659334</v>
      </c>
      <c r="AK93" s="549">
        <v>10.651235022659334</v>
      </c>
      <c r="AL93" s="549">
        <v>0</v>
      </c>
      <c r="AM93" s="549">
        <v>0</v>
      </c>
      <c r="AN93" s="549">
        <v>0</v>
      </c>
      <c r="AO93" s="549">
        <v>0</v>
      </c>
      <c r="AP93" s="549">
        <v>0</v>
      </c>
      <c r="AQ93" s="549">
        <v>0</v>
      </c>
      <c r="AR93" s="549">
        <v>0</v>
      </c>
      <c r="AS93" s="549">
        <v>0</v>
      </c>
      <c r="AT93" s="549">
        <v>0</v>
      </c>
      <c r="AU93" s="549">
        <v>0</v>
      </c>
      <c r="AV93" s="549">
        <v>0</v>
      </c>
      <c r="AW93" s="549">
        <v>0</v>
      </c>
      <c r="AX93" s="549">
        <v>0</v>
      </c>
      <c r="AY93" s="549">
        <v>0</v>
      </c>
      <c r="AZ93" s="550">
        <v>0</v>
      </c>
    </row>
    <row r="94" spans="1:52" s="469" customFormat="1">
      <c r="A94" s="485">
        <f>'[4]Allocation Methodology'!A8</f>
        <v>4</v>
      </c>
      <c r="B94" s="486" t="str">
        <f>'[4]Allocation Methodology'!B8</f>
        <v>Demand Response 1</v>
      </c>
      <c r="C94" s="486" t="str">
        <f>'[4]Allocation Methodology'!C8</f>
        <v>Business, Industrial</v>
      </c>
      <c r="D94" s="486" t="s">
        <v>480</v>
      </c>
      <c r="E94" s="486">
        <f>'[4]Allocation Methodology'!D8</f>
        <v>2006</v>
      </c>
      <c r="F94" s="487" t="str">
        <f>'[4]Allocation Methodology'!E8</f>
        <v>Final</v>
      </c>
      <c r="G94" s="471" t="b">
        <v>0</v>
      </c>
      <c r="H94" s="545">
        <v>0</v>
      </c>
      <c r="I94" s="546">
        <v>0</v>
      </c>
      <c r="J94" s="546">
        <v>0</v>
      </c>
      <c r="K94" s="546">
        <v>0</v>
      </c>
      <c r="L94" s="546">
        <v>0</v>
      </c>
      <c r="M94" s="546">
        <v>0</v>
      </c>
      <c r="N94" s="546">
        <v>0</v>
      </c>
      <c r="O94" s="546">
        <v>0</v>
      </c>
      <c r="P94" s="546">
        <v>0</v>
      </c>
      <c r="Q94" s="546">
        <v>0</v>
      </c>
      <c r="R94" s="546">
        <v>0</v>
      </c>
      <c r="S94" s="546">
        <v>0</v>
      </c>
      <c r="T94" s="546">
        <v>0</v>
      </c>
      <c r="U94" s="546">
        <v>0</v>
      </c>
      <c r="V94" s="546">
        <v>0</v>
      </c>
      <c r="W94" s="546">
        <v>0</v>
      </c>
      <c r="X94" s="546">
        <v>0</v>
      </c>
      <c r="Y94" s="546">
        <v>0</v>
      </c>
      <c r="Z94" s="546">
        <v>0</v>
      </c>
      <c r="AA94" s="546">
        <v>0</v>
      </c>
      <c r="AB94" s="546">
        <v>0</v>
      </c>
      <c r="AC94" s="546">
        <v>0</v>
      </c>
      <c r="AD94" s="546">
        <v>0</v>
      </c>
      <c r="AE94" s="546">
        <v>0</v>
      </c>
      <c r="AF94" s="546">
        <v>0</v>
      </c>
      <c r="AG94" s="546">
        <v>0</v>
      </c>
      <c r="AH94" s="546">
        <v>0</v>
      </c>
      <c r="AI94" s="546">
        <v>0</v>
      </c>
      <c r="AJ94" s="546">
        <v>0</v>
      </c>
      <c r="AK94" s="546">
        <v>0</v>
      </c>
      <c r="AL94" s="546">
        <v>0</v>
      </c>
      <c r="AM94" s="546">
        <v>0</v>
      </c>
      <c r="AN94" s="546">
        <v>0</v>
      </c>
      <c r="AO94" s="546">
        <v>0</v>
      </c>
      <c r="AP94" s="546">
        <v>0</v>
      </c>
      <c r="AQ94" s="546">
        <v>0</v>
      </c>
      <c r="AR94" s="546">
        <v>0</v>
      </c>
      <c r="AS94" s="546">
        <v>0</v>
      </c>
      <c r="AT94" s="546">
        <v>0</v>
      </c>
      <c r="AU94" s="546">
        <v>0</v>
      </c>
      <c r="AV94" s="546">
        <v>0</v>
      </c>
      <c r="AW94" s="546">
        <v>0</v>
      </c>
      <c r="AX94" s="546">
        <v>0</v>
      </c>
      <c r="AY94" s="546">
        <v>0</v>
      </c>
      <c r="AZ94" s="547">
        <v>0</v>
      </c>
    </row>
    <row r="95" spans="1:52" s="469" customFormat="1">
      <c r="A95" s="499">
        <f>'[4]Allocation Methodology'!A9</f>
        <v>5</v>
      </c>
      <c r="B95" s="500" t="str">
        <f>'[4]Allocation Methodology'!B9</f>
        <v>Loblaw &amp; York Region Demand Response</v>
      </c>
      <c r="C95" s="500" t="str">
        <f>'[4]Allocation Methodology'!C9</f>
        <v>Business, Industrial</v>
      </c>
      <c r="D95" s="500" t="s">
        <v>480</v>
      </c>
      <c r="E95" s="500">
        <f>'[4]Allocation Methodology'!D9</f>
        <v>2006</v>
      </c>
      <c r="F95" s="501" t="str">
        <f>'[4]Allocation Methodology'!E9</f>
        <v>Final</v>
      </c>
      <c r="G95" s="471" t="b">
        <v>0</v>
      </c>
      <c r="H95" s="551">
        <v>0</v>
      </c>
      <c r="I95" s="552">
        <v>0</v>
      </c>
      <c r="J95" s="552">
        <v>0</v>
      </c>
      <c r="K95" s="552">
        <v>0</v>
      </c>
      <c r="L95" s="552">
        <v>0</v>
      </c>
      <c r="M95" s="552">
        <v>0</v>
      </c>
      <c r="N95" s="552">
        <v>0</v>
      </c>
      <c r="O95" s="552">
        <v>0</v>
      </c>
      <c r="P95" s="552">
        <v>0</v>
      </c>
      <c r="Q95" s="552">
        <v>0</v>
      </c>
      <c r="R95" s="552">
        <v>0</v>
      </c>
      <c r="S95" s="552">
        <v>0</v>
      </c>
      <c r="T95" s="552">
        <v>0</v>
      </c>
      <c r="U95" s="552">
        <v>0</v>
      </c>
      <c r="V95" s="552">
        <v>0</v>
      </c>
      <c r="W95" s="552">
        <v>0</v>
      </c>
      <c r="X95" s="552">
        <v>0</v>
      </c>
      <c r="Y95" s="552">
        <v>0</v>
      </c>
      <c r="Z95" s="552">
        <v>0</v>
      </c>
      <c r="AA95" s="552">
        <v>0</v>
      </c>
      <c r="AB95" s="552">
        <v>0</v>
      </c>
      <c r="AC95" s="552">
        <v>0</v>
      </c>
      <c r="AD95" s="552">
        <v>0</v>
      </c>
      <c r="AE95" s="552">
        <v>0</v>
      </c>
      <c r="AF95" s="552">
        <v>0</v>
      </c>
      <c r="AG95" s="552">
        <v>0</v>
      </c>
      <c r="AH95" s="552">
        <v>0</v>
      </c>
      <c r="AI95" s="552">
        <v>0</v>
      </c>
      <c r="AJ95" s="552">
        <v>0</v>
      </c>
      <c r="AK95" s="552">
        <v>0</v>
      </c>
      <c r="AL95" s="552">
        <v>0</v>
      </c>
      <c r="AM95" s="552">
        <v>0</v>
      </c>
      <c r="AN95" s="552">
        <v>0</v>
      </c>
      <c r="AO95" s="552">
        <v>0</v>
      </c>
      <c r="AP95" s="552">
        <v>0</v>
      </c>
      <c r="AQ95" s="552">
        <v>0</v>
      </c>
      <c r="AR95" s="552">
        <v>0</v>
      </c>
      <c r="AS95" s="552">
        <v>0</v>
      </c>
      <c r="AT95" s="552">
        <v>0</v>
      </c>
      <c r="AU95" s="552">
        <v>0</v>
      </c>
      <c r="AV95" s="552">
        <v>0</v>
      </c>
      <c r="AW95" s="552">
        <v>0</v>
      </c>
      <c r="AX95" s="552">
        <v>0</v>
      </c>
      <c r="AY95" s="552">
        <v>0</v>
      </c>
      <c r="AZ95" s="553">
        <v>0</v>
      </c>
    </row>
    <row r="96" spans="1:52" s="469" customFormat="1">
      <c r="A96" s="506">
        <f>'[4]Allocation Methodology'!A10</f>
        <v>6</v>
      </c>
      <c r="B96" s="507" t="str">
        <f>'[4]Allocation Methodology'!B10</f>
        <v>Great Refrigerator Roundup</v>
      </c>
      <c r="C96" s="507" t="str">
        <f>'[4]Allocation Methodology'!C10</f>
        <v>Consumer</v>
      </c>
      <c r="D96" s="507" t="s">
        <v>17</v>
      </c>
      <c r="E96" s="507">
        <f>'[4]Allocation Methodology'!D10</f>
        <v>2007</v>
      </c>
      <c r="F96" s="508" t="str">
        <f>'[4]Allocation Methodology'!E10</f>
        <v>Final</v>
      </c>
      <c r="G96" s="471" t="b">
        <v>0</v>
      </c>
      <c r="H96" s="554">
        <v>0</v>
      </c>
      <c r="I96" s="555">
        <v>61.0890258095747</v>
      </c>
      <c r="J96" s="555">
        <v>61.0890258095747</v>
      </c>
      <c r="K96" s="555">
        <v>61.0890258095747</v>
      </c>
      <c r="L96" s="555">
        <v>61.0890258095747</v>
      </c>
      <c r="M96" s="555">
        <v>60.933754501886966</v>
      </c>
      <c r="N96" s="555">
        <v>60.778483194199232</v>
      </c>
      <c r="O96" s="555">
        <v>60.778483194199232</v>
      </c>
      <c r="P96" s="555">
        <v>60.778483194199232</v>
      </c>
      <c r="Q96" s="555">
        <v>50.585221194297702</v>
      </c>
      <c r="R96" s="555">
        <v>0</v>
      </c>
      <c r="S96" s="555">
        <v>0</v>
      </c>
      <c r="T96" s="555">
        <v>0</v>
      </c>
      <c r="U96" s="555">
        <v>0</v>
      </c>
      <c r="V96" s="555">
        <v>0</v>
      </c>
      <c r="W96" s="555">
        <v>0</v>
      </c>
      <c r="X96" s="555">
        <v>0</v>
      </c>
      <c r="Y96" s="555">
        <v>0</v>
      </c>
      <c r="Z96" s="555">
        <v>0</v>
      </c>
      <c r="AA96" s="555">
        <v>0</v>
      </c>
      <c r="AB96" s="555">
        <v>0</v>
      </c>
      <c r="AC96" s="555">
        <v>0</v>
      </c>
      <c r="AD96" s="555">
        <v>0</v>
      </c>
      <c r="AE96" s="555">
        <v>0</v>
      </c>
      <c r="AF96" s="555">
        <v>0</v>
      </c>
      <c r="AG96" s="555">
        <v>0</v>
      </c>
      <c r="AH96" s="555">
        <v>0</v>
      </c>
      <c r="AI96" s="555">
        <v>0</v>
      </c>
      <c r="AJ96" s="555">
        <v>0</v>
      </c>
      <c r="AK96" s="555">
        <v>0</v>
      </c>
      <c r="AL96" s="555">
        <v>0</v>
      </c>
      <c r="AM96" s="555">
        <v>0</v>
      </c>
      <c r="AN96" s="555">
        <v>0</v>
      </c>
      <c r="AO96" s="555">
        <v>0</v>
      </c>
      <c r="AP96" s="555">
        <v>0</v>
      </c>
      <c r="AQ96" s="555">
        <v>0</v>
      </c>
      <c r="AR96" s="555">
        <v>0</v>
      </c>
      <c r="AS96" s="555">
        <v>0</v>
      </c>
      <c r="AT96" s="555">
        <v>0</v>
      </c>
      <c r="AU96" s="555">
        <v>0</v>
      </c>
      <c r="AV96" s="555">
        <v>0</v>
      </c>
      <c r="AW96" s="555">
        <v>0</v>
      </c>
      <c r="AX96" s="555">
        <v>0</v>
      </c>
      <c r="AY96" s="555">
        <v>0</v>
      </c>
      <c r="AZ96" s="556">
        <v>0</v>
      </c>
    </row>
    <row r="97" spans="1:52" s="469" customFormat="1">
      <c r="A97" s="492">
        <f>'[4]Allocation Methodology'!A11</f>
        <v>7</v>
      </c>
      <c r="B97" s="493" t="str">
        <f>'[4]Allocation Methodology'!B11</f>
        <v>Cool &amp; Hot Savings Rebate</v>
      </c>
      <c r="C97" s="493" t="str">
        <f>'[4]Allocation Methodology'!C11</f>
        <v>Consumer</v>
      </c>
      <c r="D97" s="493" t="s">
        <v>17</v>
      </c>
      <c r="E97" s="493">
        <f>'[4]Allocation Methodology'!D11</f>
        <v>2007</v>
      </c>
      <c r="F97" s="494" t="str">
        <f>'[4]Allocation Methodology'!E11</f>
        <v>Final</v>
      </c>
      <c r="G97" s="471" t="b">
        <v>0</v>
      </c>
      <c r="H97" s="548">
        <v>0</v>
      </c>
      <c r="I97" s="549">
        <v>117.87568510677875</v>
      </c>
      <c r="J97" s="549">
        <v>117.87568510677875</v>
      </c>
      <c r="K97" s="549">
        <v>117.87568510677875</v>
      </c>
      <c r="L97" s="549">
        <v>117.87568510677875</v>
      </c>
      <c r="M97" s="549">
        <v>117.87568510677875</v>
      </c>
      <c r="N97" s="549">
        <v>112.2872479638088</v>
      </c>
      <c r="O97" s="549">
        <v>112.2872479638088</v>
      </c>
      <c r="P97" s="549">
        <v>112.2872479638088</v>
      </c>
      <c r="Q97" s="549">
        <v>112.2872479638088</v>
      </c>
      <c r="R97" s="549">
        <v>112.2872479638088</v>
      </c>
      <c r="S97" s="549">
        <v>112.2872479638088</v>
      </c>
      <c r="T97" s="549">
        <v>112.2872479638088</v>
      </c>
      <c r="U97" s="549">
        <v>112.2872479638088</v>
      </c>
      <c r="V97" s="549">
        <v>112.2872479638088</v>
      </c>
      <c r="W97" s="549">
        <v>112.2872479638088</v>
      </c>
      <c r="X97" s="549">
        <v>12.313267905893658</v>
      </c>
      <c r="Y97" s="549">
        <v>12.313267905893658</v>
      </c>
      <c r="Z97" s="549">
        <v>12.313267905893658</v>
      </c>
      <c r="AA97" s="549">
        <v>0</v>
      </c>
      <c r="AB97" s="549">
        <v>0</v>
      </c>
      <c r="AC97" s="549">
        <v>0</v>
      </c>
      <c r="AD97" s="549">
        <v>0</v>
      </c>
      <c r="AE97" s="549">
        <v>0</v>
      </c>
      <c r="AF97" s="549">
        <v>0</v>
      </c>
      <c r="AG97" s="549">
        <v>0</v>
      </c>
      <c r="AH97" s="549">
        <v>0</v>
      </c>
      <c r="AI97" s="549">
        <v>0</v>
      </c>
      <c r="AJ97" s="549">
        <v>0</v>
      </c>
      <c r="AK97" s="549">
        <v>0</v>
      </c>
      <c r="AL97" s="549">
        <v>0</v>
      </c>
      <c r="AM97" s="549">
        <v>0</v>
      </c>
      <c r="AN97" s="549">
        <v>0</v>
      </c>
      <c r="AO97" s="549">
        <v>0</v>
      </c>
      <c r="AP97" s="549">
        <v>0</v>
      </c>
      <c r="AQ97" s="549">
        <v>0</v>
      </c>
      <c r="AR97" s="549">
        <v>0</v>
      </c>
      <c r="AS97" s="549">
        <v>0</v>
      </c>
      <c r="AT97" s="549">
        <v>0</v>
      </c>
      <c r="AU97" s="549">
        <v>0</v>
      </c>
      <c r="AV97" s="549">
        <v>0</v>
      </c>
      <c r="AW97" s="549">
        <v>0</v>
      </c>
      <c r="AX97" s="549">
        <v>0</v>
      </c>
      <c r="AY97" s="549">
        <v>0</v>
      </c>
      <c r="AZ97" s="550">
        <v>0</v>
      </c>
    </row>
    <row r="98" spans="1:52" s="469" customFormat="1">
      <c r="A98" s="485">
        <f>'[4]Allocation Methodology'!A12</f>
        <v>8</v>
      </c>
      <c r="B98" s="486" t="str">
        <f>'[4]Allocation Methodology'!B12</f>
        <v>Every Kilowatt Counts</v>
      </c>
      <c r="C98" s="486" t="str">
        <f>'[4]Allocation Methodology'!C12</f>
        <v>Consumer</v>
      </c>
      <c r="D98" s="486" t="s">
        <v>17</v>
      </c>
      <c r="E98" s="486">
        <f>'[4]Allocation Methodology'!D12</f>
        <v>2007</v>
      </c>
      <c r="F98" s="487" t="str">
        <f>'[4]Allocation Methodology'!E12</f>
        <v>Final</v>
      </c>
      <c r="G98" s="471" t="b">
        <v>0</v>
      </c>
      <c r="H98" s="545">
        <v>0</v>
      </c>
      <c r="I98" s="546">
        <v>706.59765787836398</v>
      </c>
      <c r="J98" s="546">
        <v>697.95602111293226</v>
      </c>
      <c r="K98" s="546">
        <v>697.95602111293226</v>
      </c>
      <c r="L98" s="546">
        <v>697.95602111293226</v>
      </c>
      <c r="M98" s="546">
        <v>697.95602111293226</v>
      </c>
      <c r="N98" s="546">
        <v>674.12112793337371</v>
      </c>
      <c r="O98" s="546">
        <v>674.12112793337371</v>
      </c>
      <c r="P98" s="546">
        <v>674.12112793337371</v>
      </c>
      <c r="Q98" s="546">
        <v>54.749276375538201</v>
      </c>
      <c r="R98" s="546">
        <v>54.749276375538201</v>
      </c>
      <c r="S98" s="546">
        <v>10.316243513196282</v>
      </c>
      <c r="T98" s="546">
        <v>10.316243513196282</v>
      </c>
      <c r="U98" s="546">
        <v>10.316243513196282</v>
      </c>
      <c r="V98" s="546">
        <v>10.316243513196282</v>
      </c>
      <c r="W98" s="546">
        <v>10.316243513196282</v>
      </c>
      <c r="X98" s="546">
        <v>6.162747119732785</v>
      </c>
      <c r="Y98" s="546">
        <v>2.7960996273735383</v>
      </c>
      <c r="Z98" s="546">
        <v>2.7960996273735383</v>
      </c>
      <c r="AA98" s="546">
        <v>0</v>
      </c>
      <c r="AB98" s="546">
        <v>0</v>
      </c>
      <c r="AC98" s="546">
        <v>0</v>
      </c>
      <c r="AD98" s="546">
        <v>0</v>
      </c>
      <c r="AE98" s="546">
        <v>0</v>
      </c>
      <c r="AF98" s="546">
        <v>0</v>
      </c>
      <c r="AG98" s="546">
        <v>0</v>
      </c>
      <c r="AH98" s="546">
        <v>0</v>
      </c>
      <c r="AI98" s="546">
        <v>0</v>
      </c>
      <c r="AJ98" s="546">
        <v>0</v>
      </c>
      <c r="AK98" s="546">
        <v>0</v>
      </c>
      <c r="AL98" s="546">
        <v>0</v>
      </c>
      <c r="AM98" s="546">
        <v>0</v>
      </c>
      <c r="AN98" s="546">
        <v>0</v>
      </c>
      <c r="AO98" s="546">
        <v>0</v>
      </c>
      <c r="AP98" s="546">
        <v>0</v>
      </c>
      <c r="AQ98" s="546">
        <v>0</v>
      </c>
      <c r="AR98" s="546">
        <v>0</v>
      </c>
      <c r="AS98" s="546">
        <v>0</v>
      </c>
      <c r="AT98" s="546">
        <v>0</v>
      </c>
      <c r="AU98" s="546">
        <v>0</v>
      </c>
      <c r="AV98" s="546">
        <v>0</v>
      </c>
      <c r="AW98" s="546">
        <v>0</v>
      </c>
      <c r="AX98" s="546">
        <v>0</v>
      </c>
      <c r="AY98" s="546">
        <v>0</v>
      </c>
      <c r="AZ98" s="547">
        <v>0</v>
      </c>
    </row>
    <row r="99" spans="1:52" s="469" customFormat="1">
      <c r="A99" s="492">
        <f>'[4]Allocation Methodology'!A13</f>
        <v>9</v>
      </c>
      <c r="B99" s="513" t="str">
        <f>'[4]Allocation Methodology'!B13</f>
        <v>peaksaver®</v>
      </c>
      <c r="C99" s="493" t="str">
        <f>'[4]Allocation Methodology'!C13</f>
        <v>Consumer, Business</v>
      </c>
      <c r="D99" s="493" t="s">
        <v>58</v>
      </c>
      <c r="E99" s="493">
        <f>'[4]Allocation Methodology'!D13</f>
        <v>2007</v>
      </c>
      <c r="F99" s="494" t="str">
        <f>'[4]Allocation Methodology'!E13</f>
        <v>Final</v>
      </c>
      <c r="G99" s="471" t="b">
        <v>0</v>
      </c>
      <c r="H99" s="548">
        <v>0</v>
      </c>
      <c r="I99" s="549">
        <v>0</v>
      </c>
      <c r="J99" s="549">
        <v>0</v>
      </c>
      <c r="K99" s="549">
        <v>0</v>
      </c>
      <c r="L99" s="549">
        <v>0</v>
      </c>
      <c r="M99" s="549">
        <v>0</v>
      </c>
      <c r="N99" s="549">
        <v>0</v>
      </c>
      <c r="O99" s="549">
        <v>0</v>
      </c>
      <c r="P99" s="549">
        <v>0</v>
      </c>
      <c r="Q99" s="549">
        <v>0</v>
      </c>
      <c r="R99" s="549">
        <v>0</v>
      </c>
      <c r="S99" s="549">
        <v>0</v>
      </c>
      <c r="T99" s="549">
        <v>0</v>
      </c>
      <c r="U99" s="549">
        <v>0</v>
      </c>
      <c r="V99" s="549">
        <v>0</v>
      </c>
      <c r="W99" s="549">
        <v>0</v>
      </c>
      <c r="X99" s="549">
        <v>0</v>
      </c>
      <c r="Y99" s="549">
        <v>0</v>
      </c>
      <c r="Z99" s="549">
        <v>0</v>
      </c>
      <c r="AA99" s="549">
        <v>0</v>
      </c>
      <c r="AB99" s="549">
        <v>0</v>
      </c>
      <c r="AC99" s="549">
        <v>0</v>
      </c>
      <c r="AD99" s="549">
        <v>0</v>
      </c>
      <c r="AE99" s="549">
        <v>0</v>
      </c>
      <c r="AF99" s="549">
        <v>0</v>
      </c>
      <c r="AG99" s="549">
        <v>0</v>
      </c>
      <c r="AH99" s="549">
        <v>0</v>
      </c>
      <c r="AI99" s="549">
        <v>0</v>
      </c>
      <c r="AJ99" s="549">
        <v>0</v>
      </c>
      <c r="AK99" s="549">
        <v>0</v>
      </c>
      <c r="AL99" s="549">
        <v>0</v>
      </c>
      <c r="AM99" s="549">
        <v>0</v>
      </c>
      <c r="AN99" s="549">
        <v>0</v>
      </c>
      <c r="AO99" s="549">
        <v>0</v>
      </c>
      <c r="AP99" s="549">
        <v>0</v>
      </c>
      <c r="AQ99" s="549">
        <v>0</v>
      </c>
      <c r="AR99" s="549">
        <v>0</v>
      </c>
      <c r="AS99" s="549">
        <v>0</v>
      </c>
      <c r="AT99" s="549">
        <v>0</v>
      </c>
      <c r="AU99" s="549">
        <v>0</v>
      </c>
      <c r="AV99" s="549">
        <v>0</v>
      </c>
      <c r="AW99" s="549">
        <v>0</v>
      </c>
      <c r="AX99" s="549">
        <v>0</v>
      </c>
      <c r="AY99" s="549">
        <v>0</v>
      </c>
      <c r="AZ99" s="550">
        <v>0</v>
      </c>
    </row>
    <row r="100" spans="1:52" s="469" customFormat="1">
      <c r="A100" s="485">
        <f>'[4]Allocation Methodology'!A14</f>
        <v>10</v>
      </c>
      <c r="B100" s="486" t="str">
        <f>'[4]Allocation Methodology'!B14</f>
        <v>Summer Savings</v>
      </c>
      <c r="C100" s="486" t="str">
        <f>'[4]Allocation Methodology'!C14</f>
        <v>Consumer</v>
      </c>
      <c r="D100" s="486" t="s">
        <v>17</v>
      </c>
      <c r="E100" s="486">
        <f>'[4]Allocation Methodology'!D14</f>
        <v>2007</v>
      </c>
      <c r="F100" s="487" t="str">
        <f>'[4]Allocation Methodology'!E14</f>
        <v>Final</v>
      </c>
      <c r="G100" s="471" t="b">
        <v>0</v>
      </c>
      <c r="H100" s="545">
        <v>0</v>
      </c>
      <c r="I100" s="546">
        <v>329.98675831798073</v>
      </c>
      <c r="J100" s="546">
        <v>55.620070514863954</v>
      </c>
      <c r="K100" s="546">
        <v>21.053092681750751</v>
      </c>
      <c r="L100" s="546">
        <v>21.053092681750751</v>
      </c>
      <c r="M100" s="546">
        <v>21.053092681750751</v>
      </c>
      <c r="N100" s="546">
        <v>21.053092681750751</v>
      </c>
      <c r="O100" s="546">
        <v>21.053092681750751</v>
      </c>
      <c r="P100" s="546">
        <v>21.053092681750751</v>
      </c>
      <c r="Q100" s="546">
        <v>13.370915840510813</v>
      </c>
      <c r="R100" s="546">
        <v>13.370915840510813</v>
      </c>
      <c r="S100" s="546">
        <v>13.370915840510813</v>
      </c>
      <c r="T100" s="546">
        <v>13.370915840510813</v>
      </c>
      <c r="U100" s="546">
        <v>13.370915840510813</v>
      </c>
      <c r="V100" s="546">
        <v>13.370915840510813</v>
      </c>
      <c r="W100" s="546">
        <v>0</v>
      </c>
      <c r="X100" s="546">
        <v>0</v>
      </c>
      <c r="Y100" s="546">
        <v>0</v>
      </c>
      <c r="Z100" s="546">
        <v>0</v>
      </c>
      <c r="AA100" s="546">
        <v>0</v>
      </c>
      <c r="AB100" s="546">
        <v>0</v>
      </c>
      <c r="AC100" s="546">
        <v>0</v>
      </c>
      <c r="AD100" s="546">
        <v>0</v>
      </c>
      <c r="AE100" s="546">
        <v>0</v>
      </c>
      <c r="AF100" s="546">
        <v>0</v>
      </c>
      <c r="AG100" s="546">
        <v>0</v>
      </c>
      <c r="AH100" s="546">
        <v>0</v>
      </c>
      <c r="AI100" s="546">
        <v>0</v>
      </c>
      <c r="AJ100" s="546">
        <v>0</v>
      </c>
      <c r="AK100" s="546">
        <v>0</v>
      </c>
      <c r="AL100" s="546">
        <v>0</v>
      </c>
      <c r="AM100" s="546">
        <v>0</v>
      </c>
      <c r="AN100" s="546">
        <v>0</v>
      </c>
      <c r="AO100" s="546">
        <v>0</v>
      </c>
      <c r="AP100" s="546">
        <v>0</v>
      </c>
      <c r="AQ100" s="546">
        <v>0</v>
      </c>
      <c r="AR100" s="546">
        <v>0</v>
      </c>
      <c r="AS100" s="546">
        <v>0</v>
      </c>
      <c r="AT100" s="546">
        <v>0</v>
      </c>
      <c r="AU100" s="546">
        <v>0</v>
      </c>
      <c r="AV100" s="546">
        <v>0</v>
      </c>
      <c r="AW100" s="546">
        <v>0</v>
      </c>
      <c r="AX100" s="546">
        <v>0</v>
      </c>
      <c r="AY100" s="546">
        <v>0</v>
      </c>
      <c r="AZ100" s="547">
        <v>0</v>
      </c>
    </row>
    <row r="101" spans="1:52" s="469" customFormat="1">
      <c r="A101" s="492">
        <f>'[4]Allocation Methodology'!A15</f>
        <v>11</v>
      </c>
      <c r="B101" s="493" t="str">
        <f>'[4]Allocation Methodology'!B15</f>
        <v>Aboriginal</v>
      </c>
      <c r="C101" s="493" t="str">
        <f>'[4]Allocation Methodology'!C15</f>
        <v>Consumer</v>
      </c>
      <c r="D101" s="493" t="s">
        <v>58</v>
      </c>
      <c r="E101" s="493">
        <f>'[4]Allocation Methodology'!D15</f>
        <v>2007</v>
      </c>
      <c r="F101" s="494" t="str">
        <f>'[4]Allocation Methodology'!E15</f>
        <v>Final</v>
      </c>
      <c r="G101" s="471" t="b">
        <v>0</v>
      </c>
      <c r="H101" s="548">
        <v>0</v>
      </c>
      <c r="I101" s="549">
        <v>0</v>
      </c>
      <c r="J101" s="549">
        <v>0</v>
      </c>
      <c r="K101" s="549">
        <v>0</v>
      </c>
      <c r="L101" s="549">
        <v>0</v>
      </c>
      <c r="M101" s="549">
        <v>0</v>
      </c>
      <c r="N101" s="549">
        <v>0</v>
      </c>
      <c r="O101" s="549">
        <v>0</v>
      </c>
      <c r="P101" s="549">
        <v>0</v>
      </c>
      <c r="Q101" s="549">
        <v>0</v>
      </c>
      <c r="R101" s="549">
        <v>0</v>
      </c>
      <c r="S101" s="549">
        <v>0</v>
      </c>
      <c r="T101" s="549">
        <v>0</v>
      </c>
      <c r="U101" s="549">
        <v>0</v>
      </c>
      <c r="V101" s="549">
        <v>0</v>
      </c>
      <c r="W101" s="549">
        <v>0</v>
      </c>
      <c r="X101" s="549">
        <v>0</v>
      </c>
      <c r="Y101" s="549">
        <v>0</v>
      </c>
      <c r="Z101" s="549">
        <v>0</v>
      </c>
      <c r="AA101" s="549">
        <v>0</v>
      </c>
      <c r="AB101" s="549">
        <v>0</v>
      </c>
      <c r="AC101" s="549">
        <v>0</v>
      </c>
      <c r="AD101" s="549">
        <v>0</v>
      </c>
      <c r="AE101" s="549">
        <v>0</v>
      </c>
      <c r="AF101" s="549">
        <v>0</v>
      </c>
      <c r="AG101" s="549">
        <v>0</v>
      </c>
      <c r="AH101" s="549">
        <v>0</v>
      </c>
      <c r="AI101" s="549">
        <v>0</v>
      </c>
      <c r="AJ101" s="549">
        <v>0</v>
      </c>
      <c r="AK101" s="549">
        <v>0</v>
      </c>
      <c r="AL101" s="549">
        <v>0</v>
      </c>
      <c r="AM101" s="549">
        <v>0</v>
      </c>
      <c r="AN101" s="549">
        <v>0</v>
      </c>
      <c r="AO101" s="549">
        <v>0</v>
      </c>
      <c r="AP101" s="549">
        <v>0</v>
      </c>
      <c r="AQ101" s="549">
        <v>0</v>
      </c>
      <c r="AR101" s="549">
        <v>0</v>
      </c>
      <c r="AS101" s="549">
        <v>0</v>
      </c>
      <c r="AT101" s="549">
        <v>0</v>
      </c>
      <c r="AU101" s="549">
        <v>0</v>
      </c>
      <c r="AV101" s="549">
        <v>0</v>
      </c>
      <c r="AW101" s="549">
        <v>0</v>
      </c>
      <c r="AX101" s="549">
        <v>0</v>
      </c>
      <c r="AY101" s="549">
        <v>0</v>
      </c>
      <c r="AZ101" s="550">
        <v>0</v>
      </c>
    </row>
    <row r="102" spans="1:52" s="469" customFormat="1">
      <c r="A102" s="485">
        <f>'[4]Allocation Methodology'!A16</f>
        <v>12</v>
      </c>
      <c r="B102" s="486" t="str">
        <f>'[4]Allocation Methodology'!B16</f>
        <v>Affordable Housing Pilot</v>
      </c>
      <c r="C102" s="486" t="str">
        <f>'[4]Allocation Methodology'!C16</f>
        <v>Consumer Low-Income</v>
      </c>
      <c r="D102" s="486" t="s">
        <v>17</v>
      </c>
      <c r="E102" s="486">
        <f>'[4]Allocation Methodology'!D16</f>
        <v>2007</v>
      </c>
      <c r="F102" s="487" t="str">
        <f>'[4]Allocation Methodology'!E16</f>
        <v>Final</v>
      </c>
      <c r="G102" s="471" t="b">
        <v>0</v>
      </c>
      <c r="H102" s="545">
        <v>0</v>
      </c>
      <c r="I102" s="546">
        <v>120.72139</v>
      </c>
      <c r="J102" s="546">
        <v>120.72139</v>
      </c>
      <c r="K102" s="546">
        <v>120.72139</v>
      </c>
      <c r="L102" s="546">
        <v>120.72139</v>
      </c>
      <c r="M102" s="546">
        <v>120.72139</v>
      </c>
      <c r="N102" s="546">
        <v>120.72139</v>
      </c>
      <c r="O102" s="546">
        <v>120.72139</v>
      </c>
      <c r="P102" s="546">
        <v>120.72139</v>
      </c>
      <c r="Q102" s="546">
        <v>120.72139</v>
      </c>
      <c r="R102" s="546">
        <v>120.72139</v>
      </c>
      <c r="S102" s="546">
        <v>120.72139</v>
      </c>
      <c r="T102" s="546">
        <v>120.72139</v>
      </c>
      <c r="U102" s="546">
        <v>120.72139</v>
      </c>
      <c r="V102" s="546">
        <v>120.72139</v>
      </c>
      <c r="W102" s="546">
        <v>0</v>
      </c>
      <c r="X102" s="546">
        <v>0</v>
      </c>
      <c r="Y102" s="546">
        <v>0</v>
      </c>
      <c r="Z102" s="546">
        <v>0</v>
      </c>
      <c r="AA102" s="546">
        <v>0</v>
      </c>
      <c r="AB102" s="546">
        <v>0</v>
      </c>
      <c r="AC102" s="546">
        <v>0</v>
      </c>
      <c r="AD102" s="546">
        <v>0</v>
      </c>
      <c r="AE102" s="546">
        <v>0</v>
      </c>
      <c r="AF102" s="546">
        <v>0</v>
      </c>
      <c r="AG102" s="546">
        <v>0</v>
      </c>
      <c r="AH102" s="546">
        <v>0</v>
      </c>
      <c r="AI102" s="546">
        <v>0</v>
      </c>
      <c r="AJ102" s="546">
        <v>0</v>
      </c>
      <c r="AK102" s="546">
        <v>0</v>
      </c>
      <c r="AL102" s="546">
        <v>0</v>
      </c>
      <c r="AM102" s="546">
        <v>0</v>
      </c>
      <c r="AN102" s="546">
        <v>0</v>
      </c>
      <c r="AO102" s="546">
        <v>0</v>
      </c>
      <c r="AP102" s="546">
        <v>0</v>
      </c>
      <c r="AQ102" s="546">
        <v>0</v>
      </c>
      <c r="AR102" s="546">
        <v>0</v>
      </c>
      <c r="AS102" s="546">
        <v>0</v>
      </c>
      <c r="AT102" s="546">
        <v>0</v>
      </c>
      <c r="AU102" s="546">
        <v>0</v>
      </c>
      <c r="AV102" s="546">
        <v>0</v>
      </c>
      <c r="AW102" s="546">
        <v>0</v>
      </c>
      <c r="AX102" s="546">
        <v>0</v>
      </c>
      <c r="AY102" s="546">
        <v>0</v>
      </c>
      <c r="AZ102" s="547">
        <v>0</v>
      </c>
    </row>
    <row r="103" spans="1:52" s="469" customFormat="1">
      <c r="A103" s="492">
        <f>'[4]Allocation Methodology'!A17</f>
        <v>13</v>
      </c>
      <c r="B103" s="493" t="str">
        <f>'[4]Allocation Methodology'!B17</f>
        <v>Social Housing Pilot</v>
      </c>
      <c r="C103" s="493" t="str">
        <f>'[4]Allocation Methodology'!C17</f>
        <v>Consumer Low-Income</v>
      </c>
      <c r="D103" s="493" t="s">
        <v>17</v>
      </c>
      <c r="E103" s="493">
        <f>'[4]Allocation Methodology'!D17</f>
        <v>2007</v>
      </c>
      <c r="F103" s="494" t="str">
        <f>'[4]Allocation Methodology'!E17</f>
        <v>Final</v>
      </c>
      <c r="G103" s="471" t="b">
        <v>0</v>
      </c>
      <c r="H103" s="548">
        <v>0</v>
      </c>
      <c r="I103" s="549">
        <v>64.220752287921457</v>
      </c>
      <c r="J103" s="549">
        <v>64.220752287921457</v>
      </c>
      <c r="K103" s="549">
        <v>64.220752287921457</v>
      </c>
      <c r="L103" s="549">
        <v>64.220752287921457</v>
      </c>
      <c r="M103" s="549">
        <v>64.220752287921457</v>
      </c>
      <c r="N103" s="549">
        <v>64.220752287921457</v>
      </c>
      <c r="O103" s="549">
        <v>64.220752287921457</v>
      </c>
      <c r="P103" s="549">
        <v>64.220752287921457</v>
      </c>
      <c r="Q103" s="549">
        <v>64.220752287921457</v>
      </c>
      <c r="R103" s="549">
        <v>64.220752287921457</v>
      </c>
      <c r="S103" s="549">
        <v>0</v>
      </c>
      <c r="T103" s="549">
        <v>0</v>
      </c>
      <c r="U103" s="549">
        <v>0</v>
      </c>
      <c r="V103" s="549">
        <v>0</v>
      </c>
      <c r="W103" s="549">
        <v>0</v>
      </c>
      <c r="X103" s="549">
        <v>0</v>
      </c>
      <c r="Y103" s="549">
        <v>0</v>
      </c>
      <c r="Z103" s="549">
        <v>0</v>
      </c>
      <c r="AA103" s="549">
        <v>0</v>
      </c>
      <c r="AB103" s="549">
        <v>0</v>
      </c>
      <c r="AC103" s="549">
        <v>0</v>
      </c>
      <c r="AD103" s="549">
        <v>0</v>
      </c>
      <c r="AE103" s="549">
        <v>0</v>
      </c>
      <c r="AF103" s="549">
        <v>0</v>
      </c>
      <c r="AG103" s="549">
        <v>0</v>
      </c>
      <c r="AH103" s="549">
        <v>0</v>
      </c>
      <c r="AI103" s="549">
        <v>0</v>
      </c>
      <c r="AJ103" s="549">
        <v>0</v>
      </c>
      <c r="AK103" s="549">
        <v>0</v>
      </c>
      <c r="AL103" s="549">
        <v>0</v>
      </c>
      <c r="AM103" s="549">
        <v>0</v>
      </c>
      <c r="AN103" s="549">
        <v>0</v>
      </c>
      <c r="AO103" s="549">
        <v>0</v>
      </c>
      <c r="AP103" s="549">
        <v>0</v>
      </c>
      <c r="AQ103" s="549">
        <v>0</v>
      </c>
      <c r="AR103" s="549">
        <v>0</v>
      </c>
      <c r="AS103" s="549">
        <v>0</v>
      </c>
      <c r="AT103" s="549">
        <v>0</v>
      </c>
      <c r="AU103" s="549">
        <v>0</v>
      </c>
      <c r="AV103" s="549">
        <v>0</v>
      </c>
      <c r="AW103" s="549">
        <v>0</v>
      </c>
      <c r="AX103" s="549">
        <v>0</v>
      </c>
      <c r="AY103" s="549">
        <v>0</v>
      </c>
      <c r="AZ103" s="550">
        <v>0</v>
      </c>
    </row>
    <row r="104" spans="1:52" s="469" customFormat="1">
      <c r="A104" s="485">
        <f>'[4]Allocation Methodology'!A18</f>
        <v>14</v>
      </c>
      <c r="B104" s="486" t="str">
        <f>'[4]Allocation Methodology'!B18</f>
        <v>Energy Efficiency Assistance for Houses Pilot</v>
      </c>
      <c r="C104" s="486" t="str">
        <f>'[4]Allocation Methodology'!C18</f>
        <v>Consumer Low-Income</v>
      </c>
      <c r="D104" s="486" t="s">
        <v>17</v>
      </c>
      <c r="E104" s="486">
        <f>'[4]Allocation Methodology'!D18</f>
        <v>2007</v>
      </c>
      <c r="F104" s="487" t="str">
        <f>'[4]Allocation Methodology'!E18</f>
        <v>Final</v>
      </c>
      <c r="G104" s="471" t="b">
        <v>0</v>
      </c>
      <c r="H104" s="545">
        <v>0</v>
      </c>
      <c r="I104" s="546">
        <v>131.6722004675193</v>
      </c>
      <c r="J104" s="546">
        <v>131.6722004675193</v>
      </c>
      <c r="K104" s="546">
        <v>131.6722004675193</v>
      </c>
      <c r="L104" s="546">
        <v>131.6722004675193</v>
      </c>
      <c r="M104" s="546">
        <v>131.6722004675193</v>
      </c>
      <c r="N104" s="546">
        <v>131.6722004675193</v>
      </c>
      <c r="O104" s="546">
        <v>131.6722004675193</v>
      </c>
      <c r="P104" s="546">
        <v>131.6722004675193</v>
      </c>
      <c r="Q104" s="546">
        <v>131.6722004675193</v>
      </c>
      <c r="R104" s="546">
        <v>131.6722004675193</v>
      </c>
      <c r="S104" s="546">
        <v>131.6722004675193</v>
      </c>
      <c r="T104" s="546">
        <v>131.6722004675193</v>
      </c>
      <c r="U104" s="546">
        <v>131.6722004675193</v>
      </c>
      <c r="V104" s="546">
        <v>131.6722004675193</v>
      </c>
      <c r="W104" s="546">
        <v>131.6722004675193</v>
      </c>
      <c r="X104" s="546">
        <v>131.6722004675193</v>
      </c>
      <c r="Y104" s="546">
        <v>131.6722004675193</v>
      </c>
      <c r="Z104" s="546">
        <v>131.6722004675193</v>
      </c>
      <c r="AA104" s="546">
        <v>131.6722004675193</v>
      </c>
      <c r="AB104" s="546">
        <v>0</v>
      </c>
      <c r="AC104" s="546">
        <v>0</v>
      </c>
      <c r="AD104" s="546">
        <v>0</v>
      </c>
      <c r="AE104" s="546">
        <v>0</v>
      </c>
      <c r="AF104" s="546">
        <v>0</v>
      </c>
      <c r="AG104" s="546">
        <v>0</v>
      </c>
      <c r="AH104" s="546">
        <v>0</v>
      </c>
      <c r="AI104" s="546">
        <v>0</v>
      </c>
      <c r="AJ104" s="546">
        <v>0</v>
      </c>
      <c r="AK104" s="546">
        <v>0</v>
      </c>
      <c r="AL104" s="546">
        <v>0</v>
      </c>
      <c r="AM104" s="546">
        <v>0</v>
      </c>
      <c r="AN104" s="546">
        <v>0</v>
      </c>
      <c r="AO104" s="546">
        <v>0</v>
      </c>
      <c r="AP104" s="546">
        <v>0</v>
      </c>
      <c r="AQ104" s="546">
        <v>0</v>
      </c>
      <c r="AR104" s="546">
        <v>0</v>
      </c>
      <c r="AS104" s="546">
        <v>0</v>
      </c>
      <c r="AT104" s="546">
        <v>0</v>
      </c>
      <c r="AU104" s="546">
        <v>0</v>
      </c>
      <c r="AV104" s="546">
        <v>0</v>
      </c>
      <c r="AW104" s="546">
        <v>0</v>
      </c>
      <c r="AX104" s="546">
        <v>0</v>
      </c>
      <c r="AY104" s="546">
        <v>0</v>
      </c>
      <c r="AZ104" s="547">
        <v>0</v>
      </c>
    </row>
    <row r="105" spans="1:52" s="469" customFormat="1">
      <c r="A105" s="492">
        <f>'[4]Allocation Methodology'!A19</f>
        <v>15</v>
      </c>
      <c r="B105" s="493" t="str">
        <f>'[4]Allocation Methodology'!B19</f>
        <v>Electricity Retrofit Incentive</v>
      </c>
      <c r="C105" s="493" t="str">
        <f>'[4]Allocation Methodology'!C19</f>
        <v>Business</v>
      </c>
      <c r="D105" s="493" t="s">
        <v>480</v>
      </c>
      <c r="E105" s="493">
        <f>'[4]Allocation Methodology'!D19</f>
        <v>2007</v>
      </c>
      <c r="F105" s="494" t="str">
        <f>'[4]Allocation Methodology'!E19</f>
        <v>Final</v>
      </c>
      <c r="G105" s="471" t="b">
        <v>0</v>
      </c>
      <c r="H105" s="548">
        <v>0</v>
      </c>
      <c r="I105" s="549">
        <v>0</v>
      </c>
      <c r="J105" s="549">
        <v>0</v>
      </c>
      <c r="K105" s="549">
        <v>0</v>
      </c>
      <c r="L105" s="549">
        <v>0</v>
      </c>
      <c r="M105" s="549">
        <v>0</v>
      </c>
      <c r="N105" s="549">
        <v>0</v>
      </c>
      <c r="O105" s="549">
        <v>0</v>
      </c>
      <c r="P105" s="549">
        <v>0</v>
      </c>
      <c r="Q105" s="549">
        <v>0</v>
      </c>
      <c r="R105" s="549">
        <v>0</v>
      </c>
      <c r="S105" s="549">
        <v>0</v>
      </c>
      <c r="T105" s="549">
        <v>0</v>
      </c>
      <c r="U105" s="549">
        <v>0</v>
      </c>
      <c r="V105" s="549">
        <v>0</v>
      </c>
      <c r="W105" s="549">
        <v>0</v>
      </c>
      <c r="X105" s="549">
        <v>0</v>
      </c>
      <c r="Y105" s="549">
        <v>0</v>
      </c>
      <c r="Z105" s="549">
        <v>0</v>
      </c>
      <c r="AA105" s="549">
        <v>0</v>
      </c>
      <c r="AB105" s="549">
        <v>0</v>
      </c>
      <c r="AC105" s="549">
        <v>0</v>
      </c>
      <c r="AD105" s="549">
        <v>0</v>
      </c>
      <c r="AE105" s="549">
        <v>0</v>
      </c>
      <c r="AF105" s="549">
        <v>0</v>
      </c>
      <c r="AG105" s="549">
        <v>0</v>
      </c>
      <c r="AH105" s="549">
        <v>0</v>
      </c>
      <c r="AI105" s="549">
        <v>0</v>
      </c>
      <c r="AJ105" s="549">
        <v>0</v>
      </c>
      <c r="AK105" s="549">
        <v>0</v>
      </c>
      <c r="AL105" s="549">
        <v>0</v>
      </c>
      <c r="AM105" s="549">
        <v>0</v>
      </c>
      <c r="AN105" s="549">
        <v>0</v>
      </c>
      <c r="AO105" s="549">
        <v>0</v>
      </c>
      <c r="AP105" s="549">
        <v>0</v>
      </c>
      <c r="AQ105" s="549">
        <v>0</v>
      </c>
      <c r="AR105" s="549">
        <v>0</v>
      </c>
      <c r="AS105" s="549">
        <v>0</v>
      </c>
      <c r="AT105" s="549">
        <v>0</v>
      </c>
      <c r="AU105" s="549">
        <v>0</v>
      </c>
      <c r="AV105" s="549">
        <v>0</v>
      </c>
      <c r="AW105" s="549">
        <v>0</v>
      </c>
      <c r="AX105" s="549">
        <v>0</v>
      </c>
      <c r="AY105" s="549">
        <v>0</v>
      </c>
      <c r="AZ105" s="550">
        <v>0</v>
      </c>
    </row>
    <row r="106" spans="1:52" s="469" customFormat="1">
      <c r="A106" s="485">
        <f>'[4]Allocation Methodology'!A20</f>
        <v>16</v>
      </c>
      <c r="B106" s="486" t="str">
        <f>'[4]Allocation Methodology'!B20</f>
        <v>Toronto Comprehensive</v>
      </c>
      <c r="C106" s="486" t="str">
        <f>'[4]Allocation Methodology'!C20</f>
        <v>Business</v>
      </c>
      <c r="D106" s="486" t="s">
        <v>58</v>
      </c>
      <c r="E106" s="486">
        <f>'[4]Allocation Methodology'!D20</f>
        <v>2007</v>
      </c>
      <c r="F106" s="487" t="str">
        <f>'[4]Allocation Methodology'!E20</f>
        <v>Final</v>
      </c>
      <c r="G106" s="471" t="b">
        <v>0</v>
      </c>
      <c r="H106" s="545">
        <v>0</v>
      </c>
      <c r="I106" s="546">
        <v>0</v>
      </c>
      <c r="J106" s="546">
        <v>0</v>
      </c>
      <c r="K106" s="546">
        <v>0</v>
      </c>
      <c r="L106" s="546">
        <v>0</v>
      </c>
      <c r="M106" s="546">
        <v>0</v>
      </c>
      <c r="N106" s="546">
        <v>0</v>
      </c>
      <c r="O106" s="546">
        <v>0</v>
      </c>
      <c r="P106" s="546">
        <v>0</v>
      </c>
      <c r="Q106" s="546">
        <v>0</v>
      </c>
      <c r="R106" s="546">
        <v>0</v>
      </c>
      <c r="S106" s="546">
        <v>0</v>
      </c>
      <c r="T106" s="546">
        <v>0</v>
      </c>
      <c r="U106" s="546">
        <v>0</v>
      </c>
      <c r="V106" s="546">
        <v>0</v>
      </c>
      <c r="W106" s="546">
        <v>0</v>
      </c>
      <c r="X106" s="546">
        <v>0</v>
      </c>
      <c r="Y106" s="546">
        <v>0</v>
      </c>
      <c r="Z106" s="546">
        <v>0</v>
      </c>
      <c r="AA106" s="546">
        <v>0</v>
      </c>
      <c r="AB106" s="546">
        <v>0</v>
      </c>
      <c r="AC106" s="546">
        <v>0</v>
      </c>
      <c r="AD106" s="546">
        <v>0</v>
      </c>
      <c r="AE106" s="546">
        <v>0</v>
      </c>
      <c r="AF106" s="546">
        <v>0</v>
      </c>
      <c r="AG106" s="546">
        <v>0</v>
      </c>
      <c r="AH106" s="546">
        <v>0</v>
      </c>
      <c r="AI106" s="546">
        <v>0</v>
      </c>
      <c r="AJ106" s="546">
        <v>0</v>
      </c>
      <c r="AK106" s="546">
        <v>0</v>
      </c>
      <c r="AL106" s="546">
        <v>0</v>
      </c>
      <c r="AM106" s="546">
        <v>0</v>
      </c>
      <c r="AN106" s="546">
        <v>0</v>
      </c>
      <c r="AO106" s="546">
        <v>0</v>
      </c>
      <c r="AP106" s="546">
        <v>0</v>
      </c>
      <c r="AQ106" s="546">
        <v>0</v>
      </c>
      <c r="AR106" s="546">
        <v>0</v>
      </c>
      <c r="AS106" s="546">
        <v>0</v>
      </c>
      <c r="AT106" s="546">
        <v>0</v>
      </c>
      <c r="AU106" s="546">
        <v>0</v>
      </c>
      <c r="AV106" s="546">
        <v>0</v>
      </c>
      <c r="AW106" s="546">
        <v>0</v>
      </c>
      <c r="AX106" s="546">
        <v>0</v>
      </c>
      <c r="AY106" s="546">
        <v>0</v>
      </c>
      <c r="AZ106" s="547">
        <v>0</v>
      </c>
    </row>
    <row r="107" spans="1:52" s="469" customFormat="1">
      <c r="A107" s="492">
        <f>'[4]Allocation Methodology'!A21</f>
        <v>17</v>
      </c>
      <c r="B107" s="493" t="str">
        <f>'[4]Allocation Methodology'!B21</f>
        <v>Demand Response 1</v>
      </c>
      <c r="C107" s="493" t="str">
        <f>'[4]Allocation Methodology'!C21</f>
        <v>Business, Industrial</v>
      </c>
      <c r="D107" s="493" t="s">
        <v>480</v>
      </c>
      <c r="E107" s="493">
        <f>'[4]Allocation Methodology'!D21</f>
        <v>2007</v>
      </c>
      <c r="F107" s="494" t="str">
        <f>'[4]Allocation Methodology'!E21</f>
        <v>Final</v>
      </c>
      <c r="G107" s="471" t="b">
        <v>0</v>
      </c>
      <c r="H107" s="548">
        <v>0</v>
      </c>
      <c r="I107" s="549">
        <v>0</v>
      </c>
      <c r="J107" s="549">
        <v>0</v>
      </c>
      <c r="K107" s="549">
        <v>0</v>
      </c>
      <c r="L107" s="549">
        <v>0</v>
      </c>
      <c r="M107" s="549">
        <v>0</v>
      </c>
      <c r="N107" s="549">
        <v>0</v>
      </c>
      <c r="O107" s="549">
        <v>0</v>
      </c>
      <c r="P107" s="549">
        <v>0</v>
      </c>
      <c r="Q107" s="549">
        <v>0</v>
      </c>
      <c r="R107" s="549">
        <v>0</v>
      </c>
      <c r="S107" s="549">
        <v>0</v>
      </c>
      <c r="T107" s="549">
        <v>0</v>
      </c>
      <c r="U107" s="549">
        <v>0</v>
      </c>
      <c r="V107" s="549">
        <v>0</v>
      </c>
      <c r="W107" s="549">
        <v>0</v>
      </c>
      <c r="X107" s="549">
        <v>0</v>
      </c>
      <c r="Y107" s="549">
        <v>0</v>
      </c>
      <c r="Z107" s="549">
        <v>0</v>
      </c>
      <c r="AA107" s="549">
        <v>0</v>
      </c>
      <c r="AB107" s="549">
        <v>0</v>
      </c>
      <c r="AC107" s="549">
        <v>0</v>
      </c>
      <c r="AD107" s="549">
        <v>0</v>
      </c>
      <c r="AE107" s="549">
        <v>0</v>
      </c>
      <c r="AF107" s="549">
        <v>0</v>
      </c>
      <c r="AG107" s="549">
        <v>0</v>
      </c>
      <c r="AH107" s="549">
        <v>0</v>
      </c>
      <c r="AI107" s="549">
        <v>0</v>
      </c>
      <c r="AJ107" s="549">
        <v>0</v>
      </c>
      <c r="AK107" s="549">
        <v>0</v>
      </c>
      <c r="AL107" s="549">
        <v>0</v>
      </c>
      <c r="AM107" s="549">
        <v>0</v>
      </c>
      <c r="AN107" s="549">
        <v>0</v>
      </c>
      <c r="AO107" s="549">
        <v>0</v>
      </c>
      <c r="AP107" s="549">
        <v>0</v>
      </c>
      <c r="AQ107" s="549">
        <v>0</v>
      </c>
      <c r="AR107" s="549">
        <v>0</v>
      </c>
      <c r="AS107" s="549">
        <v>0</v>
      </c>
      <c r="AT107" s="549">
        <v>0</v>
      </c>
      <c r="AU107" s="549">
        <v>0</v>
      </c>
      <c r="AV107" s="549">
        <v>0</v>
      </c>
      <c r="AW107" s="549">
        <v>0</v>
      </c>
      <c r="AX107" s="549">
        <v>0</v>
      </c>
      <c r="AY107" s="549">
        <v>0</v>
      </c>
      <c r="AZ107" s="550">
        <v>0</v>
      </c>
    </row>
    <row r="108" spans="1:52" s="469" customFormat="1">
      <c r="A108" s="485">
        <f>'[4]Allocation Methodology'!A22</f>
        <v>18</v>
      </c>
      <c r="B108" s="486" t="str">
        <f>'[4]Allocation Methodology'!B22</f>
        <v>Loblaw &amp; York Region Demand Response</v>
      </c>
      <c r="C108" s="486" t="str">
        <f>'[4]Allocation Methodology'!C22</f>
        <v>Business, Industrial</v>
      </c>
      <c r="D108" s="486" t="s">
        <v>480</v>
      </c>
      <c r="E108" s="486">
        <f>'[4]Allocation Methodology'!D22</f>
        <v>2007</v>
      </c>
      <c r="F108" s="487" t="str">
        <f>'[4]Allocation Methodology'!E22</f>
        <v>Final</v>
      </c>
      <c r="G108" s="471" t="b">
        <v>0</v>
      </c>
      <c r="H108" s="545">
        <v>0</v>
      </c>
      <c r="I108" s="546">
        <v>0</v>
      </c>
      <c r="J108" s="546">
        <v>0</v>
      </c>
      <c r="K108" s="546">
        <v>0</v>
      </c>
      <c r="L108" s="546">
        <v>0</v>
      </c>
      <c r="M108" s="546">
        <v>0</v>
      </c>
      <c r="N108" s="546">
        <v>0</v>
      </c>
      <c r="O108" s="546">
        <v>0</v>
      </c>
      <c r="P108" s="546">
        <v>0</v>
      </c>
      <c r="Q108" s="546">
        <v>0</v>
      </c>
      <c r="R108" s="546">
        <v>0</v>
      </c>
      <c r="S108" s="546">
        <v>0</v>
      </c>
      <c r="T108" s="546">
        <v>0</v>
      </c>
      <c r="U108" s="546">
        <v>0</v>
      </c>
      <c r="V108" s="546">
        <v>0</v>
      </c>
      <c r="W108" s="546">
        <v>0</v>
      </c>
      <c r="X108" s="546">
        <v>0</v>
      </c>
      <c r="Y108" s="546">
        <v>0</v>
      </c>
      <c r="Z108" s="546">
        <v>0</v>
      </c>
      <c r="AA108" s="546">
        <v>0</v>
      </c>
      <c r="AB108" s="546">
        <v>0</v>
      </c>
      <c r="AC108" s="546">
        <v>0</v>
      </c>
      <c r="AD108" s="546">
        <v>0</v>
      </c>
      <c r="AE108" s="546">
        <v>0</v>
      </c>
      <c r="AF108" s="546">
        <v>0</v>
      </c>
      <c r="AG108" s="546">
        <v>0</v>
      </c>
      <c r="AH108" s="546">
        <v>0</v>
      </c>
      <c r="AI108" s="546">
        <v>0</v>
      </c>
      <c r="AJ108" s="546">
        <v>0</v>
      </c>
      <c r="AK108" s="546">
        <v>0</v>
      </c>
      <c r="AL108" s="546">
        <v>0</v>
      </c>
      <c r="AM108" s="546">
        <v>0</v>
      </c>
      <c r="AN108" s="546">
        <v>0</v>
      </c>
      <c r="AO108" s="546">
        <v>0</v>
      </c>
      <c r="AP108" s="546">
        <v>0</v>
      </c>
      <c r="AQ108" s="546">
        <v>0</v>
      </c>
      <c r="AR108" s="546">
        <v>0</v>
      </c>
      <c r="AS108" s="546">
        <v>0</v>
      </c>
      <c r="AT108" s="546">
        <v>0</v>
      </c>
      <c r="AU108" s="546">
        <v>0</v>
      </c>
      <c r="AV108" s="546">
        <v>0</v>
      </c>
      <c r="AW108" s="546">
        <v>0</v>
      </c>
      <c r="AX108" s="546">
        <v>0</v>
      </c>
      <c r="AY108" s="546">
        <v>0</v>
      </c>
      <c r="AZ108" s="547">
        <v>0</v>
      </c>
    </row>
    <row r="109" spans="1:52" s="469" customFormat="1">
      <c r="A109" s="499">
        <f>'[4]Allocation Methodology'!A23</f>
        <v>19</v>
      </c>
      <c r="B109" s="500" t="str">
        <f>'[4]Allocation Methodology'!B23</f>
        <v>Renewable Energy Standard Offer</v>
      </c>
      <c r="C109" s="500" t="str">
        <f>'[4]Allocation Methodology'!C23</f>
        <v>Consumer, Business, Industrial</v>
      </c>
      <c r="D109" s="500" t="s">
        <v>17</v>
      </c>
      <c r="E109" s="500">
        <f>'[4]Allocation Methodology'!D23</f>
        <v>2007</v>
      </c>
      <c r="F109" s="501" t="str">
        <f>'[4]Allocation Methodology'!E23</f>
        <v>Final</v>
      </c>
      <c r="G109" s="471" t="b">
        <v>0</v>
      </c>
      <c r="H109" s="551">
        <v>0</v>
      </c>
      <c r="I109" s="552">
        <v>24.438648000000001</v>
      </c>
      <c r="J109" s="552">
        <v>24.438648000000001</v>
      </c>
      <c r="K109" s="552">
        <v>24.438648000000001</v>
      </c>
      <c r="L109" s="552">
        <v>24.438648000000001</v>
      </c>
      <c r="M109" s="552">
        <v>24.438648000000001</v>
      </c>
      <c r="N109" s="552">
        <v>24.438648000000001</v>
      </c>
      <c r="O109" s="552">
        <v>24.438648000000001</v>
      </c>
      <c r="P109" s="552">
        <v>24.438648000000001</v>
      </c>
      <c r="Q109" s="552">
        <v>24.438648000000001</v>
      </c>
      <c r="R109" s="552">
        <v>24.438648000000001</v>
      </c>
      <c r="S109" s="552">
        <v>24.438648000000001</v>
      </c>
      <c r="T109" s="552">
        <v>24.438648000000001</v>
      </c>
      <c r="U109" s="552">
        <v>24.438648000000001</v>
      </c>
      <c r="V109" s="552">
        <v>24.438648000000001</v>
      </c>
      <c r="W109" s="552">
        <v>24.438648000000001</v>
      </c>
      <c r="X109" s="552">
        <v>24.438648000000001</v>
      </c>
      <c r="Y109" s="552">
        <v>24.438648000000001</v>
      </c>
      <c r="Z109" s="552">
        <v>24.438648000000001</v>
      </c>
      <c r="AA109" s="552">
        <v>24.438648000000001</v>
      </c>
      <c r="AB109" s="552">
        <v>24.438648000000001</v>
      </c>
      <c r="AC109" s="552">
        <v>0</v>
      </c>
      <c r="AD109" s="552">
        <v>0</v>
      </c>
      <c r="AE109" s="552">
        <v>0</v>
      </c>
      <c r="AF109" s="552">
        <v>0</v>
      </c>
      <c r="AG109" s="552">
        <v>0</v>
      </c>
      <c r="AH109" s="552">
        <v>0</v>
      </c>
      <c r="AI109" s="552">
        <v>0</v>
      </c>
      <c r="AJ109" s="552">
        <v>0</v>
      </c>
      <c r="AK109" s="552">
        <v>0</v>
      </c>
      <c r="AL109" s="552">
        <v>0</v>
      </c>
      <c r="AM109" s="552">
        <v>0</v>
      </c>
      <c r="AN109" s="552">
        <v>0</v>
      </c>
      <c r="AO109" s="552">
        <v>0</v>
      </c>
      <c r="AP109" s="552">
        <v>0</v>
      </c>
      <c r="AQ109" s="552">
        <v>0</v>
      </c>
      <c r="AR109" s="552">
        <v>0</v>
      </c>
      <c r="AS109" s="552">
        <v>0</v>
      </c>
      <c r="AT109" s="552">
        <v>0</v>
      </c>
      <c r="AU109" s="552">
        <v>0</v>
      </c>
      <c r="AV109" s="552">
        <v>0</v>
      </c>
      <c r="AW109" s="552">
        <v>0</v>
      </c>
      <c r="AX109" s="552">
        <v>0</v>
      </c>
      <c r="AY109" s="552">
        <v>0</v>
      </c>
      <c r="AZ109" s="553">
        <v>0</v>
      </c>
    </row>
    <row r="110" spans="1:52" s="469" customFormat="1">
      <c r="A110" s="506">
        <f>'[4]Allocation Methodology'!A24</f>
        <v>20</v>
      </c>
      <c r="B110" s="507" t="str">
        <f>'[4]Allocation Methodology'!B24</f>
        <v>Great Refrigerator Roundup</v>
      </c>
      <c r="C110" s="507" t="str">
        <f>'[4]Allocation Methodology'!C24</f>
        <v>Consumer</v>
      </c>
      <c r="D110" s="507" t="s">
        <v>17</v>
      </c>
      <c r="E110" s="507">
        <f>'[4]Allocation Methodology'!D24</f>
        <v>2008</v>
      </c>
      <c r="F110" s="508" t="str">
        <f>'[4]Allocation Methodology'!E24</f>
        <v>Final</v>
      </c>
      <c r="G110" s="471" t="b">
        <v>0</v>
      </c>
      <c r="H110" s="554">
        <v>0</v>
      </c>
      <c r="I110" s="555">
        <v>0</v>
      </c>
      <c r="J110" s="555">
        <v>114.40516</v>
      </c>
      <c r="K110" s="555">
        <v>114.40516</v>
      </c>
      <c r="L110" s="555">
        <v>114.40516</v>
      </c>
      <c r="M110" s="555">
        <v>114.40516</v>
      </c>
      <c r="N110" s="555">
        <v>114.12147999999998</v>
      </c>
      <c r="O110" s="555">
        <v>113.83779999999999</v>
      </c>
      <c r="P110" s="555">
        <v>113.83779999999999</v>
      </c>
      <c r="Q110" s="555">
        <v>113.83779999999999</v>
      </c>
      <c r="R110" s="555">
        <v>90.364999999999995</v>
      </c>
      <c r="S110" s="555">
        <v>0</v>
      </c>
      <c r="T110" s="555">
        <v>0</v>
      </c>
      <c r="U110" s="555">
        <v>0</v>
      </c>
      <c r="V110" s="555">
        <v>0</v>
      </c>
      <c r="W110" s="555">
        <v>0</v>
      </c>
      <c r="X110" s="555">
        <v>0</v>
      </c>
      <c r="Y110" s="555">
        <v>0</v>
      </c>
      <c r="Z110" s="555">
        <v>0</v>
      </c>
      <c r="AA110" s="555">
        <v>0</v>
      </c>
      <c r="AB110" s="555">
        <v>0</v>
      </c>
      <c r="AC110" s="555">
        <v>0</v>
      </c>
      <c r="AD110" s="555">
        <v>0</v>
      </c>
      <c r="AE110" s="555">
        <v>0</v>
      </c>
      <c r="AF110" s="555">
        <v>0</v>
      </c>
      <c r="AG110" s="555">
        <v>0</v>
      </c>
      <c r="AH110" s="555">
        <v>0</v>
      </c>
      <c r="AI110" s="555">
        <v>0</v>
      </c>
      <c r="AJ110" s="555">
        <v>0</v>
      </c>
      <c r="AK110" s="555">
        <v>0</v>
      </c>
      <c r="AL110" s="555">
        <v>0</v>
      </c>
      <c r="AM110" s="555">
        <v>0</v>
      </c>
      <c r="AN110" s="555">
        <v>0</v>
      </c>
      <c r="AO110" s="555">
        <v>0</v>
      </c>
      <c r="AP110" s="555">
        <v>0</v>
      </c>
      <c r="AQ110" s="555">
        <v>0</v>
      </c>
      <c r="AR110" s="555">
        <v>0</v>
      </c>
      <c r="AS110" s="555">
        <v>0</v>
      </c>
      <c r="AT110" s="555">
        <v>0</v>
      </c>
      <c r="AU110" s="555">
        <v>0</v>
      </c>
      <c r="AV110" s="555">
        <v>0</v>
      </c>
      <c r="AW110" s="555">
        <v>0</v>
      </c>
      <c r="AX110" s="555">
        <v>0</v>
      </c>
      <c r="AY110" s="555">
        <v>0</v>
      </c>
      <c r="AZ110" s="556">
        <v>0</v>
      </c>
    </row>
    <row r="111" spans="1:52" s="469" customFormat="1">
      <c r="A111" s="492">
        <f>'[4]Allocation Methodology'!A25</f>
        <v>21</v>
      </c>
      <c r="B111" s="493" t="str">
        <f>'[4]Allocation Methodology'!B25</f>
        <v>Cool Savings Rebate</v>
      </c>
      <c r="C111" s="493" t="str">
        <f>'[4]Allocation Methodology'!C25</f>
        <v>Consumer</v>
      </c>
      <c r="D111" s="493" t="s">
        <v>17</v>
      </c>
      <c r="E111" s="493">
        <f>'[4]Allocation Methodology'!D25</f>
        <v>2008</v>
      </c>
      <c r="F111" s="494" t="str">
        <f>'[4]Allocation Methodology'!E25</f>
        <v>Final</v>
      </c>
      <c r="G111" s="471" t="b">
        <v>0</v>
      </c>
      <c r="H111" s="548">
        <v>0</v>
      </c>
      <c r="I111" s="549">
        <v>0</v>
      </c>
      <c r="J111" s="549">
        <v>115.59733116888511</v>
      </c>
      <c r="K111" s="549">
        <v>115.59733116888511</v>
      </c>
      <c r="L111" s="549">
        <v>115.59733116888511</v>
      </c>
      <c r="M111" s="549">
        <v>115.59733116888511</v>
      </c>
      <c r="N111" s="549">
        <v>115.59733116888511</v>
      </c>
      <c r="O111" s="549">
        <v>115.59733116888511</v>
      </c>
      <c r="P111" s="549">
        <v>115.59733116888511</v>
      </c>
      <c r="Q111" s="549">
        <v>115.59733116888511</v>
      </c>
      <c r="R111" s="549">
        <v>115.59733116888511</v>
      </c>
      <c r="S111" s="549">
        <v>115.59733116888511</v>
      </c>
      <c r="T111" s="549">
        <v>115.59733116888511</v>
      </c>
      <c r="U111" s="549">
        <v>115.59733116888511</v>
      </c>
      <c r="V111" s="549">
        <v>115.59733116888511</v>
      </c>
      <c r="W111" s="549">
        <v>115.59733116888511</v>
      </c>
      <c r="X111" s="549">
        <v>115.59733116888511</v>
      </c>
      <c r="Y111" s="549">
        <v>92.180854829928066</v>
      </c>
      <c r="Z111" s="549">
        <v>92.180854829928066</v>
      </c>
      <c r="AA111" s="549">
        <v>92.180854829928066</v>
      </c>
      <c r="AB111" s="549">
        <v>0</v>
      </c>
      <c r="AC111" s="549">
        <v>0</v>
      </c>
      <c r="AD111" s="549">
        <v>0</v>
      </c>
      <c r="AE111" s="549">
        <v>0</v>
      </c>
      <c r="AF111" s="549">
        <v>0</v>
      </c>
      <c r="AG111" s="549">
        <v>0</v>
      </c>
      <c r="AH111" s="549">
        <v>0</v>
      </c>
      <c r="AI111" s="549">
        <v>0</v>
      </c>
      <c r="AJ111" s="549">
        <v>0</v>
      </c>
      <c r="AK111" s="549">
        <v>0</v>
      </c>
      <c r="AL111" s="549">
        <v>0</v>
      </c>
      <c r="AM111" s="549">
        <v>0</v>
      </c>
      <c r="AN111" s="549">
        <v>0</v>
      </c>
      <c r="AO111" s="549">
        <v>0</v>
      </c>
      <c r="AP111" s="549">
        <v>0</v>
      </c>
      <c r="AQ111" s="549">
        <v>0</v>
      </c>
      <c r="AR111" s="549">
        <v>0</v>
      </c>
      <c r="AS111" s="549">
        <v>0</v>
      </c>
      <c r="AT111" s="549">
        <v>0</v>
      </c>
      <c r="AU111" s="549">
        <v>0</v>
      </c>
      <c r="AV111" s="549">
        <v>0</v>
      </c>
      <c r="AW111" s="549">
        <v>0</v>
      </c>
      <c r="AX111" s="549">
        <v>0</v>
      </c>
      <c r="AY111" s="549">
        <v>0</v>
      </c>
      <c r="AZ111" s="550">
        <v>0</v>
      </c>
    </row>
    <row r="112" spans="1:52" s="469" customFormat="1">
      <c r="A112" s="485">
        <f>'[4]Allocation Methodology'!A26</f>
        <v>22</v>
      </c>
      <c r="B112" s="486" t="str">
        <f>'[4]Allocation Methodology'!B26</f>
        <v>Every Kilowatt Counts Power Savings Event</v>
      </c>
      <c r="C112" s="486" t="str">
        <f>'[4]Allocation Methodology'!C26</f>
        <v>Consumer</v>
      </c>
      <c r="D112" s="486" t="s">
        <v>17</v>
      </c>
      <c r="E112" s="486">
        <f>'[4]Allocation Methodology'!D26</f>
        <v>2008</v>
      </c>
      <c r="F112" s="487" t="str">
        <f>'[4]Allocation Methodology'!E26</f>
        <v>Final</v>
      </c>
      <c r="G112" s="471" t="b">
        <v>0</v>
      </c>
      <c r="H112" s="545">
        <v>0</v>
      </c>
      <c r="I112" s="546">
        <v>0</v>
      </c>
      <c r="J112" s="546">
        <v>586.80083092528616</v>
      </c>
      <c r="K112" s="546">
        <v>584.24816249900425</v>
      </c>
      <c r="L112" s="546">
        <v>584.24816249900425</v>
      </c>
      <c r="M112" s="546">
        <v>584.24816249900425</v>
      </c>
      <c r="N112" s="546">
        <v>495.89046442035021</v>
      </c>
      <c r="O112" s="546">
        <v>495.89046442035021</v>
      </c>
      <c r="P112" s="546">
        <v>403.88130234424233</v>
      </c>
      <c r="Q112" s="546">
        <v>335.1426669440844</v>
      </c>
      <c r="R112" s="546">
        <v>211.5981537201412</v>
      </c>
      <c r="S112" s="546">
        <v>208.9010914171856</v>
      </c>
      <c r="T112" s="546">
        <v>171.30116197290698</v>
      </c>
      <c r="U112" s="546">
        <v>171.30116197290698</v>
      </c>
      <c r="V112" s="546">
        <v>162.49249884426379</v>
      </c>
      <c r="W112" s="546">
        <v>162.49249884426379</v>
      </c>
      <c r="X112" s="546">
        <v>162.49249884426379</v>
      </c>
      <c r="Y112" s="546">
        <v>156.421604982259</v>
      </c>
      <c r="Z112" s="546">
        <v>0</v>
      </c>
      <c r="AA112" s="546">
        <v>0</v>
      </c>
      <c r="AB112" s="546">
        <v>0</v>
      </c>
      <c r="AC112" s="546">
        <v>0</v>
      </c>
      <c r="AD112" s="546">
        <v>0</v>
      </c>
      <c r="AE112" s="546">
        <v>0</v>
      </c>
      <c r="AF112" s="546">
        <v>0</v>
      </c>
      <c r="AG112" s="546">
        <v>0</v>
      </c>
      <c r="AH112" s="546">
        <v>0</v>
      </c>
      <c r="AI112" s="546">
        <v>0</v>
      </c>
      <c r="AJ112" s="546">
        <v>0</v>
      </c>
      <c r="AK112" s="546">
        <v>0</v>
      </c>
      <c r="AL112" s="546">
        <v>0</v>
      </c>
      <c r="AM112" s="546">
        <v>0</v>
      </c>
      <c r="AN112" s="546">
        <v>0</v>
      </c>
      <c r="AO112" s="546">
        <v>0</v>
      </c>
      <c r="AP112" s="546">
        <v>0</v>
      </c>
      <c r="AQ112" s="546">
        <v>0</v>
      </c>
      <c r="AR112" s="546">
        <v>0</v>
      </c>
      <c r="AS112" s="546">
        <v>0</v>
      </c>
      <c r="AT112" s="546">
        <v>0</v>
      </c>
      <c r="AU112" s="546">
        <v>0</v>
      </c>
      <c r="AV112" s="546">
        <v>0</v>
      </c>
      <c r="AW112" s="546">
        <v>0</v>
      </c>
      <c r="AX112" s="546">
        <v>0</v>
      </c>
      <c r="AY112" s="546">
        <v>0</v>
      </c>
      <c r="AZ112" s="547">
        <v>0</v>
      </c>
    </row>
    <row r="113" spans="1:52" s="469" customFormat="1">
      <c r="A113" s="492">
        <f>'[4]Allocation Methodology'!A27</f>
        <v>23</v>
      </c>
      <c r="B113" s="513" t="str">
        <f>'[4]Allocation Methodology'!B27</f>
        <v>peaksaver®</v>
      </c>
      <c r="C113" s="493" t="str">
        <f>'[4]Allocation Methodology'!C27</f>
        <v>Consumer, Business</v>
      </c>
      <c r="D113" s="493" t="s">
        <v>58</v>
      </c>
      <c r="E113" s="493">
        <f>'[4]Allocation Methodology'!D27</f>
        <v>2008</v>
      </c>
      <c r="F113" s="494" t="str">
        <f>'[4]Allocation Methodology'!E27</f>
        <v>Final</v>
      </c>
      <c r="G113" s="471" t="b">
        <v>0</v>
      </c>
      <c r="H113" s="548">
        <v>0</v>
      </c>
      <c r="I113" s="549">
        <v>0</v>
      </c>
      <c r="J113" s="549">
        <v>0</v>
      </c>
      <c r="K113" s="549">
        <v>0</v>
      </c>
      <c r="L113" s="549">
        <v>0</v>
      </c>
      <c r="M113" s="549">
        <v>0</v>
      </c>
      <c r="N113" s="549">
        <v>0</v>
      </c>
      <c r="O113" s="549">
        <v>0</v>
      </c>
      <c r="P113" s="549">
        <v>0</v>
      </c>
      <c r="Q113" s="549">
        <v>0</v>
      </c>
      <c r="R113" s="549">
        <v>0</v>
      </c>
      <c r="S113" s="549">
        <v>0</v>
      </c>
      <c r="T113" s="549">
        <v>0</v>
      </c>
      <c r="U113" s="549">
        <v>0</v>
      </c>
      <c r="V113" s="549">
        <v>0</v>
      </c>
      <c r="W113" s="549">
        <v>0</v>
      </c>
      <c r="X113" s="549">
        <v>0</v>
      </c>
      <c r="Y113" s="549">
        <v>0</v>
      </c>
      <c r="Z113" s="549">
        <v>0</v>
      </c>
      <c r="AA113" s="549">
        <v>0</v>
      </c>
      <c r="AB113" s="549">
        <v>0</v>
      </c>
      <c r="AC113" s="549">
        <v>0</v>
      </c>
      <c r="AD113" s="549">
        <v>0</v>
      </c>
      <c r="AE113" s="549">
        <v>0</v>
      </c>
      <c r="AF113" s="549">
        <v>0</v>
      </c>
      <c r="AG113" s="549">
        <v>0</v>
      </c>
      <c r="AH113" s="549">
        <v>0</v>
      </c>
      <c r="AI113" s="549">
        <v>0</v>
      </c>
      <c r="AJ113" s="549">
        <v>0</v>
      </c>
      <c r="AK113" s="549">
        <v>0</v>
      </c>
      <c r="AL113" s="549">
        <v>0</v>
      </c>
      <c r="AM113" s="549">
        <v>0</v>
      </c>
      <c r="AN113" s="549">
        <v>0</v>
      </c>
      <c r="AO113" s="549">
        <v>0</v>
      </c>
      <c r="AP113" s="549">
        <v>0</v>
      </c>
      <c r="AQ113" s="549">
        <v>0</v>
      </c>
      <c r="AR113" s="549">
        <v>0</v>
      </c>
      <c r="AS113" s="549">
        <v>0</v>
      </c>
      <c r="AT113" s="549">
        <v>0</v>
      </c>
      <c r="AU113" s="549">
        <v>0</v>
      </c>
      <c r="AV113" s="549">
        <v>0</v>
      </c>
      <c r="AW113" s="549">
        <v>0</v>
      </c>
      <c r="AX113" s="549">
        <v>0</v>
      </c>
      <c r="AY113" s="549">
        <v>0</v>
      </c>
      <c r="AZ113" s="550">
        <v>0</v>
      </c>
    </row>
    <row r="114" spans="1:52" s="469" customFormat="1">
      <c r="A114" s="485">
        <f>'[4]Allocation Methodology'!A28</f>
        <v>24</v>
      </c>
      <c r="B114" s="486" t="str">
        <f>'[4]Allocation Methodology'!B28</f>
        <v>Summer Sweepstakes</v>
      </c>
      <c r="C114" s="486" t="str">
        <f>'[4]Allocation Methodology'!C28</f>
        <v>Consumer</v>
      </c>
      <c r="D114" s="486" t="s">
        <v>17</v>
      </c>
      <c r="E114" s="486">
        <f>'[4]Allocation Methodology'!D28</f>
        <v>2008</v>
      </c>
      <c r="F114" s="487" t="str">
        <f>'[4]Allocation Methodology'!E28</f>
        <v>Final</v>
      </c>
      <c r="G114" s="471" t="b">
        <v>0</v>
      </c>
      <c r="H114" s="545">
        <v>0</v>
      </c>
      <c r="I114" s="546">
        <v>0</v>
      </c>
      <c r="J114" s="546">
        <v>263.04053755573591</v>
      </c>
      <c r="K114" s="546">
        <v>94.919061593347493</v>
      </c>
      <c r="L114" s="546">
        <v>94.919061593347493</v>
      </c>
      <c r="M114" s="546">
        <v>94.919061593347493</v>
      </c>
      <c r="N114" s="546">
        <v>94.919061593347493</v>
      </c>
      <c r="O114" s="546">
        <v>94.919061593347493</v>
      </c>
      <c r="P114" s="546">
        <v>94.919061593347493</v>
      </c>
      <c r="Q114" s="546">
        <v>94.919061593347493</v>
      </c>
      <c r="R114" s="546">
        <v>52.000047194422017</v>
      </c>
      <c r="S114" s="546">
        <v>52.000047194422017</v>
      </c>
      <c r="T114" s="546">
        <v>39.400394351800976</v>
      </c>
      <c r="U114" s="546">
        <v>39.400394351800976</v>
      </c>
      <c r="V114" s="546">
        <v>39.400394351800976</v>
      </c>
      <c r="W114" s="546">
        <v>34.858617178971095</v>
      </c>
      <c r="X114" s="546">
        <v>33.240359680946696</v>
      </c>
      <c r="Y114" s="546">
        <v>31.603078487661914</v>
      </c>
      <c r="Z114" s="546">
        <v>31.603078487661914</v>
      </c>
      <c r="AA114" s="546">
        <v>31.603078487661914</v>
      </c>
      <c r="AB114" s="546">
        <v>31.603078487661914</v>
      </c>
      <c r="AC114" s="546">
        <v>31.603078487661914</v>
      </c>
      <c r="AD114" s="546">
        <v>0</v>
      </c>
      <c r="AE114" s="546">
        <v>0</v>
      </c>
      <c r="AF114" s="546">
        <v>0</v>
      </c>
      <c r="AG114" s="546">
        <v>0</v>
      </c>
      <c r="AH114" s="546">
        <v>0</v>
      </c>
      <c r="AI114" s="546">
        <v>0</v>
      </c>
      <c r="AJ114" s="546">
        <v>0</v>
      </c>
      <c r="AK114" s="546">
        <v>0</v>
      </c>
      <c r="AL114" s="546">
        <v>0</v>
      </c>
      <c r="AM114" s="546">
        <v>0</v>
      </c>
      <c r="AN114" s="546">
        <v>0</v>
      </c>
      <c r="AO114" s="546">
        <v>0</v>
      </c>
      <c r="AP114" s="546">
        <v>0</v>
      </c>
      <c r="AQ114" s="546">
        <v>0</v>
      </c>
      <c r="AR114" s="546">
        <v>0</v>
      </c>
      <c r="AS114" s="546">
        <v>0</v>
      </c>
      <c r="AT114" s="546">
        <v>0</v>
      </c>
      <c r="AU114" s="546">
        <v>0</v>
      </c>
      <c r="AV114" s="546">
        <v>0</v>
      </c>
      <c r="AW114" s="546">
        <v>0</v>
      </c>
      <c r="AX114" s="546">
        <v>0</v>
      </c>
      <c r="AY114" s="546">
        <v>0</v>
      </c>
      <c r="AZ114" s="547">
        <v>0</v>
      </c>
    </row>
    <row r="115" spans="1:52" s="469" customFormat="1">
      <c r="A115" s="492">
        <f>'[4]Allocation Methodology'!A29</f>
        <v>25</v>
      </c>
      <c r="B115" s="493" t="str">
        <f>'[4]Allocation Methodology'!B29</f>
        <v>Electricity Retrofit Incentive</v>
      </c>
      <c r="C115" s="493" t="str">
        <f>'[4]Allocation Methodology'!C29</f>
        <v>Consumer, Business</v>
      </c>
      <c r="D115" s="493" t="s">
        <v>480</v>
      </c>
      <c r="E115" s="493">
        <f>'[4]Allocation Methodology'!D29</f>
        <v>2008</v>
      </c>
      <c r="F115" s="494" t="str">
        <f>'[4]Allocation Methodology'!E29</f>
        <v>Final</v>
      </c>
      <c r="G115" s="471" t="b">
        <v>0</v>
      </c>
      <c r="H115" s="548">
        <v>0</v>
      </c>
      <c r="I115" s="549">
        <v>0</v>
      </c>
      <c r="J115" s="549">
        <v>1366.6943951189435</v>
      </c>
      <c r="K115" s="549">
        <v>1366.6850616468018</v>
      </c>
      <c r="L115" s="549">
        <v>1366.6850616468018</v>
      </c>
      <c r="M115" s="549">
        <v>1366.6850616468018</v>
      </c>
      <c r="N115" s="549">
        <v>1366.6850616468018</v>
      </c>
      <c r="O115" s="549">
        <v>1366.6850616468018</v>
      </c>
      <c r="P115" s="549">
        <v>1366.6850616468018</v>
      </c>
      <c r="Q115" s="549">
        <v>1366.6850616468018</v>
      </c>
      <c r="R115" s="549">
        <v>1255.2022258965644</v>
      </c>
      <c r="S115" s="549">
        <v>1255.2022258965644</v>
      </c>
      <c r="T115" s="549">
        <v>1255.2022258965644</v>
      </c>
      <c r="U115" s="549">
        <v>1255.2022258965644</v>
      </c>
      <c r="V115" s="549">
        <v>1255.2022258965644</v>
      </c>
      <c r="W115" s="549">
        <v>1255.2022258965644</v>
      </c>
      <c r="X115" s="549">
        <v>1255.2022258965644</v>
      </c>
      <c r="Y115" s="549">
        <v>1217.5461591196672</v>
      </c>
      <c r="Z115" s="549">
        <v>0</v>
      </c>
      <c r="AA115" s="549">
        <v>0</v>
      </c>
      <c r="AB115" s="549">
        <v>0</v>
      </c>
      <c r="AC115" s="549">
        <v>0</v>
      </c>
      <c r="AD115" s="549">
        <v>0</v>
      </c>
      <c r="AE115" s="549">
        <v>0</v>
      </c>
      <c r="AF115" s="549">
        <v>0</v>
      </c>
      <c r="AG115" s="549">
        <v>0</v>
      </c>
      <c r="AH115" s="549">
        <v>0</v>
      </c>
      <c r="AI115" s="549">
        <v>0</v>
      </c>
      <c r="AJ115" s="549">
        <v>0</v>
      </c>
      <c r="AK115" s="549">
        <v>0</v>
      </c>
      <c r="AL115" s="549">
        <v>0</v>
      </c>
      <c r="AM115" s="549">
        <v>0</v>
      </c>
      <c r="AN115" s="549">
        <v>0</v>
      </c>
      <c r="AO115" s="549">
        <v>0</v>
      </c>
      <c r="AP115" s="549">
        <v>0</v>
      </c>
      <c r="AQ115" s="549">
        <v>0</v>
      </c>
      <c r="AR115" s="549">
        <v>0</v>
      </c>
      <c r="AS115" s="549">
        <v>0</v>
      </c>
      <c r="AT115" s="549">
        <v>0</v>
      </c>
      <c r="AU115" s="549">
        <v>0</v>
      </c>
      <c r="AV115" s="549">
        <v>0</v>
      </c>
      <c r="AW115" s="549">
        <v>0</v>
      </c>
      <c r="AX115" s="549">
        <v>0</v>
      </c>
      <c r="AY115" s="549">
        <v>0</v>
      </c>
      <c r="AZ115" s="550">
        <v>0</v>
      </c>
    </row>
    <row r="116" spans="1:52" s="469" customFormat="1">
      <c r="A116" s="485">
        <f>'[4]Allocation Methodology'!A30</f>
        <v>26</v>
      </c>
      <c r="B116" s="486" t="str">
        <f>'[4]Allocation Methodology'!B30</f>
        <v>Toronto Comprehensive</v>
      </c>
      <c r="C116" s="486" t="str">
        <f>'[4]Allocation Methodology'!C30</f>
        <v>Consumer, Consumer Low-Income, Business</v>
      </c>
      <c r="D116" s="486" t="s">
        <v>58</v>
      </c>
      <c r="E116" s="486">
        <f>'[4]Allocation Methodology'!D30</f>
        <v>2008</v>
      </c>
      <c r="F116" s="487" t="str">
        <f>'[4]Allocation Methodology'!E30</f>
        <v>Final</v>
      </c>
      <c r="G116" s="471" t="b">
        <v>0</v>
      </c>
      <c r="H116" s="545">
        <v>0</v>
      </c>
      <c r="I116" s="546">
        <v>0</v>
      </c>
      <c r="J116" s="546">
        <v>0</v>
      </c>
      <c r="K116" s="546">
        <v>0</v>
      </c>
      <c r="L116" s="546">
        <v>0</v>
      </c>
      <c r="M116" s="546">
        <v>0</v>
      </c>
      <c r="N116" s="546">
        <v>0</v>
      </c>
      <c r="O116" s="546">
        <v>0</v>
      </c>
      <c r="P116" s="546">
        <v>0</v>
      </c>
      <c r="Q116" s="546">
        <v>0</v>
      </c>
      <c r="R116" s="546">
        <v>0</v>
      </c>
      <c r="S116" s="546">
        <v>0</v>
      </c>
      <c r="T116" s="546">
        <v>0</v>
      </c>
      <c r="U116" s="546">
        <v>0</v>
      </c>
      <c r="V116" s="546">
        <v>0</v>
      </c>
      <c r="W116" s="546">
        <v>0</v>
      </c>
      <c r="X116" s="546">
        <v>0</v>
      </c>
      <c r="Y116" s="546">
        <v>0</v>
      </c>
      <c r="Z116" s="546">
        <v>0</v>
      </c>
      <c r="AA116" s="546">
        <v>0</v>
      </c>
      <c r="AB116" s="546">
        <v>0</v>
      </c>
      <c r="AC116" s="546">
        <v>0</v>
      </c>
      <c r="AD116" s="546">
        <v>0</v>
      </c>
      <c r="AE116" s="546">
        <v>0</v>
      </c>
      <c r="AF116" s="546">
        <v>0</v>
      </c>
      <c r="AG116" s="546">
        <v>0</v>
      </c>
      <c r="AH116" s="546">
        <v>0</v>
      </c>
      <c r="AI116" s="546">
        <v>0</v>
      </c>
      <c r="AJ116" s="546">
        <v>0</v>
      </c>
      <c r="AK116" s="546">
        <v>0</v>
      </c>
      <c r="AL116" s="546">
        <v>0</v>
      </c>
      <c r="AM116" s="546">
        <v>0</v>
      </c>
      <c r="AN116" s="546">
        <v>0</v>
      </c>
      <c r="AO116" s="546">
        <v>0</v>
      </c>
      <c r="AP116" s="546">
        <v>0</v>
      </c>
      <c r="AQ116" s="546">
        <v>0</v>
      </c>
      <c r="AR116" s="546">
        <v>0</v>
      </c>
      <c r="AS116" s="546">
        <v>0</v>
      </c>
      <c r="AT116" s="546">
        <v>0</v>
      </c>
      <c r="AU116" s="546">
        <v>0</v>
      </c>
      <c r="AV116" s="546">
        <v>0</v>
      </c>
      <c r="AW116" s="546">
        <v>0</v>
      </c>
      <c r="AX116" s="546">
        <v>0</v>
      </c>
      <c r="AY116" s="546">
        <v>0</v>
      </c>
      <c r="AZ116" s="547">
        <v>0</v>
      </c>
    </row>
    <row r="117" spans="1:52" s="469" customFormat="1">
      <c r="A117" s="492">
        <f>'[4]Allocation Methodology'!A31</f>
        <v>27</v>
      </c>
      <c r="B117" s="493" t="str">
        <f>'[4]Allocation Methodology'!B31</f>
        <v>High Performance New Construction</v>
      </c>
      <c r="C117" s="493" t="str">
        <f>'[4]Allocation Methodology'!C31</f>
        <v>Business</v>
      </c>
      <c r="D117" s="493" t="s">
        <v>480</v>
      </c>
      <c r="E117" s="493">
        <f>'[4]Allocation Methodology'!D31</f>
        <v>2008</v>
      </c>
      <c r="F117" s="494" t="str">
        <f>'[4]Allocation Methodology'!E31</f>
        <v>Final</v>
      </c>
      <c r="G117" s="471" t="b">
        <v>0</v>
      </c>
      <c r="H117" s="548">
        <v>0</v>
      </c>
      <c r="I117" s="549">
        <v>0</v>
      </c>
      <c r="J117" s="549">
        <v>1.898213735600969</v>
      </c>
      <c r="K117" s="549">
        <v>1.898213735600969</v>
      </c>
      <c r="L117" s="549">
        <v>1.898213735600969</v>
      </c>
      <c r="M117" s="549">
        <v>1.898213735600969</v>
      </c>
      <c r="N117" s="549">
        <v>1.898213735600969</v>
      </c>
      <c r="O117" s="549">
        <v>1.898213735600969</v>
      </c>
      <c r="P117" s="549">
        <v>1.898213735600969</v>
      </c>
      <c r="Q117" s="549">
        <v>1.898213735600969</v>
      </c>
      <c r="R117" s="549">
        <v>1.898213735600969</v>
      </c>
      <c r="S117" s="549">
        <v>1.898213735600969</v>
      </c>
      <c r="T117" s="549">
        <v>1.898213735600969</v>
      </c>
      <c r="U117" s="549">
        <v>1.898213735600969</v>
      </c>
      <c r="V117" s="549">
        <v>1.898213735600969</v>
      </c>
      <c r="W117" s="549">
        <v>1.898213735600969</v>
      </c>
      <c r="X117" s="549">
        <v>0</v>
      </c>
      <c r="Y117" s="549">
        <v>0</v>
      </c>
      <c r="Z117" s="549">
        <v>0</v>
      </c>
      <c r="AA117" s="549">
        <v>0</v>
      </c>
      <c r="AB117" s="549">
        <v>0</v>
      </c>
      <c r="AC117" s="549">
        <v>0</v>
      </c>
      <c r="AD117" s="549">
        <v>0</v>
      </c>
      <c r="AE117" s="549">
        <v>0</v>
      </c>
      <c r="AF117" s="549">
        <v>0</v>
      </c>
      <c r="AG117" s="549">
        <v>0</v>
      </c>
      <c r="AH117" s="549">
        <v>0</v>
      </c>
      <c r="AI117" s="549">
        <v>0</v>
      </c>
      <c r="AJ117" s="549">
        <v>0</v>
      </c>
      <c r="AK117" s="549">
        <v>0</v>
      </c>
      <c r="AL117" s="549">
        <v>0</v>
      </c>
      <c r="AM117" s="549">
        <v>0</v>
      </c>
      <c r="AN117" s="549">
        <v>0</v>
      </c>
      <c r="AO117" s="549">
        <v>0</v>
      </c>
      <c r="AP117" s="549">
        <v>0</v>
      </c>
      <c r="AQ117" s="549">
        <v>0</v>
      </c>
      <c r="AR117" s="549">
        <v>0</v>
      </c>
      <c r="AS117" s="549">
        <v>0</v>
      </c>
      <c r="AT117" s="549">
        <v>0</v>
      </c>
      <c r="AU117" s="549">
        <v>0</v>
      </c>
      <c r="AV117" s="549">
        <v>0</v>
      </c>
      <c r="AW117" s="549">
        <v>0</v>
      </c>
      <c r="AX117" s="549">
        <v>0</v>
      </c>
      <c r="AY117" s="549">
        <v>0</v>
      </c>
      <c r="AZ117" s="550">
        <v>0</v>
      </c>
    </row>
    <row r="118" spans="1:52" s="469" customFormat="1">
      <c r="A118" s="485">
        <f>'[4]Allocation Methodology'!A32</f>
        <v>28</v>
      </c>
      <c r="B118" s="486" t="str">
        <f>'[4]Allocation Methodology'!B32</f>
        <v>Power Savings Blitz</v>
      </c>
      <c r="C118" s="486" t="str">
        <f>'[4]Allocation Methodology'!C32</f>
        <v>Business</v>
      </c>
      <c r="D118" s="486" t="s">
        <v>486</v>
      </c>
      <c r="E118" s="486">
        <f>'[4]Allocation Methodology'!D32</f>
        <v>2008</v>
      </c>
      <c r="F118" s="487" t="str">
        <f>'[4]Allocation Methodology'!E32</f>
        <v>Final</v>
      </c>
      <c r="G118" s="471" t="b">
        <v>0</v>
      </c>
      <c r="H118" s="545">
        <v>0</v>
      </c>
      <c r="I118" s="546">
        <v>0</v>
      </c>
      <c r="J118" s="546">
        <v>0</v>
      </c>
      <c r="K118" s="546">
        <v>0</v>
      </c>
      <c r="L118" s="546">
        <v>0</v>
      </c>
      <c r="M118" s="546">
        <v>0</v>
      </c>
      <c r="N118" s="546">
        <v>0</v>
      </c>
      <c r="O118" s="546">
        <v>0</v>
      </c>
      <c r="P118" s="546">
        <v>0</v>
      </c>
      <c r="Q118" s="546">
        <v>0</v>
      </c>
      <c r="R118" s="546">
        <v>0</v>
      </c>
      <c r="S118" s="546">
        <v>0</v>
      </c>
      <c r="T118" s="546">
        <v>0</v>
      </c>
      <c r="U118" s="546">
        <v>0</v>
      </c>
      <c r="V118" s="546">
        <v>0</v>
      </c>
      <c r="W118" s="546">
        <v>0</v>
      </c>
      <c r="X118" s="546">
        <v>0</v>
      </c>
      <c r="Y118" s="546">
        <v>0</v>
      </c>
      <c r="Z118" s="546">
        <v>0</v>
      </c>
      <c r="AA118" s="546">
        <v>0</v>
      </c>
      <c r="AB118" s="546">
        <v>0</v>
      </c>
      <c r="AC118" s="546">
        <v>0</v>
      </c>
      <c r="AD118" s="546">
        <v>0</v>
      </c>
      <c r="AE118" s="546">
        <v>0</v>
      </c>
      <c r="AF118" s="546">
        <v>0</v>
      </c>
      <c r="AG118" s="546">
        <v>0</v>
      </c>
      <c r="AH118" s="546">
        <v>0</v>
      </c>
      <c r="AI118" s="546">
        <v>0</v>
      </c>
      <c r="AJ118" s="546">
        <v>0</v>
      </c>
      <c r="AK118" s="546">
        <v>0</v>
      </c>
      <c r="AL118" s="546">
        <v>0</v>
      </c>
      <c r="AM118" s="546">
        <v>0</v>
      </c>
      <c r="AN118" s="546">
        <v>0</v>
      </c>
      <c r="AO118" s="546">
        <v>0</v>
      </c>
      <c r="AP118" s="546">
        <v>0</v>
      </c>
      <c r="AQ118" s="546">
        <v>0</v>
      </c>
      <c r="AR118" s="546">
        <v>0</v>
      </c>
      <c r="AS118" s="546">
        <v>0</v>
      </c>
      <c r="AT118" s="546">
        <v>0</v>
      </c>
      <c r="AU118" s="546">
        <v>0</v>
      </c>
      <c r="AV118" s="546">
        <v>0</v>
      </c>
      <c r="AW118" s="546">
        <v>0</v>
      </c>
      <c r="AX118" s="546">
        <v>0</v>
      </c>
      <c r="AY118" s="546">
        <v>0</v>
      </c>
      <c r="AZ118" s="547">
        <v>0</v>
      </c>
    </row>
    <row r="119" spans="1:52" s="469" customFormat="1">
      <c r="A119" s="492">
        <f>'[4]Allocation Methodology'!A33</f>
        <v>29</v>
      </c>
      <c r="B119" s="493" t="str">
        <f>'[4]Allocation Methodology'!B33</f>
        <v>Demand Response 1</v>
      </c>
      <c r="C119" s="493" t="str">
        <f>'[4]Allocation Methodology'!C33</f>
        <v>Business, Industrial</v>
      </c>
      <c r="D119" s="493" t="s">
        <v>480</v>
      </c>
      <c r="E119" s="493">
        <f>'[4]Allocation Methodology'!D33</f>
        <v>2008</v>
      </c>
      <c r="F119" s="494" t="str">
        <f>'[4]Allocation Methodology'!E33</f>
        <v>Final</v>
      </c>
      <c r="G119" s="471" t="b">
        <v>0</v>
      </c>
      <c r="H119" s="548">
        <v>0</v>
      </c>
      <c r="I119" s="549">
        <v>0</v>
      </c>
      <c r="J119" s="549">
        <v>0</v>
      </c>
      <c r="K119" s="549">
        <v>0</v>
      </c>
      <c r="L119" s="549">
        <v>0</v>
      </c>
      <c r="M119" s="549">
        <v>0</v>
      </c>
      <c r="N119" s="549">
        <v>0</v>
      </c>
      <c r="O119" s="549">
        <v>0</v>
      </c>
      <c r="P119" s="549">
        <v>0</v>
      </c>
      <c r="Q119" s="549">
        <v>0</v>
      </c>
      <c r="R119" s="549">
        <v>0</v>
      </c>
      <c r="S119" s="549">
        <v>0</v>
      </c>
      <c r="T119" s="549">
        <v>0</v>
      </c>
      <c r="U119" s="549">
        <v>0</v>
      </c>
      <c r="V119" s="549">
        <v>0</v>
      </c>
      <c r="W119" s="549">
        <v>0</v>
      </c>
      <c r="X119" s="549">
        <v>0</v>
      </c>
      <c r="Y119" s="549">
        <v>0</v>
      </c>
      <c r="Z119" s="549">
        <v>0</v>
      </c>
      <c r="AA119" s="549">
        <v>0</v>
      </c>
      <c r="AB119" s="549">
        <v>0</v>
      </c>
      <c r="AC119" s="549">
        <v>0</v>
      </c>
      <c r="AD119" s="549">
        <v>0</v>
      </c>
      <c r="AE119" s="549">
        <v>0</v>
      </c>
      <c r="AF119" s="549">
        <v>0</v>
      </c>
      <c r="AG119" s="549">
        <v>0</v>
      </c>
      <c r="AH119" s="549">
        <v>0</v>
      </c>
      <c r="AI119" s="549">
        <v>0</v>
      </c>
      <c r="AJ119" s="549">
        <v>0</v>
      </c>
      <c r="AK119" s="549">
        <v>0</v>
      </c>
      <c r="AL119" s="549">
        <v>0</v>
      </c>
      <c r="AM119" s="549">
        <v>0</v>
      </c>
      <c r="AN119" s="549">
        <v>0</v>
      </c>
      <c r="AO119" s="549">
        <v>0</v>
      </c>
      <c r="AP119" s="549">
        <v>0</v>
      </c>
      <c r="AQ119" s="549">
        <v>0</v>
      </c>
      <c r="AR119" s="549">
        <v>0</v>
      </c>
      <c r="AS119" s="549">
        <v>0</v>
      </c>
      <c r="AT119" s="549">
        <v>0</v>
      </c>
      <c r="AU119" s="549">
        <v>0</v>
      </c>
      <c r="AV119" s="549">
        <v>0</v>
      </c>
      <c r="AW119" s="549">
        <v>0</v>
      </c>
      <c r="AX119" s="549">
        <v>0</v>
      </c>
      <c r="AY119" s="549">
        <v>0</v>
      </c>
      <c r="AZ119" s="550">
        <v>0</v>
      </c>
    </row>
    <row r="120" spans="1:52" s="469" customFormat="1">
      <c r="A120" s="485">
        <f>'[4]Allocation Methodology'!A34</f>
        <v>30</v>
      </c>
      <c r="B120" s="486" t="str">
        <f>'[4]Allocation Methodology'!B34</f>
        <v>Demand Response 3</v>
      </c>
      <c r="C120" s="486" t="str">
        <f>'[4]Allocation Methodology'!C34</f>
        <v>Business, Industrial</v>
      </c>
      <c r="D120" s="486" t="s">
        <v>480</v>
      </c>
      <c r="E120" s="486">
        <f>'[4]Allocation Methodology'!D34</f>
        <v>2008</v>
      </c>
      <c r="F120" s="487" t="str">
        <f>'[4]Allocation Methodology'!E34</f>
        <v>Final</v>
      </c>
      <c r="G120" s="471" t="b">
        <v>0</v>
      </c>
      <c r="H120" s="545">
        <v>0</v>
      </c>
      <c r="I120" s="546">
        <v>0</v>
      </c>
      <c r="J120" s="546">
        <v>0</v>
      </c>
      <c r="K120" s="546">
        <v>0</v>
      </c>
      <c r="L120" s="546">
        <v>0</v>
      </c>
      <c r="M120" s="546">
        <v>0</v>
      </c>
      <c r="N120" s="546">
        <v>0</v>
      </c>
      <c r="O120" s="546">
        <v>0</v>
      </c>
      <c r="P120" s="546">
        <v>0</v>
      </c>
      <c r="Q120" s="546">
        <v>0</v>
      </c>
      <c r="R120" s="546">
        <v>0</v>
      </c>
      <c r="S120" s="546">
        <v>0</v>
      </c>
      <c r="T120" s="546">
        <v>0</v>
      </c>
      <c r="U120" s="546">
        <v>0</v>
      </c>
      <c r="V120" s="546">
        <v>0</v>
      </c>
      <c r="W120" s="546">
        <v>0</v>
      </c>
      <c r="X120" s="546">
        <v>0</v>
      </c>
      <c r="Y120" s="546">
        <v>0</v>
      </c>
      <c r="Z120" s="546">
        <v>0</v>
      </c>
      <c r="AA120" s="546">
        <v>0</v>
      </c>
      <c r="AB120" s="546">
        <v>0</v>
      </c>
      <c r="AC120" s="546">
        <v>0</v>
      </c>
      <c r="AD120" s="546">
        <v>0</v>
      </c>
      <c r="AE120" s="546">
        <v>0</v>
      </c>
      <c r="AF120" s="546">
        <v>0</v>
      </c>
      <c r="AG120" s="546">
        <v>0</v>
      </c>
      <c r="AH120" s="546">
        <v>0</v>
      </c>
      <c r="AI120" s="546">
        <v>0</v>
      </c>
      <c r="AJ120" s="546">
        <v>0</v>
      </c>
      <c r="AK120" s="546">
        <v>0</v>
      </c>
      <c r="AL120" s="546">
        <v>0</v>
      </c>
      <c r="AM120" s="546">
        <v>0</v>
      </c>
      <c r="AN120" s="546">
        <v>0</v>
      </c>
      <c r="AO120" s="546">
        <v>0</v>
      </c>
      <c r="AP120" s="546">
        <v>0</v>
      </c>
      <c r="AQ120" s="546">
        <v>0</v>
      </c>
      <c r="AR120" s="546">
        <v>0</v>
      </c>
      <c r="AS120" s="546">
        <v>0</v>
      </c>
      <c r="AT120" s="546">
        <v>0</v>
      </c>
      <c r="AU120" s="546">
        <v>0</v>
      </c>
      <c r="AV120" s="546">
        <v>0</v>
      </c>
      <c r="AW120" s="546">
        <v>0</v>
      </c>
      <c r="AX120" s="546">
        <v>0</v>
      </c>
      <c r="AY120" s="546">
        <v>0</v>
      </c>
      <c r="AZ120" s="547">
        <v>0</v>
      </c>
    </row>
    <row r="121" spans="1:52" s="469" customFormat="1">
      <c r="A121" s="492">
        <f>'[4]Allocation Methodology'!A35</f>
        <v>31</v>
      </c>
      <c r="B121" s="493" t="str">
        <f>'[4]Allocation Methodology'!B35</f>
        <v>Loblaw &amp; York Region Demand Response</v>
      </c>
      <c r="C121" s="493" t="str">
        <f>'[4]Allocation Methodology'!C35</f>
        <v>Business, Industrial</v>
      </c>
      <c r="D121" s="493" t="s">
        <v>480</v>
      </c>
      <c r="E121" s="493">
        <f>'[4]Allocation Methodology'!D35</f>
        <v>2008</v>
      </c>
      <c r="F121" s="494" t="str">
        <f>'[4]Allocation Methodology'!E35</f>
        <v>Final</v>
      </c>
      <c r="G121" s="471" t="b">
        <v>0</v>
      </c>
      <c r="H121" s="548">
        <v>0</v>
      </c>
      <c r="I121" s="549">
        <v>0</v>
      </c>
      <c r="J121" s="549">
        <v>0</v>
      </c>
      <c r="K121" s="549">
        <v>0</v>
      </c>
      <c r="L121" s="549">
        <v>0</v>
      </c>
      <c r="M121" s="549">
        <v>0</v>
      </c>
      <c r="N121" s="549">
        <v>0</v>
      </c>
      <c r="O121" s="549">
        <v>0</v>
      </c>
      <c r="P121" s="549">
        <v>0</v>
      </c>
      <c r="Q121" s="549">
        <v>0</v>
      </c>
      <c r="R121" s="549">
        <v>0</v>
      </c>
      <c r="S121" s="549">
        <v>0</v>
      </c>
      <c r="T121" s="549">
        <v>0</v>
      </c>
      <c r="U121" s="549">
        <v>0</v>
      </c>
      <c r="V121" s="549">
        <v>0</v>
      </c>
      <c r="W121" s="549">
        <v>0</v>
      </c>
      <c r="X121" s="549">
        <v>0</v>
      </c>
      <c r="Y121" s="549">
        <v>0</v>
      </c>
      <c r="Z121" s="549">
        <v>0</v>
      </c>
      <c r="AA121" s="549">
        <v>0</v>
      </c>
      <c r="AB121" s="549">
        <v>0</v>
      </c>
      <c r="AC121" s="549">
        <v>0</v>
      </c>
      <c r="AD121" s="549">
        <v>0</v>
      </c>
      <c r="AE121" s="549">
        <v>0</v>
      </c>
      <c r="AF121" s="549">
        <v>0</v>
      </c>
      <c r="AG121" s="549">
        <v>0</v>
      </c>
      <c r="AH121" s="549">
        <v>0</v>
      </c>
      <c r="AI121" s="549">
        <v>0</v>
      </c>
      <c r="AJ121" s="549">
        <v>0</v>
      </c>
      <c r="AK121" s="549">
        <v>0</v>
      </c>
      <c r="AL121" s="549">
        <v>0</v>
      </c>
      <c r="AM121" s="549">
        <v>0</v>
      </c>
      <c r="AN121" s="549">
        <v>0</v>
      </c>
      <c r="AO121" s="549">
        <v>0</v>
      </c>
      <c r="AP121" s="549">
        <v>0</v>
      </c>
      <c r="AQ121" s="549">
        <v>0</v>
      </c>
      <c r="AR121" s="549">
        <v>0</v>
      </c>
      <c r="AS121" s="549">
        <v>0</v>
      </c>
      <c r="AT121" s="549">
        <v>0</v>
      </c>
      <c r="AU121" s="549">
        <v>0</v>
      </c>
      <c r="AV121" s="549">
        <v>0</v>
      </c>
      <c r="AW121" s="549">
        <v>0</v>
      </c>
      <c r="AX121" s="549">
        <v>0</v>
      </c>
      <c r="AY121" s="549">
        <v>0</v>
      </c>
      <c r="AZ121" s="550">
        <v>0</v>
      </c>
    </row>
    <row r="122" spans="1:52" s="469" customFormat="1">
      <c r="A122" s="485">
        <f>'[4]Allocation Methodology'!A36</f>
        <v>32</v>
      </c>
      <c r="B122" s="486" t="str">
        <f>'[4]Allocation Methodology'!B36</f>
        <v>Renewable Energy Standard Offer</v>
      </c>
      <c r="C122" s="486" t="str">
        <f>'[4]Allocation Methodology'!C36</f>
        <v>Consumer, Business</v>
      </c>
      <c r="D122" s="486" t="s">
        <v>17</v>
      </c>
      <c r="E122" s="486">
        <f>'[4]Allocation Methodology'!D36</f>
        <v>2008</v>
      </c>
      <c r="F122" s="487" t="str">
        <f>'[4]Allocation Methodology'!E36</f>
        <v>Final</v>
      </c>
      <c r="G122" s="471" t="b">
        <v>0</v>
      </c>
      <c r="H122" s="545">
        <v>0</v>
      </c>
      <c r="I122" s="546">
        <v>0</v>
      </c>
      <c r="J122" s="546">
        <v>13.927524000000002</v>
      </c>
      <c r="K122" s="546">
        <v>13.927524000000002</v>
      </c>
      <c r="L122" s="546">
        <v>13.927524000000002</v>
      </c>
      <c r="M122" s="546">
        <v>13.927524000000002</v>
      </c>
      <c r="N122" s="546">
        <v>13.927524000000002</v>
      </c>
      <c r="O122" s="546">
        <v>13.927524000000002</v>
      </c>
      <c r="P122" s="546">
        <v>13.927524000000002</v>
      </c>
      <c r="Q122" s="546">
        <v>13.927524000000002</v>
      </c>
      <c r="R122" s="546">
        <v>13.927524000000002</v>
      </c>
      <c r="S122" s="546">
        <v>13.927524000000002</v>
      </c>
      <c r="T122" s="546">
        <v>13.927524000000002</v>
      </c>
      <c r="U122" s="546">
        <v>13.927524000000002</v>
      </c>
      <c r="V122" s="546">
        <v>13.927524000000002</v>
      </c>
      <c r="W122" s="546">
        <v>13.927524000000002</v>
      </c>
      <c r="X122" s="546">
        <v>13.927524000000002</v>
      </c>
      <c r="Y122" s="546">
        <v>13.927524000000002</v>
      </c>
      <c r="Z122" s="546">
        <v>13.927524000000002</v>
      </c>
      <c r="AA122" s="546">
        <v>13.927524000000002</v>
      </c>
      <c r="AB122" s="546">
        <v>13.927524000000002</v>
      </c>
      <c r="AC122" s="546">
        <v>13.927524000000002</v>
      </c>
      <c r="AD122" s="546">
        <v>0</v>
      </c>
      <c r="AE122" s="546">
        <v>0</v>
      </c>
      <c r="AF122" s="546">
        <v>0</v>
      </c>
      <c r="AG122" s="546">
        <v>0</v>
      </c>
      <c r="AH122" s="546">
        <v>0</v>
      </c>
      <c r="AI122" s="546">
        <v>0</v>
      </c>
      <c r="AJ122" s="546">
        <v>0</v>
      </c>
      <c r="AK122" s="546">
        <v>0</v>
      </c>
      <c r="AL122" s="546">
        <v>0</v>
      </c>
      <c r="AM122" s="546">
        <v>0</v>
      </c>
      <c r="AN122" s="546">
        <v>0</v>
      </c>
      <c r="AO122" s="546">
        <v>0</v>
      </c>
      <c r="AP122" s="546">
        <v>0</v>
      </c>
      <c r="AQ122" s="546">
        <v>0</v>
      </c>
      <c r="AR122" s="546">
        <v>0</v>
      </c>
      <c r="AS122" s="546">
        <v>0</v>
      </c>
      <c r="AT122" s="546">
        <v>0</v>
      </c>
      <c r="AU122" s="546">
        <v>0</v>
      </c>
      <c r="AV122" s="546">
        <v>0</v>
      </c>
      <c r="AW122" s="546">
        <v>0</v>
      </c>
      <c r="AX122" s="546">
        <v>0</v>
      </c>
      <c r="AY122" s="546">
        <v>0</v>
      </c>
      <c r="AZ122" s="547">
        <v>0</v>
      </c>
    </row>
    <row r="123" spans="1:52" s="469" customFormat="1">
      <c r="A123" s="492">
        <f>'[4]Allocation Methodology'!A37</f>
        <v>33</v>
      </c>
      <c r="B123" s="493" t="str">
        <f>'[4]Allocation Methodology'!B37</f>
        <v>Other Customer Based Generation</v>
      </c>
      <c r="C123" s="493" t="str">
        <f>'[4]Allocation Methodology'!C37</f>
        <v>Business</v>
      </c>
      <c r="D123" s="493" t="s">
        <v>17</v>
      </c>
      <c r="E123" s="493">
        <f>'[4]Allocation Methodology'!D37</f>
        <v>2008</v>
      </c>
      <c r="F123" s="494" t="str">
        <f>'[4]Allocation Methodology'!E37</f>
        <v>Final</v>
      </c>
      <c r="G123" s="471" t="b">
        <v>0</v>
      </c>
      <c r="H123" s="548">
        <v>0</v>
      </c>
      <c r="I123" s="549">
        <v>0</v>
      </c>
      <c r="J123" s="549">
        <v>0</v>
      </c>
      <c r="K123" s="549">
        <v>0</v>
      </c>
      <c r="L123" s="549">
        <v>0</v>
      </c>
      <c r="M123" s="549">
        <v>0</v>
      </c>
      <c r="N123" s="549">
        <v>0</v>
      </c>
      <c r="O123" s="549">
        <v>0</v>
      </c>
      <c r="P123" s="549">
        <v>0</v>
      </c>
      <c r="Q123" s="549">
        <v>0</v>
      </c>
      <c r="R123" s="549">
        <v>0</v>
      </c>
      <c r="S123" s="549">
        <v>0</v>
      </c>
      <c r="T123" s="549">
        <v>0</v>
      </c>
      <c r="U123" s="549">
        <v>0</v>
      </c>
      <c r="V123" s="549">
        <v>0</v>
      </c>
      <c r="W123" s="549">
        <v>0</v>
      </c>
      <c r="X123" s="549">
        <v>0</v>
      </c>
      <c r="Y123" s="549">
        <v>0</v>
      </c>
      <c r="Z123" s="549">
        <v>0</v>
      </c>
      <c r="AA123" s="549">
        <v>0</v>
      </c>
      <c r="AB123" s="549">
        <v>0</v>
      </c>
      <c r="AC123" s="549">
        <v>0</v>
      </c>
      <c r="AD123" s="549">
        <v>0</v>
      </c>
      <c r="AE123" s="549">
        <v>0</v>
      </c>
      <c r="AF123" s="549">
        <v>0</v>
      </c>
      <c r="AG123" s="549">
        <v>0</v>
      </c>
      <c r="AH123" s="549">
        <v>0</v>
      </c>
      <c r="AI123" s="549">
        <v>0</v>
      </c>
      <c r="AJ123" s="549">
        <v>0</v>
      </c>
      <c r="AK123" s="549">
        <v>0</v>
      </c>
      <c r="AL123" s="549">
        <v>0</v>
      </c>
      <c r="AM123" s="549">
        <v>0</v>
      </c>
      <c r="AN123" s="549">
        <v>0</v>
      </c>
      <c r="AO123" s="549">
        <v>0</v>
      </c>
      <c r="AP123" s="549">
        <v>0</v>
      </c>
      <c r="AQ123" s="549">
        <v>0</v>
      </c>
      <c r="AR123" s="549">
        <v>0</v>
      </c>
      <c r="AS123" s="549">
        <v>0</v>
      </c>
      <c r="AT123" s="549">
        <v>0</v>
      </c>
      <c r="AU123" s="549">
        <v>0</v>
      </c>
      <c r="AV123" s="549">
        <v>0</v>
      </c>
      <c r="AW123" s="549">
        <v>0</v>
      </c>
      <c r="AX123" s="549">
        <v>0</v>
      </c>
      <c r="AY123" s="549">
        <v>0</v>
      </c>
      <c r="AZ123" s="550">
        <v>0</v>
      </c>
    </row>
    <row r="124" spans="1:52" s="469" customFormat="1">
      <c r="A124" s="514">
        <f>'[4]Allocation Methodology'!A38</f>
        <v>34</v>
      </c>
      <c r="B124" s="515" t="str">
        <f>'[4]Allocation Methodology'!B38</f>
        <v>LDC Custom - Hydro One Networks Inc. - Double Return</v>
      </c>
      <c r="C124" s="515" t="str">
        <f>'[4]Allocation Methodology'!C38</f>
        <v>Business, Industrial</v>
      </c>
      <c r="D124" s="515" t="s">
        <v>58</v>
      </c>
      <c r="E124" s="515">
        <f>'[4]Allocation Methodology'!D38</f>
        <v>2008</v>
      </c>
      <c r="F124" s="516" t="str">
        <f>'[4]Allocation Methodology'!E38</f>
        <v>Final</v>
      </c>
      <c r="G124" s="471" t="b">
        <v>0</v>
      </c>
      <c r="H124" s="557">
        <v>0</v>
      </c>
      <c r="I124" s="558">
        <v>0</v>
      </c>
      <c r="J124" s="558">
        <v>0</v>
      </c>
      <c r="K124" s="558">
        <v>0</v>
      </c>
      <c r="L124" s="558">
        <v>0</v>
      </c>
      <c r="M124" s="558">
        <v>0</v>
      </c>
      <c r="N124" s="558">
        <v>0</v>
      </c>
      <c r="O124" s="558">
        <v>0</v>
      </c>
      <c r="P124" s="558">
        <v>0</v>
      </c>
      <c r="Q124" s="558">
        <v>0</v>
      </c>
      <c r="R124" s="558">
        <v>0</v>
      </c>
      <c r="S124" s="558">
        <v>0</v>
      </c>
      <c r="T124" s="558">
        <v>0</v>
      </c>
      <c r="U124" s="558">
        <v>0</v>
      </c>
      <c r="V124" s="558">
        <v>0</v>
      </c>
      <c r="W124" s="558">
        <v>0</v>
      </c>
      <c r="X124" s="558">
        <v>0</v>
      </c>
      <c r="Y124" s="558">
        <v>0</v>
      </c>
      <c r="Z124" s="558">
        <v>0</v>
      </c>
      <c r="AA124" s="558">
        <v>0</v>
      </c>
      <c r="AB124" s="558">
        <v>0</v>
      </c>
      <c r="AC124" s="558">
        <v>0</v>
      </c>
      <c r="AD124" s="558">
        <v>0</v>
      </c>
      <c r="AE124" s="558">
        <v>0</v>
      </c>
      <c r="AF124" s="558">
        <v>0</v>
      </c>
      <c r="AG124" s="558">
        <v>0</v>
      </c>
      <c r="AH124" s="558">
        <v>0</v>
      </c>
      <c r="AI124" s="558">
        <v>0</v>
      </c>
      <c r="AJ124" s="558">
        <v>0</v>
      </c>
      <c r="AK124" s="558">
        <v>0</v>
      </c>
      <c r="AL124" s="558">
        <v>0</v>
      </c>
      <c r="AM124" s="558">
        <v>0</v>
      </c>
      <c r="AN124" s="558">
        <v>0</v>
      </c>
      <c r="AO124" s="558">
        <v>0</v>
      </c>
      <c r="AP124" s="558">
        <v>0</v>
      </c>
      <c r="AQ124" s="558">
        <v>0</v>
      </c>
      <c r="AR124" s="558">
        <v>0</v>
      </c>
      <c r="AS124" s="558">
        <v>0</v>
      </c>
      <c r="AT124" s="558">
        <v>0</v>
      </c>
      <c r="AU124" s="558">
        <v>0</v>
      </c>
      <c r="AV124" s="558">
        <v>0</v>
      </c>
      <c r="AW124" s="558">
        <v>0</v>
      </c>
      <c r="AX124" s="558">
        <v>0</v>
      </c>
      <c r="AY124" s="558">
        <v>0</v>
      </c>
      <c r="AZ124" s="559">
        <v>0</v>
      </c>
    </row>
    <row r="125" spans="1:52" s="469" customFormat="1">
      <c r="A125" s="478">
        <f>'[4]Allocation Methodology'!A39</f>
        <v>35</v>
      </c>
      <c r="B125" s="479" t="str">
        <f>'[4]Allocation Methodology'!B39</f>
        <v>Great Refrigerator Roundup</v>
      </c>
      <c r="C125" s="479" t="str">
        <f>'[4]Allocation Methodology'!C39</f>
        <v>Consumer</v>
      </c>
      <c r="D125" s="479" t="s">
        <v>17</v>
      </c>
      <c r="E125" s="479">
        <f>'[4]Allocation Methodology'!D39</f>
        <v>2009</v>
      </c>
      <c r="F125" s="480" t="str">
        <f>'[4]Allocation Methodology'!E39</f>
        <v>Final</v>
      </c>
      <c r="G125" s="471" t="b">
        <v>0</v>
      </c>
      <c r="H125" s="541">
        <v>0</v>
      </c>
      <c r="I125" s="543">
        <v>0</v>
      </c>
      <c r="J125" s="543">
        <v>0</v>
      </c>
      <c r="K125" s="543">
        <v>115.53187274032652</v>
      </c>
      <c r="L125" s="543">
        <v>115.53187274032652</v>
      </c>
      <c r="M125" s="543">
        <v>115.53187274032652</v>
      </c>
      <c r="N125" s="543">
        <v>114.92346649327011</v>
      </c>
      <c r="O125" s="543">
        <v>86.561788416999903</v>
      </c>
      <c r="P125" s="543">
        <v>0</v>
      </c>
      <c r="Q125" s="543">
        <v>0</v>
      </c>
      <c r="R125" s="543">
        <v>0</v>
      </c>
      <c r="S125" s="543">
        <v>0</v>
      </c>
      <c r="T125" s="543">
        <v>0</v>
      </c>
      <c r="U125" s="543">
        <v>0</v>
      </c>
      <c r="V125" s="543">
        <v>0</v>
      </c>
      <c r="W125" s="543">
        <v>0</v>
      </c>
      <c r="X125" s="543">
        <v>0</v>
      </c>
      <c r="Y125" s="543">
        <v>0</v>
      </c>
      <c r="Z125" s="543">
        <v>0</v>
      </c>
      <c r="AA125" s="543">
        <v>0</v>
      </c>
      <c r="AB125" s="543">
        <v>0</v>
      </c>
      <c r="AC125" s="543">
        <v>0</v>
      </c>
      <c r="AD125" s="543">
        <v>0</v>
      </c>
      <c r="AE125" s="543">
        <v>0</v>
      </c>
      <c r="AF125" s="543">
        <v>0</v>
      </c>
      <c r="AG125" s="543">
        <v>0</v>
      </c>
      <c r="AH125" s="543">
        <v>0</v>
      </c>
      <c r="AI125" s="543">
        <v>0</v>
      </c>
      <c r="AJ125" s="543">
        <v>0</v>
      </c>
      <c r="AK125" s="543">
        <v>0</v>
      </c>
      <c r="AL125" s="543">
        <v>0</v>
      </c>
      <c r="AM125" s="543">
        <v>0</v>
      </c>
      <c r="AN125" s="543">
        <v>0</v>
      </c>
      <c r="AO125" s="543">
        <v>0</v>
      </c>
      <c r="AP125" s="543">
        <v>0</v>
      </c>
      <c r="AQ125" s="543">
        <v>0</v>
      </c>
      <c r="AR125" s="543">
        <v>0</v>
      </c>
      <c r="AS125" s="543">
        <v>0</v>
      </c>
      <c r="AT125" s="543">
        <v>0</v>
      </c>
      <c r="AU125" s="543">
        <v>0</v>
      </c>
      <c r="AV125" s="543">
        <v>0</v>
      </c>
      <c r="AW125" s="543">
        <v>0</v>
      </c>
      <c r="AX125" s="543">
        <v>0</v>
      </c>
      <c r="AY125" s="543">
        <v>0</v>
      </c>
      <c r="AZ125" s="544">
        <v>0</v>
      </c>
    </row>
    <row r="126" spans="1:52" s="469" customFormat="1">
      <c r="A126" s="485">
        <f>'[4]Allocation Methodology'!A40</f>
        <v>36</v>
      </c>
      <c r="B126" s="486" t="str">
        <f>'[4]Allocation Methodology'!B40</f>
        <v>Cool Savings Rebate</v>
      </c>
      <c r="C126" s="486" t="str">
        <f>'[4]Allocation Methodology'!C40</f>
        <v>Consumer</v>
      </c>
      <c r="D126" s="486" t="s">
        <v>17</v>
      </c>
      <c r="E126" s="486">
        <f>'[4]Allocation Methodology'!D40</f>
        <v>2009</v>
      </c>
      <c r="F126" s="487" t="str">
        <f>'[4]Allocation Methodology'!E40</f>
        <v>Final</v>
      </c>
      <c r="G126" s="471" t="b">
        <v>0</v>
      </c>
      <c r="H126" s="545">
        <v>0</v>
      </c>
      <c r="I126" s="546">
        <v>0</v>
      </c>
      <c r="J126" s="546">
        <v>0</v>
      </c>
      <c r="K126" s="546">
        <v>146.27561780700796</v>
      </c>
      <c r="L126" s="546">
        <v>146.27561780700796</v>
      </c>
      <c r="M126" s="546">
        <v>146.27561780700796</v>
      </c>
      <c r="N126" s="546">
        <v>145.7554166277709</v>
      </c>
      <c r="O126" s="546">
        <v>145.00734750560989</v>
      </c>
      <c r="P126" s="546">
        <v>144.12717321009495</v>
      </c>
      <c r="Q126" s="546">
        <v>144.12717321009495</v>
      </c>
      <c r="R126" s="546">
        <v>144.12717321009495</v>
      </c>
      <c r="S126" s="546">
        <v>144.12717321009495</v>
      </c>
      <c r="T126" s="546">
        <v>144.12717321009495</v>
      </c>
      <c r="U126" s="546">
        <v>140.90734238703621</v>
      </c>
      <c r="V126" s="546">
        <v>140.90734238703621</v>
      </c>
      <c r="W126" s="546">
        <v>140.90734238703621</v>
      </c>
      <c r="X126" s="546">
        <v>140.90734238703621</v>
      </c>
      <c r="Y126" s="546">
        <v>140.90734238703621</v>
      </c>
      <c r="Z126" s="546">
        <v>137.90318261341815</v>
      </c>
      <c r="AA126" s="546">
        <v>137.90318261341815</v>
      </c>
      <c r="AB126" s="546">
        <v>137.90318261341815</v>
      </c>
      <c r="AC126" s="546">
        <v>115.61685465596388</v>
      </c>
      <c r="AD126" s="546">
        <v>0</v>
      </c>
      <c r="AE126" s="546">
        <v>0</v>
      </c>
      <c r="AF126" s="546">
        <v>0</v>
      </c>
      <c r="AG126" s="546">
        <v>0</v>
      </c>
      <c r="AH126" s="546">
        <v>0</v>
      </c>
      <c r="AI126" s="546">
        <v>0</v>
      </c>
      <c r="AJ126" s="546">
        <v>0</v>
      </c>
      <c r="AK126" s="546">
        <v>0</v>
      </c>
      <c r="AL126" s="546">
        <v>0</v>
      </c>
      <c r="AM126" s="546">
        <v>0</v>
      </c>
      <c r="AN126" s="546">
        <v>0</v>
      </c>
      <c r="AO126" s="546">
        <v>0</v>
      </c>
      <c r="AP126" s="546">
        <v>0</v>
      </c>
      <c r="AQ126" s="546">
        <v>0</v>
      </c>
      <c r="AR126" s="546">
        <v>0</v>
      </c>
      <c r="AS126" s="546">
        <v>0</v>
      </c>
      <c r="AT126" s="546">
        <v>0</v>
      </c>
      <c r="AU126" s="546">
        <v>0</v>
      </c>
      <c r="AV126" s="546">
        <v>0</v>
      </c>
      <c r="AW126" s="546">
        <v>0</v>
      </c>
      <c r="AX126" s="546">
        <v>0</v>
      </c>
      <c r="AY126" s="546">
        <v>0</v>
      </c>
      <c r="AZ126" s="547">
        <v>0</v>
      </c>
    </row>
    <row r="127" spans="1:52" s="469" customFormat="1">
      <c r="A127" s="492">
        <f>'[4]Allocation Methodology'!A41</f>
        <v>37</v>
      </c>
      <c r="B127" s="493" t="str">
        <f>'[4]Allocation Methodology'!B41</f>
        <v>Every Kilowatt Counts Power Savings Event</v>
      </c>
      <c r="C127" s="493" t="str">
        <f>'[4]Allocation Methodology'!C41</f>
        <v>Consumer</v>
      </c>
      <c r="D127" s="493" t="s">
        <v>17</v>
      </c>
      <c r="E127" s="493">
        <f>'[4]Allocation Methodology'!D41</f>
        <v>2009</v>
      </c>
      <c r="F127" s="494" t="str">
        <f>'[4]Allocation Methodology'!E41</f>
        <v>Final</v>
      </c>
      <c r="G127" s="471" t="b">
        <v>0</v>
      </c>
      <c r="H127" s="548">
        <v>0</v>
      </c>
      <c r="I127" s="549">
        <v>0</v>
      </c>
      <c r="J127" s="549">
        <v>0</v>
      </c>
      <c r="K127" s="549">
        <v>254.35094570686604</v>
      </c>
      <c r="L127" s="549">
        <v>243.79656096353168</v>
      </c>
      <c r="M127" s="549">
        <v>243.79656096353168</v>
      </c>
      <c r="N127" s="549">
        <v>243.78165986686457</v>
      </c>
      <c r="O127" s="549">
        <v>242.15973280654072</v>
      </c>
      <c r="P127" s="549">
        <v>232.60722200927268</v>
      </c>
      <c r="Q127" s="549">
        <v>185.19224877707308</v>
      </c>
      <c r="R127" s="549">
        <v>184.15768808863157</v>
      </c>
      <c r="S127" s="549">
        <v>117.78468384098097</v>
      </c>
      <c r="T127" s="549">
        <v>117.78468384098097</v>
      </c>
      <c r="U127" s="549">
        <v>85.320398492060008</v>
      </c>
      <c r="V127" s="549">
        <v>85.256618646107654</v>
      </c>
      <c r="W127" s="549">
        <v>59.751179372802049</v>
      </c>
      <c r="X127" s="549">
        <v>59.751179372802049</v>
      </c>
      <c r="Y127" s="549">
        <v>56.116607131619212</v>
      </c>
      <c r="Z127" s="549">
        <v>28.989888578139634</v>
      </c>
      <c r="AA127" s="549">
        <v>10.292550046651648</v>
      </c>
      <c r="AB127" s="549">
        <v>6.5772055770340474</v>
      </c>
      <c r="AC127" s="549">
        <v>6.3874237982064335</v>
      </c>
      <c r="AD127" s="549">
        <v>6.3874237982064335</v>
      </c>
      <c r="AE127" s="549">
        <v>0</v>
      </c>
      <c r="AF127" s="549">
        <v>0</v>
      </c>
      <c r="AG127" s="549">
        <v>0</v>
      </c>
      <c r="AH127" s="549">
        <v>0</v>
      </c>
      <c r="AI127" s="549">
        <v>0</v>
      </c>
      <c r="AJ127" s="549">
        <v>0</v>
      </c>
      <c r="AK127" s="549">
        <v>0</v>
      </c>
      <c r="AL127" s="549">
        <v>0</v>
      </c>
      <c r="AM127" s="549">
        <v>0</v>
      </c>
      <c r="AN127" s="549">
        <v>0</v>
      </c>
      <c r="AO127" s="549">
        <v>0</v>
      </c>
      <c r="AP127" s="549">
        <v>0</v>
      </c>
      <c r="AQ127" s="549">
        <v>0</v>
      </c>
      <c r="AR127" s="549">
        <v>0</v>
      </c>
      <c r="AS127" s="549">
        <v>0</v>
      </c>
      <c r="AT127" s="549">
        <v>0</v>
      </c>
      <c r="AU127" s="549">
        <v>0</v>
      </c>
      <c r="AV127" s="549">
        <v>0</v>
      </c>
      <c r="AW127" s="549">
        <v>0</v>
      </c>
      <c r="AX127" s="549">
        <v>0</v>
      </c>
      <c r="AY127" s="549">
        <v>0</v>
      </c>
      <c r="AZ127" s="550">
        <v>0</v>
      </c>
    </row>
    <row r="128" spans="1:52" s="469" customFormat="1">
      <c r="A128" s="485">
        <f>'[4]Allocation Methodology'!A42</f>
        <v>38</v>
      </c>
      <c r="B128" s="521" t="str">
        <f>'[4]Allocation Methodology'!B42</f>
        <v>peaksaver®</v>
      </c>
      <c r="C128" s="486" t="str">
        <f>'[4]Allocation Methodology'!C42</f>
        <v>Consumer, Business</v>
      </c>
      <c r="D128" s="486" t="s">
        <v>58</v>
      </c>
      <c r="E128" s="486">
        <f>'[4]Allocation Methodology'!D42</f>
        <v>2009</v>
      </c>
      <c r="F128" s="487" t="str">
        <f>'[4]Allocation Methodology'!E42</f>
        <v>Final</v>
      </c>
      <c r="G128" s="471" t="b">
        <v>0</v>
      </c>
      <c r="H128" s="545">
        <v>0</v>
      </c>
      <c r="I128" s="546">
        <v>0</v>
      </c>
      <c r="J128" s="546">
        <v>0</v>
      </c>
      <c r="K128" s="546">
        <v>0</v>
      </c>
      <c r="L128" s="546">
        <v>0</v>
      </c>
      <c r="M128" s="546">
        <v>0</v>
      </c>
      <c r="N128" s="546">
        <v>0</v>
      </c>
      <c r="O128" s="546">
        <v>0</v>
      </c>
      <c r="P128" s="546">
        <v>0</v>
      </c>
      <c r="Q128" s="546">
        <v>0</v>
      </c>
      <c r="R128" s="546">
        <v>0</v>
      </c>
      <c r="S128" s="546">
        <v>0</v>
      </c>
      <c r="T128" s="546">
        <v>0</v>
      </c>
      <c r="U128" s="546">
        <v>0</v>
      </c>
      <c r="V128" s="546">
        <v>0</v>
      </c>
      <c r="W128" s="546">
        <v>0</v>
      </c>
      <c r="X128" s="546">
        <v>0</v>
      </c>
      <c r="Y128" s="546">
        <v>0</v>
      </c>
      <c r="Z128" s="546">
        <v>0</v>
      </c>
      <c r="AA128" s="546">
        <v>0</v>
      </c>
      <c r="AB128" s="546">
        <v>0</v>
      </c>
      <c r="AC128" s="546">
        <v>0</v>
      </c>
      <c r="AD128" s="546">
        <v>0</v>
      </c>
      <c r="AE128" s="546">
        <v>0</v>
      </c>
      <c r="AF128" s="546">
        <v>0</v>
      </c>
      <c r="AG128" s="546">
        <v>0</v>
      </c>
      <c r="AH128" s="546">
        <v>0</v>
      </c>
      <c r="AI128" s="546">
        <v>0</v>
      </c>
      <c r="AJ128" s="546">
        <v>0</v>
      </c>
      <c r="AK128" s="546">
        <v>0</v>
      </c>
      <c r="AL128" s="546">
        <v>0</v>
      </c>
      <c r="AM128" s="546">
        <v>0</v>
      </c>
      <c r="AN128" s="546">
        <v>0</v>
      </c>
      <c r="AO128" s="546">
        <v>0</v>
      </c>
      <c r="AP128" s="546">
        <v>0</v>
      </c>
      <c r="AQ128" s="546">
        <v>0</v>
      </c>
      <c r="AR128" s="546">
        <v>0</v>
      </c>
      <c r="AS128" s="546">
        <v>0</v>
      </c>
      <c r="AT128" s="546">
        <v>0</v>
      </c>
      <c r="AU128" s="546">
        <v>0</v>
      </c>
      <c r="AV128" s="546">
        <v>0</v>
      </c>
      <c r="AW128" s="546">
        <v>0</v>
      </c>
      <c r="AX128" s="546">
        <v>0</v>
      </c>
      <c r="AY128" s="546">
        <v>0</v>
      </c>
      <c r="AZ128" s="547">
        <v>0</v>
      </c>
    </row>
    <row r="129" spans="1:52" s="469" customFormat="1">
      <c r="A129" s="492">
        <f>'[4]Allocation Methodology'!A43</f>
        <v>39</v>
      </c>
      <c r="B129" s="493" t="str">
        <f>'[4]Allocation Methodology'!B43</f>
        <v>Electricity Retrofit Incentive</v>
      </c>
      <c r="C129" s="493" t="str">
        <f>'[4]Allocation Methodology'!C43</f>
        <v>Consumer, Business</v>
      </c>
      <c r="D129" s="493" t="s">
        <v>480</v>
      </c>
      <c r="E129" s="493">
        <f>'[4]Allocation Methodology'!D43</f>
        <v>2009</v>
      </c>
      <c r="F129" s="494" t="str">
        <f>'[4]Allocation Methodology'!E43</f>
        <v>Final</v>
      </c>
      <c r="G129" s="471" t="b">
        <v>0</v>
      </c>
      <c r="H129" s="548">
        <v>0</v>
      </c>
      <c r="I129" s="549">
        <v>0</v>
      </c>
      <c r="J129" s="549">
        <v>0</v>
      </c>
      <c r="K129" s="549">
        <v>658.28349282296642</v>
      </c>
      <c r="L129" s="549">
        <v>658.28349282296642</v>
      </c>
      <c r="M129" s="549">
        <v>658.28349282296642</v>
      </c>
      <c r="N129" s="549">
        <v>658.28349282296642</v>
      </c>
      <c r="O129" s="549">
        <v>658.28349282296642</v>
      </c>
      <c r="P129" s="549">
        <v>658.28349282296642</v>
      </c>
      <c r="Q129" s="549">
        <v>509.85191387561861</v>
      </c>
      <c r="R129" s="549">
        <v>406.70454545454544</v>
      </c>
      <c r="S129" s="549">
        <v>406.70454545454544</v>
      </c>
      <c r="T129" s="549">
        <v>406.70454545454544</v>
      </c>
      <c r="U129" s="549">
        <v>329.4306818181596</v>
      </c>
      <c r="V129" s="549">
        <v>0</v>
      </c>
      <c r="W129" s="549">
        <v>0</v>
      </c>
      <c r="X129" s="549">
        <v>0</v>
      </c>
      <c r="Y129" s="549">
        <v>0</v>
      </c>
      <c r="Z129" s="549">
        <v>0</v>
      </c>
      <c r="AA129" s="549">
        <v>0</v>
      </c>
      <c r="AB129" s="549">
        <v>0</v>
      </c>
      <c r="AC129" s="549">
        <v>0</v>
      </c>
      <c r="AD129" s="549">
        <v>0</v>
      </c>
      <c r="AE129" s="549">
        <v>0</v>
      </c>
      <c r="AF129" s="549">
        <v>0</v>
      </c>
      <c r="AG129" s="549">
        <v>0</v>
      </c>
      <c r="AH129" s="549">
        <v>0</v>
      </c>
      <c r="AI129" s="549">
        <v>0</v>
      </c>
      <c r="AJ129" s="549">
        <v>0</v>
      </c>
      <c r="AK129" s="549">
        <v>0</v>
      </c>
      <c r="AL129" s="549">
        <v>0</v>
      </c>
      <c r="AM129" s="549">
        <v>0</v>
      </c>
      <c r="AN129" s="549">
        <v>0</v>
      </c>
      <c r="AO129" s="549">
        <v>0</v>
      </c>
      <c r="AP129" s="549">
        <v>0</v>
      </c>
      <c r="AQ129" s="549">
        <v>0</v>
      </c>
      <c r="AR129" s="549">
        <v>0</v>
      </c>
      <c r="AS129" s="549">
        <v>0</v>
      </c>
      <c r="AT129" s="549">
        <v>0</v>
      </c>
      <c r="AU129" s="549">
        <v>0</v>
      </c>
      <c r="AV129" s="549">
        <v>0</v>
      </c>
      <c r="AW129" s="549">
        <v>0</v>
      </c>
      <c r="AX129" s="549">
        <v>0</v>
      </c>
      <c r="AY129" s="549">
        <v>0</v>
      </c>
      <c r="AZ129" s="550">
        <v>0</v>
      </c>
    </row>
    <row r="130" spans="1:52" s="469" customFormat="1">
      <c r="A130" s="485">
        <f>'[4]Allocation Methodology'!A44</f>
        <v>40</v>
      </c>
      <c r="B130" s="486" t="str">
        <f>'[4]Allocation Methodology'!B44</f>
        <v>Toronto Comprehensive</v>
      </c>
      <c r="C130" s="486" t="str">
        <f>'[4]Allocation Methodology'!C44</f>
        <v>Consumer, Consumer Low-Income, Business, Industrial</v>
      </c>
      <c r="D130" s="486" t="s">
        <v>58</v>
      </c>
      <c r="E130" s="486">
        <f>'[4]Allocation Methodology'!D44</f>
        <v>2009</v>
      </c>
      <c r="F130" s="487" t="str">
        <f>'[4]Allocation Methodology'!E44</f>
        <v>Final</v>
      </c>
      <c r="G130" s="471" t="b">
        <v>0</v>
      </c>
      <c r="H130" s="545">
        <v>0</v>
      </c>
      <c r="I130" s="546">
        <v>0</v>
      </c>
      <c r="J130" s="546">
        <v>0</v>
      </c>
      <c r="K130" s="546">
        <v>0</v>
      </c>
      <c r="L130" s="546">
        <v>0</v>
      </c>
      <c r="M130" s="546">
        <v>0</v>
      </c>
      <c r="N130" s="546">
        <v>0</v>
      </c>
      <c r="O130" s="546">
        <v>0</v>
      </c>
      <c r="P130" s="546">
        <v>0</v>
      </c>
      <c r="Q130" s="546">
        <v>0</v>
      </c>
      <c r="R130" s="546">
        <v>0</v>
      </c>
      <c r="S130" s="546">
        <v>0</v>
      </c>
      <c r="T130" s="546">
        <v>0</v>
      </c>
      <c r="U130" s="546">
        <v>0</v>
      </c>
      <c r="V130" s="546">
        <v>0</v>
      </c>
      <c r="W130" s="546">
        <v>0</v>
      </c>
      <c r="X130" s="546">
        <v>0</v>
      </c>
      <c r="Y130" s="546">
        <v>0</v>
      </c>
      <c r="Z130" s="546">
        <v>0</v>
      </c>
      <c r="AA130" s="546">
        <v>0</v>
      </c>
      <c r="AB130" s="546">
        <v>0</v>
      </c>
      <c r="AC130" s="546">
        <v>0</v>
      </c>
      <c r="AD130" s="546">
        <v>0</v>
      </c>
      <c r="AE130" s="546">
        <v>0</v>
      </c>
      <c r="AF130" s="546">
        <v>0</v>
      </c>
      <c r="AG130" s="546">
        <v>0</v>
      </c>
      <c r="AH130" s="546">
        <v>0</v>
      </c>
      <c r="AI130" s="546">
        <v>0</v>
      </c>
      <c r="AJ130" s="546">
        <v>0</v>
      </c>
      <c r="AK130" s="546">
        <v>0</v>
      </c>
      <c r="AL130" s="546">
        <v>0</v>
      </c>
      <c r="AM130" s="546">
        <v>0</v>
      </c>
      <c r="AN130" s="546">
        <v>0</v>
      </c>
      <c r="AO130" s="546">
        <v>0</v>
      </c>
      <c r="AP130" s="546">
        <v>0</v>
      </c>
      <c r="AQ130" s="546">
        <v>0</v>
      </c>
      <c r="AR130" s="546">
        <v>0</v>
      </c>
      <c r="AS130" s="546">
        <v>0</v>
      </c>
      <c r="AT130" s="546">
        <v>0</v>
      </c>
      <c r="AU130" s="546">
        <v>0</v>
      </c>
      <c r="AV130" s="546">
        <v>0</v>
      </c>
      <c r="AW130" s="546">
        <v>0</v>
      </c>
      <c r="AX130" s="546">
        <v>0</v>
      </c>
      <c r="AY130" s="546">
        <v>0</v>
      </c>
      <c r="AZ130" s="547">
        <v>0</v>
      </c>
    </row>
    <row r="131" spans="1:52" s="469" customFormat="1">
      <c r="A131" s="492">
        <f>'[4]Allocation Methodology'!A45</f>
        <v>41</v>
      </c>
      <c r="B131" s="493" t="str">
        <f>'[4]Allocation Methodology'!B45</f>
        <v>High Performance New Construction</v>
      </c>
      <c r="C131" s="493" t="str">
        <f>'[4]Allocation Methodology'!C45</f>
        <v>Business</v>
      </c>
      <c r="D131" s="493" t="s">
        <v>480</v>
      </c>
      <c r="E131" s="493">
        <f>'[4]Allocation Methodology'!D45</f>
        <v>2009</v>
      </c>
      <c r="F131" s="494" t="str">
        <f>'[4]Allocation Methodology'!E45</f>
        <v>Final</v>
      </c>
      <c r="G131" s="471" t="b">
        <v>0</v>
      </c>
      <c r="H131" s="548">
        <v>0</v>
      </c>
      <c r="I131" s="549">
        <v>0</v>
      </c>
      <c r="J131" s="549">
        <v>0</v>
      </c>
      <c r="K131" s="549">
        <v>60.381379884896717</v>
      </c>
      <c r="L131" s="549">
        <v>60.381379884896717</v>
      </c>
      <c r="M131" s="549">
        <v>60.381379884896717</v>
      </c>
      <c r="N131" s="549">
        <v>60.381379884896717</v>
      </c>
      <c r="O131" s="549">
        <v>60.381379884896717</v>
      </c>
      <c r="P131" s="549">
        <v>60.381379884896717</v>
      </c>
      <c r="Q131" s="549">
        <v>60.381379884896717</v>
      </c>
      <c r="R131" s="549">
        <v>60.381379884896717</v>
      </c>
      <c r="S131" s="549">
        <v>60.381379884896717</v>
      </c>
      <c r="T131" s="549">
        <v>60.381379884896717</v>
      </c>
      <c r="U131" s="549">
        <v>60.381379884896717</v>
      </c>
      <c r="V131" s="549">
        <v>60.381379884896717</v>
      </c>
      <c r="W131" s="549">
        <v>60.381379884896717</v>
      </c>
      <c r="X131" s="549">
        <v>60.381379884896717</v>
      </c>
      <c r="Y131" s="549">
        <v>60.381379884896717</v>
      </c>
      <c r="Z131" s="549">
        <v>60.381379884896717</v>
      </c>
      <c r="AA131" s="549">
        <v>60.381379884896717</v>
      </c>
      <c r="AB131" s="549">
        <v>60.381379884896717</v>
      </c>
      <c r="AC131" s="549">
        <v>60.381379884896717</v>
      </c>
      <c r="AD131" s="549">
        <v>60.381379884896717</v>
      </c>
      <c r="AE131" s="549">
        <v>0</v>
      </c>
      <c r="AF131" s="549">
        <v>0</v>
      </c>
      <c r="AG131" s="549">
        <v>0</v>
      </c>
      <c r="AH131" s="549">
        <v>0</v>
      </c>
      <c r="AI131" s="549">
        <v>0</v>
      </c>
      <c r="AJ131" s="549">
        <v>0</v>
      </c>
      <c r="AK131" s="549">
        <v>0</v>
      </c>
      <c r="AL131" s="549">
        <v>0</v>
      </c>
      <c r="AM131" s="549">
        <v>0</v>
      </c>
      <c r="AN131" s="549">
        <v>0</v>
      </c>
      <c r="AO131" s="549">
        <v>0</v>
      </c>
      <c r="AP131" s="549">
        <v>0</v>
      </c>
      <c r="AQ131" s="549">
        <v>0</v>
      </c>
      <c r="AR131" s="549">
        <v>0</v>
      </c>
      <c r="AS131" s="549">
        <v>0</v>
      </c>
      <c r="AT131" s="549">
        <v>0</v>
      </c>
      <c r="AU131" s="549">
        <v>0</v>
      </c>
      <c r="AV131" s="549">
        <v>0</v>
      </c>
      <c r="AW131" s="549">
        <v>0</v>
      </c>
      <c r="AX131" s="549">
        <v>0</v>
      </c>
      <c r="AY131" s="549">
        <v>0</v>
      </c>
      <c r="AZ131" s="550">
        <v>0</v>
      </c>
    </row>
    <row r="132" spans="1:52" s="469" customFormat="1">
      <c r="A132" s="485">
        <f>'[4]Allocation Methodology'!A46</f>
        <v>42</v>
      </c>
      <c r="B132" s="486" t="str">
        <f>'[4]Allocation Methodology'!B46</f>
        <v>Power Savings Blitz</v>
      </c>
      <c r="C132" s="486" t="str">
        <f>'[4]Allocation Methodology'!C46</f>
        <v>Business</v>
      </c>
      <c r="D132" s="486" t="s">
        <v>486</v>
      </c>
      <c r="E132" s="486">
        <f>'[4]Allocation Methodology'!D46</f>
        <v>2009</v>
      </c>
      <c r="F132" s="487" t="str">
        <f>'[4]Allocation Methodology'!E46</f>
        <v>Final</v>
      </c>
      <c r="G132" s="471" t="b">
        <v>0</v>
      </c>
      <c r="H132" s="545">
        <v>0</v>
      </c>
      <c r="I132" s="546">
        <v>0</v>
      </c>
      <c r="J132" s="546">
        <v>0</v>
      </c>
      <c r="K132" s="546">
        <v>683.04351826294976</v>
      </c>
      <c r="L132" s="546">
        <v>683.04351826294976</v>
      </c>
      <c r="M132" s="546">
        <v>683.04351826294976</v>
      </c>
      <c r="N132" s="546">
        <v>683.04351826294976</v>
      </c>
      <c r="O132" s="546">
        <v>683.04351826294976</v>
      </c>
      <c r="P132" s="546">
        <v>683.04351826294976</v>
      </c>
      <c r="Q132" s="546">
        <v>683.04351826294976</v>
      </c>
      <c r="R132" s="546">
        <v>683.04351826294976</v>
      </c>
      <c r="S132" s="546">
        <v>384.7026712056051</v>
      </c>
      <c r="T132" s="546">
        <v>0</v>
      </c>
      <c r="U132" s="546">
        <v>0</v>
      </c>
      <c r="V132" s="546">
        <v>0</v>
      </c>
      <c r="W132" s="546">
        <v>0</v>
      </c>
      <c r="X132" s="546">
        <v>0</v>
      </c>
      <c r="Y132" s="546">
        <v>0</v>
      </c>
      <c r="Z132" s="546">
        <v>0</v>
      </c>
      <c r="AA132" s="546">
        <v>0</v>
      </c>
      <c r="AB132" s="546">
        <v>0</v>
      </c>
      <c r="AC132" s="546">
        <v>0</v>
      </c>
      <c r="AD132" s="546">
        <v>0</v>
      </c>
      <c r="AE132" s="546">
        <v>0</v>
      </c>
      <c r="AF132" s="546">
        <v>0</v>
      </c>
      <c r="AG132" s="546">
        <v>0</v>
      </c>
      <c r="AH132" s="546">
        <v>0</v>
      </c>
      <c r="AI132" s="546">
        <v>0</v>
      </c>
      <c r="AJ132" s="546">
        <v>0</v>
      </c>
      <c r="AK132" s="546">
        <v>0</v>
      </c>
      <c r="AL132" s="546">
        <v>0</v>
      </c>
      <c r="AM132" s="546">
        <v>0</v>
      </c>
      <c r="AN132" s="546">
        <v>0</v>
      </c>
      <c r="AO132" s="546">
        <v>0</v>
      </c>
      <c r="AP132" s="546">
        <v>0</v>
      </c>
      <c r="AQ132" s="546">
        <v>0</v>
      </c>
      <c r="AR132" s="546">
        <v>0</v>
      </c>
      <c r="AS132" s="546">
        <v>0</v>
      </c>
      <c r="AT132" s="546">
        <v>0</v>
      </c>
      <c r="AU132" s="546">
        <v>0</v>
      </c>
      <c r="AV132" s="546">
        <v>0</v>
      </c>
      <c r="AW132" s="546">
        <v>0</v>
      </c>
      <c r="AX132" s="546">
        <v>0</v>
      </c>
      <c r="AY132" s="546">
        <v>0</v>
      </c>
      <c r="AZ132" s="547">
        <v>0</v>
      </c>
    </row>
    <row r="133" spans="1:52" s="469" customFormat="1">
      <c r="A133" s="492">
        <f>'[4]Allocation Methodology'!A47</f>
        <v>43</v>
      </c>
      <c r="B133" s="493" t="str">
        <f>'[4]Allocation Methodology'!B47</f>
        <v>Multi-Family Energy Efficiency Rebates</v>
      </c>
      <c r="C133" s="493" t="str">
        <f>'[4]Allocation Methodology'!C47</f>
        <v>Consumer, Consumer Low-Income</v>
      </c>
      <c r="D133" s="493" t="s">
        <v>58</v>
      </c>
      <c r="E133" s="493">
        <f>'[4]Allocation Methodology'!D47</f>
        <v>2009</v>
      </c>
      <c r="F133" s="494" t="str">
        <f>'[4]Allocation Methodology'!E47</f>
        <v>Final</v>
      </c>
      <c r="G133" s="471" t="b">
        <v>0</v>
      </c>
      <c r="H133" s="548">
        <v>0</v>
      </c>
      <c r="I133" s="549">
        <v>0</v>
      </c>
      <c r="J133" s="549">
        <v>0</v>
      </c>
      <c r="K133" s="549">
        <v>0</v>
      </c>
      <c r="L133" s="549">
        <v>0</v>
      </c>
      <c r="M133" s="549">
        <v>0</v>
      </c>
      <c r="N133" s="549">
        <v>0</v>
      </c>
      <c r="O133" s="549">
        <v>0</v>
      </c>
      <c r="P133" s="549">
        <v>0</v>
      </c>
      <c r="Q133" s="549">
        <v>0</v>
      </c>
      <c r="R133" s="549">
        <v>0</v>
      </c>
      <c r="S133" s="549">
        <v>0</v>
      </c>
      <c r="T133" s="549">
        <v>0</v>
      </c>
      <c r="U133" s="549">
        <v>0</v>
      </c>
      <c r="V133" s="549">
        <v>0</v>
      </c>
      <c r="W133" s="549">
        <v>0</v>
      </c>
      <c r="X133" s="549">
        <v>0</v>
      </c>
      <c r="Y133" s="549">
        <v>0</v>
      </c>
      <c r="Z133" s="549">
        <v>0</v>
      </c>
      <c r="AA133" s="549">
        <v>0</v>
      </c>
      <c r="AB133" s="549">
        <v>0</v>
      </c>
      <c r="AC133" s="549">
        <v>0</v>
      </c>
      <c r="AD133" s="549">
        <v>0</v>
      </c>
      <c r="AE133" s="549">
        <v>0</v>
      </c>
      <c r="AF133" s="549">
        <v>0</v>
      </c>
      <c r="AG133" s="549">
        <v>0</v>
      </c>
      <c r="AH133" s="549">
        <v>0</v>
      </c>
      <c r="AI133" s="549">
        <v>0</v>
      </c>
      <c r="AJ133" s="549">
        <v>0</v>
      </c>
      <c r="AK133" s="549">
        <v>0</v>
      </c>
      <c r="AL133" s="549">
        <v>0</v>
      </c>
      <c r="AM133" s="549">
        <v>0</v>
      </c>
      <c r="AN133" s="549">
        <v>0</v>
      </c>
      <c r="AO133" s="549">
        <v>0</v>
      </c>
      <c r="AP133" s="549">
        <v>0</v>
      </c>
      <c r="AQ133" s="549">
        <v>0</v>
      </c>
      <c r="AR133" s="549">
        <v>0</v>
      </c>
      <c r="AS133" s="549">
        <v>0</v>
      </c>
      <c r="AT133" s="549">
        <v>0</v>
      </c>
      <c r="AU133" s="549">
        <v>0</v>
      </c>
      <c r="AV133" s="549">
        <v>0</v>
      </c>
      <c r="AW133" s="549">
        <v>0</v>
      </c>
      <c r="AX133" s="549">
        <v>0</v>
      </c>
      <c r="AY133" s="549">
        <v>0</v>
      </c>
      <c r="AZ133" s="550">
        <v>0</v>
      </c>
    </row>
    <row r="134" spans="1:52" s="469" customFormat="1">
      <c r="A134" s="485">
        <f>'[4]Allocation Methodology'!A48</f>
        <v>44</v>
      </c>
      <c r="B134" s="486" t="str">
        <f>'[4]Allocation Methodology'!B48</f>
        <v>Demand Response 1</v>
      </c>
      <c r="C134" s="486" t="str">
        <f>'[4]Allocation Methodology'!C48</f>
        <v>Business, Industrial</v>
      </c>
      <c r="D134" s="486" t="s">
        <v>480</v>
      </c>
      <c r="E134" s="486">
        <f>'[4]Allocation Methodology'!D48</f>
        <v>2009</v>
      </c>
      <c r="F134" s="487" t="str">
        <f>'[4]Allocation Methodology'!E48</f>
        <v>Final</v>
      </c>
      <c r="G134" s="471" t="b">
        <v>0</v>
      </c>
      <c r="H134" s="545">
        <v>0</v>
      </c>
      <c r="I134" s="546">
        <v>0</v>
      </c>
      <c r="J134" s="546">
        <v>0</v>
      </c>
      <c r="K134" s="546">
        <v>52.538773828022777</v>
      </c>
      <c r="L134" s="546">
        <v>0</v>
      </c>
      <c r="M134" s="546">
        <v>0</v>
      </c>
      <c r="N134" s="546">
        <v>0</v>
      </c>
      <c r="O134" s="546">
        <v>0</v>
      </c>
      <c r="P134" s="546">
        <v>0</v>
      </c>
      <c r="Q134" s="546">
        <v>0</v>
      </c>
      <c r="R134" s="546">
        <v>0</v>
      </c>
      <c r="S134" s="546">
        <v>0</v>
      </c>
      <c r="T134" s="546">
        <v>0</v>
      </c>
      <c r="U134" s="546">
        <v>0</v>
      </c>
      <c r="V134" s="546">
        <v>0</v>
      </c>
      <c r="W134" s="546">
        <v>0</v>
      </c>
      <c r="X134" s="546">
        <v>0</v>
      </c>
      <c r="Y134" s="546">
        <v>0</v>
      </c>
      <c r="Z134" s="546">
        <v>0</v>
      </c>
      <c r="AA134" s="546">
        <v>0</v>
      </c>
      <c r="AB134" s="546">
        <v>0</v>
      </c>
      <c r="AC134" s="546">
        <v>0</v>
      </c>
      <c r="AD134" s="546">
        <v>0</v>
      </c>
      <c r="AE134" s="546">
        <v>0</v>
      </c>
      <c r="AF134" s="546">
        <v>0</v>
      </c>
      <c r="AG134" s="546">
        <v>0</v>
      </c>
      <c r="AH134" s="546">
        <v>0</v>
      </c>
      <c r="AI134" s="546">
        <v>0</v>
      </c>
      <c r="AJ134" s="546">
        <v>0</v>
      </c>
      <c r="AK134" s="546">
        <v>0</v>
      </c>
      <c r="AL134" s="546">
        <v>0</v>
      </c>
      <c r="AM134" s="546">
        <v>0</v>
      </c>
      <c r="AN134" s="546">
        <v>0</v>
      </c>
      <c r="AO134" s="546">
        <v>0</v>
      </c>
      <c r="AP134" s="546">
        <v>0</v>
      </c>
      <c r="AQ134" s="546">
        <v>0</v>
      </c>
      <c r="AR134" s="546">
        <v>0</v>
      </c>
      <c r="AS134" s="546">
        <v>0</v>
      </c>
      <c r="AT134" s="546">
        <v>0</v>
      </c>
      <c r="AU134" s="546">
        <v>0</v>
      </c>
      <c r="AV134" s="546">
        <v>0</v>
      </c>
      <c r="AW134" s="546">
        <v>0</v>
      </c>
      <c r="AX134" s="546">
        <v>0</v>
      </c>
      <c r="AY134" s="546">
        <v>0</v>
      </c>
      <c r="AZ134" s="547">
        <v>0</v>
      </c>
    </row>
    <row r="135" spans="1:52" s="469" customFormat="1">
      <c r="A135" s="492">
        <f>'[4]Allocation Methodology'!A49</f>
        <v>45</v>
      </c>
      <c r="B135" s="493" t="str">
        <f>'[4]Allocation Methodology'!B49</f>
        <v>Demand Response 2</v>
      </c>
      <c r="C135" s="493" t="str">
        <f>'[4]Allocation Methodology'!C49</f>
        <v>Business, Industrial</v>
      </c>
      <c r="D135" s="493" t="s">
        <v>480</v>
      </c>
      <c r="E135" s="493">
        <f>'[4]Allocation Methodology'!D49</f>
        <v>2009</v>
      </c>
      <c r="F135" s="494" t="str">
        <f>'[4]Allocation Methodology'!E49</f>
        <v>Final</v>
      </c>
      <c r="G135" s="471" t="b">
        <v>0</v>
      </c>
      <c r="H135" s="548">
        <v>0</v>
      </c>
      <c r="I135" s="549">
        <v>0</v>
      </c>
      <c r="J135" s="549">
        <v>0</v>
      </c>
      <c r="K135" s="549">
        <v>500.14183397325576</v>
      </c>
      <c r="L135" s="549">
        <v>0</v>
      </c>
      <c r="M135" s="549">
        <v>0</v>
      </c>
      <c r="N135" s="549">
        <v>0</v>
      </c>
      <c r="O135" s="549">
        <v>0</v>
      </c>
      <c r="P135" s="549">
        <v>0</v>
      </c>
      <c r="Q135" s="549">
        <v>0</v>
      </c>
      <c r="R135" s="549">
        <v>0</v>
      </c>
      <c r="S135" s="549">
        <v>0</v>
      </c>
      <c r="T135" s="549">
        <v>0</v>
      </c>
      <c r="U135" s="549">
        <v>0</v>
      </c>
      <c r="V135" s="549">
        <v>0</v>
      </c>
      <c r="W135" s="549">
        <v>0</v>
      </c>
      <c r="X135" s="549">
        <v>0</v>
      </c>
      <c r="Y135" s="549">
        <v>0</v>
      </c>
      <c r="Z135" s="549">
        <v>0</v>
      </c>
      <c r="AA135" s="549">
        <v>0</v>
      </c>
      <c r="AB135" s="549">
        <v>0</v>
      </c>
      <c r="AC135" s="549">
        <v>0</v>
      </c>
      <c r="AD135" s="549">
        <v>0</v>
      </c>
      <c r="AE135" s="549">
        <v>0</v>
      </c>
      <c r="AF135" s="549">
        <v>0</v>
      </c>
      <c r="AG135" s="549">
        <v>0</v>
      </c>
      <c r="AH135" s="549">
        <v>0</v>
      </c>
      <c r="AI135" s="549">
        <v>0</v>
      </c>
      <c r="AJ135" s="549">
        <v>0</v>
      </c>
      <c r="AK135" s="549">
        <v>0</v>
      </c>
      <c r="AL135" s="549">
        <v>0</v>
      </c>
      <c r="AM135" s="549">
        <v>0</v>
      </c>
      <c r="AN135" s="549">
        <v>0</v>
      </c>
      <c r="AO135" s="549">
        <v>0</v>
      </c>
      <c r="AP135" s="549">
        <v>0</v>
      </c>
      <c r="AQ135" s="549">
        <v>0</v>
      </c>
      <c r="AR135" s="549">
        <v>0</v>
      </c>
      <c r="AS135" s="549">
        <v>0</v>
      </c>
      <c r="AT135" s="549">
        <v>0</v>
      </c>
      <c r="AU135" s="549">
        <v>0</v>
      </c>
      <c r="AV135" s="549">
        <v>0</v>
      </c>
      <c r="AW135" s="549">
        <v>0</v>
      </c>
      <c r="AX135" s="549">
        <v>0</v>
      </c>
      <c r="AY135" s="549">
        <v>0</v>
      </c>
      <c r="AZ135" s="550">
        <v>0</v>
      </c>
    </row>
    <row r="136" spans="1:52" s="469" customFormat="1">
      <c r="A136" s="485">
        <f>'[4]Allocation Methodology'!A50</f>
        <v>46</v>
      </c>
      <c r="B136" s="486" t="str">
        <f>'[4]Allocation Methodology'!B50</f>
        <v>Demand Response 3</v>
      </c>
      <c r="C136" s="486" t="str">
        <f>'[4]Allocation Methodology'!C50</f>
        <v>Business, Industrial</v>
      </c>
      <c r="D136" s="486" t="s">
        <v>480</v>
      </c>
      <c r="E136" s="486">
        <f>'[4]Allocation Methodology'!D50</f>
        <v>2009</v>
      </c>
      <c r="F136" s="487" t="str">
        <f>'[4]Allocation Methodology'!E50</f>
        <v>Final</v>
      </c>
      <c r="G136" s="471" t="b">
        <v>0</v>
      </c>
      <c r="H136" s="545">
        <v>0</v>
      </c>
      <c r="I136" s="546">
        <v>0</v>
      </c>
      <c r="J136" s="546">
        <v>0</v>
      </c>
      <c r="K136" s="546">
        <v>9.5525043323677785</v>
      </c>
      <c r="L136" s="546">
        <v>0</v>
      </c>
      <c r="M136" s="546">
        <v>0</v>
      </c>
      <c r="N136" s="546">
        <v>0</v>
      </c>
      <c r="O136" s="546">
        <v>0</v>
      </c>
      <c r="P136" s="546">
        <v>0</v>
      </c>
      <c r="Q136" s="546">
        <v>0</v>
      </c>
      <c r="R136" s="546">
        <v>0</v>
      </c>
      <c r="S136" s="546">
        <v>0</v>
      </c>
      <c r="T136" s="546">
        <v>0</v>
      </c>
      <c r="U136" s="546">
        <v>0</v>
      </c>
      <c r="V136" s="546">
        <v>0</v>
      </c>
      <c r="W136" s="546">
        <v>0</v>
      </c>
      <c r="X136" s="546">
        <v>0</v>
      </c>
      <c r="Y136" s="546">
        <v>0</v>
      </c>
      <c r="Z136" s="546">
        <v>0</v>
      </c>
      <c r="AA136" s="546">
        <v>0</v>
      </c>
      <c r="AB136" s="546">
        <v>0</v>
      </c>
      <c r="AC136" s="546">
        <v>0</v>
      </c>
      <c r="AD136" s="546">
        <v>0</v>
      </c>
      <c r="AE136" s="546">
        <v>0</v>
      </c>
      <c r="AF136" s="546">
        <v>0</v>
      </c>
      <c r="AG136" s="546">
        <v>0</v>
      </c>
      <c r="AH136" s="546">
        <v>0</v>
      </c>
      <c r="AI136" s="546">
        <v>0</v>
      </c>
      <c r="AJ136" s="546">
        <v>0</v>
      </c>
      <c r="AK136" s="546">
        <v>0</v>
      </c>
      <c r="AL136" s="546">
        <v>0</v>
      </c>
      <c r="AM136" s="546">
        <v>0</v>
      </c>
      <c r="AN136" s="546">
        <v>0</v>
      </c>
      <c r="AO136" s="546">
        <v>0</v>
      </c>
      <c r="AP136" s="546">
        <v>0</v>
      </c>
      <c r="AQ136" s="546">
        <v>0</v>
      </c>
      <c r="AR136" s="546">
        <v>0</v>
      </c>
      <c r="AS136" s="546">
        <v>0</v>
      </c>
      <c r="AT136" s="546">
        <v>0</v>
      </c>
      <c r="AU136" s="546">
        <v>0</v>
      </c>
      <c r="AV136" s="546">
        <v>0</v>
      </c>
      <c r="AW136" s="546">
        <v>0</v>
      </c>
      <c r="AX136" s="546">
        <v>0</v>
      </c>
      <c r="AY136" s="546">
        <v>0</v>
      </c>
      <c r="AZ136" s="547">
        <v>0</v>
      </c>
    </row>
    <row r="137" spans="1:52" s="469" customFormat="1">
      <c r="A137" s="492">
        <f>'[4]Allocation Methodology'!A51</f>
        <v>47</v>
      </c>
      <c r="B137" s="493" t="str">
        <f>'[4]Allocation Methodology'!B51</f>
        <v>Loblaw &amp; York Region Demand Response</v>
      </c>
      <c r="C137" s="493" t="str">
        <f>'[4]Allocation Methodology'!C51</f>
        <v>Business, Industrial</v>
      </c>
      <c r="D137" s="493" t="s">
        <v>480</v>
      </c>
      <c r="E137" s="493">
        <f>'[4]Allocation Methodology'!D51</f>
        <v>2009</v>
      </c>
      <c r="F137" s="494" t="str">
        <f>'[4]Allocation Methodology'!E51</f>
        <v>Final</v>
      </c>
      <c r="G137" s="471" t="b">
        <v>0</v>
      </c>
      <c r="H137" s="548">
        <v>0</v>
      </c>
      <c r="I137" s="549">
        <v>0</v>
      </c>
      <c r="J137" s="549">
        <v>0</v>
      </c>
      <c r="K137" s="549">
        <v>0</v>
      </c>
      <c r="L137" s="549">
        <v>0</v>
      </c>
      <c r="M137" s="549">
        <v>0</v>
      </c>
      <c r="N137" s="549">
        <v>0</v>
      </c>
      <c r="O137" s="549">
        <v>0</v>
      </c>
      <c r="P137" s="549">
        <v>0</v>
      </c>
      <c r="Q137" s="549">
        <v>0</v>
      </c>
      <c r="R137" s="549">
        <v>0</v>
      </c>
      <c r="S137" s="549">
        <v>0</v>
      </c>
      <c r="T137" s="549">
        <v>0</v>
      </c>
      <c r="U137" s="549">
        <v>0</v>
      </c>
      <c r="V137" s="549">
        <v>0</v>
      </c>
      <c r="W137" s="549">
        <v>0</v>
      </c>
      <c r="X137" s="549">
        <v>0</v>
      </c>
      <c r="Y137" s="549">
        <v>0</v>
      </c>
      <c r="Z137" s="549">
        <v>0</v>
      </c>
      <c r="AA137" s="549">
        <v>0</v>
      </c>
      <c r="AB137" s="549">
        <v>0</v>
      </c>
      <c r="AC137" s="549">
        <v>0</v>
      </c>
      <c r="AD137" s="549">
        <v>0</v>
      </c>
      <c r="AE137" s="549">
        <v>0</v>
      </c>
      <c r="AF137" s="549">
        <v>0</v>
      </c>
      <c r="AG137" s="549">
        <v>0</v>
      </c>
      <c r="AH137" s="549">
        <v>0</v>
      </c>
      <c r="AI137" s="549">
        <v>0</v>
      </c>
      <c r="AJ137" s="549">
        <v>0</v>
      </c>
      <c r="AK137" s="549">
        <v>0</v>
      </c>
      <c r="AL137" s="549">
        <v>0</v>
      </c>
      <c r="AM137" s="549">
        <v>0</v>
      </c>
      <c r="AN137" s="549">
        <v>0</v>
      </c>
      <c r="AO137" s="549">
        <v>0</v>
      </c>
      <c r="AP137" s="549">
        <v>0</v>
      </c>
      <c r="AQ137" s="549">
        <v>0</v>
      </c>
      <c r="AR137" s="549">
        <v>0</v>
      </c>
      <c r="AS137" s="549">
        <v>0</v>
      </c>
      <c r="AT137" s="549">
        <v>0</v>
      </c>
      <c r="AU137" s="549">
        <v>0</v>
      </c>
      <c r="AV137" s="549">
        <v>0</v>
      </c>
      <c r="AW137" s="549">
        <v>0</v>
      </c>
      <c r="AX137" s="549">
        <v>0</v>
      </c>
      <c r="AY137" s="549">
        <v>0</v>
      </c>
      <c r="AZ137" s="550">
        <v>0</v>
      </c>
    </row>
    <row r="138" spans="1:52" s="469" customFormat="1">
      <c r="A138" s="485">
        <f>'[4]Allocation Methodology'!A52</f>
        <v>48</v>
      </c>
      <c r="B138" s="486" t="str">
        <f>'[4]Allocation Methodology'!B52</f>
        <v>LDC Custom - Thunder Bay Hydro - Phantom Load</v>
      </c>
      <c r="C138" s="486" t="str">
        <f>'[4]Allocation Methodology'!C52</f>
        <v>Consumer</v>
      </c>
      <c r="D138" s="486" t="s">
        <v>58</v>
      </c>
      <c r="E138" s="486">
        <f>'[4]Allocation Methodology'!D52</f>
        <v>2009</v>
      </c>
      <c r="F138" s="487" t="str">
        <f>'[4]Allocation Methodology'!E52</f>
        <v>Final</v>
      </c>
      <c r="G138" s="471" t="b">
        <v>0</v>
      </c>
      <c r="H138" s="545">
        <v>0</v>
      </c>
      <c r="I138" s="546">
        <v>0</v>
      </c>
      <c r="J138" s="546">
        <v>0</v>
      </c>
      <c r="K138" s="546">
        <v>0</v>
      </c>
      <c r="L138" s="546">
        <v>0</v>
      </c>
      <c r="M138" s="546">
        <v>0</v>
      </c>
      <c r="N138" s="546">
        <v>0</v>
      </c>
      <c r="O138" s="546">
        <v>0</v>
      </c>
      <c r="P138" s="546">
        <v>0</v>
      </c>
      <c r="Q138" s="546">
        <v>0</v>
      </c>
      <c r="R138" s="546">
        <v>0</v>
      </c>
      <c r="S138" s="546">
        <v>0</v>
      </c>
      <c r="T138" s="546">
        <v>0</v>
      </c>
      <c r="U138" s="546">
        <v>0</v>
      </c>
      <c r="V138" s="546">
        <v>0</v>
      </c>
      <c r="W138" s="546">
        <v>0</v>
      </c>
      <c r="X138" s="546">
        <v>0</v>
      </c>
      <c r="Y138" s="546">
        <v>0</v>
      </c>
      <c r="Z138" s="546">
        <v>0</v>
      </c>
      <c r="AA138" s="546">
        <v>0</v>
      </c>
      <c r="AB138" s="546">
        <v>0</v>
      </c>
      <c r="AC138" s="546">
        <v>0</v>
      </c>
      <c r="AD138" s="546">
        <v>0</v>
      </c>
      <c r="AE138" s="546">
        <v>0</v>
      </c>
      <c r="AF138" s="546">
        <v>0</v>
      </c>
      <c r="AG138" s="546">
        <v>0</v>
      </c>
      <c r="AH138" s="546">
        <v>0</v>
      </c>
      <c r="AI138" s="546">
        <v>0</v>
      </c>
      <c r="AJ138" s="546">
        <v>0</v>
      </c>
      <c r="AK138" s="546">
        <v>0</v>
      </c>
      <c r="AL138" s="546">
        <v>0</v>
      </c>
      <c r="AM138" s="546">
        <v>0</v>
      </c>
      <c r="AN138" s="546">
        <v>0</v>
      </c>
      <c r="AO138" s="546">
        <v>0</v>
      </c>
      <c r="AP138" s="546">
        <v>0</v>
      </c>
      <c r="AQ138" s="546">
        <v>0</v>
      </c>
      <c r="AR138" s="546">
        <v>0</v>
      </c>
      <c r="AS138" s="546">
        <v>0</v>
      </c>
      <c r="AT138" s="546">
        <v>0</v>
      </c>
      <c r="AU138" s="546">
        <v>0</v>
      </c>
      <c r="AV138" s="546">
        <v>0</v>
      </c>
      <c r="AW138" s="546">
        <v>0</v>
      </c>
      <c r="AX138" s="546">
        <v>0</v>
      </c>
      <c r="AY138" s="546">
        <v>0</v>
      </c>
      <c r="AZ138" s="547">
        <v>0</v>
      </c>
    </row>
    <row r="139" spans="1:52" s="469" customFormat="1">
      <c r="A139" s="522">
        <f>'[4]Allocation Methodology'!A53</f>
        <v>49</v>
      </c>
      <c r="B139" s="523" t="str">
        <f>'[4]Allocation Methodology'!B53</f>
        <v>LDC Custom - Toronto Hydro - Summer Challenge</v>
      </c>
      <c r="C139" s="523" t="str">
        <f>'[4]Allocation Methodology'!C53</f>
        <v>Consumer</v>
      </c>
      <c r="D139" s="523" t="s">
        <v>58</v>
      </c>
      <c r="E139" s="523">
        <f>'[4]Allocation Methodology'!D53</f>
        <v>2009</v>
      </c>
      <c r="F139" s="524" t="str">
        <f>'[4]Allocation Methodology'!E53</f>
        <v>Final</v>
      </c>
      <c r="G139" s="471" t="b">
        <v>0</v>
      </c>
      <c r="H139" s="560">
        <v>0</v>
      </c>
      <c r="I139" s="561">
        <v>0</v>
      </c>
      <c r="J139" s="561">
        <v>0</v>
      </c>
      <c r="K139" s="561">
        <v>0</v>
      </c>
      <c r="L139" s="561">
        <v>0</v>
      </c>
      <c r="M139" s="561">
        <v>0</v>
      </c>
      <c r="N139" s="561">
        <v>0</v>
      </c>
      <c r="O139" s="561">
        <v>0</v>
      </c>
      <c r="P139" s="561">
        <v>0</v>
      </c>
      <c r="Q139" s="561">
        <v>0</v>
      </c>
      <c r="R139" s="561">
        <v>0</v>
      </c>
      <c r="S139" s="561">
        <v>0</v>
      </c>
      <c r="T139" s="561">
        <v>0</v>
      </c>
      <c r="U139" s="561">
        <v>0</v>
      </c>
      <c r="V139" s="561">
        <v>0</v>
      </c>
      <c r="W139" s="561">
        <v>0</v>
      </c>
      <c r="X139" s="561">
        <v>0</v>
      </c>
      <c r="Y139" s="561">
        <v>0</v>
      </c>
      <c r="Z139" s="561">
        <v>0</v>
      </c>
      <c r="AA139" s="561">
        <v>0</v>
      </c>
      <c r="AB139" s="561">
        <v>0</v>
      </c>
      <c r="AC139" s="561">
        <v>0</v>
      </c>
      <c r="AD139" s="561">
        <v>0</v>
      </c>
      <c r="AE139" s="561">
        <v>0</v>
      </c>
      <c r="AF139" s="561">
        <v>0</v>
      </c>
      <c r="AG139" s="561">
        <v>0</v>
      </c>
      <c r="AH139" s="561">
        <v>0</v>
      </c>
      <c r="AI139" s="561">
        <v>0</v>
      </c>
      <c r="AJ139" s="561">
        <v>0</v>
      </c>
      <c r="AK139" s="561">
        <v>0</v>
      </c>
      <c r="AL139" s="561">
        <v>0</v>
      </c>
      <c r="AM139" s="561">
        <v>0</v>
      </c>
      <c r="AN139" s="561">
        <v>0</v>
      </c>
      <c r="AO139" s="561">
        <v>0</v>
      </c>
      <c r="AP139" s="561">
        <v>0</v>
      </c>
      <c r="AQ139" s="561">
        <v>0</v>
      </c>
      <c r="AR139" s="561">
        <v>0</v>
      </c>
      <c r="AS139" s="561">
        <v>0</v>
      </c>
      <c r="AT139" s="561">
        <v>0</v>
      </c>
      <c r="AU139" s="561">
        <v>0</v>
      </c>
      <c r="AV139" s="561">
        <v>0</v>
      </c>
      <c r="AW139" s="561">
        <v>0</v>
      </c>
      <c r="AX139" s="561">
        <v>0</v>
      </c>
      <c r="AY139" s="561">
        <v>0</v>
      </c>
      <c r="AZ139" s="562">
        <v>0</v>
      </c>
    </row>
    <row r="140" spans="1:52" s="469" customFormat="1">
      <c r="A140" s="514">
        <f>'[4]Allocation Methodology'!A54</f>
        <v>50</v>
      </c>
      <c r="B140" s="515" t="str">
        <f>'[4]Allocation Methodology'!B54</f>
        <v>LDC Custom - PowerStream - Data Centers</v>
      </c>
      <c r="C140" s="515" t="str">
        <f>'[4]Allocation Methodology'!C54</f>
        <v>Business</v>
      </c>
      <c r="D140" s="515" t="s">
        <v>58</v>
      </c>
      <c r="E140" s="515">
        <f>'[4]Allocation Methodology'!D54</f>
        <v>2009</v>
      </c>
      <c r="F140" s="516" t="str">
        <f>'[4]Allocation Methodology'!E54</f>
        <v>Final</v>
      </c>
      <c r="G140" s="471"/>
      <c r="H140" s="557">
        <v>0</v>
      </c>
      <c r="I140" s="558">
        <v>0</v>
      </c>
      <c r="J140" s="558">
        <v>0</v>
      </c>
      <c r="K140" s="558">
        <v>0</v>
      </c>
      <c r="L140" s="558">
        <v>0</v>
      </c>
      <c r="M140" s="558">
        <v>0</v>
      </c>
      <c r="N140" s="558">
        <v>0</v>
      </c>
      <c r="O140" s="558">
        <v>0</v>
      </c>
      <c r="P140" s="558">
        <v>0</v>
      </c>
      <c r="Q140" s="558">
        <v>0</v>
      </c>
      <c r="R140" s="558">
        <v>0</v>
      </c>
      <c r="S140" s="558">
        <v>0</v>
      </c>
      <c r="T140" s="558">
        <v>0</v>
      </c>
      <c r="U140" s="558">
        <v>0</v>
      </c>
      <c r="V140" s="558">
        <v>0</v>
      </c>
      <c r="W140" s="558">
        <v>0</v>
      </c>
      <c r="X140" s="558">
        <v>0</v>
      </c>
      <c r="Y140" s="558">
        <v>0</v>
      </c>
      <c r="Z140" s="558">
        <v>0</v>
      </c>
      <c r="AA140" s="558">
        <v>0</v>
      </c>
      <c r="AB140" s="558">
        <v>0</v>
      </c>
      <c r="AC140" s="558">
        <v>0</v>
      </c>
      <c r="AD140" s="558">
        <v>0</v>
      </c>
      <c r="AE140" s="558">
        <v>0</v>
      </c>
      <c r="AF140" s="558">
        <v>0</v>
      </c>
      <c r="AG140" s="558">
        <v>0</v>
      </c>
      <c r="AH140" s="558">
        <v>0</v>
      </c>
      <c r="AI140" s="558">
        <v>0</v>
      </c>
      <c r="AJ140" s="558">
        <v>0</v>
      </c>
      <c r="AK140" s="558">
        <v>0</v>
      </c>
      <c r="AL140" s="558">
        <v>0</v>
      </c>
      <c r="AM140" s="558">
        <v>0</v>
      </c>
      <c r="AN140" s="558">
        <v>0</v>
      </c>
      <c r="AO140" s="558">
        <v>0</v>
      </c>
      <c r="AP140" s="558">
        <v>0</v>
      </c>
      <c r="AQ140" s="558">
        <v>0</v>
      </c>
      <c r="AR140" s="558">
        <v>0</v>
      </c>
      <c r="AS140" s="558">
        <v>0</v>
      </c>
      <c r="AT140" s="558">
        <v>0</v>
      </c>
      <c r="AU140" s="558">
        <v>0</v>
      </c>
      <c r="AV140" s="558">
        <v>0</v>
      </c>
      <c r="AW140" s="558">
        <v>0</v>
      </c>
      <c r="AX140" s="558">
        <v>0</v>
      </c>
      <c r="AY140" s="558">
        <v>0</v>
      </c>
      <c r="AZ140" s="559">
        <v>0</v>
      </c>
    </row>
    <row r="141" spans="1:52" s="469" customFormat="1">
      <c r="A141" s="478">
        <f>'[4]Allocation Methodology'!A55</f>
        <v>51</v>
      </c>
      <c r="B141" s="479" t="str">
        <f>'[4]Allocation Methodology'!B55</f>
        <v>Toronto Comprehensive Adjustment</v>
      </c>
      <c r="C141" s="479" t="str">
        <f>'[4]Allocation Methodology'!C55</f>
        <v>Consumer, Business</v>
      </c>
      <c r="D141" s="479" t="s">
        <v>58</v>
      </c>
      <c r="E141" s="479">
        <f>'[4]Allocation Methodology'!D55</f>
        <v>2008</v>
      </c>
      <c r="F141" s="480" t="str">
        <f>'[4]Allocation Methodology'!E55</f>
        <v>Final</v>
      </c>
      <c r="G141" s="471"/>
      <c r="H141" s="541">
        <v>0</v>
      </c>
      <c r="I141" s="543">
        <v>0</v>
      </c>
      <c r="J141" s="543">
        <v>0</v>
      </c>
      <c r="K141" s="543">
        <v>0</v>
      </c>
      <c r="L141" s="543">
        <v>0</v>
      </c>
      <c r="M141" s="543">
        <v>0</v>
      </c>
      <c r="N141" s="543">
        <v>0</v>
      </c>
      <c r="O141" s="543">
        <v>0</v>
      </c>
      <c r="P141" s="543">
        <v>0</v>
      </c>
      <c r="Q141" s="543">
        <v>0</v>
      </c>
      <c r="R141" s="543">
        <v>0</v>
      </c>
      <c r="S141" s="543">
        <v>0</v>
      </c>
      <c r="T141" s="543">
        <v>0</v>
      </c>
      <c r="U141" s="543">
        <v>0</v>
      </c>
      <c r="V141" s="543">
        <v>0</v>
      </c>
      <c r="W141" s="543">
        <v>0</v>
      </c>
      <c r="X141" s="543">
        <v>0</v>
      </c>
      <c r="Y141" s="543">
        <v>0</v>
      </c>
      <c r="Z141" s="543">
        <v>0</v>
      </c>
      <c r="AA141" s="543">
        <v>0</v>
      </c>
      <c r="AB141" s="543">
        <v>0</v>
      </c>
      <c r="AC141" s="543">
        <v>0</v>
      </c>
      <c r="AD141" s="543">
        <v>0</v>
      </c>
      <c r="AE141" s="543">
        <v>0</v>
      </c>
      <c r="AF141" s="543">
        <v>0</v>
      </c>
      <c r="AG141" s="543">
        <v>0</v>
      </c>
      <c r="AH141" s="543">
        <v>0</v>
      </c>
      <c r="AI141" s="543">
        <v>0</v>
      </c>
      <c r="AJ141" s="543">
        <v>0</v>
      </c>
      <c r="AK141" s="543">
        <v>0</v>
      </c>
      <c r="AL141" s="543">
        <v>0</v>
      </c>
      <c r="AM141" s="543">
        <v>0</v>
      </c>
      <c r="AN141" s="543">
        <v>0</v>
      </c>
      <c r="AO141" s="543">
        <v>0</v>
      </c>
      <c r="AP141" s="543">
        <v>0</v>
      </c>
      <c r="AQ141" s="543">
        <v>0</v>
      </c>
      <c r="AR141" s="543">
        <v>0</v>
      </c>
      <c r="AS141" s="543">
        <v>0</v>
      </c>
      <c r="AT141" s="543">
        <v>0</v>
      </c>
      <c r="AU141" s="543">
        <v>0</v>
      </c>
      <c r="AV141" s="543">
        <v>0</v>
      </c>
      <c r="AW141" s="543">
        <v>0</v>
      </c>
      <c r="AX141" s="543">
        <v>0</v>
      </c>
      <c r="AY141" s="543">
        <v>0</v>
      </c>
      <c r="AZ141" s="544">
        <v>0</v>
      </c>
    </row>
    <row r="142" spans="1:52" s="469" customFormat="1">
      <c r="A142" s="514">
        <f>'[4]Allocation Methodology'!A56</f>
        <v>52</v>
      </c>
      <c r="B142" s="515" t="str">
        <f>'[4]Allocation Methodology'!B56</f>
        <v>LDC Custom - Hydro One Networks Inc. - Double Return Adjustment</v>
      </c>
      <c r="C142" s="515" t="str">
        <f>'[4]Allocation Methodology'!C56</f>
        <v>Business, Industrial</v>
      </c>
      <c r="D142" s="515" t="s">
        <v>58</v>
      </c>
      <c r="E142" s="515">
        <f>'[4]Allocation Methodology'!D56</f>
        <v>2008</v>
      </c>
      <c r="F142" s="516" t="str">
        <f>'[4]Allocation Methodology'!E56</f>
        <v>Final</v>
      </c>
      <c r="G142" s="471"/>
      <c r="H142" s="557">
        <v>0</v>
      </c>
      <c r="I142" s="558">
        <v>0</v>
      </c>
      <c r="J142" s="558">
        <v>0</v>
      </c>
      <c r="K142" s="558">
        <v>0</v>
      </c>
      <c r="L142" s="558">
        <v>0</v>
      </c>
      <c r="M142" s="558">
        <v>0</v>
      </c>
      <c r="N142" s="558">
        <v>0</v>
      </c>
      <c r="O142" s="558">
        <v>0</v>
      </c>
      <c r="P142" s="558">
        <v>0</v>
      </c>
      <c r="Q142" s="558">
        <v>0</v>
      </c>
      <c r="R142" s="558">
        <v>0</v>
      </c>
      <c r="S142" s="558">
        <v>0</v>
      </c>
      <c r="T142" s="558">
        <v>0</v>
      </c>
      <c r="U142" s="558">
        <v>0</v>
      </c>
      <c r="V142" s="558">
        <v>0</v>
      </c>
      <c r="W142" s="558">
        <v>0</v>
      </c>
      <c r="X142" s="558">
        <v>0</v>
      </c>
      <c r="Y142" s="558">
        <v>0</v>
      </c>
      <c r="Z142" s="558">
        <v>0</v>
      </c>
      <c r="AA142" s="558">
        <v>0</v>
      </c>
      <c r="AB142" s="558">
        <v>0</v>
      </c>
      <c r="AC142" s="558">
        <v>0</v>
      </c>
      <c r="AD142" s="558">
        <v>0</v>
      </c>
      <c r="AE142" s="558">
        <v>0</v>
      </c>
      <c r="AF142" s="558">
        <v>0</v>
      </c>
      <c r="AG142" s="558">
        <v>0</v>
      </c>
      <c r="AH142" s="558">
        <v>0</v>
      </c>
      <c r="AI142" s="558">
        <v>0</v>
      </c>
      <c r="AJ142" s="558">
        <v>0</v>
      </c>
      <c r="AK142" s="558">
        <v>0</v>
      </c>
      <c r="AL142" s="558">
        <v>0</v>
      </c>
      <c r="AM142" s="558">
        <v>0</v>
      </c>
      <c r="AN142" s="558">
        <v>0</v>
      </c>
      <c r="AO142" s="558">
        <v>0</v>
      </c>
      <c r="AP142" s="558">
        <v>0</v>
      </c>
      <c r="AQ142" s="558">
        <v>0</v>
      </c>
      <c r="AR142" s="558">
        <v>0</v>
      </c>
      <c r="AS142" s="558">
        <v>0</v>
      </c>
      <c r="AT142" s="558">
        <v>0</v>
      </c>
      <c r="AU142" s="558">
        <v>0</v>
      </c>
      <c r="AV142" s="558">
        <v>0</v>
      </c>
      <c r="AW142" s="558">
        <v>0</v>
      </c>
      <c r="AX142" s="558">
        <v>0</v>
      </c>
      <c r="AY142" s="558">
        <v>0</v>
      </c>
      <c r="AZ142" s="559">
        <v>0</v>
      </c>
    </row>
    <row r="143" spans="1:52" s="469" customFormat="1">
      <c r="A143" s="478">
        <f>'[4]Allocation Methodology'!A57</f>
        <v>53</v>
      </c>
      <c r="B143" s="479" t="str">
        <f>'[4]Allocation Methodology'!B57</f>
        <v>Great Refrigerator Roundup</v>
      </c>
      <c r="C143" s="479" t="str">
        <f>'[4]Allocation Methodology'!C57</f>
        <v>Consumer</v>
      </c>
      <c r="D143" s="479" t="s">
        <v>17</v>
      </c>
      <c r="E143" s="479">
        <f>'[4]Allocation Methodology'!D57</f>
        <v>2010</v>
      </c>
      <c r="F143" s="480" t="str">
        <f>'[4]Allocation Methodology'!E57</f>
        <v>Final</v>
      </c>
      <c r="G143" s="471"/>
      <c r="H143" s="541">
        <v>0</v>
      </c>
      <c r="I143" s="543">
        <v>0</v>
      </c>
      <c r="J143" s="543">
        <v>0</v>
      </c>
      <c r="K143" s="543">
        <v>0</v>
      </c>
      <c r="L143" s="543">
        <v>90.761836237952139</v>
      </c>
      <c r="M143" s="543">
        <v>90.761836237952139</v>
      </c>
      <c r="N143" s="543">
        <v>90.761836237952139</v>
      </c>
      <c r="O143" s="543">
        <v>89.819440608149833</v>
      </c>
      <c r="P143" s="543">
        <v>64.78083902315845</v>
      </c>
      <c r="Q143" s="543">
        <v>0</v>
      </c>
      <c r="R143" s="543">
        <v>0</v>
      </c>
      <c r="S143" s="543">
        <v>0</v>
      </c>
      <c r="T143" s="543">
        <v>0</v>
      </c>
      <c r="U143" s="543">
        <v>0</v>
      </c>
      <c r="V143" s="543">
        <v>0</v>
      </c>
      <c r="W143" s="543">
        <v>0</v>
      </c>
      <c r="X143" s="543">
        <v>0</v>
      </c>
      <c r="Y143" s="543">
        <v>0</v>
      </c>
      <c r="Z143" s="543">
        <v>0</v>
      </c>
      <c r="AA143" s="543">
        <v>0</v>
      </c>
      <c r="AB143" s="543">
        <v>0</v>
      </c>
      <c r="AC143" s="543">
        <v>0</v>
      </c>
      <c r="AD143" s="543">
        <v>0</v>
      </c>
      <c r="AE143" s="543">
        <v>0</v>
      </c>
      <c r="AF143" s="543">
        <v>0</v>
      </c>
      <c r="AG143" s="543">
        <v>0</v>
      </c>
      <c r="AH143" s="543">
        <v>0</v>
      </c>
      <c r="AI143" s="543">
        <v>0</v>
      </c>
      <c r="AJ143" s="543">
        <v>0</v>
      </c>
      <c r="AK143" s="543">
        <v>0</v>
      </c>
      <c r="AL143" s="543">
        <v>0</v>
      </c>
      <c r="AM143" s="543">
        <v>0</v>
      </c>
      <c r="AN143" s="543">
        <v>0</v>
      </c>
      <c r="AO143" s="543">
        <v>0</v>
      </c>
      <c r="AP143" s="543">
        <v>0</v>
      </c>
      <c r="AQ143" s="543">
        <v>0</v>
      </c>
      <c r="AR143" s="543">
        <v>0</v>
      </c>
      <c r="AS143" s="543">
        <v>0</v>
      </c>
      <c r="AT143" s="543">
        <v>0</v>
      </c>
      <c r="AU143" s="543">
        <v>0</v>
      </c>
      <c r="AV143" s="543">
        <v>0</v>
      </c>
      <c r="AW143" s="543">
        <v>0</v>
      </c>
      <c r="AX143" s="543">
        <v>0</v>
      </c>
      <c r="AY143" s="543">
        <v>0</v>
      </c>
      <c r="AZ143" s="544">
        <v>0</v>
      </c>
    </row>
    <row r="144" spans="1:52" s="469" customFormat="1">
      <c r="A144" s="485">
        <f>'[4]Allocation Methodology'!A58</f>
        <v>54</v>
      </c>
      <c r="B144" s="486" t="str">
        <f>'[4]Allocation Methodology'!B58</f>
        <v>Cool Savings Rebate</v>
      </c>
      <c r="C144" s="486" t="str">
        <f>'[4]Allocation Methodology'!C58</f>
        <v>Consumer</v>
      </c>
      <c r="D144" s="486" t="s">
        <v>17</v>
      </c>
      <c r="E144" s="486">
        <f>'[4]Allocation Methodology'!D58</f>
        <v>2010</v>
      </c>
      <c r="F144" s="487" t="str">
        <f>'[4]Allocation Methodology'!E58</f>
        <v>Final</v>
      </c>
      <c r="G144" s="471"/>
      <c r="H144" s="545">
        <v>0</v>
      </c>
      <c r="I144" s="546">
        <v>0</v>
      </c>
      <c r="J144" s="546">
        <v>0</v>
      </c>
      <c r="K144" s="546">
        <v>0</v>
      </c>
      <c r="L144" s="546">
        <v>73.788540411879836</v>
      </c>
      <c r="M144" s="546">
        <v>73.788540411879836</v>
      </c>
      <c r="N144" s="546">
        <v>73.788540411879836</v>
      </c>
      <c r="O144" s="546">
        <v>73.788540411879836</v>
      </c>
      <c r="P144" s="546">
        <v>73.788540411879836</v>
      </c>
      <c r="Q144" s="546">
        <v>73.788540411879836</v>
      </c>
      <c r="R144" s="546">
        <v>73.788540411879836</v>
      </c>
      <c r="S144" s="546">
        <v>73.788540411879836</v>
      </c>
      <c r="T144" s="546">
        <v>73.788540411879836</v>
      </c>
      <c r="U144" s="546">
        <v>73.788540411879836</v>
      </c>
      <c r="V144" s="546">
        <v>73.788540411879836</v>
      </c>
      <c r="W144" s="546">
        <v>73.788540411879836</v>
      </c>
      <c r="X144" s="546">
        <v>73.788540411879836</v>
      </c>
      <c r="Y144" s="546">
        <v>73.788540411879836</v>
      </c>
      <c r="Z144" s="546">
        <v>73.788540411879836</v>
      </c>
      <c r="AA144" s="546">
        <v>72.650584633795674</v>
      </c>
      <c r="AB144" s="546">
        <v>72.650584633795674</v>
      </c>
      <c r="AC144" s="546">
        <v>72.650584633795674</v>
      </c>
      <c r="AD144" s="546">
        <v>68.492976820811506</v>
      </c>
      <c r="AE144" s="546">
        <v>0</v>
      </c>
      <c r="AF144" s="546">
        <v>0</v>
      </c>
      <c r="AG144" s="546">
        <v>0</v>
      </c>
      <c r="AH144" s="546">
        <v>0</v>
      </c>
      <c r="AI144" s="546">
        <v>0</v>
      </c>
      <c r="AJ144" s="546">
        <v>0</v>
      </c>
      <c r="AK144" s="546">
        <v>0</v>
      </c>
      <c r="AL144" s="546">
        <v>0</v>
      </c>
      <c r="AM144" s="546">
        <v>0</v>
      </c>
      <c r="AN144" s="546">
        <v>0</v>
      </c>
      <c r="AO144" s="546">
        <v>0</v>
      </c>
      <c r="AP144" s="546">
        <v>0</v>
      </c>
      <c r="AQ144" s="546">
        <v>0</v>
      </c>
      <c r="AR144" s="546">
        <v>0</v>
      </c>
      <c r="AS144" s="546">
        <v>0</v>
      </c>
      <c r="AT144" s="546">
        <v>0</v>
      </c>
      <c r="AU144" s="546">
        <v>0</v>
      </c>
      <c r="AV144" s="546">
        <v>0</v>
      </c>
      <c r="AW144" s="546">
        <v>0</v>
      </c>
      <c r="AX144" s="546">
        <v>0</v>
      </c>
      <c r="AY144" s="546">
        <v>0</v>
      </c>
      <c r="AZ144" s="547">
        <v>0</v>
      </c>
    </row>
    <row r="145" spans="1:52" s="469" customFormat="1">
      <c r="A145" s="492">
        <f>'[4]Allocation Methodology'!A59</f>
        <v>55</v>
      </c>
      <c r="B145" s="493" t="str">
        <f>'[4]Allocation Methodology'!B59</f>
        <v>Every Kilowatt Counts Power Savings Event</v>
      </c>
      <c r="C145" s="493" t="str">
        <f>'[4]Allocation Methodology'!C59</f>
        <v>Consumer</v>
      </c>
      <c r="D145" s="493" t="s">
        <v>17</v>
      </c>
      <c r="E145" s="493">
        <f>'[4]Allocation Methodology'!D59</f>
        <v>2010</v>
      </c>
      <c r="F145" s="494" t="str">
        <f>'[4]Allocation Methodology'!E59</f>
        <v>Final</v>
      </c>
      <c r="G145" s="471"/>
      <c r="H145" s="548">
        <v>0</v>
      </c>
      <c r="I145" s="549">
        <v>0</v>
      </c>
      <c r="J145" s="549">
        <v>0</v>
      </c>
      <c r="K145" s="549">
        <v>0</v>
      </c>
      <c r="L145" s="549">
        <v>89.169325477264849</v>
      </c>
      <c r="M145" s="549">
        <v>78.373205665959077</v>
      </c>
      <c r="N145" s="549">
        <v>75.878908270781039</v>
      </c>
      <c r="O145" s="549">
        <v>75.878908270781039</v>
      </c>
      <c r="P145" s="549">
        <v>75.878908270781039</v>
      </c>
      <c r="Q145" s="549">
        <v>39.056265787903357</v>
      </c>
      <c r="R145" s="549">
        <v>29.820787209951266</v>
      </c>
      <c r="S145" s="549">
        <v>29.820787209951266</v>
      </c>
      <c r="T145" s="549">
        <v>29.060493047651505</v>
      </c>
      <c r="U145" s="549">
        <v>27.342906458006642</v>
      </c>
      <c r="V145" s="549">
        <v>21.033030181417733</v>
      </c>
      <c r="W145" s="549">
        <v>21.033030181417733</v>
      </c>
      <c r="X145" s="549">
        <v>18.579670473626194</v>
      </c>
      <c r="Y145" s="549">
        <v>18.579670473626194</v>
      </c>
      <c r="Z145" s="549">
        <v>18.579670473626194</v>
      </c>
      <c r="AA145" s="549">
        <v>10.576196620479793</v>
      </c>
      <c r="AB145" s="549">
        <v>0.25818335244921631</v>
      </c>
      <c r="AC145" s="549">
        <v>0.25818335244921631</v>
      </c>
      <c r="AD145" s="549">
        <v>0.25818335244921631</v>
      </c>
      <c r="AE145" s="549">
        <v>0.25818335244921631</v>
      </c>
      <c r="AF145" s="549">
        <v>0</v>
      </c>
      <c r="AG145" s="549">
        <v>0</v>
      </c>
      <c r="AH145" s="549">
        <v>0</v>
      </c>
      <c r="AI145" s="549">
        <v>0</v>
      </c>
      <c r="AJ145" s="549">
        <v>0</v>
      </c>
      <c r="AK145" s="549">
        <v>0</v>
      </c>
      <c r="AL145" s="549">
        <v>0</v>
      </c>
      <c r="AM145" s="549">
        <v>0</v>
      </c>
      <c r="AN145" s="549">
        <v>0</v>
      </c>
      <c r="AO145" s="549">
        <v>0</v>
      </c>
      <c r="AP145" s="549">
        <v>0</v>
      </c>
      <c r="AQ145" s="549">
        <v>0</v>
      </c>
      <c r="AR145" s="549">
        <v>0</v>
      </c>
      <c r="AS145" s="549">
        <v>0</v>
      </c>
      <c r="AT145" s="549">
        <v>0</v>
      </c>
      <c r="AU145" s="549">
        <v>0</v>
      </c>
      <c r="AV145" s="549">
        <v>0</v>
      </c>
      <c r="AW145" s="549">
        <v>0</v>
      </c>
      <c r="AX145" s="549">
        <v>0</v>
      </c>
      <c r="AY145" s="549">
        <v>0</v>
      </c>
      <c r="AZ145" s="550">
        <v>0</v>
      </c>
    </row>
    <row r="146" spans="1:52" s="469" customFormat="1">
      <c r="A146" s="485">
        <f>'[4]Allocation Methodology'!A60</f>
        <v>56</v>
      </c>
      <c r="B146" s="521" t="str">
        <f>'[4]Allocation Methodology'!B60</f>
        <v>peaksaver®</v>
      </c>
      <c r="C146" s="486" t="str">
        <f>'[4]Allocation Methodology'!C60</f>
        <v>Consumer, Business</v>
      </c>
      <c r="D146" s="486" t="s">
        <v>58</v>
      </c>
      <c r="E146" s="486">
        <f>'[4]Allocation Methodology'!D60</f>
        <v>2010</v>
      </c>
      <c r="F146" s="487" t="str">
        <f>'[4]Allocation Methodology'!E60</f>
        <v>Final</v>
      </c>
      <c r="G146" s="471"/>
      <c r="H146" s="545">
        <v>0</v>
      </c>
      <c r="I146" s="546">
        <v>0</v>
      </c>
      <c r="J146" s="546">
        <v>0</v>
      </c>
      <c r="K146" s="546">
        <v>0</v>
      </c>
      <c r="L146" s="546">
        <v>0</v>
      </c>
      <c r="M146" s="546">
        <v>0</v>
      </c>
      <c r="N146" s="546">
        <v>0</v>
      </c>
      <c r="O146" s="546">
        <v>0</v>
      </c>
      <c r="P146" s="546">
        <v>0</v>
      </c>
      <c r="Q146" s="546">
        <v>0</v>
      </c>
      <c r="R146" s="546">
        <v>0</v>
      </c>
      <c r="S146" s="546">
        <v>0</v>
      </c>
      <c r="T146" s="546">
        <v>0</v>
      </c>
      <c r="U146" s="546">
        <v>0</v>
      </c>
      <c r="V146" s="546">
        <v>0</v>
      </c>
      <c r="W146" s="546">
        <v>0</v>
      </c>
      <c r="X146" s="546">
        <v>0</v>
      </c>
      <c r="Y146" s="546">
        <v>0</v>
      </c>
      <c r="Z146" s="546">
        <v>0</v>
      </c>
      <c r="AA146" s="546">
        <v>0</v>
      </c>
      <c r="AB146" s="546">
        <v>0</v>
      </c>
      <c r="AC146" s="546">
        <v>0</v>
      </c>
      <c r="AD146" s="546">
        <v>0</v>
      </c>
      <c r="AE146" s="546">
        <v>0</v>
      </c>
      <c r="AF146" s="546">
        <v>0</v>
      </c>
      <c r="AG146" s="546">
        <v>0</v>
      </c>
      <c r="AH146" s="546">
        <v>0</v>
      </c>
      <c r="AI146" s="546">
        <v>0</v>
      </c>
      <c r="AJ146" s="546">
        <v>0</v>
      </c>
      <c r="AK146" s="546">
        <v>0</v>
      </c>
      <c r="AL146" s="546">
        <v>0</v>
      </c>
      <c r="AM146" s="546">
        <v>0</v>
      </c>
      <c r="AN146" s="546">
        <v>0</v>
      </c>
      <c r="AO146" s="546">
        <v>0</v>
      </c>
      <c r="AP146" s="546">
        <v>0</v>
      </c>
      <c r="AQ146" s="546">
        <v>0</v>
      </c>
      <c r="AR146" s="546">
        <v>0</v>
      </c>
      <c r="AS146" s="546">
        <v>0</v>
      </c>
      <c r="AT146" s="546">
        <v>0</v>
      </c>
      <c r="AU146" s="546">
        <v>0</v>
      </c>
      <c r="AV146" s="546">
        <v>0</v>
      </c>
      <c r="AW146" s="546">
        <v>0</v>
      </c>
      <c r="AX146" s="546">
        <v>0</v>
      </c>
      <c r="AY146" s="546">
        <v>0</v>
      </c>
      <c r="AZ146" s="547">
        <v>0</v>
      </c>
    </row>
    <row r="147" spans="1:52" s="469" customFormat="1">
      <c r="A147" s="492">
        <f>'[4]Allocation Methodology'!A61</f>
        <v>57</v>
      </c>
      <c r="B147" s="493" t="str">
        <f>'[4]Allocation Methodology'!B61</f>
        <v>Electricity Retrofit Incentive</v>
      </c>
      <c r="C147" s="493" t="str">
        <f>'[4]Allocation Methodology'!C61</f>
        <v>Consumer, Business</v>
      </c>
      <c r="D147" s="493" t="s">
        <v>480</v>
      </c>
      <c r="E147" s="493">
        <f>'[4]Allocation Methodology'!D61</f>
        <v>2010</v>
      </c>
      <c r="F147" s="494" t="str">
        <f>'[4]Allocation Methodology'!E61</f>
        <v>Final</v>
      </c>
      <c r="G147" s="471"/>
      <c r="H147" s="548">
        <v>0</v>
      </c>
      <c r="I147" s="549">
        <v>0</v>
      </c>
      <c r="J147" s="549">
        <v>0</v>
      </c>
      <c r="K147" s="549">
        <v>0</v>
      </c>
      <c r="L147" s="549">
        <v>240.79429308437139</v>
      </c>
      <c r="M147" s="549">
        <v>240.79429308437139</v>
      </c>
      <c r="N147" s="549">
        <v>240.79429308437139</v>
      </c>
      <c r="O147" s="549">
        <v>240.79429308437139</v>
      </c>
      <c r="P147" s="549">
        <v>240.79429308437139</v>
      </c>
      <c r="Q147" s="549">
        <v>240.79429308437139</v>
      </c>
      <c r="R147" s="549">
        <v>240.79429308437139</v>
      </c>
      <c r="S147" s="549">
        <v>240.79429308437139</v>
      </c>
      <c r="T147" s="549">
        <v>238.20742511927511</v>
      </c>
      <c r="U147" s="549">
        <v>53.893082606184144</v>
      </c>
      <c r="V147" s="549">
        <v>0</v>
      </c>
      <c r="W147" s="549">
        <v>0</v>
      </c>
      <c r="X147" s="549">
        <v>0</v>
      </c>
      <c r="Y147" s="549">
        <v>0</v>
      </c>
      <c r="Z147" s="549">
        <v>0</v>
      </c>
      <c r="AA147" s="549">
        <v>0</v>
      </c>
      <c r="AB147" s="549">
        <v>0</v>
      </c>
      <c r="AC147" s="549">
        <v>0</v>
      </c>
      <c r="AD147" s="549">
        <v>0</v>
      </c>
      <c r="AE147" s="549">
        <v>0</v>
      </c>
      <c r="AF147" s="549">
        <v>0</v>
      </c>
      <c r="AG147" s="549">
        <v>0</v>
      </c>
      <c r="AH147" s="549">
        <v>0</v>
      </c>
      <c r="AI147" s="549">
        <v>0</v>
      </c>
      <c r="AJ147" s="549">
        <v>0</v>
      </c>
      <c r="AK147" s="549">
        <v>0</v>
      </c>
      <c r="AL147" s="549">
        <v>0</v>
      </c>
      <c r="AM147" s="549">
        <v>0</v>
      </c>
      <c r="AN147" s="549">
        <v>0</v>
      </c>
      <c r="AO147" s="549">
        <v>0</v>
      </c>
      <c r="AP147" s="549">
        <v>0</v>
      </c>
      <c r="AQ147" s="549">
        <v>0</v>
      </c>
      <c r="AR147" s="549">
        <v>0</v>
      </c>
      <c r="AS147" s="549">
        <v>0</v>
      </c>
      <c r="AT147" s="549">
        <v>0</v>
      </c>
      <c r="AU147" s="549">
        <v>0</v>
      </c>
      <c r="AV147" s="549">
        <v>0</v>
      </c>
      <c r="AW147" s="549">
        <v>0</v>
      </c>
      <c r="AX147" s="549">
        <v>0</v>
      </c>
      <c r="AY147" s="549">
        <v>0</v>
      </c>
      <c r="AZ147" s="550">
        <v>0</v>
      </c>
    </row>
    <row r="148" spans="1:52" s="469" customFormat="1">
      <c r="A148" s="485">
        <f>'[4]Allocation Methodology'!A62</f>
        <v>58</v>
      </c>
      <c r="B148" s="486" t="str">
        <f>'[4]Allocation Methodology'!B62</f>
        <v>Toronto Comprehensive</v>
      </c>
      <c r="C148" s="486" t="str">
        <f>'[4]Allocation Methodology'!C62</f>
        <v>Consumer, Consumer Low-Income, Business, Industrial</v>
      </c>
      <c r="D148" s="486" t="s">
        <v>58</v>
      </c>
      <c r="E148" s="486">
        <f>'[4]Allocation Methodology'!D62</f>
        <v>2010</v>
      </c>
      <c r="F148" s="487" t="str">
        <f>'[4]Allocation Methodology'!E62</f>
        <v>Final</v>
      </c>
      <c r="G148" s="471"/>
      <c r="H148" s="545">
        <v>0</v>
      </c>
      <c r="I148" s="546">
        <v>0</v>
      </c>
      <c r="J148" s="546">
        <v>0</v>
      </c>
      <c r="K148" s="546">
        <v>0</v>
      </c>
      <c r="L148" s="546">
        <v>0</v>
      </c>
      <c r="M148" s="546">
        <v>0</v>
      </c>
      <c r="N148" s="546">
        <v>0</v>
      </c>
      <c r="O148" s="546">
        <v>0</v>
      </c>
      <c r="P148" s="546">
        <v>0</v>
      </c>
      <c r="Q148" s="546">
        <v>0</v>
      </c>
      <c r="R148" s="546">
        <v>0</v>
      </c>
      <c r="S148" s="546">
        <v>0</v>
      </c>
      <c r="T148" s="546">
        <v>0</v>
      </c>
      <c r="U148" s="546">
        <v>0</v>
      </c>
      <c r="V148" s="546">
        <v>0</v>
      </c>
      <c r="W148" s="546">
        <v>0</v>
      </c>
      <c r="X148" s="546">
        <v>0</v>
      </c>
      <c r="Y148" s="546">
        <v>0</v>
      </c>
      <c r="Z148" s="546">
        <v>0</v>
      </c>
      <c r="AA148" s="546">
        <v>0</v>
      </c>
      <c r="AB148" s="546">
        <v>0</v>
      </c>
      <c r="AC148" s="546">
        <v>0</v>
      </c>
      <c r="AD148" s="546">
        <v>0</v>
      </c>
      <c r="AE148" s="546">
        <v>0</v>
      </c>
      <c r="AF148" s="546">
        <v>0</v>
      </c>
      <c r="AG148" s="546">
        <v>0</v>
      </c>
      <c r="AH148" s="546">
        <v>0</v>
      </c>
      <c r="AI148" s="546">
        <v>0</v>
      </c>
      <c r="AJ148" s="546">
        <v>0</v>
      </c>
      <c r="AK148" s="546">
        <v>0</v>
      </c>
      <c r="AL148" s="546">
        <v>0</v>
      </c>
      <c r="AM148" s="546">
        <v>0</v>
      </c>
      <c r="AN148" s="546">
        <v>0</v>
      </c>
      <c r="AO148" s="546">
        <v>0</v>
      </c>
      <c r="AP148" s="546">
        <v>0</v>
      </c>
      <c r="AQ148" s="546">
        <v>0</v>
      </c>
      <c r="AR148" s="546">
        <v>0</v>
      </c>
      <c r="AS148" s="546">
        <v>0</v>
      </c>
      <c r="AT148" s="546">
        <v>0</v>
      </c>
      <c r="AU148" s="546">
        <v>0</v>
      </c>
      <c r="AV148" s="546">
        <v>0</v>
      </c>
      <c r="AW148" s="546">
        <v>0</v>
      </c>
      <c r="AX148" s="546">
        <v>0</v>
      </c>
      <c r="AY148" s="546">
        <v>0</v>
      </c>
      <c r="AZ148" s="547">
        <v>0</v>
      </c>
    </row>
    <row r="149" spans="1:52" s="469" customFormat="1">
      <c r="A149" s="492">
        <f>'[4]Allocation Methodology'!A63</f>
        <v>59</v>
      </c>
      <c r="B149" s="493" t="str">
        <f>'[4]Allocation Methodology'!B63</f>
        <v>High Performance New Construction</v>
      </c>
      <c r="C149" s="493" t="str">
        <f>'[4]Allocation Methodology'!C63</f>
        <v>Business</v>
      </c>
      <c r="D149" s="493" t="s">
        <v>480</v>
      </c>
      <c r="E149" s="493">
        <f>'[4]Allocation Methodology'!D63</f>
        <v>2010</v>
      </c>
      <c r="F149" s="494" t="str">
        <f>'[4]Allocation Methodology'!E63</f>
        <v>Final</v>
      </c>
      <c r="G149" s="471"/>
      <c r="H149" s="548">
        <v>0</v>
      </c>
      <c r="I149" s="549">
        <v>0</v>
      </c>
      <c r="J149" s="549">
        <v>0</v>
      </c>
      <c r="K149" s="549">
        <v>0</v>
      </c>
      <c r="L149" s="549">
        <v>196.16017213547786</v>
      </c>
      <c r="M149" s="549">
        <v>196.16017213547786</v>
      </c>
      <c r="N149" s="549">
        <v>196.16017213547786</v>
      </c>
      <c r="O149" s="549">
        <v>196.16017213547786</v>
      </c>
      <c r="P149" s="549">
        <v>196.16017213547786</v>
      </c>
      <c r="Q149" s="549">
        <v>196.16017213547786</v>
      </c>
      <c r="R149" s="549">
        <v>196.16017213547786</v>
      </c>
      <c r="S149" s="549">
        <v>196.16017213547786</v>
      </c>
      <c r="T149" s="549">
        <v>196.16017213547786</v>
      </c>
      <c r="U149" s="549">
        <v>196.16017213547786</v>
      </c>
      <c r="V149" s="549">
        <v>196.16017213547786</v>
      </c>
      <c r="W149" s="549">
        <v>196.16017213547786</v>
      </c>
      <c r="X149" s="549">
        <v>196.16017213547786</v>
      </c>
      <c r="Y149" s="549">
        <v>196.16017213547786</v>
      </c>
      <c r="Z149" s="549">
        <v>196.16017213547786</v>
      </c>
      <c r="AA149" s="549">
        <v>196.16017213547786</v>
      </c>
      <c r="AB149" s="549">
        <v>196.16017213547786</v>
      </c>
      <c r="AC149" s="549">
        <v>196.16017213547786</v>
      </c>
      <c r="AD149" s="549">
        <v>196.16017213547786</v>
      </c>
      <c r="AE149" s="549">
        <v>196.16017213547786</v>
      </c>
      <c r="AF149" s="549">
        <v>0</v>
      </c>
      <c r="AG149" s="549">
        <v>0</v>
      </c>
      <c r="AH149" s="549">
        <v>0</v>
      </c>
      <c r="AI149" s="549">
        <v>0</v>
      </c>
      <c r="AJ149" s="549">
        <v>0</v>
      </c>
      <c r="AK149" s="549">
        <v>0</v>
      </c>
      <c r="AL149" s="549">
        <v>0</v>
      </c>
      <c r="AM149" s="549">
        <v>0</v>
      </c>
      <c r="AN149" s="549">
        <v>0</v>
      </c>
      <c r="AO149" s="549">
        <v>0</v>
      </c>
      <c r="AP149" s="549">
        <v>0</v>
      </c>
      <c r="AQ149" s="549">
        <v>0</v>
      </c>
      <c r="AR149" s="549">
        <v>0</v>
      </c>
      <c r="AS149" s="549">
        <v>0</v>
      </c>
      <c r="AT149" s="549">
        <v>0</v>
      </c>
      <c r="AU149" s="549">
        <v>0</v>
      </c>
      <c r="AV149" s="549">
        <v>0</v>
      </c>
      <c r="AW149" s="549">
        <v>0</v>
      </c>
      <c r="AX149" s="549">
        <v>0</v>
      </c>
      <c r="AY149" s="549">
        <v>0</v>
      </c>
      <c r="AZ149" s="550">
        <v>0</v>
      </c>
    </row>
    <row r="150" spans="1:52" s="469" customFormat="1">
      <c r="A150" s="485">
        <f>'[4]Allocation Methodology'!A64</f>
        <v>60</v>
      </c>
      <c r="B150" s="486" t="str">
        <f>'[4]Allocation Methodology'!B64</f>
        <v>Power Savings Blitz</v>
      </c>
      <c r="C150" s="486" t="str">
        <f>'[4]Allocation Methodology'!C64</f>
        <v>Business</v>
      </c>
      <c r="D150" s="486" t="s">
        <v>486</v>
      </c>
      <c r="E150" s="486">
        <f>'[4]Allocation Methodology'!D64</f>
        <v>2010</v>
      </c>
      <c r="F150" s="487" t="str">
        <f>'[4]Allocation Methodology'!E64</f>
        <v>Final</v>
      </c>
      <c r="G150" s="471"/>
      <c r="H150" s="545">
        <v>0</v>
      </c>
      <c r="I150" s="546">
        <v>0</v>
      </c>
      <c r="J150" s="546">
        <v>0</v>
      </c>
      <c r="K150" s="546">
        <v>0</v>
      </c>
      <c r="L150" s="546">
        <v>539.41236895018005</v>
      </c>
      <c r="M150" s="546">
        <v>539.41236895018005</v>
      </c>
      <c r="N150" s="546">
        <v>539.41236895018005</v>
      </c>
      <c r="O150" s="546">
        <v>539.41236895018005</v>
      </c>
      <c r="P150" s="546">
        <v>539.41236895018005</v>
      </c>
      <c r="Q150" s="546">
        <v>539.41236895018005</v>
      </c>
      <c r="R150" s="546">
        <v>539.41236895018005</v>
      </c>
      <c r="S150" s="546">
        <v>364.05128221036796</v>
      </c>
      <c r="T150" s="546">
        <v>0</v>
      </c>
      <c r="U150" s="546">
        <v>0</v>
      </c>
      <c r="V150" s="546">
        <v>0</v>
      </c>
      <c r="W150" s="546">
        <v>0</v>
      </c>
      <c r="X150" s="546">
        <v>0</v>
      </c>
      <c r="Y150" s="546">
        <v>0</v>
      </c>
      <c r="Z150" s="546">
        <v>0</v>
      </c>
      <c r="AA150" s="546">
        <v>0</v>
      </c>
      <c r="AB150" s="546">
        <v>0</v>
      </c>
      <c r="AC150" s="546">
        <v>0</v>
      </c>
      <c r="AD150" s="546">
        <v>0</v>
      </c>
      <c r="AE150" s="546">
        <v>0</v>
      </c>
      <c r="AF150" s="546">
        <v>0</v>
      </c>
      <c r="AG150" s="546">
        <v>0</v>
      </c>
      <c r="AH150" s="546">
        <v>0</v>
      </c>
      <c r="AI150" s="546">
        <v>0</v>
      </c>
      <c r="AJ150" s="546">
        <v>0</v>
      </c>
      <c r="AK150" s="546">
        <v>0</v>
      </c>
      <c r="AL150" s="546">
        <v>0</v>
      </c>
      <c r="AM150" s="546">
        <v>0</v>
      </c>
      <c r="AN150" s="546">
        <v>0</v>
      </c>
      <c r="AO150" s="546">
        <v>0</v>
      </c>
      <c r="AP150" s="546">
        <v>0</v>
      </c>
      <c r="AQ150" s="546">
        <v>0</v>
      </c>
      <c r="AR150" s="546">
        <v>0</v>
      </c>
      <c r="AS150" s="546">
        <v>0</v>
      </c>
      <c r="AT150" s="546">
        <v>0</v>
      </c>
      <c r="AU150" s="546">
        <v>0</v>
      </c>
      <c r="AV150" s="546">
        <v>0</v>
      </c>
      <c r="AW150" s="546">
        <v>0</v>
      </c>
      <c r="AX150" s="546">
        <v>0</v>
      </c>
      <c r="AY150" s="546">
        <v>0</v>
      </c>
      <c r="AZ150" s="547">
        <v>0</v>
      </c>
    </row>
    <row r="151" spans="1:52" s="469" customFormat="1">
      <c r="A151" s="492">
        <f>'[4]Allocation Methodology'!A65</f>
        <v>61</v>
      </c>
      <c r="B151" s="493" t="str">
        <f>'[4]Allocation Methodology'!B65</f>
        <v>Multi-Family Energy Efficiency Rebates</v>
      </c>
      <c r="C151" s="493" t="str">
        <f>'[4]Allocation Methodology'!C65</f>
        <v>Consumer, Consumer Low-Income</v>
      </c>
      <c r="D151" s="493" t="s">
        <v>17</v>
      </c>
      <c r="E151" s="493">
        <f>'[4]Allocation Methodology'!D65</f>
        <v>2010</v>
      </c>
      <c r="F151" s="494" t="str">
        <f>'[4]Allocation Methodology'!E65</f>
        <v>Final</v>
      </c>
      <c r="G151" s="471"/>
      <c r="H151" s="548">
        <v>0</v>
      </c>
      <c r="I151" s="549">
        <v>0</v>
      </c>
      <c r="J151" s="549">
        <v>0</v>
      </c>
      <c r="K151" s="549">
        <v>0</v>
      </c>
      <c r="L151" s="549">
        <v>99.460353780097165</v>
      </c>
      <c r="M151" s="549">
        <v>99.460353780097165</v>
      </c>
      <c r="N151" s="549">
        <v>99.460353780097165</v>
      </c>
      <c r="O151" s="549">
        <v>99.460353780097165</v>
      </c>
      <c r="P151" s="549">
        <v>99.460353780097165</v>
      </c>
      <c r="Q151" s="549">
        <v>99.460353780097165</v>
      </c>
      <c r="R151" s="549">
        <v>99.460353780097165</v>
      </c>
      <c r="S151" s="549">
        <v>99.460353780097165</v>
      </c>
      <c r="T151" s="549">
        <v>99.460353780097165</v>
      </c>
      <c r="U151" s="549">
        <v>8.8903109524138273</v>
      </c>
      <c r="V151" s="549">
        <v>0</v>
      </c>
      <c r="W151" s="549">
        <v>0</v>
      </c>
      <c r="X151" s="549">
        <v>0</v>
      </c>
      <c r="Y151" s="549">
        <v>0</v>
      </c>
      <c r="Z151" s="549">
        <v>0</v>
      </c>
      <c r="AA151" s="549">
        <v>0</v>
      </c>
      <c r="AB151" s="549">
        <v>0</v>
      </c>
      <c r="AC151" s="549">
        <v>0</v>
      </c>
      <c r="AD151" s="549">
        <v>0</v>
      </c>
      <c r="AE151" s="549">
        <v>0</v>
      </c>
      <c r="AF151" s="549">
        <v>0</v>
      </c>
      <c r="AG151" s="549">
        <v>0</v>
      </c>
      <c r="AH151" s="549">
        <v>0</v>
      </c>
      <c r="AI151" s="549">
        <v>0</v>
      </c>
      <c r="AJ151" s="549">
        <v>0</v>
      </c>
      <c r="AK151" s="549">
        <v>0</v>
      </c>
      <c r="AL151" s="549">
        <v>0</v>
      </c>
      <c r="AM151" s="549">
        <v>0</v>
      </c>
      <c r="AN151" s="549">
        <v>0</v>
      </c>
      <c r="AO151" s="549">
        <v>0</v>
      </c>
      <c r="AP151" s="549">
        <v>0</v>
      </c>
      <c r="AQ151" s="549">
        <v>0</v>
      </c>
      <c r="AR151" s="549">
        <v>0</v>
      </c>
      <c r="AS151" s="549">
        <v>0</v>
      </c>
      <c r="AT151" s="549">
        <v>0</v>
      </c>
      <c r="AU151" s="549">
        <v>0</v>
      </c>
      <c r="AV151" s="549">
        <v>0</v>
      </c>
      <c r="AW151" s="549">
        <v>0</v>
      </c>
      <c r="AX151" s="549">
        <v>0</v>
      </c>
      <c r="AY151" s="549">
        <v>0</v>
      </c>
      <c r="AZ151" s="550">
        <v>0</v>
      </c>
    </row>
    <row r="152" spans="1:52" s="469" customFormat="1">
      <c r="A152" s="485">
        <f>'[4]Allocation Methodology'!A66</f>
        <v>62</v>
      </c>
      <c r="B152" s="486" t="str">
        <f>'[4]Allocation Methodology'!B66</f>
        <v>Demand Response 2</v>
      </c>
      <c r="C152" s="486" t="str">
        <f>'[4]Allocation Methodology'!C66</f>
        <v>Business, Industrial</v>
      </c>
      <c r="D152" s="486" t="s">
        <v>480</v>
      </c>
      <c r="E152" s="486">
        <f>'[4]Allocation Methodology'!D66</f>
        <v>2010</v>
      </c>
      <c r="F152" s="487" t="str">
        <f>'[4]Allocation Methodology'!E66</f>
        <v>Final</v>
      </c>
      <c r="G152" s="471"/>
      <c r="H152" s="545">
        <v>0</v>
      </c>
      <c r="I152" s="546">
        <v>0</v>
      </c>
      <c r="J152" s="546">
        <v>0</v>
      </c>
      <c r="K152" s="546">
        <v>0</v>
      </c>
      <c r="L152" s="546">
        <v>927.03949446998331</v>
      </c>
      <c r="M152" s="546">
        <v>0</v>
      </c>
      <c r="N152" s="546">
        <v>0</v>
      </c>
      <c r="O152" s="546">
        <v>0</v>
      </c>
      <c r="P152" s="546">
        <v>0</v>
      </c>
      <c r="Q152" s="546">
        <v>0</v>
      </c>
      <c r="R152" s="546">
        <v>0</v>
      </c>
      <c r="S152" s="546">
        <v>0</v>
      </c>
      <c r="T152" s="546">
        <v>0</v>
      </c>
      <c r="U152" s="546">
        <v>0</v>
      </c>
      <c r="V152" s="546">
        <v>0</v>
      </c>
      <c r="W152" s="546">
        <v>0</v>
      </c>
      <c r="X152" s="546">
        <v>0</v>
      </c>
      <c r="Y152" s="546">
        <v>0</v>
      </c>
      <c r="Z152" s="546">
        <v>0</v>
      </c>
      <c r="AA152" s="546">
        <v>0</v>
      </c>
      <c r="AB152" s="546">
        <v>0</v>
      </c>
      <c r="AC152" s="546">
        <v>0</v>
      </c>
      <c r="AD152" s="546">
        <v>0</v>
      </c>
      <c r="AE152" s="546">
        <v>0</v>
      </c>
      <c r="AF152" s="546">
        <v>0</v>
      </c>
      <c r="AG152" s="546">
        <v>0</v>
      </c>
      <c r="AH152" s="546">
        <v>0</v>
      </c>
      <c r="AI152" s="546">
        <v>0</v>
      </c>
      <c r="AJ152" s="546">
        <v>0</v>
      </c>
      <c r="AK152" s="546">
        <v>0</v>
      </c>
      <c r="AL152" s="546">
        <v>0</v>
      </c>
      <c r="AM152" s="546">
        <v>0</v>
      </c>
      <c r="AN152" s="546">
        <v>0</v>
      </c>
      <c r="AO152" s="546">
        <v>0</v>
      </c>
      <c r="AP152" s="546">
        <v>0</v>
      </c>
      <c r="AQ152" s="546">
        <v>0</v>
      </c>
      <c r="AR152" s="546">
        <v>0</v>
      </c>
      <c r="AS152" s="546">
        <v>0</v>
      </c>
      <c r="AT152" s="546">
        <v>0</v>
      </c>
      <c r="AU152" s="546">
        <v>0</v>
      </c>
      <c r="AV152" s="546">
        <v>0</v>
      </c>
      <c r="AW152" s="546">
        <v>0</v>
      </c>
      <c r="AX152" s="546">
        <v>0</v>
      </c>
      <c r="AY152" s="546">
        <v>0</v>
      </c>
      <c r="AZ152" s="547">
        <v>0</v>
      </c>
    </row>
    <row r="153" spans="1:52" s="469" customFormat="1">
      <c r="A153" s="492">
        <f>'[4]Allocation Methodology'!A67</f>
        <v>63</v>
      </c>
      <c r="B153" s="493" t="str">
        <f>'[4]Allocation Methodology'!B67</f>
        <v>Demand Response 3</v>
      </c>
      <c r="C153" s="493" t="str">
        <f>'[4]Allocation Methodology'!C67</f>
        <v>Business, Industrial</v>
      </c>
      <c r="D153" s="493" t="s">
        <v>480</v>
      </c>
      <c r="E153" s="493">
        <f>'[4]Allocation Methodology'!D67</f>
        <v>2010</v>
      </c>
      <c r="F153" s="494" t="str">
        <f>'[4]Allocation Methodology'!E67</f>
        <v>Final</v>
      </c>
      <c r="G153" s="471"/>
      <c r="H153" s="548">
        <v>0</v>
      </c>
      <c r="I153" s="549">
        <v>0</v>
      </c>
      <c r="J153" s="549">
        <v>0</v>
      </c>
      <c r="K153" s="549">
        <v>0</v>
      </c>
      <c r="L153" s="549">
        <v>32.85625239207058</v>
      </c>
      <c r="M153" s="549">
        <v>0</v>
      </c>
      <c r="N153" s="549">
        <v>0</v>
      </c>
      <c r="O153" s="549">
        <v>0</v>
      </c>
      <c r="P153" s="549">
        <v>0</v>
      </c>
      <c r="Q153" s="549">
        <v>0</v>
      </c>
      <c r="R153" s="549">
        <v>0</v>
      </c>
      <c r="S153" s="549">
        <v>0</v>
      </c>
      <c r="T153" s="549">
        <v>0</v>
      </c>
      <c r="U153" s="549">
        <v>0</v>
      </c>
      <c r="V153" s="549">
        <v>0</v>
      </c>
      <c r="W153" s="549">
        <v>0</v>
      </c>
      <c r="X153" s="549">
        <v>0</v>
      </c>
      <c r="Y153" s="549">
        <v>0</v>
      </c>
      <c r="Z153" s="549">
        <v>0</v>
      </c>
      <c r="AA153" s="549">
        <v>0</v>
      </c>
      <c r="AB153" s="549">
        <v>0</v>
      </c>
      <c r="AC153" s="549">
        <v>0</v>
      </c>
      <c r="AD153" s="549">
        <v>0</v>
      </c>
      <c r="AE153" s="549">
        <v>0</v>
      </c>
      <c r="AF153" s="549">
        <v>0</v>
      </c>
      <c r="AG153" s="549">
        <v>0</v>
      </c>
      <c r="AH153" s="549">
        <v>0</v>
      </c>
      <c r="AI153" s="549">
        <v>0</v>
      </c>
      <c r="AJ153" s="549">
        <v>0</v>
      </c>
      <c r="AK153" s="549">
        <v>0</v>
      </c>
      <c r="AL153" s="549">
        <v>0</v>
      </c>
      <c r="AM153" s="549">
        <v>0</v>
      </c>
      <c r="AN153" s="549">
        <v>0</v>
      </c>
      <c r="AO153" s="549">
        <v>0</v>
      </c>
      <c r="AP153" s="549">
        <v>0</v>
      </c>
      <c r="AQ153" s="549">
        <v>0</v>
      </c>
      <c r="AR153" s="549">
        <v>0</v>
      </c>
      <c r="AS153" s="549">
        <v>0</v>
      </c>
      <c r="AT153" s="549">
        <v>0</v>
      </c>
      <c r="AU153" s="549">
        <v>0</v>
      </c>
      <c r="AV153" s="549">
        <v>0</v>
      </c>
      <c r="AW153" s="549">
        <v>0</v>
      </c>
      <c r="AX153" s="549">
        <v>0</v>
      </c>
      <c r="AY153" s="549">
        <v>0</v>
      </c>
      <c r="AZ153" s="550">
        <v>0</v>
      </c>
    </row>
    <row r="154" spans="1:52" s="469" customFormat="1">
      <c r="A154" s="485">
        <f>'[4]Allocation Methodology'!A68</f>
        <v>64</v>
      </c>
      <c r="B154" s="486" t="str">
        <f>'[4]Allocation Methodology'!B68</f>
        <v>Loblaw &amp; York Region Demand Response</v>
      </c>
      <c r="C154" s="486" t="str">
        <f>'[4]Allocation Methodology'!C68</f>
        <v>Business, Industrial</v>
      </c>
      <c r="D154" s="486" t="s">
        <v>480</v>
      </c>
      <c r="E154" s="486">
        <f>'[4]Allocation Methodology'!D68</f>
        <v>2010</v>
      </c>
      <c r="F154" s="487" t="str">
        <f>'[4]Allocation Methodology'!E68</f>
        <v>Final</v>
      </c>
      <c r="G154" s="471"/>
      <c r="H154" s="545">
        <v>0</v>
      </c>
      <c r="I154" s="546">
        <v>0</v>
      </c>
      <c r="J154" s="546">
        <v>0</v>
      </c>
      <c r="K154" s="546">
        <v>0</v>
      </c>
      <c r="L154" s="546">
        <v>0</v>
      </c>
      <c r="M154" s="546">
        <v>0</v>
      </c>
      <c r="N154" s="546">
        <v>0</v>
      </c>
      <c r="O154" s="546">
        <v>0</v>
      </c>
      <c r="P154" s="546">
        <v>0</v>
      </c>
      <c r="Q154" s="546">
        <v>0</v>
      </c>
      <c r="R154" s="546">
        <v>0</v>
      </c>
      <c r="S154" s="546">
        <v>0</v>
      </c>
      <c r="T154" s="546">
        <v>0</v>
      </c>
      <c r="U154" s="546">
        <v>0</v>
      </c>
      <c r="V154" s="546">
        <v>0</v>
      </c>
      <c r="W154" s="546">
        <v>0</v>
      </c>
      <c r="X154" s="546">
        <v>0</v>
      </c>
      <c r="Y154" s="546">
        <v>0</v>
      </c>
      <c r="Z154" s="546">
        <v>0</v>
      </c>
      <c r="AA154" s="546">
        <v>0</v>
      </c>
      <c r="AB154" s="546">
        <v>0</v>
      </c>
      <c r="AC154" s="546">
        <v>0</v>
      </c>
      <c r="AD154" s="546">
        <v>0</v>
      </c>
      <c r="AE154" s="546">
        <v>0</v>
      </c>
      <c r="AF154" s="546">
        <v>0</v>
      </c>
      <c r="AG154" s="546">
        <v>0</v>
      </c>
      <c r="AH154" s="546">
        <v>0</v>
      </c>
      <c r="AI154" s="546">
        <v>0</v>
      </c>
      <c r="AJ154" s="546">
        <v>0</v>
      </c>
      <c r="AK154" s="546">
        <v>0</v>
      </c>
      <c r="AL154" s="546">
        <v>0</v>
      </c>
      <c r="AM154" s="546">
        <v>0</v>
      </c>
      <c r="AN154" s="546">
        <v>0</v>
      </c>
      <c r="AO154" s="546">
        <v>0</v>
      </c>
      <c r="AP154" s="546">
        <v>0</v>
      </c>
      <c r="AQ154" s="546">
        <v>0</v>
      </c>
      <c r="AR154" s="546">
        <v>0</v>
      </c>
      <c r="AS154" s="546">
        <v>0</v>
      </c>
      <c r="AT154" s="546">
        <v>0</v>
      </c>
      <c r="AU154" s="546">
        <v>0</v>
      </c>
      <c r="AV154" s="546">
        <v>0</v>
      </c>
      <c r="AW154" s="546">
        <v>0</v>
      </c>
      <c r="AX154" s="546">
        <v>0</v>
      </c>
      <c r="AY154" s="546">
        <v>0</v>
      </c>
      <c r="AZ154" s="547">
        <v>0</v>
      </c>
    </row>
    <row r="155" spans="1:52" s="469" customFormat="1">
      <c r="A155" s="499">
        <f>'[4]Allocation Methodology'!A69</f>
        <v>65</v>
      </c>
      <c r="B155" s="500" t="str">
        <f>'[4]Allocation Methodology'!B69</f>
        <v>LDC Custom - Hydro Ottawa - Small Commercial Demand Response</v>
      </c>
      <c r="C155" s="500" t="str">
        <f>'[4]Allocation Methodology'!C69</f>
        <v>Consumer</v>
      </c>
      <c r="D155" s="500" t="s">
        <v>58</v>
      </c>
      <c r="E155" s="500">
        <f>'[4]Allocation Methodology'!D69</f>
        <v>2010</v>
      </c>
      <c r="F155" s="501" t="str">
        <f>'[4]Allocation Methodology'!E69</f>
        <v>Final</v>
      </c>
      <c r="G155" s="471"/>
      <c r="H155" s="551">
        <v>0</v>
      </c>
      <c r="I155" s="552">
        <v>0</v>
      </c>
      <c r="J155" s="552">
        <v>0</v>
      </c>
      <c r="K155" s="552">
        <v>0</v>
      </c>
      <c r="L155" s="552">
        <v>0</v>
      </c>
      <c r="M155" s="552">
        <v>0</v>
      </c>
      <c r="N155" s="552">
        <v>0</v>
      </c>
      <c r="O155" s="552">
        <v>0</v>
      </c>
      <c r="P155" s="552">
        <v>0</v>
      </c>
      <c r="Q155" s="552">
        <v>0</v>
      </c>
      <c r="R155" s="552">
        <v>0</v>
      </c>
      <c r="S155" s="552">
        <v>0</v>
      </c>
      <c r="T155" s="552">
        <v>0</v>
      </c>
      <c r="U155" s="552">
        <v>0</v>
      </c>
      <c r="V155" s="552">
        <v>0</v>
      </c>
      <c r="W155" s="552">
        <v>0</v>
      </c>
      <c r="X155" s="552">
        <v>0</v>
      </c>
      <c r="Y155" s="552">
        <v>0</v>
      </c>
      <c r="Z155" s="552">
        <v>0</v>
      </c>
      <c r="AA155" s="552">
        <v>0</v>
      </c>
      <c r="AB155" s="552">
        <v>0</v>
      </c>
      <c r="AC155" s="552">
        <v>0</v>
      </c>
      <c r="AD155" s="552">
        <v>0</v>
      </c>
      <c r="AE155" s="552">
        <v>0</v>
      </c>
      <c r="AF155" s="552">
        <v>0</v>
      </c>
      <c r="AG155" s="552">
        <v>0</v>
      </c>
      <c r="AH155" s="552">
        <v>0</v>
      </c>
      <c r="AI155" s="552">
        <v>0</v>
      </c>
      <c r="AJ155" s="552">
        <v>0</v>
      </c>
      <c r="AK155" s="552">
        <v>0</v>
      </c>
      <c r="AL155" s="552">
        <v>0</v>
      </c>
      <c r="AM155" s="552">
        <v>0</v>
      </c>
      <c r="AN155" s="552">
        <v>0</v>
      </c>
      <c r="AO155" s="552">
        <v>0</v>
      </c>
      <c r="AP155" s="552">
        <v>0</v>
      </c>
      <c r="AQ155" s="552">
        <v>0</v>
      </c>
      <c r="AR155" s="552">
        <v>0</v>
      </c>
      <c r="AS155" s="552">
        <v>0</v>
      </c>
      <c r="AT155" s="552">
        <v>0</v>
      </c>
      <c r="AU155" s="552">
        <v>0</v>
      </c>
      <c r="AV155" s="552">
        <v>0</v>
      </c>
      <c r="AW155" s="552">
        <v>0</v>
      </c>
      <c r="AX155" s="552">
        <v>0</v>
      </c>
      <c r="AY155" s="552">
        <v>0</v>
      </c>
      <c r="AZ155" s="553">
        <v>0</v>
      </c>
    </row>
    <row r="156" spans="1:52" s="469" customFormat="1" ht="4.5" customHeight="1">
      <c r="A156" s="477"/>
      <c r="B156" s="477"/>
      <c r="C156" s="477"/>
      <c r="D156" s="477"/>
      <c r="E156" s="477"/>
      <c r="F156" s="477"/>
      <c r="G156" s="467"/>
      <c r="H156" s="468"/>
      <c r="I156" s="468"/>
      <c r="J156" s="468"/>
      <c r="K156" s="468"/>
      <c r="L156" s="468"/>
      <c r="M156" s="468"/>
      <c r="N156" s="468"/>
      <c r="O156" s="468"/>
      <c r="P156" s="468"/>
      <c r="Q156" s="468"/>
      <c r="R156" s="468"/>
      <c r="S156" s="468"/>
      <c r="T156" s="468"/>
      <c r="U156" s="468"/>
      <c r="V156" s="468"/>
      <c r="W156" s="468"/>
      <c r="X156" s="468"/>
      <c r="Y156" s="468"/>
      <c r="Z156" s="468"/>
      <c r="AA156" s="468"/>
      <c r="AB156" s="468"/>
      <c r="AC156" s="468"/>
      <c r="AD156" s="468"/>
      <c r="AE156" s="468"/>
      <c r="AF156" s="468"/>
      <c r="AG156" s="468"/>
      <c r="AH156" s="468"/>
      <c r="AI156" s="468"/>
      <c r="AJ156" s="468"/>
      <c r="AK156" s="468"/>
      <c r="AL156" s="468"/>
      <c r="AM156" s="468"/>
      <c r="AN156" s="468"/>
      <c r="AO156" s="468"/>
      <c r="AP156" s="468"/>
      <c r="AQ156" s="468"/>
      <c r="AR156" s="468"/>
      <c r="AS156" s="468"/>
      <c r="AT156" s="468"/>
      <c r="AU156" s="468"/>
      <c r="AV156" s="468"/>
      <c r="AW156" s="468"/>
      <c r="AX156" s="468"/>
      <c r="AY156" s="468"/>
      <c r="AZ156" s="468"/>
    </row>
    <row r="157" spans="1:52" s="469" customFormat="1" ht="13">
      <c r="A157" s="529" t="s">
        <v>510</v>
      </c>
      <c r="B157" s="530"/>
      <c r="C157" s="530"/>
      <c r="D157" s="530"/>
      <c r="E157" s="530"/>
      <c r="F157" s="531"/>
      <c r="G157" s="467"/>
      <c r="H157" s="563">
        <f>SUM(H91:H95)</f>
        <v>1876.2385343674682</v>
      </c>
      <c r="I157" s="563">
        <f t="shared" ref="I157:AZ157" si="9">SUM(I91:I95)</f>
        <v>1876.2385343674682</v>
      </c>
      <c r="J157" s="563">
        <f t="shared" si="9"/>
        <v>1876.2385343674682</v>
      </c>
      <c r="K157" s="563">
        <f t="shared" si="9"/>
        <v>1876.2385343674682</v>
      </c>
      <c r="L157" s="563">
        <f t="shared" si="9"/>
        <v>325.86108871312388</v>
      </c>
      <c r="M157" s="563">
        <f t="shared" si="9"/>
        <v>325.86108871312388</v>
      </c>
      <c r="N157" s="563">
        <f t="shared" si="9"/>
        <v>298.07417858510252</v>
      </c>
      <c r="O157" s="563">
        <f t="shared" si="9"/>
        <v>298.07417858510252</v>
      </c>
      <c r="P157" s="563">
        <f t="shared" si="9"/>
        <v>280.08661628025726</v>
      </c>
      <c r="Q157" s="563">
        <f t="shared" si="9"/>
        <v>280.08661628025726</v>
      </c>
      <c r="R157" s="563">
        <f t="shared" si="9"/>
        <v>264.62007142002858</v>
      </c>
      <c r="S157" s="563">
        <f t="shared" si="9"/>
        <v>264.62007142002858</v>
      </c>
      <c r="T157" s="563">
        <f t="shared" si="9"/>
        <v>264.62007142002858</v>
      </c>
      <c r="U157" s="563">
        <f t="shared" si="9"/>
        <v>264.62007142002858</v>
      </c>
      <c r="V157" s="563">
        <f t="shared" si="9"/>
        <v>239.53084868008426</v>
      </c>
      <c r="W157" s="563">
        <f t="shared" si="9"/>
        <v>208.20386577741664</v>
      </c>
      <c r="X157" s="563">
        <f t="shared" si="9"/>
        <v>208.20386577741664</v>
      </c>
      <c r="Y157" s="563">
        <f t="shared" si="9"/>
        <v>208.20386577741664</v>
      </c>
      <c r="Z157" s="563">
        <f t="shared" si="9"/>
        <v>112.49868174790195</v>
      </c>
      <c r="AA157" s="563">
        <f t="shared" si="9"/>
        <v>112.49868174790195</v>
      </c>
      <c r="AB157" s="563">
        <f t="shared" si="9"/>
        <v>65.642743632997878</v>
      </c>
      <c r="AC157" s="563">
        <f t="shared" si="9"/>
        <v>65.642743632997878</v>
      </c>
      <c r="AD157" s="563">
        <f t="shared" si="9"/>
        <v>65.642743632997878</v>
      </c>
      <c r="AE157" s="563">
        <f t="shared" si="9"/>
        <v>65.642743632997878</v>
      </c>
      <c r="AF157" s="563">
        <f t="shared" si="9"/>
        <v>65.642743632997878</v>
      </c>
      <c r="AG157" s="563">
        <f t="shared" si="9"/>
        <v>10.651235022659334</v>
      </c>
      <c r="AH157" s="563">
        <f t="shared" si="9"/>
        <v>10.651235022659334</v>
      </c>
      <c r="AI157" s="563">
        <f t="shared" si="9"/>
        <v>10.651235022659334</v>
      </c>
      <c r="AJ157" s="563">
        <f t="shared" si="9"/>
        <v>10.651235022659334</v>
      </c>
      <c r="AK157" s="563">
        <f t="shared" si="9"/>
        <v>10.651235022659334</v>
      </c>
      <c r="AL157" s="563">
        <f t="shared" si="9"/>
        <v>0</v>
      </c>
      <c r="AM157" s="563">
        <f t="shared" si="9"/>
        <v>0</v>
      </c>
      <c r="AN157" s="563">
        <f t="shared" si="9"/>
        <v>0</v>
      </c>
      <c r="AO157" s="563">
        <f t="shared" si="9"/>
        <v>0</v>
      </c>
      <c r="AP157" s="563">
        <f t="shared" si="9"/>
        <v>0</v>
      </c>
      <c r="AQ157" s="563">
        <f t="shared" si="9"/>
        <v>0</v>
      </c>
      <c r="AR157" s="563">
        <f t="shared" si="9"/>
        <v>0</v>
      </c>
      <c r="AS157" s="563">
        <f t="shared" si="9"/>
        <v>0</v>
      </c>
      <c r="AT157" s="563">
        <f t="shared" si="9"/>
        <v>0</v>
      </c>
      <c r="AU157" s="563">
        <f t="shared" si="9"/>
        <v>0</v>
      </c>
      <c r="AV157" s="563">
        <f t="shared" si="9"/>
        <v>0</v>
      </c>
      <c r="AW157" s="563">
        <f t="shared" si="9"/>
        <v>0</v>
      </c>
      <c r="AX157" s="563">
        <f t="shared" si="9"/>
        <v>0</v>
      </c>
      <c r="AY157" s="563">
        <f t="shared" si="9"/>
        <v>0</v>
      </c>
      <c r="AZ157" s="563">
        <f t="shared" si="9"/>
        <v>0</v>
      </c>
    </row>
    <row r="158" spans="1:52" s="469" customFormat="1" ht="4.5" customHeight="1">
      <c r="A158" s="477"/>
      <c r="B158" s="477"/>
      <c r="C158" s="477"/>
      <c r="D158" s="477"/>
      <c r="E158" s="477"/>
      <c r="F158" s="477"/>
      <c r="G158" s="467"/>
      <c r="H158" s="564"/>
      <c r="I158" s="564"/>
      <c r="J158" s="564"/>
      <c r="K158" s="564"/>
      <c r="L158" s="564"/>
      <c r="M158" s="564"/>
      <c r="N158" s="564"/>
      <c r="O158" s="564"/>
      <c r="P158" s="564"/>
      <c r="Q158" s="564"/>
      <c r="R158" s="564"/>
      <c r="S158" s="564"/>
      <c r="T158" s="564"/>
      <c r="U158" s="564"/>
      <c r="V158" s="564"/>
      <c r="W158" s="564"/>
      <c r="X158" s="564"/>
      <c r="Y158" s="564"/>
      <c r="Z158" s="564"/>
      <c r="AA158" s="564"/>
      <c r="AB158" s="564"/>
      <c r="AC158" s="564"/>
      <c r="AD158" s="564"/>
      <c r="AE158" s="564"/>
      <c r="AF158" s="564"/>
      <c r="AG158" s="564"/>
      <c r="AH158" s="564"/>
      <c r="AI158" s="564"/>
      <c r="AJ158" s="564"/>
      <c r="AK158" s="564"/>
      <c r="AL158" s="564"/>
      <c r="AM158" s="564"/>
      <c r="AN158" s="564"/>
      <c r="AO158" s="564"/>
      <c r="AP158" s="564"/>
      <c r="AQ158" s="564"/>
      <c r="AR158" s="564"/>
      <c r="AS158" s="564"/>
      <c r="AT158" s="564"/>
      <c r="AU158" s="564"/>
      <c r="AV158" s="564"/>
      <c r="AW158" s="564"/>
      <c r="AX158" s="564"/>
      <c r="AY158" s="564"/>
      <c r="AZ158" s="564"/>
    </row>
    <row r="159" spans="1:52" s="469" customFormat="1" ht="13">
      <c r="A159" s="529" t="s">
        <v>511</v>
      </c>
      <c r="B159" s="530"/>
      <c r="C159" s="530"/>
      <c r="D159" s="530"/>
      <c r="E159" s="530"/>
      <c r="F159" s="531"/>
      <c r="G159" s="467"/>
      <c r="H159" s="563">
        <f>SUM(H96:H109)</f>
        <v>0</v>
      </c>
      <c r="I159" s="563">
        <f t="shared" ref="I159:AZ159" si="10">SUM(I96:I109)</f>
        <v>1556.602117868139</v>
      </c>
      <c r="J159" s="563">
        <f t="shared" si="10"/>
        <v>1273.5937932995905</v>
      </c>
      <c r="K159" s="563">
        <f t="shared" si="10"/>
        <v>1239.0268154664775</v>
      </c>
      <c r="L159" s="563">
        <f t="shared" si="10"/>
        <v>1239.0268154664775</v>
      </c>
      <c r="M159" s="563">
        <f t="shared" si="10"/>
        <v>1238.8715441587897</v>
      </c>
      <c r="N159" s="563">
        <f t="shared" si="10"/>
        <v>1209.2929425285733</v>
      </c>
      <c r="O159" s="563">
        <f t="shared" si="10"/>
        <v>1209.2929425285733</v>
      </c>
      <c r="P159" s="563">
        <f t="shared" si="10"/>
        <v>1209.2929425285733</v>
      </c>
      <c r="Q159" s="563">
        <f t="shared" si="10"/>
        <v>572.04565212959619</v>
      </c>
      <c r="R159" s="563">
        <f t="shared" si="10"/>
        <v>521.46043093529852</v>
      </c>
      <c r="S159" s="563">
        <f t="shared" si="10"/>
        <v>412.80664578503519</v>
      </c>
      <c r="T159" s="563">
        <f t="shared" si="10"/>
        <v>412.80664578503519</v>
      </c>
      <c r="U159" s="563">
        <f t="shared" si="10"/>
        <v>412.80664578503519</v>
      </c>
      <c r="V159" s="563">
        <f t="shared" si="10"/>
        <v>412.80664578503519</v>
      </c>
      <c r="W159" s="563">
        <f t="shared" si="10"/>
        <v>278.7143399445244</v>
      </c>
      <c r="X159" s="563">
        <f t="shared" si="10"/>
        <v>174.58686349314576</v>
      </c>
      <c r="Y159" s="563">
        <f t="shared" si="10"/>
        <v>171.22021600078651</v>
      </c>
      <c r="Z159" s="563">
        <f t="shared" si="10"/>
        <v>171.22021600078651</v>
      </c>
      <c r="AA159" s="563">
        <f t="shared" si="10"/>
        <v>156.1108484675193</v>
      </c>
      <c r="AB159" s="563">
        <f t="shared" si="10"/>
        <v>24.438648000000001</v>
      </c>
      <c r="AC159" s="563">
        <f t="shared" si="10"/>
        <v>0</v>
      </c>
      <c r="AD159" s="563">
        <f t="shared" si="10"/>
        <v>0</v>
      </c>
      <c r="AE159" s="563">
        <f t="shared" si="10"/>
        <v>0</v>
      </c>
      <c r="AF159" s="563">
        <f t="shared" si="10"/>
        <v>0</v>
      </c>
      <c r="AG159" s="563">
        <f t="shared" si="10"/>
        <v>0</v>
      </c>
      <c r="AH159" s="563">
        <f t="shared" si="10"/>
        <v>0</v>
      </c>
      <c r="AI159" s="563">
        <f t="shared" si="10"/>
        <v>0</v>
      </c>
      <c r="AJ159" s="563">
        <f t="shared" si="10"/>
        <v>0</v>
      </c>
      <c r="AK159" s="563">
        <f t="shared" si="10"/>
        <v>0</v>
      </c>
      <c r="AL159" s="563">
        <f t="shared" si="10"/>
        <v>0</v>
      </c>
      <c r="AM159" s="563">
        <f t="shared" si="10"/>
        <v>0</v>
      </c>
      <c r="AN159" s="563">
        <f t="shared" si="10"/>
        <v>0</v>
      </c>
      <c r="AO159" s="563">
        <f t="shared" si="10"/>
        <v>0</v>
      </c>
      <c r="AP159" s="563">
        <f t="shared" si="10"/>
        <v>0</v>
      </c>
      <c r="AQ159" s="563">
        <f t="shared" si="10"/>
        <v>0</v>
      </c>
      <c r="AR159" s="563">
        <f t="shared" si="10"/>
        <v>0</v>
      </c>
      <c r="AS159" s="563">
        <f t="shared" si="10"/>
        <v>0</v>
      </c>
      <c r="AT159" s="563">
        <f t="shared" si="10"/>
        <v>0</v>
      </c>
      <c r="AU159" s="563">
        <f t="shared" si="10"/>
        <v>0</v>
      </c>
      <c r="AV159" s="563">
        <f t="shared" si="10"/>
        <v>0</v>
      </c>
      <c r="AW159" s="563">
        <f t="shared" si="10"/>
        <v>0</v>
      </c>
      <c r="AX159" s="563">
        <f t="shared" si="10"/>
        <v>0</v>
      </c>
      <c r="AY159" s="563">
        <f t="shared" si="10"/>
        <v>0</v>
      </c>
      <c r="AZ159" s="563">
        <f t="shared" si="10"/>
        <v>0</v>
      </c>
    </row>
    <row r="160" spans="1:52" s="469" customFormat="1" ht="5.15" customHeight="1">
      <c r="A160" s="477"/>
      <c r="B160" s="477"/>
      <c r="C160" s="477"/>
      <c r="D160" s="477"/>
      <c r="E160" s="477"/>
      <c r="F160" s="477"/>
      <c r="G160" s="467"/>
      <c r="H160" s="564"/>
      <c r="I160" s="564"/>
      <c r="J160" s="564"/>
      <c r="K160" s="564"/>
      <c r="L160" s="564"/>
      <c r="M160" s="564"/>
      <c r="N160" s="564"/>
      <c r="O160" s="564"/>
      <c r="P160" s="564"/>
      <c r="Q160" s="564"/>
      <c r="R160" s="564"/>
      <c r="S160" s="564"/>
      <c r="T160" s="564"/>
      <c r="U160" s="564"/>
      <c r="V160" s="564"/>
      <c r="W160" s="564"/>
      <c r="X160" s="564"/>
      <c r="Y160" s="564"/>
      <c r="Z160" s="564"/>
      <c r="AA160" s="564"/>
      <c r="AB160" s="564"/>
      <c r="AC160" s="564"/>
      <c r="AD160" s="564"/>
      <c r="AE160" s="564"/>
      <c r="AF160" s="564"/>
      <c r="AG160" s="564"/>
      <c r="AH160" s="564"/>
      <c r="AI160" s="564"/>
      <c r="AJ160" s="564"/>
      <c r="AK160" s="564"/>
      <c r="AL160" s="564"/>
      <c r="AM160" s="564"/>
      <c r="AN160" s="564"/>
      <c r="AO160" s="564"/>
      <c r="AP160" s="564"/>
      <c r="AQ160" s="564"/>
      <c r="AR160" s="564"/>
      <c r="AS160" s="564"/>
      <c r="AT160" s="564"/>
      <c r="AU160" s="564"/>
      <c r="AV160" s="564"/>
      <c r="AW160" s="564"/>
      <c r="AX160" s="564"/>
      <c r="AY160" s="564"/>
      <c r="AZ160" s="564"/>
    </row>
    <row r="161" spans="1:52" s="469" customFormat="1" ht="13">
      <c r="A161" s="529" t="s">
        <v>512</v>
      </c>
      <c r="B161" s="530"/>
      <c r="C161" s="530"/>
      <c r="D161" s="530"/>
      <c r="E161" s="530"/>
      <c r="F161" s="531"/>
      <c r="G161" s="467"/>
      <c r="H161" s="563">
        <f>SUM(H110:H124,H141:H142)</f>
        <v>0</v>
      </c>
      <c r="I161" s="563">
        <f t="shared" ref="I161:AZ161" si="11">SUM(I110:I124,I141:I142)</f>
        <v>0</v>
      </c>
      <c r="J161" s="563">
        <f t="shared" si="11"/>
        <v>2462.3639925044517</v>
      </c>
      <c r="K161" s="563">
        <f t="shared" si="11"/>
        <v>2291.68051464364</v>
      </c>
      <c r="L161" s="563">
        <f t="shared" si="11"/>
        <v>2291.68051464364</v>
      </c>
      <c r="M161" s="563">
        <f t="shared" si="11"/>
        <v>2291.68051464364</v>
      </c>
      <c r="N161" s="563">
        <f t="shared" si="11"/>
        <v>2203.0391365649857</v>
      </c>
      <c r="O161" s="563">
        <f t="shared" si="11"/>
        <v>2202.7554565649857</v>
      </c>
      <c r="P161" s="563">
        <f t="shared" si="11"/>
        <v>2110.746294488878</v>
      </c>
      <c r="Q161" s="563">
        <f t="shared" si="11"/>
        <v>2042.0076590887199</v>
      </c>
      <c r="R161" s="563">
        <f t="shared" si="11"/>
        <v>1740.5884957156138</v>
      </c>
      <c r="S161" s="563">
        <f t="shared" si="11"/>
        <v>1647.5264334126582</v>
      </c>
      <c r="T161" s="563">
        <f t="shared" si="11"/>
        <v>1597.3268511257586</v>
      </c>
      <c r="U161" s="563">
        <f t="shared" si="11"/>
        <v>1597.3268511257586</v>
      </c>
      <c r="V161" s="563">
        <f t="shared" si="11"/>
        <v>1588.5181879971153</v>
      </c>
      <c r="W161" s="563">
        <f t="shared" si="11"/>
        <v>1583.9764108242855</v>
      </c>
      <c r="X161" s="563">
        <f t="shared" si="11"/>
        <v>1580.45993959066</v>
      </c>
      <c r="Y161" s="563">
        <f t="shared" si="11"/>
        <v>1511.6792214195161</v>
      </c>
      <c r="Z161" s="563">
        <f t="shared" si="11"/>
        <v>137.71145731758997</v>
      </c>
      <c r="AA161" s="563">
        <f t="shared" si="11"/>
        <v>137.71145731758997</v>
      </c>
      <c r="AB161" s="563">
        <f t="shared" si="11"/>
        <v>45.530602487661916</v>
      </c>
      <c r="AC161" s="563">
        <f t="shared" si="11"/>
        <v>45.530602487661916</v>
      </c>
      <c r="AD161" s="563">
        <f t="shared" si="11"/>
        <v>0</v>
      </c>
      <c r="AE161" s="563">
        <f t="shared" si="11"/>
        <v>0</v>
      </c>
      <c r="AF161" s="563">
        <f t="shared" si="11"/>
        <v>0</v>
      </c>
      <c r="AG161" s="563">
        <f t="shared" si="11"/>
        <v>0</v>
      </c>
      <c r="AH161" s="563">
        <f t="shared" si="11"/>
        <v>0</v>
      </c>
      <c r="AI161" s="563">
        <f t="shared" si="11"/>
        <v>0</v>
      </c>
      <c r="AJ161" s="563">
        <f t="shared" si="11"/>
        <v>0</v>
      </c>
      <c r="AK161" s="563">
        <f t="shared" si="11"/>
        <v>0</v>
      </c>
      <c r="AL161" s="563">
        <f t="shared" si="11"/>
        <v>0</v>
      </c>
      <c r="AM161" s="563">
        <f t="shared" si="11"/>
        <v>0</v>
      </c>
      <c r="AN161" s="563">
        <f t="shared" si="11"/>
        <v>0</v>
      </c>
      <c r="AO161" s="563">
        <f t="shared" si="11"/>
        <v>0</v>
      </c>
      <c r="AP161" s="563">
        <f t="shared" si="11"/>
        <v>0</v>
      </c>
      <c r="AQ161" s="563">
        <f t="shared" si="11"/>
        <v>0</v>
      </c>
      <c r="AR161" s="563">
        <f t="shared" si="11"/>
        <v>0</v>
      </c>
      <c r="AS161" s="563">
        <f t="shared" si="11"/>
        <v>0</v>
      </c>
      <c r="AT161" s="563">
        <f t="shared" si="11"/>
        <v>0</v>
      </c>
      <c r="AU161" s="563">
        <f t="shared" si="11"/>
        <v>0</v>
      </c>
      <c r="AV161" s="563">
        <f t="shared" si="11"/>
        <v>0</v>
      </c>
      <c r="AW161" s="563">
        <f t="shared" si="11"/>
        <v>0</v>
      </c>
      <c r="AX161" s="563">
        <f t="shared" si="11"/>
        <v>0</v>
      </c>
      <c r="AY161" s="563">
        <f t="shared" si="11"/>
        <v>0</v>
      </c>
      <c r="AZ161" s="563">
        <f t="shared" si="11"/>
        <v>0</v>
      </c>
    </row>
    <row r="162" spans="1:52" s="469" customFormat="1" ht="5.15" customHeight="1">
      <c r="A162" s="477"/>
      <c r="B162" s="477"/>
      <c r="C162" s="477"/>
      <c r="D162" s="477"/>
      <c r="E162" s="477"/>
      <c r="F162" s="477"/>
      <c r="G162" s="467"/>
      <c r="H162" s="564"/>
      <c r="I162" s="564"/>
      <c r="J162" s="564"/>
      <c r="K162" s="564"/>
      <c r="L162" s="564"/>
      <c r="M162" s="564"/>
      <c r="N162" s="564"/>
      <c r="O162" s="564"/>
      <c r="P162" s="564"/>
      <c r="Q162" s="564"/>
      <c r="R162" s="564"/>
      <c r="S162" s="564"/>
      <c r="T162" s="564"/>
      <c r="U162" s="564"/>
      <c r="V162" s="564"/>
      <c r="W162" s="564"/>
      <c r="X162" s="564"/>
      <c r="Y162" s="564"/>
      <c r="Z162" s="564"/>
      <c r="AA162" s="564"/>
      <c r="AB162" s="564"/>
      <c r="AC162" s="564"/>
      <c r="AD162" s="564"/>
      <c r="AE162" s="564"/>
      <c r="AF162" s="564"/>
      <c r="AG162" s="564"/>
      <c r="AH162" s="564"/>
      <c r="AI162" s="564"/>
      <c r="AJ162" s="564"/>
      <c r="AK162" s="564"/>
      <c r="AL162" s="564"/>
      <c r="AM162" s="564"/>
      <c r="AN162" s="564"/>
      <c r="AO162" s="564"/>
      <c r="AP162" s="564"/>
      <c r="AQ162" s="564"/>
      <c r="AR162" s="564"/>
      <c r="AS162" s="564"/>
      <c r="AT162" s="564"/>
      <c r="AU162" s="564"/>
      <c r="AV162" s="564"/>
      <c r="AW162" s="564"/>
      <c r="AX162" s="564"/>
      <c r="AY162" s="564"/>
      <c r="AZ162" s="564"/>
    </row>
    <row r="163" spans="1:52" s="469" customFormat="1" ht="13">
      <c r="A163" s="529" t="s">
        <v>513</v>
      </c>
      <c r="B163" s="530"/>
      <c r="C163" s="530"/>
      <c r="D163" s="530"/>
      <c r="E163" s="530"/>
      <c r="F163" s="531"/>
      <c r="G163" s="467"/>
      <c r="H163" s="563">
        <f>SUM(H125:H140)</f>
        <v>0</v>
      </c>
      <c r="I163" s="563">
        <f t="shared" ref="I163:AZ163" si="12">SUM(I125:I140)</f>
        <v>0</v>
      </c>
      <c r="J163" s="563">
        <f t="shared" si="12"/>
        <v>0</v>
      </c>
      <c r="K163" s="563">
        <f t="shared" si="12"/>
        <v>2480.0999393586599</v>
      </c>
      <c r="L163" s="563">
        <f t="shared" si="12"/>
        <v>1907.3124424816788</v>
      </c>
      <c r="M163" s="563">
        <f t="shared" si="12"/>
        <v>1907.3124424816788</v>
      </c>
      <c r="N163" s="563">
        <f t="shared" si="12"/>
        <v>1906.1689339587183</v>
      </c>
      <c r="O163" s="563">
        <f t="shared" si="12"/>
        <v>1875.4372596999633</v>
      </c>
      <c r="P163" s="563">
        <f t="shared" si="12"/>
        <v>1778.4427861901804</v>
      </c>
      <c r="Q163" s="563">
        <f t="shared" si="12"/>
        <v>1582.596234010633</v>
      </c>
      <c r="R163" s="563">
        <f t="shared" si="12"/>
        <v>1478.4143049011186</v>
      </c>
      <c r="S163" s="563">
        <f t="shared" si="12"/>
        <v>1113.7004535961232</v>
      </c>
      <c r="T163" s="563">
        <f t="shared" si="12"/>
        <v>728.99778239051807</v>
      </c>
      <c r="U163" s="563">
        <f t="shared" si="12"/>
        <v>616.03980258215256</v>
      </c>
      <c r="V163" s="563">
        <f t="shared" si="12"/>
        <v>286.54534091804055</v>
      </c>
      <c r="W163" s="563">
        <f t="shared" si="12"/>
        <v>261.03990164473498</v>
      </c>
      <c r="X163" s="563">
        <f t="shared" si="12"/>
        <v>261.03990164473498</v>
      </c>
      <c r="Y163" s="563">
        <f t="shared" si="12"/>
        <v>257.40532940355217</v>
      </c>
      <c r="Z163" s="563">
        <f t="shared" si="12"/>
        <v>227.27445107645451</v>
      </c>
      <c r="AA163" s="563">
        <f t="shared" si="12"/>
        <v>208.57711254496652</v>
      </c>
      <c r="AB163" s="563">
        <f t="shared" si="12"/>
        <v>204.86176807534892</v>
      </c>
      <c r="AC163" s="563">
        <f t="shared" si="12"/>
        <v>182.38565833906702</v>
      </c>
      <c r="AD163" s="563">
        <f t="shared" si="12"/>
        <v>66.768803683103144</v>
      </c>
      <c r="AE163" s="563">
        <f t="shared" si="12"/>
        <v>0</v>
      </c>
      <c r="AF163" s="563">
        <f t="shared" si="12"/>
        <v>0</v>
      </c>
      <c r="AG163" s="563">
        <f t="shared" si="12"/>
        <v>0</v>
      </c>
      <c r="AH163" s="563">
        <f t="shared" si="12"/>
        <v>0</v>
      </c>
      <c r="AI163" s="563">
        <f t="shared" si="12"/>
        <v>0</v>
      </c>
      <c r="AJ163" s="563">
        <f t="shared" si="12"/>
        <v>0</v>
      </c>
      <c r="AK163" s="563">
        <f t="shared" si="12"/>
        <v>0</v>
      </c>
      <c r="AL163" s="563">
        <f t="shared" si="12"/>
        <v>0</v>
      </c>
      <c r="AM163" s="563">
        <f t="shared" si="12"/>
        <v>0</v>
      </c>
      <c r="AN163" s="563">
        <f t="shared" si="12"/>
        <v>0</v>
      </c>
      <c r="AO163" s="563">
        <f t="shared" si="12"/>
        <v>0</v>
      </c>
      <c r="AP163" s="563">
        <f t="shared" si="12"/>
        <v>0</v>
      </c>
      <c r="AQ163" s="563">
        <f t="shared" si="12"/>
        <v>0</v>
      </c>
      <c r="AR163" s="563">
        <f t="shared" si="12"/>
        <v>0</v>
      </c>
      <c r="AS163" s="563">
        <f t="shared" si="12"/>
        <v>0</v>
      </c>
      <c r="AT163" s="563">
        <f t="shared" si="12"/>
        <v>0</v>
      </c>
      <c r="AU163" s="563">
        <f t="shared" si="12"/>
        <v>0</v>
      </c>
      <c r="AV163" s="563">
        <f t="shared" si="12"/>
        <v>0</v>
      </c>
      <c r="AW163" s="563">
        <f t="shared" si="12"/>
        <v>0</v>
      </c>
      <c r="AX163" s="563">
        <f t="shared" si="12"/>
        <v>0</v>
      </c>
      <c r="AY163" s="563">
        <f t="shared" si="12"/>
        <v>0</v>
      </c>
      <c r="AZ163" s="563">
        <f t="shared" si="12"/>
        <v>0</v>
      </c>
    </row>
    <row r="164" spans="1:52" s="469" customFormat="1" ht="6" customHeight="1">
      <c r="A164" s="533"/>
      <c r="B164" s="533"/>
      <c r="C164" s="533"/>
      <c r="D164" s="533"/>
      <c r="E164" s="533"/>
      <c r="F164" s="533"/>
      <c r="G164" s="467"/>
      <c r="H164" s="565"/>
      <c r="I164" s="565"/>
      <c r="J164" s="565"/>
      <c r="K164" s="565"/>
      <c r="L164" s="565"/>
      <c r="M164" s="565"/>
      <c r="N164" s="565"/>
      <c r="O164" s="565"/>
      <c r="P164" s="565"/>
      <c r="Q164" s="565"/>
      <c r="R164" s="565"/>
      <c r="S164" s="565"/>
      <c r="T164" s="565"/>
      <c r="U164" s="565"/>
      <c r="V164" s="565"/>
      <c r="W164" s="565"/>
      <c r="X164" s="565"/>
      <c r="Y164" s="565"/>
      <c r="Z164" s="565"/>
      <c r="AA164" s="565"/>
      <c r="AB164" s="565"/>
      <c r="AC164" s="565"/>
      <c r="AD164" s="565"/>
      <c r="AE164" s="565"/>
      <c r="AF164" s="565"/>
      <c r="AG164" s="565"/>
      <c r="AH164" s="565"/>
      <c r="AI164" s="565"/>
      <c r="AJ164" s="565"/>
      <c r="AK164" s="565"/>
      <c r="AL164" s="565"/>
      <c r="AM164" s="565"/>
      <c r="AN164" s="565"/>
      <c r="AO164" s="565"/>
      <c r="AP164" s="565"/>
      <c r="AQ164" s="565"/>
      <c r="AR164" s="565"/>
      <c r="AS164" s="565"/>
      <c r="AT164" s="565"/>
      <c r="AU164" s="565"/>
      <c r="AV164" s="565"/>
      <c r="AW164" s="565"/>
      <c r="AX164" s="565"/>
      <c r="AY164" s="565"/>
      <c r="AZ164" s="565"/>
    </row>
    <row r="165" spans="1:52" s="469" customFormat="1" ht="13">
      <c r="A165" s="529" t="s">
        <v>514</v>
      </c>
      <c r="B165" s="530"/>
      <c r="C165" s="530"/>
      <c r="D165" s="530"/>
      <c r="E165" s="530"/>
      <c r="F165" s="531"/>
      <c r="G165" s="467"/>
      <c r="H165" s="563">
        <f>SUM(H143:H155)</f>
        <v>0</v>
      </c>
      <c r="I165" s="563">
        <f t="shared" ref="I165:AZ165" si="13">SUM(I143:I155)</f>
        <v>0</v>
      </c>
      <c r="J165" s="563">
        <f t="shared" si="13"/>
        <v>0</v>
      </c>
      <c r="K165" s="563">
        <f t="shared" si="13"/>
        <v>0</v>
      </c>
      <c r="L165" s="563">
        <f t="shared" si="13"/>
        <v>2289.4426369392772</v>
      </c>
      <c r="M165" s="563">
        <f t="shared" si="13"/>
        <v>1318.7507702659177</v>
      </c>
      <c r="N165" s="563">
        <f t="shared" si="13"/>
        <v>1316.2564728707396</v>
      </c>
      <c r="O165" s="563">
        <f t="shared" si="13"/>
        <v>1315.3140772409372</v>
      </c>
      <c r="P165" s="563">
        <f t="shared" si="13"/>
        <v>1290.2754756559457</v>
      </c>
      <c r="Q165" s="563">
        <f t="shared" si="13"/>
        <v>1188.6719941499096</v>
      </c>
      <c r="R165" s="563">
        <f t="shared" si="13"/>
        <v>1179.4365155719577</v>
      </c>
      <c r="S165" s="563">
        <f t="shared" si="13"/>
        <v>1004.0754288321456</v>
      </c>
      <c r="T165" s="563">
        <f t="shared" si="13"/>
        <v>636.67698449438149</v>
      </c>
      <c r="U165" s="563">
        <f t="shared" si="13"/>
        <v>360.07501256396228</v>
      </c>
      <c r="V165" s="563">
        <f t="shared" si="13"/>
        <v>290.98174272877543</v>
      </c>
      <c r="W165" s="563">
        <f t="shared" si="13"/>
        <v>290.98174272877543</v>
      </c>
      <c r="X165" s="563">
        <f t="shared" si="13"/>
        <v>288.52838302098388</v>
      </c>
      <c r="Y165" s="563">
        <f t="shared" si="13"/>
        <v>288.52838302098388</v>
      </c>
      <c r="Z165" s="563">
        <f t="shared" si="13"/>
        <v>288.52838302098388</v>
      </c>
      <c r="AA165" s="563">
        <f t="shared" si="13"/>
        <v>279.38695338975333</v>
      </c>
      <c r="AB165" s="563">
        <f t="shared" si="13"/>
        <v>269.06894012172279</v>
      </c>
      <c r="AC165" s="563">
        <f t="shared" si="13"/>
        <v>269.06894012172279</v>
      </c>
      <c r="AD165" s="563">
        <f t="shared" si="13"/>
        <v>264.91133230873857</v>
      </c>
      <c r="AE165" s="563">
        <f t="shared" si="13"/>
        <v>196.41835548792707</v>
      </c>
      <c r="AF165" s="563">
        <f t="shared" si="13"/>
        <v>0</v>
      </c>
      <c r="AG165" s="563">
        <f t="shared" si="13"/>
        <v>0</v>
      </c>
      <c r="AH165" s="563">
        <f t="shared" si="13"/>
        <v>0</v>
      </c>
      <c r="AI165" s="563">
        <f t="shared" si="13"/>
        <v>0</v>
      </c>
      <c r="AJ165" s="563">
        <f t="shared" si="13"/>
        <v>0</v>
      </c>
      <c r="AK165" s="563">
        <f t="shared" si="13"/>
        <v>0</v>
      </c>
      <c r="AL165" s="563">
        <f t="shared" si="13"/>
        <v>0</v>
      </c>
      <c r="AM165" s="563">
        <f t="shared" si="13"/>
        <v>0</v>
      </c>
      <c r="AN165" s="563">
        <f t="shared" si="13"/>
        <v>0</v>
      </c>
      <c r="AO165" s="563">
        <f t="shared" si="13"/>
        <v>0</v>
      </c>
      <c r="AP165" s="563">
        <f t="shared" si="13"/>
        <v>0</v>
      </c>
      <c r="AQ165" s="563">
        <f t="shared" si="13"/>
        <v>0</v>
      </c>
      <c r="AR165" s="563">
        <f t="shared" si="13"/>
        <v>0</v>
      </c>
      <c r="AS165" s="563">
        <f t="shared" si="13"/>
        <v>0</v>
      </c>
      <c r="AT165" s="563">
        <f t="shared" si="13"/>
        <v>0</v>
      </c>
      <c r="AU165" s="563">
        <f t="shared" si="13"/>
        <v>0</v>
      </c>
      <c r="AV165" s="563">
        <f t="shared" si="13"/>
        <v>0</v>
      </c>
      <c r="AW165" s="563">
        <f t="shared" si="13"/>
        <v>0</v>
      </c>
      <c r="AX165" s="563">
        <f t="shared" si="13"/>
        <v>0</v>
      </c>
      <c r="AY165" s="563">
        <f t="shared" si="13"/>
        <v>0</v>
      </c>
      <c r="AZ165" s="563">
        <f t="shared" si="13"/>
        <v>0</v>
      </c>
    </row>
    <row r="166" spans="1:52" s="469" customFormat="1" ht="5" customHeight="1">
      <c r="A166" s="477"/>
      <c r="B166" s="477"/>
      <c r="C166" s="477"/>
      <c r="D166" s="477"/>
      <c r="E166" s="477"/>
      <c r="F166" s="477"/>
      <c r="G166" s="467"/>
      <c r="H166" s="564"/>
      <c r="I166" s="564"/>
      <c r="J166" s="564"/>
      <c r="K166" s="564"/>
      <c r="L166" s="564"/>
      <c r="M166" s="564"/>
      <c r="N166" s="564"/>
      <c r="O166" s="564"/>
      <c r="P166" s="564"/>
      <c r="Q166" s="564"/>
      <c r="R166" s="564"/>
      <c r="S166" s="564"/>
      <c r="T166" s="564"/>
      <c r="U166" s="564"/>
      <c r="V166" s="564"/>
      <c r="W166" s="564"/>
      <c r="X166" s="564"/>
      <c r="Y166" s="564"/>
      <c r="Z166" s="564"/>
      <c r="AA166" s="564"/>
      <c r="AB166" s="564"/>
      <c r="AC166" s="564"/>
      <c r="AD166" s="564"/>
      <c r="AE166" s="564"/>
      <c r="AF166" s="564"/>
      <c r="AG166" s="564"/>
      <c r="AH166" s="564"/>
      <c r="AI166" s="564"/>
      <c r="AJ166" s="564"/>
      <c r="AK166" s="564"/>
      <c r="AL166" s="564"/>
      <c r="AM166" s="564"/>
      <c r="AN166" s="564"/>
      <c r="AO166" s="564"/>
      <c r="AP166" s="564"/>
      <c r="AQ166" s="564"/>
      <c r="AR166" s="564"/>
      <c r="AS166" s="564"/>
      <c r="AT166" s="564"/>
      <c r="AU166" s="564"/>
      <c r="AV166" s="564"/>
      <c r="AW166" s="564"/>
      <c r="AX166" s="564"/>
      <c r="AY166" s="564"/>
      <c r="AZ166" s="564"/>
    </row>
    <row r="167" spans="1:52" s="469" customFormat="1" ht="13">
      <c r="A167" s="529" t="s">
        <v>515</v>
      </c>
      <c r="B167" s="535"/>
      <c r="C167" s="535"/>
      <c r="D167" s="535"/>
      <c r="E167" s="535"/>
      <c r="F167" s="536"/>
      <c r="G167" s="467"/>
      <c r="H167" s="563">
        <f>SUM(H91:H155)</f>
        <v>1876.2385343674682</v>
      </c>
      <c r="I167" s="563">
        <f t="shared" ref="I167:AZ167" si="14">SUM(I91:I155)</f>
        <v>3432.8406522356072</v>
      </c>
      <c r="J167" s="563">
        <f t="shared" si="14"/>
        <v>5612.1963201715089</v>
      </c>
      <c r="K167" s="563">
        <f t="shared" si="14"/>
        <v>7887.0458038362431</v>
      </c>
      <c r="L167" s="563">
        <f t="shared" si="14"/>
        <v>8053.3234982441982</v>
      </c>
      <c r="M167" s="563">
        <f t="shared" si="14"/>
        <v>7082.476360263151</v>
      </c>
      <c r="N167" s="563">
        <f t="shared" si="14"/>
        <v>6932.8316645081204</v>
      </c>
      <c r="O167" s="563">
        <f t="shared" si="14"/>
        <v>6900.873914619563</v>
      </c>
      <c r="P167" s="563">
        <f t="shared" si="14"/>
        <v>6668.8441151438346</v>
      </c>
      <c r="Q167" s="563">
        <f t="shared" si="14"/>
        <v>5665.4081556591163</v>
      </c>
      <c r="R167" s="563">
        <f t="shared" si="14"/>
        <v>5184.5198185440167</v>
      </c>
      <c r="S167" s="563">
        <f t="shared" si="14"/>
        <v>4442.72903304599</v>
      </c>
      <c r="T167" s="563">
        <f t="shared" si="14"/>
        <v>3640.4283352157222</v>
      </c>
      <c r="U167" s="563">
        <f t="shared" si="14"/>
        <v>3250.8683834769377</v>
      </c>
      <c r="V167" s="563">
        <f t="shared" si="14"/>
        <v>2818.3827661090513</v>
      </c>
      <c r="W167" s="563">
        <f t="shared" si="14"/>
        <v>2622.9162609197374</v>
      </c>
      <c r="X167" s="563">
        <f t="shared" si="14"/>
        <v>2512.8189535269412</v>
      </c>
      <c r="Y167" s="563">
        <f t="shared" si="14"/>
        <v>2437.0370156222552</v>
      </c>
      <c r="Z167" s="563">
        <f t="shared" si="14"/>
        <v>937.2331891637167</v>
      </c>
      <c r="AA167" s="563">
        <f t="shared" si="14"/>
        <v>894.28505346773102</v>
      </c>
      <c r="AB167" s="563">
        <f t="shared" si="14"/>
        <v>609.54270231773148</v>
      </c>
      <c r="AC167" s="563">
        <f t="shared" si="14"/>
        <v>562.62794458144958</v>
      </c>
      <c r="AD167" s="563">
        <f t="shared" si="14"/>
        <v>397.32287962483963</v>
      </c>
      <c r="AE167" s="563">
        <f t="shared" si="14"/>
        <v>262.06109912092495</v>
      </c>
      <c r="AF167" s="563">
        <f t="shared" si="14"/>
        <v>65.642743632997878</v>
      </c>
      <c r="AG167" s="563">
        <f t="shared" si="14"/>
        <v>10.651235022659334</v>
      </c>
      <c r="AH167" s="563">
        <f t="shared" si="14"/>
        <v>10.651235022659334</v>
      </c>
      <c r="AI167" s="563">
        <f t="shared" si="14"/>
        <v>10.651235022659334</v>
      </c>
      <c r="AJ167" s="563">
        <f t="shared" si="14"/>
        <v>10.651235022659334</v>
      </c>
      <c r="AK167" s="563">
        <f t="shared" si="14"/>
        <v>10.651235022659334</v>
      </c>
      <c r="AL167" s="563">
        <f t="shared" si="14"/>
        <v>0</v>
      </c>
      <c r="AM167" s="563">
        <f t="shared" si="14"/>
        <v>0</v>
      </c>
      <c r="AN167" s="563">
        <f t="shared" si="14"/>
        <v>0</v>
      </c>
      <c r="AO167" s="563">
        <f t="shared" si="14"/>
        <v>0</v>
      </c>
      <c r="AP167" s="563">
        <f t="shared" si="14"/>
        <v>0</v>
      </c>
      <c r="AQ167" s="563">
        <f t="shared" si="14"/>
        <v>0</v>
      </c>
      <c r="AR167" s="563">
        <f t="shared" si="14"/>
        <v>0</v>
      </c>
      <c r="AS167" s="563">
        <f t="shared" si="14"/>
        <v>0</v>
      </c>
      <c r="AT167" s="563">
        <f t="shared" si="14"/>
        <v>0</v>
      </c>
      <c r="AU167" s="563">
        <f t="shared" si="14"/>
        <v>0</v>
      </c>
      <c r="AV167" s="563">
        <f t="shared" si="14"/>
        <v>0</v>
      </c>
      <c r="AW167" s="563">
        <f t="shared" si="14"/>
        <v>0</v>
      </c>
      <c r="AX167" s="563">
        <f t="shared" si="14"/>
        <v>0</v>
      </c>
      <c r="AY167" s="563">
        <f t="shared" si="14"/>
        <v>0</v>
      </c>
      <c r="AZ167" s="563">
        <f t="shared" si="14"/>
        <v>0</v>
      </c>
    </row>
    <row r="168" spans="1:52" s="540" customFormat="1">
      <c r="A168" s="537"/>
      <c r="B168" s="537"/>
      <c r="C168" s="537"/>
      <c r="D168" s="537"/>
      <c r="E168" s="537"/>
      <c r="F168" s="537"/>
      <c r="G168" s="538"/>
      <c r="H168" s="539">
        <v>96</v>
      </c>
      <c r="I168" s="539">
        <f>H168+1</f>
        <v>97</v>
      </c>
      <c r="J168" s="539">
        <f t="shared" ref="J168:AZ168" si="15">I168+1</f>
        <v>98</v>
      </c>
      <c r="K168" s="539">
        <f t="shared" si="15"/>
        <v>99</v>
      </c>
      <c r="L168" s="539">
        <f t="shared" si="15"/>
        <v>100</v>
      </c>
      <c r="M168" s="539">
        <f t="shared" si="15"/>
        <v>101</v>
      </c>
      <c r="N168" s="539">
        <f t="shared" si="15"/>
        <v>102</v>
      </c>
      <c r="O168" s="539">
        <f t="shared" si="15"/>
        <v>103</v>
      </c>
      <c r="P168" s="539">
        <f t="shared" si="15"/>
        <v>104</v>
      </c>
      <c r="Q168" s="539">
        <f t="shared" si="15"/>
        <v>105</v>
      </c>
      <c r="R168" s="539">
        <f t="shared" si="15"/>
        <v>106</v>
      </c>
      <c r="S168" s="539">
        <f t="shared" si="15"/>
        <v>107</v>
      </c>
      <c r="T168" s="539">
        <f t="shared" si="15"/>
        <v>108</v>
      </c>
      <c r="U168" s="539">
        <f t="shared" si="15"/>
        <v>109</v>
      </c>
      <c r="V168" s="539">
        <f t="shared" si="15"/>
        <v>110</v>
      </c>
      <c r="W168" s="539">
        <f t="shared" si="15"/>
        <v>111</v>
      </c>
      <c r="X168" s="539">
        <f t="shared" si="15"/>
        <v>112</v>
      </c>
      <c r="Y168" s="539">
        <f t="shared" si="15"/>
        <v>113</v>
      </c>
      <c r="Z168" s="539">
        <f t="shared" si="15"/>
        <v>114</v>
      </c>
      <c r="AA168" s="539">
        <f t="shared" si="15"/>
        <v>115</v>
      </c>
      <c r="AB168" s="539">
        <f t="shared" si="15"/>
        <v>116</v>
      </c>
      <c r="AC168" s="539">
        <f t="shared" si="15"/>
        <v>117</v>
      </c>
      <c r="AD168" s="539">
        <f t="shared" si="15"/>
        <v>118</v>
      </c>
      <c r="AE168" s="539">
        <f t="shared" si="15"/>
        <v>119</v>
      </c>
      <c r="AF168" s="539">
        <f t="shared" si="15"/>
        <v>120</v>
      </c>
      <c r="AG168" s="539">
        <f t="shared" si="15"/>
        <v>121</v>
      </c>
      <c r="AH168" s="539">
        <f t="shared" si="15"/>
        <v>122</v>
      </c>
      <c r="AI168" s="539">
        <f t="shared" si="15"/>
        <v>123</v>
      </c>
      <c r="AJ168" s="539">
        <f t="shared" si="15"/>
        <v>124</v>
      </c>
      <c r="AK168" s="539">
        <f t="shared" si="15"/>
        <v>125</v>
      </c>
      <c r="AL168" s="539">
        <f t="shared" si="15"/>
        <v>126</v>
      </c>
      <c r="AM168" s="539">
        <f t="shared" si="15"/>
        <v>127</v>
      </c>
      <c r="AN168" s="539">
        <f t="shared" si="15"/>
        <v>128</v>
      </c>
      <c r="AO168" s="539">
        <f t="shared" si="15"/>
        <v>129</v>
      </c>
      <c r="AP168" s="539">
        <f t="shared" si="15"/>
        <v>130</v>
      </c>
      <c r="AQ168" s="539">
        <f t="shared" si="15"/>
        <v>131</v>
      </c>
      <c r="AR168" s="539">
        <f t="shared" si="15"/>
        <v>132</v>
      </c>
      <c r="AS168" s="539">
        <f t="shared" si="15"/>
        <v>133</v>
      </c>
      <c r="AT168" s="539">
        <f t="shared" si="15"/>
        <v>134</v>
      </c>
      <c r="AU168" s="539">
        <f t="shared" si="15"/>
        <v>135</v>
      </c>
      <c r="AV168" s="539">
        <f t="shared" si="15"/>
        <v>136</v>
      </c>
      <c r="AW168" s="539">
        <f t="shared" si="15"/>
        <v>137</v>
      </c>
      <c r="AX168" s="539">
        <f t="shared" si="15"/>
        <v>138</v>
      </c>
      <c r="AY168" s="539">
        <f t="shared" si="15"/>
        <v>139</v>
      </c>
      <c r="AZ168" s="539">
        <f t="shared" si="15"/>
        <v>140</v>
      </c>
    </row>
    <row r="169" spans="1:52" s="469" customFormat="1">
      <c r="A169" s="466"/>
      <c r="B169" s="466"/>
      <c r="C169" s="466"/>
      <c r="D169" s="466"/>
      <c r="E169" s="466"/>
      <c r="F169" s="466"/>
      <c r="G169" s="467"/>
      <c r="H169" s="468"/>
      <c r="I169" s="468"/>
      <c r="J169" s="468"/>
      <c r="K169" s="468"/>
      <c r="L169" s="468"/>
      <c r="M169" s="468"/>
      <c r="N169" s="468"/>
      <c r="O169" s="468"/>
      <c r="P169" s="468"/>
      <c r="Q169" s="468"/>
      <c r="R169" s="468"/>
      <c r="S169" s="468"/>
      <c r="T169" s="468"/>
      <c r="U169" s="468"/>
      <c r="V169" s="468"/>
      <c r="W169" s="468"/>
      <c r="X169" s="468"/>
      <c r="Y169" s="468"/>
      <c r="Z169" s="468"/>
      <c r="AA169" s="468"/>
      <c r="AB169" s="468"/>
      <c r="AC169" s="468"/>
      <c r="AD169" s="468"/>
      <c r="AE169" s="468"/>
      <c r="AF169" s="468"/>
      <c r="AG169" s="468"/>
      <c r="AH169" s="468"/>
      <c r="AI169" s="468"/>
      <c r="AJ169" s="468"/>
      <c r="AK169" s="468"/>
      <c r="AL169" s="468"/>
      <c r="AM169" s="468"/>
      <c r="AN169" s="468"/>
      <c r="AO169" s="468"/>
      <c r="AP169" s="468"/>
      <c r="AQ169" s="468"/>
      <c r="AR169" s="468"/>
      <c r="AS169" s="468"/>
      <c r="AT169" s="468"/>
      <c r="AU169" s="468"/>
      <c r="AV169" s="468"/>
      <c r="AW169" s="468"/>
      <c r="AX169" s="468"/>
      <c r="AY169" s="468"/>
      <c r="AZ169" s="468"/>
    </row>
    <row r="170" spans="1:52" s="469" customFormat="1" ht="15.5">
      <c r="A170" s="474" t="s">
        <v>35</v>
      </c>
      <c r="B170" s="466"/>
      <c r="C170" s="466"/>
      <c r="D170" s="466"/>
      <c r="E170" s="466"/>
      <c r="F170" s="466"/>
      <c r="G170" s="467"/>
      <c r="H170" s="468"/>
      <c r="I170" s="468"/>
      <c r="J170" s="468"/>
      <c r="K170" s="468"/>
      <c r="L170" s="468"/>
      <c r="M170" s="468"/>
      <c r="N170" s="468"/>
      <c r="O170" s="468"/>
      <c r="P170" s="468"/>
      <c r="Q170" s="468"/>
      <c r="R170" s="468"/>
      <c r="S170" s="468"/>
      <c r="T170" s="468"/>
      <c r="U170" s="468"/>
      <c r="V170" s="468"/>
      <c r="W170" s="468"/>
      <c r="X170" s="468"/>
      <c r="Y170" s="468"/>
      <c r="Z170" s="468"/>
      <c r="AA170" s="468"/>
      <c r="AB170" s="468"/>
      <c r="AC170" s="468"/>
      <c r="AD170" s="468"/>
      <c r="AE170" s="468"/>
      <c r="AF170" s="468"/>
      <c r="AG170" s="468"/>
      <c r="AH170" s="468"/>
      <c r="AI170" s="468"/>
      <c r="AJ170" s="468"/>
      <c r="AK170" s="468"/>
      <c r="AL170" s="468"/>
      <c r="AM170" s="468"/>
      <c r="AN170" s="468"/>
      <c r="AO170" s="468"/>
      <c r="AP170" s="468"/>
      <c r="AQ170" s="468"/>
      <c r="AR170" s="468"/>
      <c r="AS170" s="468"/>
      <c r="AT170" s="468"/>
      <c r="AU170" s="468"/>
      <c r="AV170" s="468"/>
      <c r="AW170" s="468"/>
      <c r="AX170" s="468"/>
      <c r="AY170" s="468"/>
      <c r="AZ170" s="468"/>
    </row>
    <row r="171" spans="1:52" s="469" customFormat="1" ht="26">
      <c r="A171" s="475" t="s">
        <v>504</v>
      </c>
      <c r="B171" s="475" t="s">
        <v>505</v>
      </c>
      <c r="C171" s="475" t="s">
        <v>506</v>
      </c>
      <c r="D171" s="475"/>
      <c r="E171" s="476" t="s">
        <v>508</v>
      </c>
      <c r="F171" s="476" t="s">
        <v>509</v>
      </c>
      <c r="G171" s="467"/>
      <c r="H171" s="475">
        <v>2006</v>
      </c>
      <c r="I171" s="475">
        <f>H171+1</f>
        <v>2007</v>
      </c>
      <c r="J171" s="475">
        <f t="shared" ref="J171:AZ171" si="16">I171+1</f>
        <v>2008</v>
      </c>
      <c r="K171" s="475">
        <f t="shared" si="16"/>
        <v>2009</v>
      </c>
      <c r="L171" s="475">
        <f t="shared" si="16"/>
        <v>2010</v>
      </c>
      <c r="M171" s="475">
        <f t="shared" si="16"/>
        <v>2011</v>
      </c>
      <c r="N171" s="475">
        <f t="shared" si="16"/>
        <v>2012</v>
      </c>
      <c r="O171" s="475">
        <f t="shared" si="16"/>
        <v>2013</v>
      </c>
      <c r="P171" s="475">
        <f t="shared" si="16"/>
        <v>2014</v>
      </c>
      <c r="Q171" s="475">
        <f t="shared" si="16"/>
        <v>2015</v>
      </c>
      <c r="R171" s="475">
        <f t="shared" si="16"/>
        <v>2016</v>
      </c>
      <c r="S171" s="475">
        <f t="shared" si="16"/>
        <v>2017</v>
      </c>
      <c r="T171" s="475">
        <f t="shared" si="16"/>
        <v>2018</v>
      </c>
      <c r="U171" s="475">
        <f t="shared" si="16"/>
        <v>2019</v>
      </c>
      <c r="V171" s="475">
        <f t="shared" si="16"/>
        <v>2020</v>
      </c>
      <c r="W171" s="475">
        <f t="shared" si="16"/>
        <v>2021</v>
      </c>
      <c r="X171" s="475">
        <f t="shared" si="16"/>
        <v>2022</v>
      </c>
      <c r="Y171" s="475">
        <f t="shared" si="16"/>
        <v>2023</v>
      </c>
      <c r="Z171" s="475">
        <f t="shared" si="16"/>
        <v>2024</v>
      </c>
      <c r="AA171" s="475">
        <f t="shared" si="16"/>
        <v>2025</v>
      </c>
      <c r="AB171" s="475">
        <f t="shared" si="16"/>
        <v>2026</v>
      </c>
      <c r="AC171" s="475">
        <f t="shared" si="16"/>
        <v>2027</v>
      </c>
      <c r="AD171" s="475">
        <f t="shared" si="16"/>
        <v>2028</v>
      </c>
      <c r="AE171" s="475">
        <f t="shared" si="16"/>
        <v>2029</v>
      </c>
      <c r="AF171" s="475">
        <f t="shared" si="16"/>
        <v>2030</v>
      </c>
      <c r="AG171" s="475">
        <f t="shared" si="16"/>
        <v>2031</v>
      </c>
      <c r="AH171" s="475">
        <f t="shared" si="16"/>
        <v>2032</v>
      </c>
      <c r="AI171" s="475">
        <f t="shared" si="16"/>
        <v>2033</v>
      </c>
      <c r="AJ171" s="475">
        <f t="shared" si="16"/>
        <v>2034</v>
      </c>
      <c r="AK171" s="475">
        <f t="shared" si="16"/>
        <v>2035</v>
      </c>
      <c r="AL171" s="475">
        <f t="shared" si="16"/>
        <v>2036</v>
      </c>
      <c r="AM171" s="475">
        <f t="shared" si="16"/>
        <v>2037</v>
      </c>
      <c r="AN171" s="475">
        <f t="shared" si="16"/>
        <v>2038</v>
      </c>
      <c r="AO171" s="475">
        <f t="shared" si="16"/>
        <v>2039</v>
      </c>
      <c r="AP171" s="475">
        <f t="shared" si="16"/>
        <v>2040</v>
      </c>
      <c r="AQ171" s="475">
        <f t="shared" si="16"/>
        <v>2041</v>
      </c>
      <c r="AR171" s="475">
        <f t="shared" si="16"/>
        <v>2042</v>
      </c>
      <c r="AS171" s="475">
        <f t="shared" si="16"/>
        <v>2043</v>
      </c>
      <c r="AT171" s="475">
        <f t="shared" si="16"/>
        <v>2044</v>
      </c>
      <c r="AU171" s="475">
        <f t="shared" si="16"/>
        <v>2045</v>
      </c>
      <c r="AV171" s="475">
        <f t="shared" si="16"/>
        <v>2046</v>
      </c>
      <c r="AW171" s="475">
        <f t="shared" si="16"/>
        <v>2047</v>
      </c>
      <c r="AX171" s="475">
        <f t="shared" si="16"/>
        <v>2048</v>
      </c>
      <c r="AY171" s="475">
        <f t="shared" si="16"/>
        <v>2049</v>
      </c>
      <c r="AZ171" s="475">
        <f t="shared" si="16"/>
        <v>2050</v>
      </c>
    </row>
    <row r="172" spans="1:52" s="469" customFormat="1" ht="5.15" customHeight="1">
      <c r="A172" s="477"/>
      <c r="B172" s="477"/>
      <c r="C172" s="477"/>
      <c r="D172" s="477"/>
      <c r="E172" s="477"/>
      <c r="F172" s="477"/>
      <c r="G172" s="467"/>
      <c r="H172" s="466"/>
      <c r="I172" s="466"/>
      <c r="J172" s="466"/>
      <c r="K172" s="466"/>
      <c r="L172" s="466"/>
      <c r="M172" s="466"/>
      <c r="N172" s="466"/>
      <c r="O172" s="466"/>
      <c r="P172" s="466"/>
      <c r="Q172" s="466"/>
      <c r="R172" s="466"/>
      <c r="S172" s="466"/>
      <c r="T172" s="466"/>
      <c r="U172" s="466"/>
      <c r="V172" s="466"/>
      <c r="W172" s="466"/>
      <c r="X172" s="466"/>
      <c r="Y172" s="466"/>
      <c r="Z172" s="466"/>
      <c r="AA172" s="466"/>
      <c r="AB172" s="466"/>
      <c r="AC172" s="466"/>
      <c r="AD172" s="466"/>
      <c r="AE172" s="466"/>
      <c r="AF172" s="466"/>
      <c r="AG172" s="466"/>
      <c r="AH172" s="466"/>
      <c r="AI172" s="466"/>
      <c r="AJ172" s="466"/>
      <c r="AK172" s="466"/>
      <c r="AL172" s="466"/>
      <c r="AM172" s="466"/>
      <c r="AN172" s="466"/>
      <c r="AO172" s="466"/>
      <c r="AP172" s="466"/>
      <c r="AQ172" s="466"/>
      <c r="AR172" s="466"/>
      <c r="AS172" s="466"/>
      <c r="AT172" s="466"/>
      <c r="AU172" s="466"/>
      <c r="AV172" s="466"/>
      <c r="AW172" s="466"/>
      <c r="AX172" s="466"/>
      <c r="AY172" s="466"/>
      <c r="AZ172" s="466"/>
    </row>
    <row r="173" spans="1:52" s="469" customFormat="1">
      <c r="A173" s="478">
        <f>'[4]Allocation Methodology'!A5</f>
        <v>1</v>
      </c>
      <c r="B173" s="479" t="str">
        <f>'[4]Allocation Methodology'!B5</f>
        <v>Secondary Refrigerator Retirement Pilot</v>
      </c>
      <c r="C173" s="479" t="str">
        <f>'[4]Allocation Methodology'!C5</f>
        <v>Consumer</v>
      </c>
      <c r="D173" s="479"/>
      <c r="E173" s="479">
        <f>'[4]Allocation Methodology'!D5</f>
        <v>2006</v>
      </c>
      <c r="F173" s="480" t="str">
        <f>'[4]Allocation Methodology'!E5</f>
        <v>Final</v>
      </c>
      <c r="G173" s="471" t="b">
        <v>0</v>
      </c>
      <c r="H173" s="566">
        <v>6.9981847729831594E-3</v>
      </c>
      <c r="I173" s="567">
        <v>6.9981847729831594E-3</v>
      </c>
      <c r="J173" s="483">
        <v>6.9981847729831594E-3</v>
      </c>
      <c r="K173" s="567">
        <v>6.9981847729831594E-3</v>
      </c>
      <c r="L173" s="483">
        <v>6.9981847729831594E-3</v>
      </c>
      <c r="M173" s="483">
        <v>6.9981847729831594E-3</v>
      </c>
      <c r="N173" s="483">
        <v>0</v>
      </c>
      <c r="O173" s="483">
        <v>0</v>
      </c>
      <c r="P173" s="483">
        <v>0</v>
      </c>
      <c r="Q173" s="483">
        <v>0</v>
      </c>
      <c r="R173" s="483">
        <v>0</v>
      </c>
      <c r="S173" s="483">
        <v>0</v>
      </c>
      <c r="T173" s="483">
        <v>0</v>
      </c>
      <c r="U173" s="483">
        <v>0</v>
      </c>
      <c r="V173" s="483">
        <v>0</v>
      </c>
      <c r="W173" s="483">
        <v>0</v>
      </c>
      <c r="X173" s="483">
        <v>0</v>
      </c>
      <c r="Y173" s="483">
        <v>0</v>
      </c>
      <c r="Z173" s="483">
        <v>0</v>
      </c>
      <c r="AA173" s="483">
        <v>0</v>
      </c>
      <c r="AB173" s="483">
        <v>0</v>
      </c>
      <c r="AC173" s="483">
        <v>0</v>
      </c>
      <c r="AD173" s="483">
        <v>0</v>
      </c>
      <c r="AE173" s="483">
        <v>0</v>
      </c>
      <c r="AF173" s="483">
        <v>0</v>
      </c>
      <c r="AG173" s="483">
        <v>0</v>
      </c>
      <c r="AH173" s="483">
        <v>0</v>
      </c>
      <c r="AI173" s="483">
        <v>0</v>
      </c>
      <c r="AJ173" s="483">
        <v>0</v>
      </c>
      <c r="AK173" s="483">
        <v>0</v>
      </c>
      <c r="AL173" s="483">
        <v>0</v>
      </c>
      <c r="AM173" s="483">
        <v>0</v>
      </c>
      <c r="AN173" s="483">
        <v>0</v>
      </c>
      <c r="AO173" s="483">
        <v>0</v>
      </c>
      <c r="AP173" s="483">
        <v>0</v>
      </c>
      <c r="AQ173" s="483">
        <v>0</v>
      </c>
      <c r="AR173" s="483">
        <v>0</v>
      </c>
      <c r="AS173" s="483">
        <v>0</v>
      </c>
      <c r="AT173" s="483">
        <v>0</v>
      </c>
      <c r="AU173" s="483">
        <v>0</v>
      </c>
      <c r="AV173" s="483">
        <v>0</v>
      </c>
      <c r="AW173" s="483">
        <v>0</v>
      </c>
      <c r="AX173" s="483">
        <v>0</v>
      </c>
      <c r="AY173" s="483">
        <v>0</v>
      </c>
      <c r="AZ173" s="484">
        <v>0</v>
      </c>
    </row>
    <row r="174" spans="1:52" s="469" customFormat="1">
      <c r="A174" s="485">
        <f>'[4]Allocation Methodology'!A6</f>
        <v>2</v>
      </c>
      <c r="B174" s="486" t="str">
        <f>'[4]Allocation Methodology'!B6</f>
        <v>Cool &amp; Hot Savings Rebate</v>
      </c>
      <c r="C174" s="486" t="str">
        <f>'[4]Allocation Methodology'!C6</f>
        <v>Consumer</v>
      </c>
      <c r="D174" s="486"/>
      <c r="E174" s="486">
        <f>'[4]Allocation Methodology'!D6</f>
        <v>2006</v>
      </c>
      <c r="F174" s="487" t="str">
        <f>'[4]Allocation Methodology'!E6</f>
        <v>Final</v>
      </c>
      <c r="G174" s="471" t="b">
        <v>0</v>
      </c>
      <c r="H174" s="568">
        <v>7.729684489564384E-2</v>
      </c>
      <c r="I174" s="490">
        <v>7.729684489564384E-2</v>
      </c>
      <c r="J174" s="490">
        <v>7.729684489564384E-2</v>
      </c>
      <c r="K174" s="490">
        <v>7.729684489564384E-2</v>
      </c>
      <c r="L174" s="490">
        <v>7.729684489564384E-2</v>
      </c>
      <c r="M174" s="490">
        <v>7.729684489564384E-2</v>
      </c>
      <c r="N174" s="490">
        <v>7.729684489564384E-2</v>
      </c>
      <c r="O174" s="490">
        <v>7.729684489564384E-2</v>
      </c>
      <c r="P174" s="490">
        <v>5.6825080937432902E-2</v>
      </c>
      <c r="Q174" s="490">
        <v>5.6825080937432902E-2</v>
      </c>
      <c r="R174" s="490">
        <v>5.6825080937432902E-2</v>
      </c>
      <c r="S174" s="490">
        <v>5.6825080937432902E-2</v>
      </c>
      <c r="T174" s="490">
        <v>5.6825080937432902E-2</v>
      </c>
      <c r="U174" s="490">
        <v>5.6825080937432902E-2</v>
      </c>
      <c r="V174" s="490">
        <v>2.8313597279191423E-2</v>
      </c>
      <c r="W174" s="490">
        <v>1.2327058538798782E-2</v>
      </c>
      <c r="X174" s="490">
        <v>1.2327058538798782E-2</v>
      </c>
      <c r="Y174" s="490">
        <v>1.2327058538798782E-2</v>
      </c>
      <c r="Z174" s="490">
        <v>0</v>
      </c>
      <c r="AA174" s="490">
        <v>0</v>
      </c>
      <c r="AB174" s="490">
        <v>0</v>
      </c>
      <c r="AC174" s="490">
        <v>0</v>
      </c>
      <c r="AD174" s="490">
        <v>0</v>
      </c>
      <c r="AE174" s="490">
        <v>0</v>
      </c>
      <c r="AF174" s="490">
        <v>0</v>
      </c>
      <c r="AG174" s="490">
        <v>0</v>
      </c>
      <c r="AH174" s="490">
        <v>0</v>
      </c>
      <c r="AI174" s="490">
        <v>0</v>
      </c>
      <c r="AJ174" s="490">
        <v>0</v>
      </c>
      <c r="AK174" s="490">
        <v>0</v>
      </c>
      <c r="AL174" s="490">
        <v>0</v>
      </c>
      <c r="AM174" s="490">
        <v>0</v>
      </c>
      <c r="AN174" s="490">
        <v>0</v>
      </c>
      <c r="AO174" s="490">
        <v>0</v>
      </c>
      <c r="AP174" s="490">
        <v>0</v>
      </c>
      <c r="AQ174" s="490">
        <v>0</v>
      </c>
      <c r="AR174" s="490">
        <v>0</v>
      </c>
      <c r="AS174" s="490">
        <v>0</v>
      </c>
      <c r="AT174" s="490">
        <v>0</v>
      </c>
      <c r="AU174" s="490">
        <v>0</v>
      </c>
      <c r="AV174" s="490">
        <v>0</v>
      </c>
      <c r="AW174" s="490">
        <v>0</v>
      </c>
      <c r="AX174" s="490">
        <v>0</v>
      </c>
      <c r="AY174" s="490">
        <v>0</v>
      </c>
      <c r="AZ174" s="491">
        <v>0</v>
      </c>
    </row>
    <row r="175" spans="1:52" s="469" customFormat="1">
      <c r="A175" s="492">
        <f>'[4]Allocation Methodology'!A7</f>
        <v>3</v>
      </c>
      <c r="B175" s="493" t="str">
        <f>'[4]Allocation Methodology'!B7</f>
        <v>Every Kilowatt Counts</v>
      </c>
      <c r="C175" s="493" t="str">
        <f>'[4]Allocation Methodology'!C7</f>
        <v>Consumer</v>
      </c>
      <c r="D175" s="493"/>
      <c r="E175" s="493">
        <f>'[4]Allocation Methodology'!D7</f>
        <v>2006</v>
      </c>
      <c r="F175" s="494" t="str">
        <f>'[4]Allocation Methodology'!E7</f>
        <v>Final</v>
      </c>
      <c r="G175" s="471" t="b">
        <v>0</v>
      </c>
      <c r="H175" s="569">
        <v>2.3324159781415509E-2</v>
      </c>
      <c r="I175" s="497">
        <v>2.3324159781415509E-2</v>
      </c>
      <c r="J175" s="497">
        <v>2.3324159781415509E-2</v>
      </c>
      <c r="K175" s="497">
        <v>2.3324159781415509E-2</v>
      </c>
      <c r="L175" s="497">
        <v>2.3324159781415509E-2</v>
      </c>
      <c r="M175" s="497">
        <v>2.3324159781415509E-2</v>
      </c>
      <c r="N175" s="497">
        <v>2.3324159781415509E-2</v>
      </c>
      <c r="O175" s="497">
        <v>2.3324159781415509E-2</v>
      </c>
      <c r="P175" s="497">
        <v>2.3324159781415509E-2</v>
      </c>
      <c r="Q175" s="497">
        <v>2.3324159781415509E-2</v>
      </c>
      <c r="R175" s="497">
        <v>2.3324159781415509E-2</v>
      </c>
      <c r="S175" s="497">
        <v>2.3324159781415509E-2</v>
      </c>
      <c r="T175" s="497">
        <v>2.3324159781415509E-2</v>
      </c>
      <c r="U175" s="497">
        <v>2.3324159781415509E-2</v>
      </c>
      <c r="V175" s="497">
        <v>2.3324159781415509E-2</v>
      </c>
      <c r="W175" s="497">
        <v>1.9271743756911437E-2</v>
      </c>
      <c r="X175" s="497">
        <v>1.9271743756911437E-2</v>
      </c>
      <c r="Y175" s="497">
        <v>1.9271743756911437E-2</v>
      </c>
      <c r="Z175" s="497">
        <v>8.6317454561158431E-4</v>
      </c>
      <c r="AA175" s="497">
        <v>8.6317454561158431E-4</v>
      </c>
      <c r="AB175" s="497">
        <v>0</v>
      </c>
      <c r="AC175" s="497">
        <v>0</v>
      </c>
      <c r="AD175" s="497">
        <v>0</v>
      </c>
      <c r="AE175" s="497">
        <v>0</v>
      </c>
      <c r="AF175" s="497">
        <v>0</v>
      </c>
      <c r="AG175" s="497">
        <v>0</v>
      </c>
      <c r="AH175" s="497">
        <v>0</v>
      </c>
      <c r="AI175" s="497">
        <v>0</v>
      </c>
      <c r="AJ175" s="497">
        <v>0</v>
      </c>
      <c r="AK175" s="497">
        <v>0</v>
      </c>
      <c r="AL175" s="497">
        <v>0</v>
      </c>
      <c r="AM175" s="497">
        <v>0</v>
      </c>
      <c r="AN175" s="497">
        <v>0</v>
      </c>
      <c r="AO175" s="497">
        <v>0</v>
      </c>
      <c r="AP175" s="497">
        <v>0</v>
      </c>
      <c r="AQ175" s="497">
        <v>0</v>
      </c>
      <c r="AR175" s="497">
        <v>0</v>
      </c>
      <c r="AS175" s="497">
        <v>0</v>
      </c>
      <c r="AT175" s="497">
        <v>0</v>
      </c>
      <c r="AU175" s="497">
        <v>0</v>
      </c>
      <c r="AV175" s="497">
        <v>0</v>
      </c>
      <c r="AW175" s="497">
        <v>0</v>
      </c>
      <c r="AX175" s="497">
        <v>0</v>
      </c>
      <c r="AY175" s="497">
        <v>0</v>
      </c>
      <c r="AZ175" s="498">
        <v>0</v>
      </c>
    </row>
    <row r="176" spans="1:52" s="469" customFormat="1">
      <c r="A176" s="485">
        <f>'[4]Allocation Methodology'!A8</f>
        <v>4</v>
      </c>
      <c r="B176" s="486" t="str">
        <f>'[4]Allocation Methodology'!B8</f>
        <v>Demand Response 1</v>
      </c>
      <c r="C176" s="486" t="str">
        <f>'[4]Allocation Methodology'!C8</f>
        <v>Business, Industrial</v>
      </c>
      <c r="D176" s="486"/>
      <c r="E176" s="486">
        <f>'[4]Allocation Methodology'!D8</f>
        <v>2006</v>
      </c>
      <c r="F176" s="487" t="str">
        <f>'[4]Allocation Methodology'!E8</f>
        <v>Final</v>
      </c>
      <c r="G176" s="471" t="b">
        <v>0</v>
      </c>
      <c r="H176" s="568">
        <v>1.8056307353830989</v>
      </c>
      <c r="I176" s="490">
        <v>0</v>
      </c>
      <c r="J176" s="490">
        <v>0</v>
      </c>
      <c r="K176" s="490">
        <v>0</v>
      </c>
      <c r="L176" s="490">
        <v>0</v>
      </c>
      <c r="M176" s="490">
        <v>0</v>
      </c>
      <c r="N176" s="490">
        <v>0</v>
      </c>
      <c r="O176" s="490">
        <v>0</v>
      </c>
      <c r="P176" s="490">
        <v>0</v>
      </c>
      <c r="Q176" s="490">
        <v>0</v>
      </c>
      <c r="R176" s="490">
        <v>0</v>
      </c>
      <c r="S176" s="490">
        <v>0</v>
      </c>
      <c r="T176" s="490">
        <v>0</v>
      </c>
      <c r="U176" s="490">
        <v>0</v>
      </c>
      <c r="V176" s="490">
        <v>0</v>
      </c>
      <c r="W176" s="490">
        <v>0</v>
      </c>
      <c r="X176" s="490">
        <v>0</v>
      </c>
      <c r="Y176" s="490">
        <v>0</v>
      </c>
      <c r="Z176" s="490">
        <v>0</v>
      </c>
      <c r="AA176" s="490">
        <v>0</v>
      </c>
      <c r="AB176" s="490">
        <v>0</v>
      </c>
      <c r="AC176" s="490">
        <v>0</v>
      </c>
      <c r="AD176" s="490">
        <v>0</v>
      </c>
      <c r="AE176" s="490">
        <v>0</v>
      </c>
      <c r="AF176" s="490">
        <v>0</v>
      </c>
      <c r="AG176" s="490">
        <v>0</v>
      </c>
      <c r="AH176" s="490">
        <v>0</v>
      </c>
      <c r="AI176" s="490">
        <v>0</v>
      </c>
      <c r="AJ176" s="490">
        <v>0</v>
      </c>
      <c r="AK176" s="490">
        <v>0</v>
      </c>
      <c r="AL176" s="490">
        <v>0</v>
      </c>
      <c r="AM176" s="490">
        <v>0</v>
      </c>
      <c r="AN176" s="490">
        <v>0</v>
      </c>
      <c r="AO176" s="490">
        <v>0</v>
      </c>
      <c r="AP176" s="490">
        <v>0</v>
      </c>
      <c r="AQ176" s="490">
        <v>0</v>
      </c>
      <c r="AR176" s="490">
        <v>0</v>
      </c>
      <c r="AS176" s="490">
        <v>0</v>
      </c>
      <c r="AT176" s="490">
        <v>0</v>
      </c>
      <c r="AU176" s="490">
        <v>0</v>
      </c>
      <c r="AV176" s="490">
        <v>0</v>
      </c>
      <c r="AW176" s="490">
        <v>0</v>
      </c>
      <c r="AX176" s="490">
        <v>0</v>
      </c>
      <c r="AY176" s="490">
        <v>0</v>
      </c>
      <c r="AZ176" s="491">
        <v>0</v>
      </c>
    </row>
    <row r="177" spans="1:52" s="469" customFormat="1">
      <c r="A177" s="499">
        <f>'[4]Allocation Methodology'!A9</f>
        <v>5</v>
      </c>
      <c r="B177" s="500" t="str">
        <f>'[4]Allocation Methodology'!B9</f>
        <v>Loblaw &amp; York Region Demand Response</v>
      </c>
      <c r="C177" s="500" t="str">
        <f>'[4]Allocation Methodology'!C9</f>
        <v>Business, Industrial</v>
      </c>
      <c r="D177" s="500"/>
      <c r="E177" s="500">
        <f>'[4]Allocation Methodology'!D9</f>
        <v>2006</v>
      </c>
      <c r="F177" s="501" t="str">
        <f>'[4]Allocation Methodology'!E9</f>
        <v>Final</v>
      </c>
      <c r="G177" s="471" t="b">
        <v>0</v>
      </c>
      <c r="H177" s="570">
        <v>8.837801039149204E-2</v>
      </c>
      <c r="I177" s="504">
        <v>0</v>
      </c>
      <c r="J177" s="504">
        <v>0</v>
      </c>
      <c r="K177" s="504">
        <v>0</v>
      </c>
      <c r="L177" s="504">
        <v>0</v>
      </c>
      <c r="M177" s="504">
        <v>0</v>
      </c>
      <c r="N177" s="504">
        <v>0</v>
      </c>
      <c r="O177" s="504">
        <v>0</v>
      </c>
      <c r="P177" s="504">
        <v>0</v>
      </c>
      <c r="Q177" s="504">
        <v>0</v>
      </c>
      <c r="R177" s="504">
        <v>0</v>
      </c>
      <c r="S177" s="504">
        <v>0</v>
      </c>
      <c r="T177" s="504">
        <v>0</v>
      </c>
      <c r="U177" s="504">
        <v>0</v>
      </c>
      <c r="V177" s="504">
        <v>0</v>
      </c>
      <c r="W177" s="504">
        <v>0</v>
      </c>
      <c r="X177" s="504">
        <v>0</v>
      </c>
      <c r="Y177" s="504">
        <v>0</v>
      </c>
      <c r="Z177" s="504">
        <v>0</v>
      </c>
      <c r="AA177" s="504">
        <v>0</v>
      </c>
      <c r="AB177" s="504">
        <v>0</v>
      </c>
      <c r="AC177" s="504">
        <v>0</v>
      </c>
      <c r="AD177" s="504">
        <v>0</v>
      </c>
      <c r="AE177" s="504">
        <v>0</v>
      </c>
      <c r="AF177" s="504">
        <v>0</v>
      </c>
      <c r="AG177" s="504">
        <v>0</v>
      </c>
      <c r="AH177" s="504">
        <v>0</v>
      </c>
      <c r="AI177" s="504">
        <v>0</v>
      </c>
      <c r="AJ177" s="504">
        <v>0</v>
      </c>
      <c r="AK177" s="504">
        <v>0</v>
      </c>
      <c r="AL177" s="504">
        <v>0</v>
      </c>
      <c r="AM177" s="504">
        <v>0</v>
      </c>
      <c r="AN177" s="504">
        <v>0</v>
      </c>
      <c r="AO177" s="504">
        <v>0</v>
      </c>
      <c r="AP177" s="504">
        <v>0</v>
      </c>
      <c r="AQ177" s="504">
        <v>0</v>
      </c>
      <c r="AR177" s="504">
        <v>0</v>
      </c>
      <c r="AS177" s="504">
        <v>0</v>
      </c>
      <c r="AT177" s="504">
        <v>0</v>
      </c>
      <c r="AU177" s="504">
        <v>0</v>
      </c>
      <c r="AV177" s="504">
        <v>0</v>
      </c>
      <c r="AW177" s="504">
        <v>0</v>
      </c>
      <c r="AX177" s="504">
        <v>0</v>
      </c>
      <c r="AY177" s="504">
        <v>0</v>
      </c>
      <c r="AZ177" s="505">
        <v>0</v>
      </c>
    </row>
    <row r="178" spans="1:52" s="469" customFormat="1">
      <c r="A178" s="506">
        <f>'[4]Allocation Methodology'!A10</f>
        <v>6</v>
      </c>
      <c r="B178" s="507" t="str">
        <f>'[4]Allocation Methodology'!B10</f>
        <v>Great Refrigerator Roundup</v>
      </c>
      <c r="C178" s="507" t="str">
        <f>'[4]Allocation Methodology'!C10</f>
        <v>Consumer</v>
      </c>
      <c r="D178" s="507"/>
      <c r="E178" s="507">
        <f>'[4]Allocation Methodology'!D10</f>
        <v>2007</v>
      </c>
      <c r="F178" s="508" t="str">
        <f>'[4]Allocation Methodology'!E10</f>
        <v>Final</v>
      </c>
      <c r="G178" s="471" t="b">
        <v>0</v>
      </c>
      <c r="H178" s="571">
        <v>0</v>
      </c>
      <c r="I178" s="511">
        <v>1.871227691573317E-2</v>
      </c>
      <c r="J178" s="511">
        <v>1.871227691573317E-2</v>
      </c>
      <c r="K178" s="511">
        <v>1.871227691573317E-2</v>
      </c>
      <c r="L178" s="511">
        <v>1.871227691573317E-2</v>
      </c>
      <c r="M178" s="511">
        <v>1.7027560513871012E-2</v>
      </c>
      <c r="N178" s="511">
        <v>1.7027560513871012E-2</v>
      </c>
      <c r="O178" s="511">
        <v>1.7027560513871012E-2</v>
      </c>
      <c r="P178" s="511">
        <v>1.7027560513871012E-2</v>
      </c>
      <c r="Q178" s="511">
        <v>1.3816113031446213E-2</v>
      </c>
      <c r="R178" s="511">
        <v>0</v>
      </c>
      <c r="S178" s="511">
        <v>0</v>
      </c>
      <c r="T178" s="511">
        <v>0</v>
      </c>
      <c r="U178" s="511">
        <v>0</v>
      </c>
      <c r="V178" s="511">
        <v>0</v>
      </c>
      <c r="W178" s="511">
        <v>0</v>
      </c>
      <c r="X178" s="511">
        <v>0</v>
      </c>
      <c r="Y178" s="511">
        <v>0</v>
      </c>
      <c r="Z178" s="511">
        <v>0</v>
      </c>
      <c r="AA178" s="511">
        <v>0</v>
      </c>
      <c r="AB178" s="511">
        <v>0</v>
      </c>
      <c r="AC178" s="511">
        <v>0</v>
      </c>
      <c r="AD178" s="511">
        <v>0</v>
      </c>
      <c r="AE178" s="511">
        <v>0</v>
      </c>
      <c r="AF178" s="511">
        <v>0</v>
      </c>
      <c r="AG178" s="511">
        <v>0</v>
      </c>
      <c r="AH178" s="511">
        <v>0</v>
      </c>
      <c r="AI178" s="511">
        <v>0</v>
      </c>
      <c r="AJ178" s="511">
        <v>0</v>
      </c>
      <c r="AK178" s="511">
        <v>0</v>
      </c>
      <c r="AL178" s="511">
        <v>0</v>
      </c>
      <c r="AM178" s="511">
        <v>0</v>
      </c>
      <c r="AN178" s="511">
        <v>0</v>
      </c>
      <c r="AO178" s="511">
        <v>0</v>
      </c>
      <c r="AP178" s="511">
        <v>0</v>
      </c>
      <c r="AQ178" s="511">
        <v>0</v>
      </c>
      <c r="AR178" s="511">
        <v>0</v>
      </c>
      <c r="AS178" s="511">
        <v>0</v>
      </c>
      <c r="AT178" s="511">
        <v>0</v>
      </c>
      <c r="AU178" s="511">
        <v>0</v>
      </c>
      <c r="AV178" s="511">
        <v>0</v>
      </c>
      <c r="AW178" s="511">
        <v>0</v>
      </c>
      <c r="AX178" s="511">
        <v>0</v>
      </c>
      <c r="AY178" s="511">
        <v>0</v>
      </c>
      <c r="AZ178" s="512">
        <v>0</v>
      </c>
    </row>
    <row r="179" spans="1:52" s="469" customFormat="1">
      <c r="A179" s="492">
        <f>'[4]Allocation Methodology'!A11</f>
        <v>7</v>
      </c>
      <c r="B179" s="493" t="str">
        <f>'[4]Allocation Methodology'!B11</f>
        <v>Cool &amp; Hot Savings Rebate</v>
      </c>
      <c r="C179" s="493" t="str">
        <f>'[4]Allocation Methodology'!C11</f>
        <v>Consumer</v>
      </c>
      <c r="D179" s="493"/>
      <c r="E179" s="493">
        <f>'[4]Allocation Methodology'!D11</f>
        <v>2007</v>
      </c>
      <c r="F179" s="494" t="str">
        <f>'[4]Allocation Methodology'!E11</f>
        <v>Final</v>
      </c>
      <c r="G179" s="471" t="b">
        <v>0</v>
      </c>
      <c r="H179" s="569">
        <v>0</v>
      </c>
      <c r="I179" s="497">
        <v>0.16509240452595328</v>
      </c>
      <c r="J179" s="497">
        <v>0.16509240452595328</v>
      </c>
      <c r="K179" s="497">
        <v>0.16509240452595328</v>
      </c>
      <c r="L179" s="497">
        <v>0.16509240452595328</v>
      </c>
      <c r="M179" s="497">
        <v>0.16509240452595328</v>
      </c>
      <c r="N179" s="497">
        <v>0.12620005314340504</v>
      </c>
      <c r="O179" s="497">
        <v>0.12620005314340504</v>
      </c>
      <c r="P179" s="497">
        <v>0.12620005314340504</v>
      </c>
      <c r="Q179" s="497">
        <v>0.12620005314340504</v>
      </c>
      <c r="R179" s="497">
        <v>0.12620005314340504</v>
      </c>
      <c r="S179" s="497">
        <v>0.12620005314340504</v>
      </c>
      <c r="T179" s="497">
        <v>0.12620005314340504</v>
      </c>
      <c r="U179" s="497">
        <v>0.12620005314340504</v>
      </c>
      <c r="V179" s="497">
        <v>0.12620005314340504</v>
      </c>
      <c r="W179" s="497">
        <v>0.12620005314340504</v>
      </c>
      <c r="X179" s="497">
        <v>2.353945594428377E-2</v>
      </c>
      <c r="Y179" s="497">
        <v>2.353945594428377E-2</v>
      </c>
      <c r="Z179" s="497">
        <v>2.353945594428377E-2</v>
      </c>
      <c r="AA179" s="497">
        <v>0</v>
      </c>
      <c r="AB179" s="497">
        <v>0</v>
      </c>
      <c r="AC179" s="497">
        <v>0</v>
      </c>
      <c r="AD179" s="497">
        <v>0</v>
      </c>
      <c r="AE179" s="497">
        <v>0</v>
      </c>
      <c r="AF179" s="497">
        <v>0</v>
      </c>
      <c r="AG179" s="497">
        <v>0</v>
      </c>
      <c r="AH179" s="497">
        <v>0</v>
      </c>
      <c r="AI179" s="497">
        <v>0</v>
      </c>
      <c r="AJ179" s="497">
        <v>0</v>
      </c>
      <c r="AK179" s="497">
        <v>0</v>
      </c>
      <c r="AL179" s="497">
        <v>0</v>
      </c>
      <c r="AM179" s="497">
        <v>0</v>
      </c>
      <c r="AN179" s="497">
        <v>0</v>
      </c>
      <c r="AO179" s="497">
        <v>0</v>
      </c>
      <c r="AP179" s="497">
        <v>0</v>
      </c>
      <c r="AQ179" s="497">
        <v>0</v>
      </c>
      <c r="AR179" s="497">
        <v>0</v>
      </c>
      <c r="AS179" s="497">
        <v>0</v>
      </c>
      <c r="AT179" s="497">
        <v>0</v>
      </c>
      <c r="AU179" s="497">
        <v>0</v>
      </c>
      <c r="AV179" s="497">
        <v>0</v>
      </c>
      <c r="AW179" s="497">
        <v>0</v>
      </c>
      <c r="AX179" s="497">
        <v>0</v>
      </c>
      <c r="AY179" s="497">
        <v>0</v>
      </c>
      <c r="AZ179" s="498">
        <v>0</v>
      </c>
    </row>
    <row r="180" spans="1:52" s="469" customFormat="1">
      <c r="A180" s="485">
        <f>'[4]Allocation Methodology'!A12</f>
        <v>8</v>
      </c>
      <c r="B180" s="486" t="str">
        <f>'[4]Allocation Methodology'!B12</f>
        <v>Every Kilowatt Counts</v>
      </c>
      <c r="C180" s="486" t="str">
        <f>'[4]Allocation Methodology'!C12</f>
        <v>Consumer</v>
      </c>
      <c r="D180" s="486"/>
      <c r="E180" s="486">
        <f>'[4]Allocation Methodology'!D12</f>
        <v>2007</v>
      </c>
      <c r="F180" s="487" t="str">
        <f>'[4]Allocation Methodology'!E12</f>
        <v>Final</v>
      </c>
      <c r="G180" s="471" t="b">
        <v>0</v>
      </c>
      <c r="H180" s="568">
        <v>0</v>
      </c>
      <c r="I180" s="490">
        <v>3.9615869495274986E-2</v>
      </c>
      <c r="J180" s="490">
        <v>3.4948093668275435E-2</v>
      </c>
      <c r="K180" s="490">
        <v>3.4948093668275435E-2</v>
      </c>
      <c r="L180" s="490">
        <v>3.4948093668275435E-2</v>
      </c>
      <c r="M180" s="490">
        <v>3.4948093668275435E-2</v>
      </c>
      <c r="N180" s="490">
        <v>3.4948093668275435E-2</v>
      </c>
      <c r="O180" s="490">
        <v>3.4948093668275435E-2</v>
      </c>
      <c r="P180" s="490">
        <v>3.4948093668275435E-2</v>
      </c>
      <c r="Q180" s="490">
        <v>1.0804398986265068E-2</v>
      </c>
      <c r="R180" s="490">
        <v>1.0804398986265068E-2</v>
      </c>
      <c r="S180" s="490">
        <v>3.9605315705092272E-4</v>
      </c>
      <c r="T180" s="490">
        <v>3.9605315705092272E-4</v>
      </c>
      <c r="U180" s="490">
        <v>3.9605315705092272E-4</v>
      </c>
      <c r="V180" s="490">
        <v>3.9605315705092272E-4</v>
      </c>
      <c r="W180" s="490">
        <v>3.9605315705092272E-4</v>
      </c>
      <c r="X180" s="490">
        <v>3.9605315705092272E-4</v>
      </c>
      <c r="Y180" s="490">
        <v>1.1713865217316873E-4</v>
      </c>
      <c r="Z180" s="490">
        <v>1.1713865217316873E-4</v>
      </c>
      <c r="AA180" s="490">
        <v>0</v>
      </c>
      <c r="AB180" s="490">
        <v>0</v>
      </c>
      <c r="AC180" s="490">
        <v>0</v>
      </c>
      <c r="AD180" s="490">
        <v>0</v>
      </c>
      <c r="AE180" s="490">
        <v>0</v>
      </c>
      <c r="AF180" s="490">
        <v>0</v>
      </c>
      <c r="AG180" s="490">
        <v>0</v>
      </c>
      <c r="AH180" s="490">
        <v>0</v>
      </c>
      <c r="AI180" s="490">
        <v>0</v>
      </c>
      <c r="AJ180" s="490">
        <v>0</v>
      </c>
      <c r="AK180" s="490">
        <v>0</v>
      </c>
      <c r="AL180" s="490">
        <v>0</v>
      </c>
      <c r="AM180" s="490">
        <v>0</v>
      </c>
      <c r="AN180" s="490">
        <v>0</v>
      </c>
      <c r="AO180" s="490">
        <v>0</v>
      </c>
      <c r="AP180" s="490">
        <v>0</v>
      </c>
      <c r="AQ180" s="490">
        <v>0</v>
      </c>
      <c r="AR180" s="490">
        <v>0</v>
      </c>
      <c r="AS180" s="490">
        <v>0</v>
      </c>
      <c r="AT180" s="490">
        <v>0</v>
      </c>
      <c r="AU180" s="490">
        <v>0</v>
      </c>
      <c r="AV180" s="490">
        <v>0</v>
      </c>
      <c r="AW180" s="490">
        <v>0</v>
      </c>
      <c r="AX180" s="490">
        <v>0</v>
      </c>
      <c r="AY180" s="490">
        <v>0</v>
      </c>
      <c r="AZ180" s="491">
        <v>0</v>
      </c>
    </row>
    <row r="181" spans="1:52" s="469" customFormat="1">
      <c r="A181" s="492">
        <f>'[4]Allocation Methodology'!A13</f>
        <v>9</v>
      </c>
      <c r="B181" s="513" t="str">
        <f>'[4]Allocation Methodology'!B13</f>
        <v>peaksaver®</v>
      </c>
      <c r="C181" s="493" t="str">
        <f>'[4]Allocation Methodology'!C13</f>
        <v>Consumer, Business</v>
      </c>
      <c r="D181" s="493"/>
      <c r="E181" s="493">
        <f>'[4]Allocation Methodology'!D13</f>
        <v>2007</v>
      </c>
      <c r="F181" s="494" t="str">
        <f>'[4]Allocation Methodology'!E13</f>
        <v>Final</v>
      </c>
      <c r="G181" s="471" t="b">
        <v>0</v>
      </c>
      <c r="H181" s="569">
        <v>0</v>
      </c>
      <c r="I181" s="497">
        <v>0</v>
      </c>
      <c r="J181" s="497">
        <v>0</v>
      </c>
      <c r="K181" s="497">
        <v>0</v>
      </c>
      <c r="L181" s="497">
        <v>0</v>
      </c>
      <c r="M181" s="497">
        <v>0</v>
      </c>
      <c r="N181" s="497">
        <v>0</v>
      </c>
      <c r="O181" s="497">
        <v>0</v>
      </c>
      <c r="P181" s="497">
        <v>0</v>
      </c>
      <c r="Q181" s="497">
        <v>0</v>
      </c>
      <c r="R181" s="497">
        <v>0</v>
      </c>
      <c r="S181" s="497">
        <v>0</v>
      </c>
      <c r="T181" s="497">
        <v>0</v>
      </c>
      <c r="U181" s="497">
        <v>0</v>
      </c>
      <c r="V181" s="497">
        <v>0</v>
      </c>
      <c r="W181" s="497">
        <v>0</v>
      </c>
      <c r="X181" s="497">
        <v>0</v>
      </c>
      <c r="Y181" s="497">
        <v>0</v>
      </c>
      <c r="Z181" s="497">
        <v>0</v>
      </c>
      <c r="AA181" s="497">
        <v>0</v>
      </c>
      <c r="AB181" s="497">
        <v>0</v>
      </c>
      <c r="AC181" s="497">
        <v>0</v>
      </c>
      <c r="AD181" s="497">
        <v>0</v>
      </c>
      <c r="AE181" s="497">
        <v>0</v>
      </c>
      <c r="AF181" s="497">
        <v>0</v>
      </c>
      <c r="AG181" s="497">
        <v>0</v>
      </c>
      <c r="AH181" s="497">
        <v>0</v>
      </c>
      <c r="AI181" s="497">
        <v>0</v>
      </c>
      <c r="AJ181" s="497">
        <v>0</v>
      </c>
      <c r="AK181" s="497">
        <v>0</v>
      </c>
      <c r="AL181" s="497">
        <v>0</v>
      </c>
      <c r="AM181" s="497">
        <v>0</v>
      </c>
      <c r="AN181" s="497">
        <v>0</v>
      </c>
      <c r="AO181" s="497">
        <v>0</v>
      </c>
      <c r="AP181" s="497">
        <v>0</v>
      </c>
      <c r="AQ181" s="497">
        <v>0</v>
      </c>
      <c r="AR181" s="497">
        <v>0</v>
      </c>
      <c r="AS181" s="497">
        <v>0</v>
      </c>
      <c r="AT181" s="497">
        <v>0</v>
      </c>
      <c r="AU181" s="497">
        <v>0</v>
      </c>
      <c r="AV181" s="497">
        <v>0</v>
      </c>
      <c r="AW181" s="497">
        <v>0</v>
      </c>
      <c r="AX181" s="497">
        <v>0</v>
      </c>
      <c r="AY181" s="497">
        <v>0</v>
      </c>
      <c r="AZ181" s="498">
        <v>0</v>
      </c>
    </row>
    <row r="182" spans="1:52" s="469" customFormat="1">
      <c r="A182" s="485">
        <f>'[4]Allocation Methodology'!A14</f>
        <v>10</v>
      </c>
      <c r="B182" s="486" t="str">
        <f>'[4]Allocation Methodology'!B14</f>
        <v>Summer Savings</v>
      </c>
      <c r="C182" s="486" t="str">
        <f>'[4]Allocation Methodology'!C14</f>
        <v>Consumer</v>
      </c>
      <c r="D182" s="486"/>
      <c r="E182" s="486">
        <f>'[4]Allocation Methodology'!D14</f>
        <v>2007</v>
      </c>
      <c r="F182" s="487" t="str">
        <f>'[4]Allocation Methodology'!E14</f>
        <v>Final</v>
      </c>
      <c r="G182" s="471" t="b">
        <v>0</v>
      </c>
      <c r="H182" s="568">
        <v>0</v>
      </c>
      <c r="I182" s="490">
        <v>1.5394873974857723</v>
      </c>
      <c r="J182" s="490">
        <v>0.45911445277013319</v>
      </c>
      <c r="K182" s="490">
        <v>0.22105368604093717</v>
      </c>
      <c r="L182" s="490">
        <v>0.22105368604093717</v>
      </c>
      <c r="M182" s="490">
        <v>0.22105368604093717</v>
      </c>
      <c r="N182" s="490">
        <v>0.22105368604093717</v>
      </c>
      <c r="O182" s="490">
        <v>0.22105368604093717</v>
      </c>
      <c r="P182" s="490">
        <v>0.22105368604093717</v>
      </c>
      <c r="Q182" s="490">
        <v>0.21906478358358042</v>
      </c>
      <c r="R182" s="490">
        <v>0.21906478358358042</v>
      </c>
      <c r="S182" s="490">
        <v>0.21906478358358042</v>
      </c>
      <c r="T182" s="490">
        <v>0.21906478358358042</v>
      </c>
      <c r="U182" s="490">
        <v>0.21906478358358042</v>
      </c>
      <c r="V182" s="490">
        <v>0.21906478358358042</v>
      </c>
      <c r="W182" s="490">
        <v>0</v>
      </c>
      <c r="X182" s="490">
        <v>0</v>
      </c>
      <c r="Y182" s="490">
        <v>0</v>
      </c>
      <c r="Z182" s="490">
        <v>0</v>
      </c>
      <c r="AA182" s="490">
        <v>0</v>
      </c>
      <c r="AB182" s="490">
        <v>0</v>
      </c>
      <c r="AC182" s="490">
        <v>0</v>
      </c>
      <c r="AD182" s="490">
        <v>0</v>
      </c>
      <c r="AE182" s="490">
        <v>0</v>
      </c>
      <c r="AF182" s="490">
        <v>0</v>
      </c>
      <c r="AG182" s="490">
        <v>0</v>
      </c>
      <c r="AH182" s="490">
        <v>0</v>
      </c>
      <c r="AI182" s="490">
        <v>0</v>
      </c>
      <c r="AJ182" s="490">
        <v>0</v>
      </c>
      <c r="AK182" s="490">
        <v>0</v>
      </c>
      <c r="AL182" s="490">
        <v>0</v>
      </c>
      <c r="AM182" s="490">
        <v>0</v>
      </c>
      <c r="AN182" s="490">
        <v>0</v>
      </c>
      <c r="AO182" s="490">
        <v>0</v>
      </c>
      <c r="AP182" s="490">
        <v>0</v>
      </c>
      <c r="AQ182" s="490">
        <v>0</v>
      </c>
      <c r="AR182" s="490">
        <v>0</v>
      </c>
      <c r="AS182" s="490">
        <v>0</v>
      </c>
      <c r="AT182" s="490">
        <v>0</v>
      </c>
      <c r="AU182" s="490">
        <v>0</v>
      </c>
      <c r="AV182" s="490">
        <v>0</v>
      </c>
      <c r="AW182" s="490">
        <v>0</v>
      </c>
      <c r="AX182" s="490">
        <v>0</v>
      </c>
      <c r="AY182" s="490">
        <v>0</v>
      </c>
      <c r="AZ182" s="491">
        <v>0</v>
      </c>
    </row>
    <row r="183" spans="1:52" s="469" customFormat="1">
      <c r="A183" s="492">
        <f>'[4]Allocation Methodology'!A15</f>
        <v>11</v>
      </c>
      <c r="B183" s="493" t="str">
        <f>'[4]Allocation Methodology'!B15</f>
        <v>Aboriginal</v>
      </c>
      <c r="C183" s="493" t="str">
        <f>'[4]Allocation Methodology'!C15</f>
        <v>Consumer</v>
      </c>
      <c r="D183" s="493"/>
      <c r="E183" s="493">
        <f>'[4]Allocation Methodology'!D15</f>
        <v>2007</v>
      </c>
      <c r="F183" s="494" t="str">
        <f>'[4]Allocation Methodology'!E15</f>
        <v>Final</v>
      </c>
      <c r="G183" s="471" t="b">
        <v>0</v>
      </c>
      <c r="H183" s="569">
        <v>0</v>
      </c>
      <c r="I183" s="497">
        <v>0</v>
      </c>
      <c r="J183" s="497">
        <v>0</v>
      </c>
      <c r="K183" s="497">
        <v>0</v>
      </c>
      <c r="L183" s="497">
        <v>0</v>
      </c>
      <c r="M183" s="497">
        <v>0</v>
      </c>
      <c r="N183" s="497">
        <v>0</v>
      </c>
      <c r="O183" s="497">
        <v>0</v>
      </c>
      <c r="P183" s="497">
        <v>0</v>
      </c>
      <c r="Q183" s="497">
        <v>0</v>
      </c>
      <c r="R183" s="497">
        <v>0</v>
      </c>
      <c r="S183" s="497">
        <v>0</v>
      </c>
      <c r="T183" s="497">
        <v>0</v>
      </c>
      <c r="U183" s="497">
        <v>0</v>
      </c>
      <c r="V183" s="497">
        <v>0</v>
      </c>
      <c r="W183" s="497">
        <v>0</v>
      </c>
      <c r="X183" s="497">
        <v>0</v>
      </c>
      <c r="Y183" s="497">
        <v>0</v>
      </c>
      <c r="Z183" s="497">
        <v>0</v>
      </c>
      <c r="AA183" s="497">
        <v>0</v>
      </c>
      <c r="AB183" s="497">
        <v>0</v>
      </c>
      <c r="AC183" s="497">
        <v>0</v>
      </c>
      <c r="AD183" s="497">
        <v>0</v>
      </c>
      <c r="AE183" s="497">
        <v>0</v>
      </c>
      <c r="AF183" s="497">
        <v>0</v>
      </c>
      <c r="AG183" s="497">
        <v>0</v>
      </c>
      <c r="AH183" s="497">
        <v>0</v>
      </c>
      <c r="AI183" s="497">
        <v>0</v>
      </c>
      <c r="AJ183" s="497">
        <v>0</v>
      </c>
      <c r="AK183" s="497">
        <v>0</v>
      </c>
      <c r="AL183" s="497">
        <v>0</v>
      </c>
      <c r="AM183" s="497">
        <v>0</v>
      </c>
      <c r="AN183" s="497">
        <v>0</v>
      </c>
      <c r="AO183" s="497">
        <v>0</v>
      </c>
      <c r="AP183" s="497">
        <v>0</v>
      </c>
      <c r="AQ183" s="497">
        <v>0</v>
      </c>
      <c r="AR183" s="497">
        <v>0</v>
      </c>
      <c r="AS183" s="497">
        <v>0</v>
      </c>
      <c r="AT183" s="497">
        <v>0</v>
      </c>
      <c r="AU183" s="497">
        <v>0</v>
      </c>
      <c r="AV183" s="497">
        <v>0</v>
      </c>
      <c r="AW183" s="497">
        <v>0</v>
      </c>
      <c r="AX183" s="497">
        <v>0</v>
      </c>
      <c r="AY183" s="497">
        <v>0</v>
      </c>
      <c r="AZ183" s="498">
        <v>0</v>
      </c>
    </row>
    <row r="184" spans="1:52" s="469" customFormat="1">
      <c r="A184" s="485">
        <f>'[4]Allocation Methodology'!A16</f>
        <v>12</v>
      </c>
      <c r="B184" s="486" t="str">
        <f>'[4]Allocation Methodology'!B16</f>
        <v>Affordable Housing Pilot</v>
      </c>
      <c r="C184" s="486" t="str">
        <f>'[4]Allocation Methodology'!C16</f>
        <v>Consumer Low-Income</v>
      </c>
      <c r="D184" s="486"/>
      <c r="E184" s="486">
        <f>'[4]Allocation Methodology'!D16</f>
        <v>2007</v>
      </c>
      <c r="F184" s="487" t="str">
        <f>'[4]Allocation Methodology'!E16</f>
        <v>Final</v>
      </c>
      <c r="G184" s="471" t="b">
        <v>0</v>
      </c>
      <c r="H184" s="568">
        <v>0</v>
      </c>
      <c r="I184" s="490">
        <v>3.7263824999999996E-3</v>
      </c>
      <c r="J184" s="490">
        <v>3.7263824999999996E-3</v>
      </c>
      <c r="K184" s="490">
        <v>3.7263824999999996E-3</v>
      </c>
      <c r="L184" s="490">
        <v>3.7263824999999996E-3</v>
      </c>
      <c r="M184" s="490">
        <v>3.7263824999999996E-3</v>
      </c>
      <c r="N184" s="490">
        <v>3.7263824999999996E-3</v>
      </c>
      <c r="O184" s="490">
        <v>3.7263824999999996E-3</v>
      </c>
      <c r="P184" s="490">
        <v>3.7263824999999996E-3</v>
      </c>
      <c r="Q184" s="490">
        <v>3.7263824999999996E-3</v>
      </c>
      <c r="R184" s="490">
        <v>3.7263824999999996E-3</v>
      </c>
      <c r="S184" s="490">
        <v>3.7263824999999996E-3</v>
      </c>
      <c r="T184" s="490">
        <v>3.7263824999999996E-3</v>
      </c>
      <c r="U184" s="490">
        <v>3.7263824999999996E-3</v>
      </c>
      <c r="V184" s="490">
        <v>3.7263824999999996E-3</v>
      </c>
      <c r="W184" s="490">
        <v>0</v>
      </c>
      <c r="X184" s="490">
        <v>0</v>
      </c>
      <c r="Y184" s="490">
        <v>0</v>
      </c>
      <c r="Z184" s="490">
        <v>0</v>
      </c>
      <c r="AA184" s="490">
        <v>0</v>
      </c>
      <c r="AB184" s="490">
        <v>0</v>
      </c>
      <c r="AC184" s="490">
        <v>0</v>
      </c>
      <c r="AD184" s="490">
        <v>0</v>
      </c>
      <c r="AE184" s="490">
        <v>0</v>
      </c>
      <c r="AF184" s="490">
        <v>0</v>
      </c>
      <c r="AG184" s="490">
        <v>0</v>
      </c>
      <c r="AH184" s="490">
        <v>0</v>
      </c>
      <c r="AI184" s="490">
        <v>0</v>
      </c>
      <c r="AJ184" s="490">
        <v>0</v>
      </c>
      <c r="AK184" s="490">
        <v>0</v>
      </c>
      <c r="AL184" s="490">
        <v>0</v>
      </c>
      <c r="AM184" s="490">
        <v>0</v>
      </c>
      <c r="AN184" s="490">
        <v>0</v>
      </c>
      <c r="AO184" s="490">
        <v>0</v>
      </c>
      <c r="AP184" s="490">
        <v>0</v>
      </c>
      <c r="AQ184" s="490">
        <v>0</v>
      </c>
      <c r="AR184" s="490">
        <v>0</v>
      </c>
      <c r="AS184" s="490">
        <v>0</v>
      </c>
      <c r="AT184" s="490">
        <v>0</v>
      </c>
      <c r="AU184" s="490">
        <v>0</v>
      </c>
      <c r="AV184" s="490">
        <v>0</v>
      </c>
      <c r="AW184" s="490">
        <v>0</v>
      </c>
      <c r="AX184" s="490">
        <v>0</v>
      </c>
      <c r="AY184" s="490">
        <v>0</v>
      </c>
      <c r="AZ184" s="491">
        <v>0</v>
      </c>
    </row>
    <row r="185" spans="1:52" s="469" customFormat="1">
      <c r="A185" s="492">
        <f>'[4]Allocation Methodology'!A17</f>
        <v>13</v>
      </c>
      <c r="B185" s="493" t="str">
        <f>'[4]Allocation Methodology'!B17</f>
        <v>Social Housing Pilot</v>
      </c>
      <c r="C185" s="493" t="str">
        <f>'[4]Allocation Methodology'!C17</f>
        <v>Consumer Low-Income</v>
      </c>
      <c r="D185" s="493"/>
      <c r="E185" s="493">
        <f>'[4]Allocation Methodology'!D17</f>
        <v>2007</v>
      </c>
      <c r="F185" s="494" t="str">
        <f>'[4]Allocation Methodology'!E17</f>
        <v>Final</v>
      </c>
      <c r="G185" s="471" t="b">
        <v>0</v>
      </c>
      <c r="H185" s="569">
        <v>0</v>
      </c>
      <c r="I185" s="497">
        <v>7.5553826221084076E-3</v>
      </c>
      <c r="J185" s="497">
        <v>7.5553826221084076E-3</v>
      </c>
      <c r="K185" s="497">
        <v>7.5553826221084076E-3</v>
      </c>
      <c r="L185" s="497">
        <v>7.5553826221084076E-3</v>
      </c>
      <c r="M185" s="497">
        <v>7.5553826221084076E-3</v>
      </c>
      <c r="N185" s="497">
        <v>7.5553826221084076E-3</v>
      </c>
      <c r="O185" s="497">
        <v>7.5553826221084076E-3</v>
      </c>
      <c r="P185" s="497">
        <v>7.5553826221084076E-3</v>
      </c>
      <c r="Q185" s="497">
        <v>7.5553826221084076E-3</v>
      </c>
      <c r="R185" s="497">
        <v>7.5553826221084076E-3</v>
      </c>
      <c r="S185" s="497">
        <v>0</v>
      </c>
      <c r="T185" s="497">
        <v>0</v>
      </c>
      <c r="U185" s="497">
        <v>0</v>
      </c>
      <c r="V185" s="497">
        <v>0</v>
      </c>
      <c r="W185" s="497">
        <v>0</v>
      </c>
      <c r="X185" s="497">
        <v>0</v>
      </c>
      <c r="Y185" s="497">
        <v>0</v>
      </c>
      <c r="Z185" s="497">
        <v>0</v>
      </c>
      <c r="AA185" s="497">
        <v>0</v>
      </c>
      <c r="AB185" s="497">
        <v>0</v>
      </c>
      <c r="AC185" s="497">
        <v>0</v>
      </c>
      <c r="AD185" s="497">
        <v>0</v>
      </c>
      <c r="AE185" s="497">
        <v>0</v>
      </c>
      <c r="AF185" s="497">
        <v>0</v>
      </c>
      <c r="AG185" s="497">
        <v>0</v>
      </c>
      <c r="AH185" s="497">
        <v>0</v>
      </c>
      <c r="AI185" s="497">
        <v>0</v>
      </c>
      <c r="AJ185" s="497">
        <v>0</v>
      </c>
      <c r="AK185" s="497">
        <v>0</v>
      </c>
      <c r="AL185" s="497">
        <v>0</v>
      </c>
      <c r="AM185" s="497">
        <v>0</v>
      </c>
      <c r="AN185" s="497">
        <v>0</v>
      </c>
      <c r="AO185" s="497">
        <v>0</v>
      </c>
      <c r="AP185" s="497">
        <v>0</v>
      </c>
      <c r="AQ185" s="497">
        <v>0</v>
      </c>
      <c r="AR185" s="497">
        <v>0</v>
      </c>
      <c r="AS185" s="497">
        <v>0</v>
      </c>
      <c r="AT185" s="497">
        <v>0</v>
      </c>
      <c r="AU185" s="497">
        <v>0</v>
      </c>
      <c r="AV185" s="497">
        <v>0</v>
      </c>
      <c r="AW185" s="497">
        <v>0</v>
      </c>
      <c r="AX185" s="497">
        <v>0</v>
      </c>
      <c r="AY185" s="497">
        <v>0</v>
      </c>
      <c r="AZ185" s="498">
        <v>0</v>
      </c>
    </row>
    <row r="186" spans="1:52" s="469" customFormat="1">
      <c r="A186" s="485">
        <f>'[4]Allocation Methodology'!A18</f>
        <v>14</v>
      </c>
      <c r="B186" s="486" t="str">
        <f>'[4]Allocation Methodology'!B18</f>
        <v>Energy Efficiency Assistance for Houses Pilot</v>
      </c>
      <c r="C186" s="486" t="str">
        <f>'[4]Allocation Methodology'!C18</f>
        <v>Consumer Low-Income</v>
      </c>
      <c r="D186" s="486"/>
      <c r="E186" s="486">
        <f>'[4]Allocation Methodology'!D18</f>
        <v>2007</v>
      </c>
      <c r="F186" s="487" t="str">
        <f>'[4]Allocation Methodology'!E18</f>
        <v>Final</v>
      </c>
      <c r="G186" s="471" t="b">
        <v>0</v>
      </c>
      <c r="H186" s="568">
        <v>0</v>
      </c>
      <c r="I186" s="490">
        <v>2.6126666666666666E-2</v>
      </c>
      <c r="J186" s="490">
        <v>2.6126666666666666E-2</v>
      </c>
      <c r="K186" s="490">
        <v>2.6126666666666666E-2</v>
      </c>
      <c r="L186" s="490">
        <v>2.6126666666666666E-2</v>
      </c>
      <c r="M186" s="490">
        <v>2.6126666666666666E-2</v>
      </c>
      <c r="N186" s="490">
        <v>2.6126666666666666E-2</v>
      </c>
      <c r="O186" s="490">
        <v>2.6126666666666666E-2</v>
      </c>
      <c r="P186" s="490">
        <v>2.6126666666666666E-2</v>
      </c>
      <c r="Q186" s="490">
        <v>2.6126666666666666E-2</v>
      </c>
      <c r="R186" s="490">
        <v>2.6126666666666666E-2</v>
      </c>
      <c r="S186" s="490">
        <v>2.6126666666666666E-2</v>
      </c>
      <c r="T186" s="490">
        <v>2.6126666666666666E-2</v>
      </c>
      <c r="U186" s="490">
        <v>2.6126666666666666E-2</v>
      </c>
      <c r="V186" s="490">
        <v>2.6126666666666666E-2</v>
      </c>
      <c r="W186" s="490">
        <v>2.6126666666666666E-2</v>
      </c>
      <c r="X186" s="490">
        <v>2.6126666666666666E-2</v>
      </c>
      <c r="Y186" s="490">
        <v>2.6126666666666666E-2</v>
      </c>
      <c r="Z186" s="490">
        <v>2.6126666666666666E-2</v>
      </c>
      <c r="AA186" s="490">
        <v>2.6126666666666666E-2</v>
      </c>
      <c r="AB186" s="490">
        <v>0</v>
      </c>
      <c r="AC186" s="490">
        <v>0</v>
      </c>
      <c r="AD186" s="490">
        <v>0</v>
      </c>
      <c r="AE186" s="490">
        <v>0</v>
      </c>
      <c r="AF186" s="490">
        <v>0</v>
      </c>
      <c r="AG186" s="490">
        <v>0</v>
      </c>
      <c r="AH186" s="490">
        <v>0</v>
      </c>
      <c r="AI186" s="490">
        <v>0</v>
      </c>
      <c r="AJ186" s="490">
        <v>0</v>
      </c>
      <c r="AK186" s="490">
        <v>0</v>
      </c>
      <c r="AL186" s="490">
        <v>0</v>
      </c>
      <c r="AM186" s="490">
        <v>0</v>
      </c>
      <c r="AN186" s="490">
        <v>0</v>
      </c>
      <c r="AO186" s="490">
        <v>0</v>
      </c>
      <c r="AP186" s="490">
        <v>0</v>
      </c>
      <c r="AQ186" s="490">
        <v>0</v>
      </c>
      <c r="AR186" s="490">
        <v>0</v>
      </c>
      <c r="AS186" s="490">
        <v>0</v>
      </c>
      <c r="AT186" s="490">
        <v>0</v>
      </c>
      <c r="AU186" s="490">
        <v>0</v>
      </c>
      <c r="AV186" s="490">
        <v>0</v>
      </c>
      <c r="AW186" s="490">
        <v>0</v>
      </c>
      <c r="AX186" s="490">
        <v>0</v>
      </c>
      <c r="AY186" s="490">
        <v>0</v>
      </c>
      <c r="AZ186" s="491">
        <v>0</v>
      </c>
    </row>
    <row r="187" spans="1:52" s="469" customFormat="1">
      <c r="A187" s="492">
        <f>'[4]Allocation Methodology'!A19</f>
        <v>15</v>
      </c>
      <c r="B187" s="493" t="str">
        <f>'[4]Allocation Methodology'!B19</f>
        <v>Electricity Retrofit Incentive</v>
      </c>
      <c r="C187" s="493" t="str">
        <f>'[4]Allocation Methodology'!C19</f>
        <v>Business</v>
      </c>
      <c r="D187" s="493"/>
      <c r="E187" s="493">
        <f>'[4]Allocation Methodology'!D19</f>
        <v>2007</v>
      </c>
      <c r="F187" s="494" t="str">
        <f>'[4]Allocation Methodology'!E19</f>
        <v>Final</v>
      </c>
      <c r="G187" s="471" t="b">
        <v>0</v>
      </c>
      <c r="H187" s="569">
        <v>0</v>
      </c>
      <c r="I187" s="497">
        <v>0</v>
      </c>
      <c r="J187" s="497">
        <v>0</v>
      </c>
      <c r="K187" s="497">
        <v>0</v>
      </c>
      <c r="L187" s="497">
        <v>0</v>
      </c>
      <c r="M187" s="497">
        <v>0</v>
      </c>
      <c r="N187" s="497">
        <v>0</v>
      </c>
      <c r="O187" s="497">
        <v>0</v>
      </c>
      <c r="P187" s="497">
        <v>0</v>
      </c>
      <c r="Q187" s="497">
        <v>0</v>
      </c>
      <c r="R187" s="497">
        <v>0</v>
      </c>
      <c r="S187" s="497">
        <v>0</v>
      </c>
      <c r="T187" s="497">
        <v>0</v>
      </c>
      <c r="U187" s="497">
        <v>0</v>
      </c>
      <c r="V187" s="497">
        <v>0</v>
      </c>
      <c r="W187" s="497">
        <v>0</v>
      </c>
      <c r="X187" s="497">
        <v>0</v>
      </c>
      <c r="Y187" s="497">
        <v>0</v>
      </c>
      <c r="Z187" s="497">
        <v>0</v>
      </c>
      <c r="AA187" s="497">
        <v>0</v>
      </c>
      <c r="AB187" s="497">
        <v>0</v>
      </c>
      <c r="AC187" s="497">
        <v>0</v>
      </c>
      <c r="AD187" s="497">
        <v>0</v>
      </c>
      <c r="AE187" s="497">
        <v>0</v>
      </c>
      <c r="AF187" s="497">
        <v>0</v>
      </c>
      <c r="AG187" s="497">
        <v>0</v>
      </c>
      <c r="AH187" s="497">
        <v>0</v>
      </c>
      <c r="AI187" s="497">
        <v>0</v>
      </c>
      <c r="AJ187" s="497">
        <v>0</v>
      </c>
      <c r="AK187" s="497">
        <v>0</v>
      </c>
      <c r="AL187" s="497">
        <v>0</v>
      </c>
      <c r="AM187" s="497">
        <v>0</v>
      </c>
      <c r="AN187" s="497">
        <v>0</v>
      </c>
      <c r="AO187" s="497">
        <v>0</v>
      </c>
      <c r="AP187" s="497">
        <v>0</v>
      </c>
      <c r="AQ187" s="497">
        <v>0</v>
      </c>
      <c r="AR187" s="497">
        <v>0</v>
      </c>
      <c r="AS187" s="497">
        <v>0</v>
      </c>
      <c r="AT187" s="497">
        <v>0</v>
      </c>
      <c r="AU187" s="497">
        <v>0</v>
      </c>
      <c r="AV187" s="497">
        <v>0</v>
      </c>
      <c r="AW187" s="497">
        <v>0</v>
      </c>
      <c r="AX187" s="497">
        <v>0</v>
      </c>
      <c r="AY187" s="497">
        <v>0</v>
      </c>
      <c r="AZ187" s="498">
        <v>0</v>
      </c>
    </row>
    <row r="188" spans="1:52" s="469" customFormat="1">
      <c r="A188" s="485">
        <f>'[4]Allocation Methodology'!A20</f>
        <v>16</v>
      </c>
      <c r="B188" s="486" t="str">
        <f>'[4]Allocation Methodology'!B20</f>
        <v>Toronto Comprehensive</v>
      </c>
      <c r="C188" s="486" t="str">
        <f>'[4]Allocation Methodology'!C20</f>
        <v>Business</v>
      </c>
      <c r="D188" s="486"/>
      <c r="E188" s="486">
        <f>'[4]Allocation Methodology'!D20</f>
        <v>2007</v>
      </c>
      <c r="F188" s="487" t="str">
        <f>'[4]Allocation Methodology'!E20</f>
        <v>Final</v>
      </c>
      <c r="G188" s="471" t="b">
        <v>0</v>
      </c>
      <c r="H188" s="568">
        <v>0</v>
      </c>
      <c r="I188" s="490">
        <v>0</v>
      </c>
      <c r="J188" s="490">
        <v>0</v>
      </c>
      <c r="K188" s="490">
        <v>0</v>
      </c>
      <c r="L188" s="490">
        <v>0</v>
      </c>
      <c r="M188" s="490">
        <v>0</v>
      </c>
      <c r="N188" s="490">
        <v>0</v>
      </c>
      <c r="O188" s="490">
        <v>0</v>
      </c>
      <c r="P188" s="490">
        <v>0</v>
      </c>
      <c r="Q188" s="490">
        <v>0</v>
      </c>
      <c r="R188" s="490">
        <v>0</v>
      </c>
      <c r="S188" s="490">
        <v>0</v>
      </c>
      <c r="T188" s="490">
        <v>0</v>
      </c>
      <c r="U188" s="490">
        <v>0</v>
      </c>
      <c r="V188" s="490">
        <v>0</v>
      </c>
      <c r="W188" s="490">
        <v>0</v>
      </c>
      <c r="X188" s="490">
        <v>0</v>
      </c>
      <c r="Y188" s="490">
        <v>0</v>
      </c>
      <c r="Z188" s="490">
        <v>0</v>
      </c>
      <c r="AA188" s="490">
        <v>0</v>
      </c>
      <c r="AB188" s="490">
        <v>0</v>
      </c>
      <c r="AC188" s="490">
        <v>0</v>
      </c>
      <c r="AD188" s="490">
        <v>0</v>
      </c>
      <c r="AE188" s="490">
        <v>0</v>
      </c>
      <c r="AF188" s="490">
        <v>0</v>
      </c>
      <c r="AG188" s="490">
        <v>0</v>
      </c>
      <c r="AH188" s="490">
        <v>0</v>
      </c>
      <c r="AI188" s="490">
        <v>0</v>
      </c>
      <c r="AJ188" s="490">
        <v>0</v>
      </c>
      <c r="AK188" s="490">
        <v>0</v>
      </c>
      <c r="AL188" s="490">
        <v>0</v>
      </c>
      <c r="AM188" s="490">
        <v>0</v>
      </c>
      <c r="AN188" s="490">
        <v>0</v>
      </c>
      <c r="AO188" s="490">
        <v>0</v>
      </c>
      <c r="AP188" s="490">
        <v>0</v>
      </c>
      <c r="AQ188" s="490">
        <v>0</v>
      </c>
      <c r="AR188" s="490">
        <v>0</v>
      </c>
      <c r="AS188" s="490">
        <v>0</v>
      </c>
      <c r="AT188" s="490">
        <v>0</v>
      </c>
      <c r="AU188" s="490">
        <v>0</v>
      </c>
      <c r="AV188" s="490">
        <v>0</v>
      </c>
      <c r="AW188" s="490">
        <v>0</v>
      </c>
      <c r="AX188" s="490">
        <v>0</v>
      </c>
      <c r="AY188" s="490">
        <v>0</v>
      </c>
      <c r="AZ188" s="491">
        <v>0</v>
      </c>
    </row>
    <row r="189" spans="1:52" s="469" customFormat="1">
      <c r="A189" s="492">
        <f>'[4]Allocation Methodology'!A21</f>
        <v>17</v>
      </c>
      <c r="B189" s="493" t="str">
        <f>'[4]Allocation Methodology'!B21</f>
        <v>Demand Response 1</v>
      </c>
      <c r="C189" s="493" t="str">
        <f>'[4]Allocation Methodology'!C21</f>
        <v>Business, Industrial</v>
      </c>
      <c r="D189" s="493"/>
      <c r="E189" s="493">
        <f>'[4]Allocation Methodology'!D21</f>
        <v>2007</v>
      </c>
      <c r="F189" s="494" t="str">
        <f>'[4]Allocation Methodology'!E21</f>
        <v>Final</v>
      </c>
      <c r="G189" s="471" t="b">
        <v>0</v>
      </c>
      <c r="H189" s="569">
        <v>0</v>
      </c>
      <c r="I189" s="497">
        <v>1.9100236982573271</v>
      </c>
      <c r="J189" s="497">
        <v>0</v>
      </c>
      <c r="K189" s="497">
        <v>0</v>
      </c>
      <c r="L189" s="497">
        <v>0</v>
      </c>
      <c r="M189" s="497">
        <v>0</v>
      </c>
      <c r="N189" s="497">
        <v>0</v>
      </c>
      <c r="O189" s="497">
        <v>0</v>
      </c>
      <c r="P189" s="497">
        <v>0</v>
      </c>
      <c r="Q189" s="497">
        <v>0</v>
      </c>
      <c r="R189" s="497">
        <v>0</v>
      </c>
      <c r="S189" s="497">
        <v>0</v>
      </c>
      <c r="T189" s="497">
        <v>0</v>
      </c>
      <c r="U189" s="497">
        <v>0</v>
      </c>
      <c r="V189" s="497">
        <v>0</v>
      </c>
      <c r="W189" s="497">
        <v>0</v>
      </c>
      <c r="X189" s="497">
        <v>0</v>
      </c>
      <c r="Y189" s="497">
        <v>0</v>
      </c>
      <c r="Z189" s="497">
        <v>0</v>
      </c>
      <c r="AA189" s="497">
        <v>0</v>
      </c>
      <c r="AB189" s="497">
        <v>0</v>
      </c>
      <c r="AC189" s="497">
        <v>0</v>
      </c>
      <c r="AD189" s="497">
        <v>0</v>
      </c>
      <c r="AE189" s="497">
        <v>0</v>
      </c>
      <c r="AF189" s="497">
        <v>0</v>
      </c>
      <c r="AG189" s="497">
        <v>0</v>
      </c>
      <c r="AH189" s="497">
        <v>0</v>
      </c>
      <c r="AI189" s="497">
        <v>0</v>
      </c>
      <c r="AJ189" s="497">
        <v>0</v>
      </c>
      <c r="AK189" s="497">
        <v>0</v>
      </c>
      <c r="AL189" s="497">
        <v>0</v>
      </c>
      <c r="AM189" s="497">
        <v>0</v>
      </c>
      <c r="AN189" s="497">
        <v>0</v>
      </c>
      <c r="AO189" s="497">
        <v>0</v>
      </c>
      <c r="AP189" s="497">
        <v>0</v>
      </c>
      <c r="AQ189" s="497">
        <v>0</v>
      </c>
      <c r="AR189" s="497">
        <v>0</v>
      </c>
      <c r="AS189" s="497">
        <v>0</v>
      </c>
      <c r="AT189" s="497">
        <v>0</v>
      </c>
      <c r="AU189" s="497">
        <v>0</v>
      </c>
      <c r="AV189" s="497">
        <v>0</v>
      </c>
      <c r="AW189" s="497">
        <v>0</v>
      </c>
      <c r="AX189" s="497">
        <v>0</v>
      </c>
      <c r="AY189" s="497">
        <v>0</v>
      </c>
      <c r="AZ189" s="498">
        <v>0</v>
      </c>
    </row>
    <row r="190" spans="1:52" s="469" customFormat="1">
      <c r="A190" s="485">
        <f>'[4]Allocation Methodology'!A22</f>
        <v>18</v>
      </c>
      <c r="B190" s="486" t="str">
        <f>'[4]Allocation Methodology'!B22</f>
        <v>Loblaw &amp; York Region Demand Response</v>
      </c>
      <c r="C190" s="486" t="str">
        <f>'[4]Allocation Methodology'!C22</f>
        <v>Business, Industrial</v>
      </c>
      <c r="D190" s="486"/>
      <c r="E190" s="486">
        <f>'[4]Allocation Methodology'!D22</f>
        <v>2007</v>
      </c>
      <c r="F190" s="487" t="str">
        <f>'[4]Allocation Methodology'!E22</f>
        <v>Final</v>
      </c>
      <c r="G190" s="471" t="b">
        <v>0</v>
      </c>
      <c r="H190" s="568">
        <v>0</v>
      </c>
      <c r="I190" s="490">
        <v>0.15889278599021095</v>
      </c>
      <c r="J190" s="490">
        <v>0</v>
      </c>
      <c r="K190" s="490">
        <v>0</v>
      </c>
      <c r="L190" s="490">
        <v>0</v>
      </c>
      <c r="M190" s="490">
        <v>0</v>
      </c>
      <c r="N190" s="490">
        <v>0</v>
      </c>
      <c r="O190" s="490">
        <v>0</v>
      </c>
      <c r="P190" s="490">
        <v>0</v>
      </c>
      <c r="Q190" s="490">
        <v>0</v>
      </c>
      <c r="R190" s="490">
        <v>0</v>
      </c>
      <c r="S190" s="490">
        <v>0</v>
      </c>
      <c r="T190" s="490">
        <v>0</v>
      </c>
      <c r="U190" s="490">
        <v>0</v>
      </c>
      <c r="V190" s="490">
        <v>0</v>
      </c>
      <c r="W190" s="490">
        <v>0</v>
      </c>
      <c r="X190" s="490">
        <v>0</v>
      </c>
      <c r="Y190" s="490">
        <v>0</v>
      </c>
      <c r="Z190" s="490">
        <v>0</v>
      </c>
      <c r="AA190" s="490">
        <v>0</v>
      </c>
      <c r="AB190" s="490">
        <v>0</v>
      </c>
      <c r="AC190" s="490">
        <v>0</v>
      </c>
      <c r="AD190" s="490">
        <v>0</v>
      </c>
      <c r="AE190" s="490">
        <v>0</v>
      </c>
      <c r="AF190" s="490">
        <v>0</v>
      </c>
      <c r="AG190" s="490">
        <v>0</v>
      </c>
      <c r="AH190" s="490">
        <v>0</v>
      </c>
      <c r="AI190" s="490">
        <v>0</v>
      </c>
      <c r="AJ190" s="490">
        <v>0</v>
      </c>
      <c r="AK190" s="490">
        <v>0</v>
      </c>
      <c r="AL190" s="490">
        <v>0</v>
      </c>
      <c r="AM190" s="490">
        <v>0</v>
      </c>
      <c r="AN190" s="490">
        <v>0</v>
      </c>
      <c r="AO190" s="490">
        <v>0</v>
      </c>
      <c r="AP190" s="490">
        <v>0</v>
      </c>
      <c r="AQ190" s="490">
        <v>0</v>
      </c>
      <c r="AR190" s="490">
        <v>0</v>
      </c>
      <c r="AS190" s="490">
        <v>0</v>
      </c>
      <c r="AT190" s="490">
        <v>0</v>
      </c>
      <c r="AU190" s="490">
        <v>0</v>
      </c>
      <c r="AV190" s="490">
        <v>0</v>
      </c>
      <c r="AW190" s="490">
        <v>0</v>
      </c>
      <c r="AX190" s="490">
        <v>0</v>
      </c>
      <c r="AY190" s="490">
        <v>0</v>
      </c>
      <c r="AZ190" s="491">
        <v>0</v>
      </c>
    </row>
    <row r="191" spans="1:52" s="469" customFormat="1">
      <c r="A191" s="499">
        <f>'[4]Allocation Methodology'!A23</f>
        <v>19</v>
      </c>
      <c r="B191" s="500" t="str">
        <f>'[4]Allocation Methodology'!B23</f>
        <v>Renewable Energy Standard Offer</v>
      </c>
      <c r="C191" s="500" t="str">
        <f>'[4]Allocation Methodology'!C23</f>
        <v>Consumer, Business, Industrial</v>
      </c>
      <c r="D191" s="500"/>
      <c r="E191" s="500">
        <f>'[4]Allocation Methodology'!D23</f>
        <v>2007</v>
      </c>
      <c r="F191" s="501" t="str">
        <f>'[4]Allocation Methodology'!E23</f>
        <v>Final</v>
      </c>
      <c r="G191" s="471" t="b">
        <v>0</v>
      </c>
      <c r="H191" s="570">
        <v>0</v>
      </c>
      <c r="I191" s="504">
        <v>2.146E-2</v>
      </c>
      <c r="J191" s="504">
        <v>2.146E-2</v>
      </c>
      <c r="K191" s="504">
        <v>2.146E-2</v>
      </c>
      <c r="L191" s="504">
        <v>2.146E-2</v>
      </c>
      <c r="M191" s="504">
        <v>2.146E-2</v>
      </c>
      <c r="N191" s="504">
        <v>2.146E-2</v>
      </c>
      <c r="O191" s="504">
        <v>2.146E-2</v>
      </c>
      <c r="P191" s="504">
        <v>2.146E-2</v>
      </c>
      <c r="Q191" s="504">
        <v>2.146E-2</v>
      </c>
      <c r="R191" s="504">
        <v>2.146E-2</v>
      </c>
      <c r="S191" s="504">
        <v>2.146E-2</v>
      </c>
      <c r="T191" s="504">
        <v>2.146E-2</v>
      </c>
      <c r="U191" s="504">
        <v>2.146E-2</v>
      </c>
      <c r="V191" s="504">
        <v>2.146E-2</v>
      </c>
      <c r="W191" s="504">
        <v>2.146E-2</v>
      </c>
      <c r="X191" s="504">
        <v>2.146E-2</v>
      </c>
      <c r="Y191" s="504">
        <v>2.146E-2</v>
      </c>
      <c r="Z191" s="504">
        <v>2.146E-2</v>
      </c>
      <c r="AA191" s="504">
        <v>2.146E-2</v>
      </c>
      <c r="AB191" s="504">
        <v>2.146E-2</v>
      </c>
      <c r="AC191" s="504">
        <v>0</v>
      </c>
      <c r="AD191" s="504">
        <v>0</v>
      </c>
      <c r="AE191" s="504">
        <v>0</v>
      </c>
      <c r="AF191" s="504">
        <v>0</v>
      </c>
      <c r="AG191" s="504">
        <v>0</v>
      </c>
      <c r="AH191" s="504">
        <v>0</v>
      </c>
      <c r="AI191" s="504">
        <v>0</v>
      </c>
      <c r="AJ191" s="504">
        <v>0</v>
      </c>
      <c r="AK191" s="504">
        <v>0</v>
      </c>
      <c r="AL191" s="504">
        <v>0</v>
      </c>
      <c r="AM191" s="504">
        <v>0</v>
      </c>
      <c r="AN191" s="504">
        <v>0</v>
      </c>
      <c r="AO191" s="504">
        <v>0</v>
      </c>
      <c r="AP191" s="504">
        <v>0</v>
      </c>
      <c r="AQ191" s="504">
        <v>0</v>
      </c>
      <c r="AR191" s="504">
        <v>0</v>
      </c>
      <c r="AS191" s="504">
        <v>0</v>
      </c>
      <c r="AT191" s="504">
        <v>0</v>
      </c>
      <c r="AU191" s="504">
        <v>0</v>
      </c>
      <c r="AV191" s="504">
        <v>0</v>
      </c>
      <c r="AW191" s="504">
        <v>0</v>
      </c>
      <c r="AX191" s="504">
        <v>0</v>
      </c>
      <c r="AY191" s="504">
        <v>0</v>
      </c>
      <c r="AZ191" s="505">
        <v>0</v>
      </c>
    </row>
    <row r="192" spans="1:52" s="469" customFormat="1">
      <c r="A192" s="506">
        <f>'[4]Allocation Methodology'!A24</f>
        <v>20</v>
      </c>
      <c r="B192" s="507" t="str">
        <f>'[4]Allocation Methodology'!B24</f>
        <v>Great Refrigerator Roundup</v>
      </c>
      <c r="C192" s="507" t="str">
        <f>'[4]Allocation Methodology'!C24</f>
        <v>Consumer</v>
      </c>
      <c r="D192" s="507"/>
      <c r="E192" s="507">
        <f>'[4]Allocation Methodology'!D24</f>
        <v>2008</v>
      </c>
      <c r="F192" s="508" t="str">
        <f>'[4]Allocation Methodology'!E24</f>
        <v>Final</v>
      </c>
      <c r="G192" s="471" t="b">
        <v>0</v>
      </c>
      <c r="H192" s="571">
        <v>0</v>
      </c>
      <c r="I192" s="511">
        <v>0</v>
      </c>
      <c r="J192" s="511">
        <v>2.3584822872999997E-2</v>
      </c>
      <c r="K192" s="511">
        <v>2.3584822872999997E-2</v>
      </c>
      <c r="L192" s="511">
        <v>2.3584822872999997E-2</v>
      </c>
      <c r="M192" s="511">
        <v>2.3584822872999997E-2</v>
      </c>
      <c r="N192" s="511">
        <v>2.1992822872999997E-2</v>
      </c>
      <c r="O192" s="511">
        <v>2.1992822872999997E-2</v>
      </c>
      <c r="P192" s="511">
        <v>2.1992822872999997E-2</v>
      </c>
      <c r="Q192" s="511">
        <v>2.1992822872999997E-2</v>
      </c>
      <c r="R192" s="511">
        <v>1.6830033399999996E-2</v>
      </c>
      <c r="S192" s="511">
        <v>0</v>
      </c>
      <c r="T192" s="511">
        <v>0</v>
      </c>
      <c r="U192" s="511">
        <v>0</v>
      </c>
      <c r="V192" s="511">
        <v>0</v>
      </c>
      <c r="W192" s="511">
        <v>0</v>
      </c>
      <c r="X192" s="511">
        <v>0</v>
      </c>
      <c r="Y192" s="511">
        <v>0</v>
      </c>
      <c r="Z192" s="511">
        <v>0</v>
      </c>
      <c r="AA192" s="511">
        <v>0</v>
      </c>
      <c r="AB192" s="511">
        <v>0</v>
      </c>
      <c r="AC192" s="511">
        <v>0</v>
      </c>
      <c r="AD192" s="511">
        <v>0</v>
      </c>
      <c r="AE192" s="511">
        <v>0</v>
      </c>
      <c r="AF192" s="511">
        <v>0</v>
      </c>
      <c r="AG192" s="511">
        <v>0</v>
      </c>
      <c r="AH192" s="511">
        <v>0</v>
      </c>
      <c r="AI192" s="511">
        <v>0</v>
      </c>
      <c r="AJ192" s="511">
        <v>0</v>
      </c>
      <c r="AK192" s="511">
        <v>0</v>
      </c>
      <c r="AL192" s="511">
        <v>0</v>
      </c>
      <c r="AM192" s="511">
        <v>0</v>
      </c>
      <c r="AN192" s="511">
        <v>0</v>
      </c>
      <c r="AO192" s="511">
        <v>0</v>
      </c>
      <c r="AP192" s="511">
        <v>0</v>
      </c>
      <c r="AQ192" s="511">
        <v>0</v>
      </c>
      <c r="AR192" s="511">
        <v>0</v>
      </c>
      <c r="AS192" s="511">
        <v>0</v>
      </c>
      <c r="AT192" s="511">
        <v>0</v>
      </c>
      <c r="AU192" s="511">
        <v>0</v>
      </c>
      <c r="AV192" s="511">
        <v>0</v>
      </c>
      <c r="AW192" s="511">
        <v>0</v>
      </c>
      <c r="AX192" s="511">
        <v>0</v>
      </c>
      <c r="AY192" s="511">
        <v>0</v>
      </c>
      <c r="AZ192" s="512">
        <v>0</v>
      </c>
    </row>
    <row r="193" spans="1:52" s="469" customFormat="1">
      <c r="A193" s="492">
        <f>'[4]Allocation Methodology'!A25</f>
        <v>21</v>
      </c>
      <c r="B193" s="493" t="str">
        <f>'[4]Allocation Methodology'!B25</f>
        <v>Cool Savings Rebate</v>
      </c>
      <c r="C193" s="493" t="str">
        <f>'[4]Allocation Methodology'!C25</f>
        <v>Consumer</v>
      </c>
      <c r="D193" s="493"/>
      <c r="E193" s="493">
        <f>'[4]Allocation Methodology'!D25</f>
        <v>2008</v>
      </c>
      <c r="F193" s="494" t="str">
        <f>'[4]Allocation Methodology'!E25</f>
        <v>Final</v>
      </c>
      <c r="G193" s="471" t="b">
        <v>0</v>
      </c>
      <c r="H193" s="569">
        <v>0</v>
      </c>
      <c r="I193" s="497">
        <v>0</v>
      </c>
      <c r="J193" s="497">
        <v>0.12713053769576005</v>
      </c>
      <c r="K193" s="497">
        <v>0.12713053769576005</v>
      </c>
      <c r="L193" s="497">
        <v>0.12713053769576005</v>
      </c>
      <c r="M193" s="497">
        <v>0.12713053769576005</v>
      </c>
      <c r="N193" s="497">
        <v>0.12713053769576005</v>
      </c>
      <c r="O193" s="497">
        <v>0.12713053769576005</v>
      </c>
      <c r="P193" s="497">
        <v>0.12713053769576005</v>
      </c>
      <c r="Q193" s="497">
        <v>0.12713053769576005</v>
      </c>
      <c r="R193" s="497">
        <v>0.12713053769576005</v>
      </c>
      <c r="S193" s="497">
        <v>0.12713053769576005</v>
      </c>
      <c r="T193" s="497">
        <v>0.12713053769576005</v>
      </c>
      <c r="U193" s="497">
        <v>0.12713053769576005</v>
      </c>
      <c r="V193" s="497">
        <v>0.12713053769576005</v>
      </c>
      <c r="W193" s="497">
        <v>0.12713053769576005</v>
      </c>
      <c r="X193" s="497">
        <v>0.12713053769576005</v>
      </c>
      <c r="Y193" s="497">
        <v>0.10317099493932096</v>
      </c>
      <c r="Z193" s="497">
        <v>0.10317099493932096</v>
      </c>
      <c r="AA193" s="497">
        <v>0.10317099493932096</v>
      </c>
      <c r="AB193" s="497">
        <v>0</v>
      </c>
      <c r="AC193" s="497">
        <v>0</v>
      </c>
      <c r="AD193" s="497">
        <v>0</v>
      </c>
      <c r="AE193" s="497">
        <v>0</v>
      </c>
      <c r="AF193" s="497">
        <v>0</v>
      </c>
      <c r="AG193" s="497">
        <v>0</v>
      </c>
      <c r="AH193" s="497">
        <v>0</v>
      </c>
      <c r="AI193" s="497">
        <v>0</v>
      </c>
      <c r="AJ193" s="497">
        <v>0</v>
      </c>
      <c r="AK193" s="497">
        <v>0</v>
      </c>
      <c r="AL193" s="497">
        <v>0</v>
      </c>
      <c r="AM193" s="497">
        <v>0</v>
      </c>
      <c r="AN193" s="497">
        <v>0</v>
      </c>
      <c r="AO193" s="497">
        <v>0</v>
      </c>
      <c r="AP193" s="497">
        <v>0</v>
      </c>
      <c r="AQ193" s="497">
        <v>0</v>
      </c>
      <c r="AR193" s="497">
        <v>0</v>
      </c>
      <c r="AS193" s="497">
        <v>0</v>
      </c>
      <c r="AT193" s="497">
        <v>0</v>
      </c>
      <c r="AU193" s="497">
        <v>0</v>
      </c>
      <c r="AV193" s="497">
        <v>0</v>
      </c>
      <c r="AW193" s="497">
        <v>0</v>
      </c>
      <c r="AX193" s="497">
        <v>0</v>
      </c>
      <c r="AY193" s="497">
        <v>0</v>
      </c>
      <c r="AZ193" s="498">
        <v>0</v>
      </c>
    </row>
    <row r="194" spans="1:52" s="469" customFormat="1">
      <c r="A194" s="485">
        <f>'[4]Allocation Methodology'!A26</f>
        <v>22</v>
      </c>
      <c r="B194" s="486" t="str">
        <f>'[4]Allocation Methodology'!B26</f>
        <v>Every Kilowatt Counts Power Savings Event</v>
      </c>
      <c r="C194" s="486" t="str">
        <f>'[4]Allocation Methodology'!C26</f>
        <v>Consumer</v>
      </c>
      <c r="D194" s="486"/>
      <c r="E194" s="486">
        <f>'[4]Allocation Methodology'!D26</f>
        <v>2008</v>
      </c>
      <c r="F194" s="487" t="str">
        <f>'[4]Allocation Methodology'!E26</f>
        <v>Final</v>
      </c>
      <c r="G194" s="471" t="b">
        <v>0</v>
      </c>
      <c r="H194" s="568">
        <v>0</v>
      </c>
      <c r="I194" s="490">
        <v>0</v>
      </c>
      <c r="J194" s="490">
        <v>7.6643412159194346E-2</v>
      </c>
      <c r="K194" s="490">
        <v>7.2590966394924475E-2</v>
      </c>
      <c r="L194" s="490">
        <v>7.2590966394924475E-2</v>
      </c>
      <c r="M194" s="490">
        <v>7.2590966394924475E-2</v>
      </c>
      <c r="N194" s="490">
        <v>6.5370401423512692E-2</v>
      </c>
      <c r="O194" s="490">
        <v>6.5370401423512692E-2</v>
      </c>
      <c r="P194" s="490">
        <v>5.1378536857366416E-2</v>
      </c>
      <c r="Q194" s="490">
        <v>4.559636414097247E-2</v>
      </c>
      <c r="R194" s="490">
        <v>3.5775148043087547E-2</v>
      </c>
      <c r="S194" s="490">
        <v>2.9579416910929662E-2</v>
      </c>
      <c r="T194" s="490">
        <v>2.625703041383249E-2</v>
      </c>
      <c r="U194" s="490">
        <v>2.625703041383249E-2</v>
      </c>
      <c r="V194" s="490">
        <v>1.4563876352662654E-2</v>
      </c>
      <c r="W194" s="490">
        <v>1.4563876352662654E-2</v>
      </c>
      <c r="X194" s="490">
        <v>1.4563876352662654E-2</v>
      </c>
      <c r="Y194" s="490">
        <v>1.4563876352662654E-2</v>
      </c>
      <c r="Z194" s="490">
        <v>0</v>
      </c>
      <c r="AA194" s="490">
        <v>0</v>
      </c>
      <c r="AB194" s="490">
        <v>0</v>
      </c>
      <c r="AC194" s="490">
        <v>0</v>
      </c>
      <c r="AD194" s="490">
        <v>0</v>
      </c>
      <c r="AE194" s="490">
        <v>0</v>
      </c>
      <c r="AF194" s="490">
        <v>0</v>
      </c>
      <c r="AG194" s="490">
        <v>0</v>
      </c>
      <c r="AH194" s="490">
        <v>0</v>
      </c>
      <c r="AI194" s="490">
        <v>0</v>
      </c>
      <c r="AJ194" s="490">
        <v>0</v>
      </c>
      <c r="AK194" s="490">
        <v>0</v>
      </c>
      <c r="AL194" s="490">
        <v>0</v>
      </c>
      <c r="AM194" s="490">
        <v>0</v>
      </c>
      <c r="AN194" s="490">
        <v>0</v>
      </c>
      <c r="AO194" s="490">
        <v>0</v>
      </c>
      <c r="AP194" s="490">
        <v>0</v>
      </c>
      <c r="AQ194" s="490">
        <v>0</v>
      </c>
      <c r="AR194" s="490">
        <v>0</v>
      </c>
      <c r="AS194" s="490">
        <v>0</v>
      </c>
      <c r="AT194" s="490">
        <v>0</v>
      </c>
      <c r="AU194" s="490">
        <v>0</v>
      </c>
      <c r="AV194" s="490">
        <v>0</v>
      </c>
      <c r="AW194" s="490">
        <v>0</v>
      </c>
      <c r="AX194" s="490">
        <v>0</v>
      </c>
      <c r="AY194" s="490">
        <v>0</v>
      </c>
      <c r="AZ194" s="491">
        <v>0</v>
      </c>
    </row>
    <row r="195" spans="1:52" s="469" customFormat="1">
      <c r="A195" s="492">
        <f>'[4]Allocation Methodology'!A27</f>
        <v>23</v>
      </c>
      <c r="B195" s="513" t="str">
        <f>'[4]Allocation Methodology'!B27</f>
        <v>peaksaver®</v>
      </c>
      <c r="C195" s="493" t="str">
        <f>'[4]Allocation Methodology'!C27</f>
        <v>Consumer, Business</v>
      </c>
      <c r="D195" s="493"/>
      <c r="E195" s="493">
        <f>'[4]Allocation Methodology'!D27</f>
        <v>2008</v>
      </c>
      <c r="F195" s="494" t="str">
        <f>'[4]Allocation Methodology'!E27</f>
        <v>Final</v>
      </c>
      <c r="G195" s="471" t="b">
        <v>0</v>
      </c>
      <c r="H195" s="569">
        <v>0</v>
      </c>
      <c r="I195" s="497">
        <v>0</v>
      </c>
      <c r="J195" s="497">
        <v>0</v>
      </c>
      <c r="K195" s="497">
        <v>0</v>
      </c>
      <c r="L195" s="497">
        <v>0</v>
      </c>
      <c r="M195" s="497">
        <v>0</v>
      </c>
      <c r="N195" s="497">
        <v>0</v>
      </c>
      <c r="O195" s="497">
        <v>0</v>
      </c>
      <c r="P195" s="497">
        <v>0</v>
      </c>
      <c r="Q195" s="497">
        <v>0</v>
      </c>
      <c r="R195" s="497">
        <v>0</v>
      </c>
      <c r="S195" s="497">
        <v>0</v>
      </c>
      <c r="T195" s="497">
        <v>0</v>
      </c>
      <c r="U195" s="497">
        <v>0</v>
      </c>
      <c r="V195" s="497">
        <v>0</v>
      </c>
      <c r="W195" s="497">
        <v>0</v>
      </c>
      <c r="X195" s="497">
        <v>0</v>
      </c>
      <c r="Y195" s="497">
        <v>0</v>
      </c>
      <c r="Z195" s="497">
        <v>0</v>
      </c>
      <c r="AA195" s="497">
        <v>0</v>
      </c>
      <c r="AB195" s="497">
        <v>0</v>
      </c>
      <c r="AC195" s="497">
        <v>0</v>
      </c>
      <c r="AD195" s="497">
        <v>0</v>
      </c>
      <c r="AE195" s="497">
        <v>0</v>
      </c>
      <c r="AF195" s="497">
        <v>0</v>
      </c>
      <c r="AG195" s="497">
        <v>0</v>
      </c>
      <c r="AH195" s="497">
        <v>0</v>
      </c>
      <c r="AI195" s="497">
        <v>0</v>
      </c>
      <c r="AJ195" s="497">
        <v>0</v>
      </c>
      <c r="AK195" s="497">
        <v>0</v>
      </c>
      <c r="AL195" s="497">
        <v>0</v>
      </c>
      <c r="AM195" s="497">
        <v>0</v>
      </c>
      <c r="AN195" s="497">
        <v>0</v>
      </c>
      <c r="AO195" s="497">
        <v>0</v>
      </c>
      <c r="AP195" s="497">
        <v>0</v>
      </c>
      <c r="AQ195" s="497">
        <v>0</v>
      </c>
      <c r="AR195" s="497">
        <v>0</v>
      </c>
      <c r="AS195" s="497">
        <v>0</v>
      </c>
      <c r="AT195" s="497">
        <v>0</v>
      </c>
      <c r="AU195" s="497">
        <v>0</v>
      </c>
      <c r="AV195" s="497">
        <v>0</v>
      </c>
      <c r="AW195" s="497">
        <v>0</v>
      </c>
      <c r="AX195" s="497">
        <v>0</v>
      </c>
      <c r="AY195" s="497">
        <v>0</v>
      </c>
      <c r="AZ195" s="498">
        <v>0</v>
      </c>
    </row>
    <row r="196" spans="1:52" s="469" customFormat="1">
      <c r="A196" s="485">
        <f>'[4]Allocation Methodology'!A28</f>
        <v>24</v>
      </c>
      <c r="B196" s="486" t="str">
        <f>'[4]Allocation Methodology'!B28</f>
        <v>Summer Sweepstakes</v>
      </c>
      <c r="C196" s="486" t="str">
        <f>'[4]Allocation Methodology'!C28</f>
        <v>Consumer</v>
      </c>
      <c r="D196" s="486"/>
      <c r="E196" s="486">
        <f>'[4]Allocation Methodology'!D28</f>
        <v>2008</v>
      </c>
      <c r="F196" s="487" t="str">
        <f>'[4]Allocation Methodology'!E28</f>
        <v>Final</v>
      </c>
      <c r="G196" s="471" t="b">
        <v>0</v>
      </c>
      <c r="H196" s="568">
        <v>0</v>
      </c>
      <c r="I196" s="490">
        <v>0</v>
      </c>
      <c r="J196" s="490">
        <v>8.5771907536497508E-2</v>
      </c>
      <c r="K196" s="490">
        <v>4.9186276029234893E-2</v>
      </c>
      <c r="L196" s="490">
        <v>4.9186276029234893E-2</v>
      </c>
      <c r="M196" s="490">
        <v>4.9186276029234893E-2</v>
      </c>
      <c r="N196" s="490">
        <v>4.9186276029234893E-2</v>
      </c>
      <c r="O196" s="490">
        <v>4.9186276029234893E-2</v>
      </c>
      <c r="P196" s="490">
        <v>4.9186276029234893E-2</v>
      </c>
      <c r="Q196" s="490">
        <v>4.9186276029234893E-2</v>
      </c>
      <c r="R196" s="490">
        <v>4.7474458252680492E-2</v>
      </c>
      <c r="S196" s="490">
        <v>4.7474458252680492E-2</v>
      </c>
      <c r="T196" s="490">
        <v>4.6971923187127979E-2</v>
      </c>
      <c r="U196" s="490">
        <v>4.6971923187127979E-2</v>
      </c>
      <c r="V196" s="490">
        <v>4.6971923187127979E-2</v>
      </c>
      <c r="W196" s="490">
        <v>4.6374653326874439E-2</v>
      </c>
      <c r="X196" s="490">
        <v>4.6150355007229533E-2</v>
      </c>
      <c r="Y196" s="490">
        <v>4.3872711719928036E-2</v>
      </c>
      <c r="Z196" s="490">
        <v>4.3872711719928036E-2</v>
      </c>
      <c r="AA196" s="490">
        <v>4.3872711719928036E-2</v>
      </c>
      <c r="AB196" s="490">
        <v>4.3872711719928036E-2</v>
      </c>
      <c r="AC196" s="490">
        <v>4.3872711719928036E-2</v>
      </c>
      <c r="AD196" s="490">
        <v>0</v>
      </c>
      <c r="AE196" s="490">
        <v>0</v>
      </c>
      <c r="AF196" s="490">
        <v>0</v>
      </c>
      <c r="AG196" s="490">
        <v>0</v>
      </c>
      <c r="AH196" s="490">
        <v>0</v>
      </c>
      <c r="AI196" s="490">
        <v>0</v>
      </c>
      <c r="AJ196" s="490">
        <v>0</v>
      </c>
      <c r="AK196" s="490">
        <v>0</v>
      </c>
      <c r="AL196" s="490">
        <v>0</v>
      </c>
      <c r="AM196" s="490">
        <v>0</v>
      </c>
      <c r="AN196" s="490">
        <v>0</v>
      </c>
      <c r="AO196" s="490">
        <v>0</v>
      </c>
      <c r="AP196" s="490">
        <v>0</v>
      </c>
      <c r="AQ196" s="490">
        <v>0</v>
      </c>
      <c r="AR196" s="490">
        <v>0</v>
      </c>
      <c r="AS196" s="490">
        <v>0</v>
      </c>
      <c r="AT196" s="490">
        <v>0</v>
      </c>
      <c r="AU196" s="490">
        <v>0</v>
      </c>
      <c r="AV196" s="490">
        <v>0</v>
      </c>
      <c r="AW196" s="490">
        <v>0</v>
      </c>
      <c r="AX196" s="490">
        <v>0</v>
      </c>
      <c r="AY196" s="490">
        <v>0</v>
      </c>
      <c r="AZ196" s="491">
        <v>0</v>
      </c>
    </row>
    <row r="197" spans="1:52" s="469" customFormat="1">
      <c r="A197" s="492">
        <f>'[4]Allocation Methodology'!A29</f>
        <v>25</v>
      </c>
      <c r="B197" s="493" t="str">
        <f>'[4]Allocation Methodology'!B29</f>
        <v>Electricity Retrofit Incentive</v>
      </c>
      <c r="C197" s="493" t="str">
        <f>'[4]Allocation Methodology'!C29</f>
        <v>Consumer, Business</v>
      </c>
      <c r="D197" s="493"/>
      <c r="E197" s="493">
        <f>'[4]Allocation Methodology'!D29</f>
        <v>2008</v>
      </c>
      <c r="F197" s="494" t="str">
        <f>'[4]Allocation Methodology'!E29</f>
        <v>Final</v>
      </c>
      <c r="G197" s="471" t="b">
        <v>0</v>
      </c>
      <c r="H197" s="569">
        <v>0</v>
      </c>
      <c r="I197" s="497">
        <v>0</v>
      </c>
      <c r="J197" s="497">
        <v>0.31891449231409169</v>
      </c>
      <c r="K197" s="497">
        <v>0.31892423412783233</v>
      </c>
      <c r="L197" s="497">
        <v>0.31892423412783233</v>
      </c>
      <c r="M197" s="497">
        <v>0.31892423412783233</v>
      </c>
      <c r="N197" s="497">
        <v>0.31892423412783233</v>
      </c>
      <c r="O197" s="497">
        <v>0.31892423412783233</v>
      </c>
      <c r="P197" s="497">
        <v>0.31892423412783233</v>
      </c>
      <c r="Q197" s="497">
        <v>0.31892423412783233</v>
      </c>
      <c r="R197" s="497">
        <v>0.31417459035375167</v>
      </c>
      <c r="S197" s="497">
        <v>0.31417459035375167</v>
      </c>
      <c r="T197" s="497">
        <v>0.31417459035375167</v>
      </c>
      <c r="U197" s="497">
        <v>0.31417459035375167</v>
      </c>
      <c r="V197" s="497">
        <v>0.31417459035375167</v>
      </c>
      <c r="W197" s="497">
        <v>0.31417459035375167</v>
      </c>
      <c r="X197" s="497">
        <v>0.31417459035375167</v>
      </c>
      <c r="Y197" s="497">
        <v>0.30474935264313902</v>
      </c>
      <c r="Z197" s="497">
        <v>0</v>
      </c>
      <c r="AA197" s="497">
        <v>0</v>
      </c>
      <c r="AB197" s="497">
        <v>0</v>
      </c>
      <c r="AC197" s="497">
        <v>0</v>
      </c>
      <c r="AD197" s="497">
        <v>0</v>
      </c>
      <c r="AE197" s="497">
        <v>0</v>
      </c>
      <c r="AF197" s="497">
        <v>0</v>
      </c>
      <c r="AG197" s="497">
        <v>0</v>
      </c>
      <c r="AH197" s="497">
        <v>0</v>
      </c>
      <c r="AI197" s="497">
        <v>0</v>
      </c>
      <c r="AJ197" s="497">
        <v>0</v>
      </c>
      <c r="AK197" s="497">
        <v>0</v>
      </c>
      <c r="AL197" s="497">
        <v>0</v>
      </c>
      <c r="AM197" s="497">
        <v>0</v>
      </c>
      <c r="AN197" s="497">
        <v>0</v>
      </c>
      <c r="AO197" s="497">
        <v>0</v>
      </c>
      <c r="AP197" s="497">
        <v>0</v>
      </c>
      <c r="AQ197" s="497">
        <v>0</v>
      </c>
      <c r="AR197" s="497">
        <v>0</v>
      </c>
      <c r="AS197" s="497">
        <v>0</v>
      </c>
      <c r="AT197" s="497">
        <v>0</v>
      </c>
      <c r="AU197" s="497">
        <v>0</v>
      </c>
      <c r="AV197" s="497">
        <v>0</v>
      </c>
      <c r="AW197" s="497">
        <v>0</v>
      </c>
      <c r="AX197" s="497">
        <v>0</v>
      </c>
      <c r="AY197" s="497">
        <v>0</v>
      </c>
      <c r="AZ197" s="498">
        <v>0</v>
      </c>
    </row>
    <row r="198" spans="1:52" s="469" customFormat="1">
      <c r="A198" s="485">
        <f>'[4]Allocation Methodology'!A30</f>
        <v>26</v>
      </c>
      <c r="B198" s="486" t="str">
        <f>'[4]Allocation Methodology'!B30</f>
        <v>Toronto Comprehensive</v>
      </c>
      <c r="C198" s="486" t="str">
        <f>'[4]Allocation Methodology'!C30</f>
        <v>Consumer, Consumer Low-Income, Business</v>
      </c>
      <c r="D198" s="486"/>
      <c r="E198" s="486">
        <f>'[4]Allocation Methodology'!D30</f>
        <v>2008</v>
      </c>
      <c r="F198" s="487" t="str">
        <f>'[4]Allocation Methodology'!E30</f>
        <v>Final</v>
      </c>
      <c r="G198" s="471" t="b">
        <v>0</v>
      </c>
      <c r="H198" s="568">
        <v>0</v>
      </c>
      <c r="I198" s="490">
        <v>0</v>
      </c>
      <c r="J198" s="490">
        <v>0</v>
      </c>
      <c r="K198" s="490">
        <v>0</v>
      </c>
      <c r="L198" s="490">
        <v>0</v>
      </c>
      <c r="M198" s="490">
        <v>0</v>
      </c>
      <c r="N198" s="490">
        <v>0</v>
      </c>
      <c r="O198" s="490">
        <v>0</v>
      </c>
      <c r="P198" s="490">
        <v>0</v>
      </c>
      <c r="Q198" s="490">
        <v>0</v>
      </c>
      <c r="R198" s="490">
        <v>0</v>
      </c>
      <c r="S198" s="490">
        <v>0</v>
      </c>
      <c r="T198" s="490">
        <v>0</v>
      </c>
      <c r="U198" s="490">
        <v>0</v>
      </c>
      <c r="V198" s="490">
        <v>0</v>
      </c>
      <c r="W198" s="490">
        <v>0</v>
      </c>
      <c r="X198" s="490">
        <v>0</v>
      </c>
      <c r="Y198" s="490">
        <v>0</v>
      </c>
      <c r="Z198" s="490">
        <v>0</v>
      </c>
      <c r="AA198" s="490">
        <v>0</v>
      </c>
      <c r="AB198" s="490">
        <v>0</v>
      </c>
      <c r="AC198" s="490">
        <v>0</v>
      </c>
      <c r="AD198" s="490">
        <v>0</v>
      </c>
      <c r="AE198" s="490">
        <v>0</v>
      </c>
      <c r="AF198" s="490">
        <v>0</v>
      </c>
      <c r="AG198" s="490">
        <v>0</v>
      </c>
      <c r="AH198" s="490">
        <v>0</v>
      </c>
      <c r="AI198" s="490">
        <v>0</v>
      </c>
      <c r="AJ198" s="490">
        <v>0</v>
      </c>
      <c r="AK198" s="490">
        <v>0</v>
      </c>
      <c r="AL198" s="490">
        <v>0</v>
      </c>
      <c r="AM198" s="490">
        <v>0</v>
      </c>
      <c r="AN198" s="490">
        <v>0</v>
      </c>
      <c r="AO198" s="490">
        <v>0</v>
      </c>
      <c r="AP198" s="490">
        <v>0</v>
      </c>
      <c r="AQ198" s="490">
        <v>0</v>
      </c>
      <c r="AR198" s="490">
        <v>0</v>
      </c>
      <c r="AS198" s="490">
        <v>0</v>
      </c>
      <c r="AT198" s="490">
        <v>0</v>
      </c>
      <c r="AU198" s="490">
        <v>0</v>
      </c>
      <c r="AV198" s="490">
        <v>0</v>
      </c>
      <c r="AW198" s="490">
        <v>0</v>
      </c>
      <c r="AX198" s="490">
        <v>0</v>
      </c>
      <c r="AY198" s="490">
        <v>0</v>
      </c>
      <c r="AZ198" s="491">
        <v>0</v>
      </c>
    </row>
    <row r="199" spans="1:52" s="469" customFormat="1">
      <c r="A199" s="492">
        <f>'[4]Allocation Methodology'!A31</f>
        <v>27</v>
      </c>
      <c r="B199" s="493" t="str">
        <f>'[4]Allocation Methodology'!B31</f>
        <v>High Performance New Construction</v>
      </c>
      <c r="C199" s="493" t="str">
        <f>'[4]Allocation Methodology'!C31</f>
        <v>Business</v>
      </c>
      <c r="D199" s="493"/>
      <c r="E199" s="493">
        <f>'[4]Allocation Methodology'!D31</f>
        <v>2008</v>
      </c>
      <c r="F199" s="494" t="str">
        <f>'[4]Allocation Methodology'!E31</f>
        <v>Final</v>
      </c>
      <c r="G199" s="471" t="b">
        <v>0</v>
      </c>
      <c r="H199" s="569">
        <v>0</v>
      </c>
      <c r="I199" s="497">
        <v>0</v>
      </c>
      <c r="J199" s="497">
        <v>3.212507068712441E-3</v>
      </c>
      <c r="K199" s="497">
        <v>3.212507068712441E-3</v>
      </c>
      <c r="L199" s="497">
        <v>3.212507068712441E-3</v>
      </c>
      <c r="M199" s="497">
        <v>3.212507068712441E-3</v>
      </c>
      <c r="N199" s="497">
        <v>3.212507068712441E-3</v>
      </c>
      <c r="O199" s="497">
        <v>3.212507068712441E-3</v>
      </c>
      <c r="P199" s="497">
        <v>3.212507068712441E-3</v>
      </c>
      <c r="Q199" s="497">
        <v>3.212507068712441E-3</v>
      </c>
      <c r="R199" s="497">
        <v>3.212507068712441E-3</v>
      </c>
      <c r="S199" s="497">
        <v>3.212507068712441E-3</v>
      </c>
      <c r="T199" s="497">
        <v>3.212507068712441E-3</v>
      </c>
      <c r="U199" s="497">
        <v>3.212507068712441E-3</v>
      </c>
      <c r="V199" s="497">
        <v>3.212507068712441E-3</v>
      </c>
      <c r="W199" s="497">
        <v>3.212507068712441E-3</v>
      </c>
      <c r="X199" s="497">
        <v>0</v>
      </c>
      <c r="Y199" s="497">
        <v>0</v>
      </c>
      <c r="Z199" s="497">
        <v>0</v>
      </c>
      <c r="AA199" s="497">
        <v>0</v>
      </c>
      <c r="AB199" s="497">
        <v>0</v>
      </c>
      <c r="AC199" s="497">
        <v>0</v>
      </c>
      <c r="AD199" s="497">
        <v>0</v>
      </c>
      <c r="AE199" s="497">
        <v>0</v>
      </c>
      <c r="AF199" s="497">
        <v>0</v>
      </c>
      <c r="AG199" s="497">
        <v>0</v>
      </c>
      <c r="AH199" s="497">
        <v>0</v>
      </c>
      <c r="AI199" s="497">
        <v>0</v>
      </c>
      <c r="AJ199" s="497">
        <v>0</v>
      </c>
      <c r="AK199" s="497">
        <v>0</v>
      </c>
      <c r="AL199" s="497">
        <v>0</v>
      </c>
      <c r="AM199" s="497">
        <v>0</v>
      </c>
      <c r="AN199" s="497">
        <v>0</v>
      </c>
      <c r="AO199" s="497">
        <v>0</v>
      </c>
      <c r="AP199" s="497">
        <v>0</v>
      </c>
      <c r="AQ199" s="497">
        <v>0</v>
      </c>
      <c r="AR199" s="497">
        <v>0</v>
      </c>
      <c r="AS199" s="497">
        <v>0</v>
      </c>
      <c r="AT199" s="497">
        <v>0</v>
      </c>
      <c r="AU199" s="497">
        <v>0</v>
      </c>
      <c r="AV199" s="497">
        <v>0</v>
      </c>
      <c r="AW199" s="497">
        <v>0</v>
      </c>
      <c r="AX199" s="497">
        <v>0</v>
      </c>
      <c r="AY199" s="497">
        <v>0</v>
      </c>
      <c r="AZ199" s="498">
        <v>0</v>
      </c>
    </row>
    <row r="200" spans="1:52" s="469" customFormat="1">
      <c r="A200" s="485">
        <f>'[4]Allocation Methodology'!A32</f>
        <v>28</v>
      </c>
      <c r="B200" s="486" t="str">
        <f>'[4]Allocation Methodology'!B32</f>
        <v>Power Savings Blitz</v>
      </c>
      <c r="C200" s="486" t="str">
        <f>'[4]Allocation Methodology'!C32</f>
        <v>Business</v>
      </c>
      <c r="D200" s="486"/>
      <c r="E200" s="486">
        <f>'[4]Allocation Methodology'!D32</f>
        <v>2008</v>
      </c>
      <c r="F200" s="487" t="str">
        <f>'[4]Allocation Methodology'!E32</f>
        <v>Final</v>
      </c>
      <c r="G200" s="471" t="b">
        <v>0</v>
      </c>
      <c r="H200" s="568">
        <v>0</v>
      </c>
      <c r="I200" s="490">
        <v>0</v>
      </c>
      <c r="J200" s="490">
        <v>0</v>
      </c>
      <c r="K200" s="490">
        <v>0</v>
      </c>
      <c r="L200" s="490">
        <v>0</v>
      </c>
      <c r="M200" s="490">
        <v>0</v>
      </c>
      <c r="N200" s="490">
        <v>0</v>
      </c>
      <c r="O200" s="490">
        <v>0</v>
      </c>
      <c r="P200" s="490">
        <v>0</v>
      </c>
      <c r="Q200" s="490">
        <v>0</v>
      </c>
      <c r="R200" s="490">
        <v>0</v>
      </c>
      <c r="S200" s="490">
        <v>0</v>
      </c>
      <c r="T200" s="490">
        <v>0</v>
      </c>
      <c r="U200" s="490">
        <v>0</v>
      </c>
      <c r="V200" s="490">
        <v>0</v>
      </c>
      <c r="W200" s="490">
        <v>0</v>
      </c>
      <c r="X200" s="490">
        <v>0</v>
      </c>
      <c r="Y200" s="490">
        <v>0</v>
      </c>
      <c r="Z200" s="490">
        <v>0</v>
      </c>
      <c r="AA200" s="490">
        <v>0</v>
      </c>
      <c r="AB200" s="490">
        <v>0</v>
      </c>
      <c r="AC200" s="490">
        <v>0</v>
      </c>
      <c r="AD200" s="490">
        <v>0</v>
      </c>
      <c r="AE200" s="490">
        <v>0</v>
      </c>
      <c r="AF200" s="490">
        <v>0</v>
      </c>
      <c r="AG200" s="490">
        <v>0</v>
      </c>
      <c r="AH200" s="490">
        <v>0</v>
      </c>
      <c r="AI200" s="490">
        <v>0</v>
      </c>
      <c r="AJ200" s="490">
        <v>0</v>
      </c>
      <c r="AK200" s="490">
        <v>0</v>
      </c>
      <c r="AL200" s="490">
        <v>0</v>
      </c>
      <c r="AM200" s="490">
        <v>0</v>
      </c>
      <c r="AN200" s="490">
        <v>0</v>
      </c>
      <c r="AO200" s="490">
        <v>0</v>
      </c>
      <c r="AP200" s="490">
        <v>0</v>
      </c>
      <c r="AQ200" s="490">
        <v>0</v>
      </c>
      <c r="AR200" s="490">
        <v>0</v>
      </c>
      <c r="AS200" s="490">
        <v>0</v>
      </c>
      <c r="AT200" s="490">
        <v>0</v>
      </c>
      <c r="AU200" s="490">
        <v>0</v>
      </c>
      <c r="AV200" s="490">
        <v>0</v>
      </c>
      <c r="AW200" s="490">
        <v>0</v>
      </c>
      <c r="AX200" s="490">
        <v>0</v>
      </c>
      <c r="AY200" s="490">
        <v>0</v>
      </c>
      <c r="AZ200" s="491">
        <v>0</v>
      </c>
    </row>
    <row r="201" spans="1:52" s="469" customFormat="1">
      <c r="A201" s="492">
        <f>'[4]Allocation Methodology'!A33</f>
        <v>29</v>
      </c>
      <c r="B201" s="493" t="str">
        <f>'[4]Allocation Methodology'!B33</f>
        <v>Demand Response 1</v>
      </c>
      <c r="C201" s="493" t="str">
        <f>'[4]Allocation Methodology'!C33</f>
        <v>Business, Industrial</v>
      </c>
      <c r="D201" s="493"/>
      <c r="E201" s="493">
        <f>'[4]Allocation Methodology'!D33</f>
        <v>2008</v>
      </c>
      <c r="F201" s="494" t="str">
        <f>'[4]Allocation Methodology'!E33</f>
        <v>Final</v>
      </c>
      <c r="G201" s="471" t="b">
        <v>0</v>
      </c>
      <c r="H201" s="569">
        <v>0</v>
      </c>
      <c r="I201" s="497">
        <v>0</v>
      </c>
      <c r="J201" s="497">
        <v>2.9071771689317281</v>
      </c>
      <c r="K201" s="497">
        <v>0</v>
      </c>
      <c r="L201" s="497">
        <v>0</v>
      </c>
      <c r="M201" s="497">
        <v>0</v>
      </c>
      <c r="N201" s="497">
        <v>0</v>
      </c>
      <c r="O201" s="497">
        <v>0</v>
      </c>
      <c r="P201" s="497">
        <v>0</v>
      </c>
      <c r="Q201" s="497">
        <v>0</v>
      </c>
      <c r="R201" s="497">
        <v>0</v>
      </c>
      <c r="S201" s="497">
        <v>0</v>
      </c>
      <c r="T201" s="497">
        <v>0</v>
      </c>
      <c r="U201" s="497">
        <v>0</v>
      </c>
      <c r="V201" s="497">
        <v>0</v>
      </c>
      <c r="W201" s="497">
        <v>0</v>
      </c>
      <c r="X201" s="497">
        <v>0</v>
      </c>
      <c r="Y201" s="497">
        <v>0</v>
      </c>
      <c r="Z201" s="497">
        <v>0</v>
      </c>
      <c r="AA201" s="497">
        <v>0</v>
      </c>
      <c r="AB201" s="497">
        <v>0</v>
      </c>
      <c r="AC201" s="497">
        <v>0</v>
      </c>
      <c r="AD201" s="497">
        <v>0</v>
      </c>
      <c r="AE201" s="497">
        <v>0</v>
      </c>
      <c r="AF201" s="497">
        <v>0</v>
      </c>
      <c r="AG201" s="497">
        <v>0</v>
      </c>
      <c r="AH201" s="497">
        <v>0</v>
      </c>
      <c r="AI201" s="497">
        <v>0</v>
      </c>
      <c r="AJ201" s="497">
        <v>0</v>
      </c>
      <c r="AK201" s="497">
        <v>0</v>
      </c>
      <c r="AL201" s="497">
        <v>0</v>
      </c>
      <c r="AM201" s="497">
        <v>0</v>
      </c>
      <c r="AN201" s="497">
        <v>0</v>
      </c>
      <c r="AO201" s="497">
        <v>0</v>
      </c>
      <c r="AP201" s="497">
        <v>0</v>
      </c>
      <c r="AQ201" s="497">
        <v>0</v>
      </c>
      <c r="AR201" s="497">
        <v>0</v>
      </c>
      <c r="AS201" s="497">
        <v>0</v>
      </c>
      <c r="AT201" s="497">
        <v>0</v>
      </c>
      <c r="AU201" s="497">
        <v>0</v>
      </c>
      <c r="AV201" s="497">
        <v>0</v>
      </c>
      <c r="AW201" s="497">
        <v>0</v>
      </c>
      <c r="AX201" s="497">
        <v>0</v>
      </c>
      <c r="AY201" s="497">
        <v>0</v>
      </c>
      <c r="AZ201" s="498">
        <v>0</v>
      </c>
    </row>
    <row r="202" spans="1:52" s="469" customFormat="1">
      <c r="A202" s="485">
        <f>'[4]Allocation Methodology'!A34</f>
        <v>30</v>
      </c>
      <c r="B202" s="486" t="str">
        <f>'[4]Allocation Methodology'!B34</f>
        <v>Demand Response 3</v>
      </c>
      <c r="C202" s="486" t="str">
        <f>'[4]Allocation Methodology'!C34</f>
        <v>Business, Industrial</v>
      </c>
      <c r="D202" s="486"/>
      <c r="E202" s="486">
        <f>'[4]Allocation Methodology'!D34</f>
        <v>2008</v>
      </c>
      <c r="F202" s="487" t="str">
        <f>'[4]Allocation Methodology'!E34</f>
        <v>Final</v>
      </c>
      <c r="G202" s="471" t="b">
        <v>0</v>
      </c>
      <c r="H202" s="568">
        <v>0</v>
      </c>
      <c r="I202" s="490">
        <v>0</v>
      </c>
      <c r="J202" s="490">
        <v>0.56218873702467731</v>
      </c>
      <c r="K202" s="490">
        <v>0</v>
      </c>
      <c r="L202" s="490">
        <v>0</v>
      </c>
      <c r="M202" s="490">
        <v>0</v>
      </c>
      <c r="N202" s="490">
        <v>0</v>
      </c>
      <c r="O202" s="490">
        <v>0</v>
      </c>
      <c r="P202" s="490">
        <v>0</v>
      </c>
      <c r="Q202" s="490">
        <v>0</v>
      </c>
      <c r="R202" s="490">
        <v>0</v>
      </c>
      <c r="S202" s="490">
        <v>0</v>
      </c>
      <c r="T202" s="490">
        <v>0</v>
      </c>
      <c r="U202" s="490">
        <v>0</v>
      </c>
      <c r="V202" s="490">
        <v>0</v>
      </c>
      <c r="W202" s="490">
        <v>0</v>
      </c>
      <c r="X202" s="490">
        <v>0</v>
      </c>
      <c r="Y202" s="490">
        <v>0</v>
      </c>
      <c r="Z202" s="490">
        <v>0</v>
      </c>
      <c r="AA202" s="490">
        <v>0</v>
      </c>
      <c r="AB202" s="490">
        <v>0</v>
      </c>
      <c r="AC202" s="490">
        <v>0</v>
      </c>
      <c r="AD202" s="490">
        <v>0</v>
      </c>
      <c r="AE202" s="490">
        <v>0</v>
      </c>
      <c r="AF202" s="490">
        <v>0</v>
      </c>
      <c r="AG202" s="490">
        <v>0</v>
      </c>
      <c r="AH202" s="490">
        <v>0</v>
      </c>
      <c r="AI202" s="490">
        <v>0</v>
      </c>
      <c r="AJ202" s="490">
        <v>0</v>
      </c>
      <c r="AK202" s="490">
        <v>0</v>
      </c>
      <c r="AL202" s="490">
        <v>0</v>
      </c>
      <c r="AM202" s="490">
        <v>0</v>
      </c>
      <c r="AN202" s="490">
        <v>0</v>
      </c>
      <c r="AO202" s="490">
        <v>0</v>
      </c>
      <c r="AP202" s="490">
        <v>0</v>
      </c>
      <c r="AQ202" s="490">
        <v>0</v>
      </c>
      <c r="AR202" s="490">
        <v>0</v>
      </c>
      <c r="AS202" s="490">
        <v>0</v>
      </c>
      <c r="AT202" s="490">
        <v>0</v>
      </c>
      <c r="AU202" s="490">
        <v>0</v>
      </c>
      <c r="AV202" s="490">
        <v>0</v>
      </c>
      <c r="AW202" s="490">
        <v>0</v>
      </c>
      <c r="AX202" s="490">
        <v>0</v>
      </c>
      <c r="AY202" s="490">
        <v>0</v>
      </c>
      <c r="AZ202" s="491">
        <v>0</v>
      </c>
    </row>
    <row r="203" spans="1:52" s="469" customFormat="1">
      <c r="A203" s="492">
        <f>'[4]Allocation Methodology'!A35</f>
        <v>31</v>
      </c>
      <c r="B203" s="493" t="str">
        <f>'[4]Allocation Methodology'!B35</f>
        <v>Loblaw &amp; York Region Demand Response</v>
      </c>
      <c r="C203" s="493" t="str">
        <f>'[4]Allocation Methodology'!C35</f>
        <v>Business, Industrial</v>
      </c>
      <c r="D203" s="493"/>
      <c r="E203" s="493">
        <f>'[4]Allocation Methodology'!D35</f>
        <v>2008</v>
      </c>
      <c r="F203" s="494" t="str">
        <f>'[4]Allocation Methodology'!E35</f>
        <v>Final</v>
      </c>
      <c r="G203" s="471" t="b">
        <v>0</v>
      </c>
      <c r="H203" s="569">
        <v>0</v>
      </c>
      <c r="I203" s="497">
        <v>0</v>
      </c>
      <c r="J203" s="497">
        <v>0.19319450598224494</v>
      </c>
      <c r="K203" s="497">
        <v>0</v>
      </c>
      <c r="L203" s="497">
        <v>0</v>
      </c>
      <c r="M203" s="497">
        <v>0</v>
      </c>
      <c r="N203" s="497">
        <v>0</v>
      </c>
      <c r="O203" s="497">
        <v>0</v>
      </c>
      <c r="P203" s="497">
        <v>0</v>
      </c>
      <c r="Q203" s="497">
        <v>0</v>
      </c>
      <c r="R203" s="497">
        <v>0</v>
      </c>
      <c r="S203" s="497">
        <v>0</v>
      </c>
      <c r="T203" s="497">
        <v>0</v>
      </c>
      <c r="U203" s="497">
        <v>0</v>
      </c>
      <c r="V203" s="497">
        <v>0</v>
      </c>
      <c r="W203" s="497">
        <v>0</v>
      </c>
      <c r="X203" s="497">
        <v>0</v>
      </c>
      <c r="Y203" s="497">
        <v>0</v>
      </c>
      <c r="Z203" s="497">
        <v>0</v>
      </c>
      <c r="AA203" s="497">
        <v>0</v>
      </c>
      <c r="AB203" s="497">
        <v>0</v>
      </c>
      <c r="AC203" s="497">
        <v>0</v>
      </c>
      <c r="AD203" s="497">
        <v>0</v>
      </c>
      <c r="AE203" s="497">
        <v>0</v>
      </c>
      <c r="AF203" s="497">
        <v>0</v>
      </c>
      <c r="AG203" s="497">
        <v>0</v>
      </c>
      <c r="AH203" s="497">
        <v>0</v>
      </c>
      <c r="AI203" s="497">
        <v>0</v>
      </c>
      <c r="AJ203" s="497">
        <v>0</v>
      </c>
      <c r="AK203" s="497">
        <v>0</v>
      </c>
      <c r="AL203" s="497">
        <v>0</v>
      </c>
      <c r="AM203" s="497">
        <v>0</v>
      </c>
      <c r="AN203" s="497">
        <v>0</v>
      </c>
      <c r="AO203" s="497">
        <v>0</v>
      </c>
      <c r="AP203" s="497">
        <v>0</v>
      </c>
      <c r="AQ203" s="497">
        <v>0</v>
      </c>
      <c r="AR203" s="497">
        <v>0</v>
      </c>
      <c r="AS203" s="497">
        <v>0</v>
      </c>
      <c r="AT203" s="497">
        <v>0</v>
      </c>
      <c r="AU203" s="497">
        <v>0</v>
      </c>
      <c r="AV203" s="497">
        <v>0</v>
      </c>
      <c r="AW203" s="497">
        <v>0</v>
      </c>
      <c r="AX203" s="497">
        <v>0</v>
      </c>
      <c r="AY203" s="497">
        <v>0</v>
      </c>
      <c r="AZ203" s="498">
        <v>0</v>
      </c>
    </row>
    <row r="204" spans="1:52" s="469" customFormat="1">
      <c r="A204" s="485">
        <f>'[4]Allocation Methodology'!A36</f>
        <v>32</v>
      </c>
      <c r="B204" s="486" t="str">
        <f>'[4]Allocation Methodology'!B36</f>
        <v>Renewable Energy Standard Offer</v>
      </c>
      <c r="C204" s="486" t="str">
        <f>'[4]Allocation Methodology'!C36</f>
        <v>Consumer, Business</v>
      </c>
      <c r="D204" s="486"/>
      <c r="E204" s="486">
        <f>'[4]Allocation Methodology'!D36</f>
        <v>2008</v>
      </c>
      <c r="F204" s="487" t="str">
        <f>'[4]Allocation Methodology'!E36</f>
        <v>Final</v>
      </c>
      <c r="G204" s="471" t="b">
        <v>0</v>
      </c>
      <c r="H204" s="568">
        <v>0</v>
      </c>
      <c r="I204" s="490">
        <v>0</v>
      </c>
      <c r="J204" s="490">
        <v>1.2230000000000001E-2</v>
      </c>
      <c r="K204" s="490">
        <v>1.2230000000000001E-2</v>
      </c>
      <c r="L204" s="490">
        <v>1.2230000000000001E-2</v>
      </c>
      <c r="M204" s="490">
        <v>1.2230000000000001E-2</v>
      </c>
      <c r="N204" s="490">
        <v>1.2230000000000001E-2</v>
      </c>
      <c r="O204" s="490">
        <v>1.2230000000000001E-2</v>
      </c>
      <c r="P204" s="490">
        <v>1.2230000000000001E-2</v>
      </c>
      <c r="Q204" s="490">
        <v>1.2230000000000001E-2</v>
      </c>
      <c r="R204" s="490">
        <v>1.2230000000000001E-2</v>
      </c>
      <c r="S204" s="490">
        <v>1.2230000000000001E-2</v>
      </c>
      <c r="T204" s="490">
        <v>1.2230000000000001E-2</v>
      </c>
      <c r="U204" s="490">
        <v>1.2230000000000001E-2</v>
      </c>
      <c r="V204" s="490">
        <v>1.2230000000000001E-2</v>
      </c>
      <c r="W204" s="490">
        <v>1.2230000000000001E-2</v>
      </c>
      <c r="X204" s="490">
        <v>1.2230000000000001E-2</v>
      </c>
      <c r="Y204" s="490">
        <v>1.2230000000000001E-2</v>
      </c>
      <c r="Z204" s="490">
        <v>1.2230000000000001E-2</v>
      </c>
      <c r="AA204" s="490">
        <v>1.2230000000000001E-2</v>
      </c>
      <c r="AB204" s="490">
        <v>1.2230000000000001E-2</v>
      </c>
      <c r="AC204" s="490">
        <v>1.2230000000000001E-2</v>
      </c>
      <c r="AD204" s="490">
        <v>0</v>
      </c>
      <c r="AE204" s="490">
        <v>0</v>
      </c>
      <c r="AF204" s="490">
        <v>0</v>
      </c>
      <c r="AG204" s="490">
        <v>0</v>
      </c>
      <c r="AH204" s="490">
        <v>0</v>
      </c>
      <c r="AI204" s="490">
        <v>0</v>
      </c>
      <c r="AJ204" s="490">
        <v>0</v>
      </c>
      <c r="AK204" s="490">
        <v>0</v>
      </c>
      <c r="AL204" s="490">
        <v>0</v>
      </c>
      <c r="AM204" s="490">
        <v>0</v>
      </c>
      <c r="AN204" s="490">
        <v>0</v>
      </c>
      <c r="AO204" s="490">
        <v>0</v>
      </c>
      <c r="AP204" s="490">
        <v>0</v>
      </c>
      <c r="AQ204" s="490">
        <v>0</v>
      </c>
      <c r="AR204" s="490">
        <v>0</v>
      </c>
      <c r="AS204" s="490">
        <v>0</v>
      </c>
      <c r="AT204" s="490">
        <v>0</v>
      </c>
      <c r="AU204" s="490">
        <v>0</v>
      </c>
      <c r="AV204" s="490">
        <v>0</v>
      </c>
      <c r="AW204" s="490">
        <v>0</v>
      </c>
      <c r="AX204" s="490">
        <v>0</v>
      </c>
      <c r="AY204" s="490">
        <v>0</v>
      </c>
      <c r="AZ204" s="491">
        <v>0</v>
      </c>
    </row>
    <row r="205" spans="1:52" s="469" customFormat="1">
      <c r="A205" s="492">
        <f>'[4]Allocation Methodology'!A37</f>
        <v>33</v>
      </c>
      <c r="B205" s="493" t="str">
        <f>'[4]Allocation Methodology'!B37</f>
        <v>Other Customer Based Generation</v>
      </c>
      <c r="C205" s="493" t="str">
        <f>'[4]Allocation Methodology'!C37</f>
        <v>Business</v>
      </c>
      <c r="D205" s="493"/>
      <c r="E205" s="493">
        <f>'[4]Allocation Methodology'!D37</f>
        <v>2008</v>
      </c>
      <c r="F205" s="494" t="str">
        <f>'[4]Allocation Methodology'!E37</f>
        <v>Final</v>
      </c>
      <c r="G205" s="471" t="b">
        <v>0</v>
      </c>
      <c r="H205" s="569">
        <v>0</v>
      </c>
      <c r="I205" s="497">
        <v>0</v>
      </c>
      <c r="J205" s="497">
        <v>0</v>
      </c>
      <c r="K205" s="497">
        <v>0</v>
      </c>
      <c r="L205" s="497">
        <v>0</v>
      </c>
      <c r="M205" s="497">
        <v>0</v>
      </c>
      <c r="N205" s="497">
        <v>0</v>
      </c>
      <c r="O205" s="497">
        <v>0</v>
      </c>
      <c r="P205" s="497">
        <v>0</v>
      </c>
      <c r="Q205" s="497">
        <v>0</v>
      </c>
      <c r="R205" s="497">
        <v>0</v>
      </c>
      <c r="S205" s="497">
        <v>0</v>
      </c>
      <c r="T205" s="497">
        <v>0</v>
      </c>
      <c r="U205" s="497">
        <v>0</v>
      </c>
      <c r="V205" s="497">
        <v>0</v>
      </c>
      <c r="W205" s="497">
        <v>0</v>
      </c>
      <c r="X205" s="497">
        <v>0</v>
      </c>
      <c r="Y205" s="497">
        <v>0</v>
      </c>
      <c r="Z205" s="497">
        <v>0</v>
      </c>
      <c r="AA205" s="497">
        <v>0</v>
      </c>
      <c r="AB205" s="497">
        <v>0</v>
      </c>
      <c r="AC205" s="497">
        <v>0</v>
      </c>
      <c r="AD205" s="497">
        <v>0</v>
      </c>
      <c r="AE205" s="497">
        <v>0</v>
      </c>
      <c r="AF205" s="497">
        <v>0</v>
      </c>
      <c r="AG205" s="497">
        <v>0</v>
      </c>
      <c r="AH205" s="497">
        <v>0</v>
      </c>
      <c r="AI205" s="497">
        <v>0</v>
      </c>
      <c r="AJ205" s="497">
        <v>0</v>
      </c>
      <c r="AK205" s="497">
        <v>0</v>
      </c>
      <c r="AL205" s="497">
        <v>0</v>
      </c>
      <c r="AM205" s="497">
        <v>0</v>
      </c>
      <c r="AN205" s="497">
        <v>0</v>
      </c>
      <c r="AO205" s="497">
        <v>0</v>
      </c>
      <c r="AP205" s="497">
        <v>0</v>
      </c>
      <c r="AQ205" s="497">
        <v>0</v>
      </c>
      <c r="AR205" s="497">
        <v>0</v>
      </c>
      <c r="AS205" s="497">
        <v>0</v>
      </c>
      <c r="AT205" s="497">
        <v>0</v>
      </c>
      <c r="AU205" s="497">
        <v>0</v>
      </c>
      <c r="AV205" s="497">
        <v>0</v>
      </c>
      <c r="AW205" s="497">
        <v>0</v>
      </c>
      <c r="AX205" s="497">
        <v>0</v>
      </c>
      <c r="AY205" s="497">
        <v>0</v>
      </c>
      <c r="AZ205" s="498">
        <v>0</v>
      </c>
    </row>
    <row r="206" spans="1:52" s="469" customFormat="1">
      <c r="A206" s="514">
        <f>'[4]Allocation Methodology'!A38</f>
        <v>34</v>
      </c>
      <c r="B206" s="515" t="str">
        <f>'[4]Allocation Methodology'!B38</f>
        <v>LDC Custom - Hydro One Networks Inc. - Double Return</v>
      </c>
      <c r="C206" s="515" t="str">
        <f>'[4]Allocation Methodology'!C38</f>
        <v>Business, Industrial</v>
      </c>
      <c r="D206" s="515"/>
      <c r="E206" s="515">
        <f>'[4]Allocation Methodology'!D38</f>
        <v>2008</v>
      </c>
      <c r="F206" s="516" t="str">
        <f>'[4]Allocation Methodology'!E38</f>
        <v>Final</v>
      </c>
      <c r="G206" s="471" t="b">
        <v>0</v>
      </c>
      <c r="H206" s="572">
        <v>0</v>
      </c>
      <c r="I206" s="519">
        <v>0</v>
      </c>
      <c r="J206" s="519">
        <v>0</v>
      </c>
      <c r="K206" s="519">
        <v>0</v>
      </c>
      <c r="L206" s="519">
        <v>0</v>
      </c>
      <c r="M206" s="519">
        <v>0</v>
      </c>
      <c r="N206" s="519">
        <v>0</v>
      </c>
      <c r="O206" s="519">
        <v>0</v>
      </c>
      <c r="P206" s="519">
        <v>0</v>
      </c>
      <c r="Q206" s="519">
        <v>0</v>
      </c>
      <c r="R206" s="519">
        <v>0</v>
      </c>
      <c r="S206" s="519">
        <v>0</v>
      </c>
      <c r="T206" s="519">
        <v>0</v>
      </c>
      <c r="U206" s="519">
        <v>0</v>
      </c>
      <c r="V206" s="519">
        <v>0</v>
      </c>
      <c r="W206" s="519">
        <v>0</v>
      </c>
      <c r="X206" s="519">
        <v>0</v>
      </c>
      <c r="Y206" s="519">
        <v>0</v>
      </c>
      <c r="Z206" s="519">
        <v>0</v>
      </c>
      <c r="AA206" s="519">
        <v>0</v>
      </c>
      <c r="AB206" s="519">
        <v>0</v>
      </c>
      <c r="AC206" s="519">
        <v>0</v>
      </c>
      <c r="AD206" s="519">
        <v>0</v>
      </c>
      <c r="AE206" s="519">
        <v>0</v>
      </c>
      <c r="AF206" s="519">
        <v>0</v>
      </c>
      <c r="AG206" s="519">
        <v>0</v>
      </c>
      <c r="AH206" s="519">
        <v>0</v>
      </c>
      <c r="AI206" s="519">
        <v>0</v>
      </c>
      <c r="AJ206" s="519">
        <v>0</v>
      </c>
      <c r="AK206" s="519">
        <v>0</v>
      </c>
      <c r="AL206" s="519">
        <v>0</v>
      </c>
      <c r="AM206" s="519">
        <v>0</v>
      </c>
      <c r="AN206" s="519">
        <v>0</v>
      </c>
      <c r="AO206" s="519">
        <v>0</v>
      </c>
      <c r="AP206" s="519">
        <v>0</v>
      </c>
      <c r="AQ206" s="519">
        <v>0</v>
      </c>
      <c r="AR206" s="519">
        <v>0</v>
      </c>
      <c r="AS206" s="519">
        <v>0</v>
      </c>
      <c r="AT206" s="519">
        <v>0</v>
      </c>
      <c r="AU206" s="519">
        <v>0</v>
      </c>
      <c r="AV206" s="519">
        <v>0</v>
      </c>
      <c r="AW206" s="519">
        <v>0</v>
      </c>
      <c r="AX206" s="519">
        <v>0</v>
      </c>
      <c r="AY206" s="519">
        <v>0</v>
      </c>
      <c r="AZ206" s="520">
        <v>0</v>
      </c>
    </row>
    <row r="207" spans="1:52" s="469" customFormat="1">
      <c r="A207" s="478">
        <f>'[4]Allocation Methodology'!A39</f>
        <v>35</v>
      </c>
      <c r="B207" s="479" t="str">
        <f>'[4]Allocation Methodology'!B39</f>
        <v>Great Refrigerator Roundup</v>
      </c>
      <c r="C207" s="479" t="str">
        <f>'[4]Allocation Methodology'!C39</f>
        <v>Consumer</v>
      </c>
      <c r="D207" s="479"/>
      <c r="E207" s="479">
        <f>'[4]Allocation Methodology'!D39</f>
        <v>2009</v>
      </c>
      <c r="F207" s="480" t="str">
        <f>'[4]Allocation Methodology'!E39</f>
        <v>Final</v>
      </c>
      <c r="G207" s="471" t="b">
        <v>0</v>
      </c>
      <c r="H207" s="566">
        <v>0</v>
      </c>
      <c r="I207" s="483">
        <v>0</v>
      </c>
      <c r="J207" s="483">
        <v>0</v>
      </c>
      <c r="K207" s="483">
        <v>3.4509906709812209E-2</v>
      </c>
      <c r="L207" s="483">
        <v>3.4509906709812209E-2</v>
      </c>
      <c r="M207" s="483">
        <v>3.4509906709812209E-2</v>
      </c>
      <c r="N207" s="483">
        <v>3.2778253027783942E-2</v>
      </c>
      <c r="O207" s="483">
        <v>2.2258050190989871E-2</v>
      </c>
      <c r="P207" s="483">
        <v>0</v>
      </c>
      <c r="Q207" s="483">
        <v>0</v>
      </c>
      <c r="R207" s="483">
        <v>0</v>
      </c>
      <c r="S207" s="483">
        <v>0</v>
      </c>
      <c r="T207" s="483">
        <v>0</v>
      </c>
      <c r="U207" s="483">
        <v>0</v>
      </c>
      <c r="V207" s="483">
        <v>0</v>
      </c>
      <c r="W207" s="483">
        <v>0</v>
      </c>
      <c r="X207" s="483">
        <v>0</v>
      </c>
      <c r="Y207" s="483">
        <v>0</v>
      </c>
      <c r="Z207" s="483">
        <v>0</v>
      </c>
      <c r="AA207" s="483">
        <v>0</v>
      </c>
      <c r="AB207" s="483">
        <v>0</v>
      </c>
      <c r="AC207" s="483">
        <v>0</v>
      </c>
      <c r="AD207" s="483">
        <v>0</v>
      </c>
      <c r="AE207" s="483">
        <v>0</v>
      </c>
      <c r="AF207" s="483">
        <v>0</v>
      </c>
      <c r="AG207" s="483">
        <v>0</v>
      </c>
      <c r="AH207" s="483">
        <v>0</v>
      </c>
      <c r="AI207" s="483">
        <v>0</v>
      </c>
      <c r="AJ207" s="483">
        <v>0</v>
      </c>
      <c r="AK207" s="483">
        <v>0</v>
      </c>
      <c r="AL207" s="483">
        <v>0</v>
      </c>
      <c r="AM207" s="483">
        <v>0</v>
      </c>
      <c r="AN207" s="483">
        <v>0</v>
      </c>
      <c r="AO207" s="483">
        <v>0</v>
      </c>
      <c r="AP207" s="483">
        <v>0</v>
      </c>
      <c r="AQ207" s="483">
        <v>0</v>
      </c>
      <c r="AR207" s="483">
        <v>0</v>
      </c>
      <c r="AS207" s="483">
        <v>0</v>
      </c>
      <c r="AT207" s="483">
        <v>0</v>
      </c>
      <c r="AU207" s="483">
        <v>0</v>
      </c>
      <c r="AV207" s="483">
        <v>0</v>
      </c>
      <c r="AW207" s="483">
        <v>0</v>
      </c>
      <c r="AX207" s="483">
        <v>0</v>
      </c>
      <c r="AY207" s="483">
        <v>0</v>
      </c>
      <c r="AZ207" s="484">
        <v>0</v>
      </c>
    </row>
    <row r="208" spans="1:52" s="469" customFormat="1">
      <c r="A208" s="485">
        <f>'[4]Allocation Methodology'!A40</f>
        <v>36</v>
      </c>
      <c r="B208" s="486" t="str">
        <f>'[4]Allocation Methodology'!B40</f>
        <v>Cool Savings Rebate</v>
      </c>
      <c r="C208" s="486" t="str">
        <f>'[4]Allocation Methodology'!C40</f>
        <v>Consumer</v>
      </c>
      <c r="D208" s="486"/>
      <c r="E208" s="486">
        <f>'[4]Allocation Methodology'!D40</f>
        <v>2009</v>
      </c>
      <c r="F208" s="487" t="str">
        <f>'[4]Allocation Methodology'!E40</f>
        <v>Final</v>
      </c>
      <c r="G208" s="471" t="b">
        <v>0</v>
      </c>
      <c r="H208" s="568">
        <v>0</v>
      </c>
      <c r="I208" s="490">
        <v>0</v>
      </c>
      <c r="J208" s="490">
        <v>0</v>
      </c>
      <c r="K208" s="490">
        <v>0.22039598007801184</v>
      </c>
      <c r="L208" s="490">
        <v>0.22039598007801184</v>
      </c>
      <c r="M208" s="490">
        <v>0.22039598007801184</v>
      </c>
      <c r="N208" s="490">
        <v>0.21994553688035648</v>
      </c>
      <c r="O208" s="490">
        <v>0.21987119034592867</v>
      </c>
      <c r="P208" s="490">
        <v>0.21982693960569466</v>
      </c>
      <c r="Q208" s="490">
        <v>0.21982693960569466</v>
      </c>
      <c r="R208" s="490">
        <v>0.21982693960569466</v>
      </c>
      <c r="S208" s="490">
        <v>0.21982693960569466</v>
      </c>
      <c r="T208" s="490">
        <v>0.21982693960569466</v>
      </c>
      <c r="U208" s="490">
        <v>0.21836686444571282</v>
      </c>
      <c r="V208" s="490">
        <v>0.21836686444571282</v>
      </c>
      <c r="W208" s="490">
        <v>0.21836686444571282</v>
      </c>
      <c r="X208" s="490">
        <v>0.21836686444571282</v>
      </c>
      <c r="Y208" s="490">
        <v>0.21836686444571282</v>
      </c>
      <c r="Z208" s="490">
        <v>0.21255343834319271</v>
      </c>
      <c r="AA208" s="490">
        <v>0.21255343834319271</v>
      </c>
      <c r="AB208" s="490">
        <v>0.21255343834319271</v>
      </c>
      <c r="AC208" s="490">
        <v>0.17037280263856908</v>
      </c>
      <c r="AD208" s="490">
        <v>0</v>
      </c>
      <c r="AE208" s="490">
        <v>0</v>
      </c>
      <c r="AF208" s="490">
        <v>0</v>
      </c>
      <c r="AG208" s="490">
        <v>0</v>
      </c>
      <c r="AH208" s="490">
        <v>0</v>
      </c>
      <c r="AI208" s="490">
        <v>0</v>
      </c>
      <c r="AJ208" s="490">
        <v>0</v>
      </c>
      <c r="AK208" s="490">
        <v>0</v>
      </c>
      <c r="AL208" s="490">
        <v>0</v>
      </c>
      <c r="AM208" s="490">
        <v>0</v>
      </c>
      <c r="AN208" s="490">
        <v>0</v>
      </c>
      <c r="AO208" s="490">
        <v>0</v>
      </c>
      <c r="AP208" s="490">
        <v>0</v>
      </c>
      <c r="AQ208" s="490">
        <v>0</v>
      </c>
      <c r="AR208" s="490">
        <v>0</v>
      </c>
      <c r="AS208" s="490">
        <v>0</v>
      </c>
      <c r="AT208" s="490">
        <v>0</v>
      </c>
      <c r="AU208" s="490">
        <v>0</v>
      </c>
      <c r="AV208" s="490">
        <v>0</v>
      </c>
      <c r="AW208" s="490">
        <v>0</v>
      </c>
      <c r="AX208" s="490">
        <v>0</v>
      </c>
      <c r="AY208" s="490">
        <v>0</v>
      </c>
      <c r="AZ208" s="491">
        <v>0</v>
      </c>
    </row>
    <row r="209" spans="1:52" s="469" customFormat="1">
      <c r="A209" s="492">
        <f>'[4]Allocation Methodology'!A41</f>
        <v>37</v>
      </c>
      <c r="B209" s="493" t="str">
        <f>'[4]Allocation Methodology'!B41</f>
        <v>Every Kilowatt Counts Power Savings Event</v>
      </c>
      <c r="C209" s="493" t="str">
        <f>'[4]Allocation Methodology'!C41</f>
        <v>Consumer</v>
      </c>
      <c r="D209" s="493"/>
      <c r="E209" s="493">
        <f>'[4]Allocation Methodology'!D41</f>
        <v>2009</v>
      </c>
      <c r="F209" s="494" t="str">
        <f>'[4]Allocation Methodology'!E41</f>
        <v>Final</v>
      </c>
      <c r="G209" s="471" t="b">
        <v>0</v>
      </c>
      <c r="H209" s="569">
        <v>0</v>
      </c>
      <c r="I209" s="497">
        <v>0</v>
      </c>
      <c r="J209" s="497">
        <v>0</v>
      </c>
      <c r="K209" s="497">
        <v>7.0339817065780047E-2</v>
      </c>
      <c r="L209" s="497">
        <v>6.7482789295094103E-2</v>
      </c>
      <c r="M209" s="497">
        <v>6.7482789295094103E-2</v>
      </c>
      <c r="N209" s="497">
        <v>6.7482789295094103E-2</v>
      </c>
      <c r="O209" s="497">
        <v>6.7233839783171184E-2</v>
      </c>
      <c r="P209" s="497">
        <v>6.7233839783171184E-2</v>
      </c>
      <c r="Q209" s="497">
        <v>6.3332186099153254E-2</v>
      </c>
      <c r="R209" s="497">
        <v>6.3332186099153254E-2</v>
      </c>
      <c r="S209" s="497">
        <v>5.1015449439710557E-2</v>
      </c>
      <c r="T209" s="497">
        <v>5.1015449439710557E-2</v>
      </c>
      <c r="U209" s="497">
        <v>4.4661408595651014E-2</v>
      </c>
      <c r="V209" s="497">
        <v>4.4648399897599819E-2</v>
      </c>
      <c r="W209" s="497">
        <v>2.9682354513436756E-2</v>
      </c>
      <c r="X209" s="497">
        <v>2.9682354513436756E-2</v>
      </c>
      <c r="Y209" s="497">
        <v>2.8189163644661626E-2</v>
      </c>
      <c r="Z209" s="497">
        <v>5.3478937234241446E-3</v>
      </c>
      <c r="AA209" s="497">
        <v>3.8908568648230979E-3</v>
      </c>
      <c r="AB209" s="497">
        <v>3.8908568648230979E-3</v>
      </c>
      <c r="AC209" s="497">
        <v>2.8384324993198733E-3</v>
      </c>
      <c r="AD209" s="497">
        <v>2.8384324993198733E-3</v>
      </c>
      <c r="AE209" s="497">
        <v>0</v>
      </c>
      <c r="AF209" s="497">
        <v>0</v>
      </c>
      <c r="AG209" s="497">
        <v>0</v>
      </c>
      <c r="AH209" s="497">
        <v>0</v>
      </c>
      <c r="AI209" s="497">
        <v>0</v>
      </c>
      <c r="AJ209" s="497">
        <v>0</v>
      </c>
      <c r="AK209" s="497">
        <v>0</v>
      </c>
      <c r="AL209" s="497">
        <v>0</v>
      </c>
      <c r="AM209" s="497">
        <v>0</v>
      </c>
      <c r="AN209" s="497">
        <v>0</v>
      </c>
      <c r="AO209" s="497">
        <v>0</v>
      </c>
      <c r="AP209" s="497">
        <v>0</v>
      </c>
      <c r="AQ209" s="497">
        <v>0</v>
      </c>
      <c r="AR209" s="497">
        <v>0</v>
      </c>
      <c r="AS209" s="497">
        <v>0</v>
      </c>
      <c r="AT209" s="497">
        <v>0</v>
      </c>
      <c r="AU209" s="497">
        <v>0</v>
      </c>
      <c r="AV209" s="497">
        <v>0</v>
      </c>
      <c r="AW209" s="497">
        <v>0</v>
      </c>
      <c r="AX209" s="497">
        <v>0</v>
      </c>
      <c r="AY209" s="497">
        <v>0</v>
      </c>
      <c r="AZ209" s="498">
        <v>0</v>
      </c>
    </row>
    <row r="210" spans="1:52" s="469" customFormat="1">
      <c r="A210" s="485">
        <f>'[4]Allocation Methodology'!A42</f>
        <v>38</v>
      </c>
      <c r="B210" s="521" t="str">
        <f>'[4]Allocation Methodology'!B42</f>
        <v>peaksaver®</v>
      </c>
      <c r="C210" s="486" t="str">
        <f>'[4]Allocation Methodology'!C42</f>
        <v>Consumer, Business</v>
      </c>
      <c r="D210" s="486"/>
      <c r="E210" s="486">
        <f>'[4]Allocation Methodology'!D42</f>
        <v>2009</v>
      </c>
      <c r="F210" s="487" t="str">
        <f>'[4]Allocation Methodology'!E42</f>
        <v>Final</v>
      </c>
      <c r="G210" s="471" t="b">
        <v>0</v>
      </c>
      <c r="H210" s="568">
        <v>0</v>
      </c>
      <c r="I210" s="490">
        <v>0</v>
      </c>
      <c r="J210" s="490">
        <v>0</v>
      </c>
      <c r="K210" s="490">
        <v>0</v>
      </c>
      <c r="L210" s="490">
        <v>0</v>
      </c>
      <c r="M210" s="490">
        <v>0</v>
      </c>
      <c r="N210" s="490">
        <v>0</v>
      </c>
      <c r="O210" s="490">
        <v>0</v>
      </c>
      <c r="P210" s="490">
        <v>0</v>
      </c>
      <c r="Q210" s="490">
        <v>0</v>
      </c>
      <c r="R210" s="490">
        <v>0</v>
      </c>
      <c r="S210" s="490">
        <v>0</v>
      </c>
      <c r="T210" s="490">
        <v>0</v>
      </c>
      <c r="U210" s="490">
        <v>0</v>
      </c>
      <c r="V210" s="490">
        <v>0</v>
      </c>
      <c r="W210" s="490">
        <v>0</v>
      </c>
      <c r="X210" s="490">
        <v>0</v>
      </c>
      <c r="Y210" s="490">
        <v>0</v>
      </c>
      <c r="Z210" s="490">
        <v>0</v>
      </c>
      <c r="AA210" s="490">
        <v>0</v>
      </c>
      <c r="AB210" s="490">
        <v>0</v>
      </c>
      <c r="AC210" s="490">
        <v>0</v>
      </c>
      <c r="AD210" s="490">
        <v>0</v>
      </c>
      <c r="AE210" s="490">
        <v>0</v>
      </c>
      <c r="AF210" s="490">
        <v>0</v>
      </c>
      <c r="AG210" s="490">
        <v>0</v>
      </c>
      <c r="AH210" s="490">
        <v>0</v>
      </c>
      <c r="AI210" s="490">
        <v>0</v>
      </c>
      <c r="AJ210" s="490">
        <v>0</v>
      </c>
      <c r="AK210" s="490">
        <v>0</v>
      </c>
      <c r="AL210" s="490">
        <v>0</v>
      </c>
      <c r="AM210" s="490">
        <v>0</v>
      </c>
      <c r="AN210" s="490">
        <v>0</v>
      </c>
      <c r="AO210" s="490">
        <v>0</v>
      </c>
      <c r="AP210" s="490">
        <v>0</v>
      </c>
      <c r="AQ210" s="490">
        <v>0</v>
      </c>
      <c r="AR210" s="490">
        <v>0</v>
      </c>
      <c r="AS210" s="490">
        <v>0</v>
      </c>
      <c r="AT210" s="490">
        <v>0</v>
      </c>
      <c r="AU210" s="490">
        <v>0</v>
      </c>
      <c r="AV210" s="490">
        <v>0</v>
      </c>
      <c r="AW210" s="490">
        <v>0</v>
      </c>
      <c r="AX210" s="490">
        <v>0</v>
      </c>
      <c r="AY210" s="490">
        <v>0</v>
      </c>
      <c r="AZ210" s="491">
        <v>0</v>
      </c>
    </row>
    <row r="211" spans="1:52" s="469" customFormat="1">
      <c r="A211" s="492">
        <f>'[4]Allocation Methodology'!A43</f>
        <v>39</v>
      </c>
      <c r="B211" s="493" t="str">
        <f>'[4]Allocation Methodology'!B43</f>
        <v>Electricity Retrofit Incentive</v>
      </c>
      <c r="C211" s="493" t="str">
        <f>'[4]Allocation Methodology'!C43</f>
        <v>Consumer, Business</v>
      </c>
      <c r="D211" s="493"/>
      <c r="E211" s="493">
        <f>'[4]Allocation Methodology'!D43</f>
        <v>2009</v>
      </c>
      <c r="F211" s="494" t="str">
        <f>'[4]Allocation Methodology'!E43</f>
        <v>Final</v>
      </c>
      <c r="G211" s="471" t="b">
        <v>0</v>
      </c>
      <c r="H211" s="569">
        <v>0</v>
      </c>
      <c r="I211" s="497">
        <v>0</v>
      </c>
      <c r="J211" s="497">
        <v>0</v>
      </c>
      <c r="K211" s="497">
        <v>0.1238755980861244</v>
      </c>
      <c r="L211" s="497">
        <v>0.1238755980861244</v>
      </c>
      <c r="M211" s="497">
        <v>0.1238755980861244</v>
      </c>
      <c r="N211" s="497">
        <v>0.1238755980861244</v>
      </c>
      <c r="O211" s="497">
        <v>0.1238755980861244</v>
      </c>
      <c r="P211" s="497">
        <v>0.1238755980861244</v>
      </c>
      <c r="Q211" s="497">
        <v>0.1238755980861244</v>
      </c>
      <c r="R211" s="497">
        <v>9.5454545454545459E-2</v>
      </c>
      <c r="S211" s="497">
        <v>9.5454545454545459E-2</v>
      </c>
      <c r="T211" s="497">
        <v>9.5454545454545459E-2</v>
      </c>
      <c r="U211" s="497">
        <v>9.5454545454545459E-2</v>
      </c>
      <c r="V211" s="497">
        <v>0</v>
      </c>
      <c r="W211" s="497">
        <v>0</v>
      </c>
      <c r="X211" s="497">
        <v>0</v>
      </c>
      <c r="Y211" s="497">
        <v>0</v>
      </c>
      <c r="Z211" s="497">
        <v>0</v>
      </c>
      <c r="AA211" s="497">
        <v>0</v>
      </c>
      <c r="AB211" s="497">
        <v>0</v>
      </c>
      <c r="AC211" s="497">
        <v>0</v>
      </c>
      <c r="AD211" s="497">
        <v>0</v>
      </c>
      <c r="AE211" s="497">
        <v>0</v>
      </c>
      <c r="AF211" s="497">
        <v>0</v>
      </c>
      <c r="AG211" s="497">
        <v>0</v>
      </c>
      <c r="AH211" s="497">
        <v>0</v>
      </c>
      <c r="AI211" s="497">
        <v>0</v>
      </c>
      <c r="AJ211" s="497">
        <v>0</v>
      </c>
      <c r="AK211" s="497">
        <v>0</v>
      </c>
      <c r="AL211" s="497">
        <v>0</v>
      </c>
      <c r="AM211" s="497">
        <v>0</v>
      </c>
      <c r="AN211" s="497">
        <v>0</v>
      </c>
      <c r="AO211" s="497">
        <v>0</v>
      </c>
      <c r="AP211" s="497">
        <v>0</v>
      </c>
      <c r="AQ211" s="497">
        <v>0</v>
      </c>
      <c r="AR211" s="497">
        <v>0</v>
      </c>
      <c r="AS211" s="497">
        <v>0</v>
      </c>
      <c r="AT211" s="497">
        <v>0</v>
      </c>
      <c r="AU211" s="497">
        <v>0</v>
      </c>
      <c r="AV211" s="497">
        <v>0</v>
      </c>
      <c r="AW211" s="497">
        <v>0</v>
      </c>
      <c r="AX211" s="497">
        <v>0</v>
      </c>
      <c r="AY211" s="497">
        <v>0</v>
      </c>
      <c r="AZ211" s="498">
        <v>0</v>
      </c>
    </row>
    <row r="212" spans="1:52" s="469" customFormat="1">
      <c r="A212" s="485">
        <f>'[4]Allocation Methodology'!A44</f>
        <v>40</v>
      </c>
      <c r="B212" s="486" t="str">
        <f>'[4]Allocation Methodology'!B44</f>
        <v>Toronto Comprehensive</v>
      </c>
      <c r="C212" s="486" t="str">
        <f>'[4]Allocation Methodology'!C44</f>
        <v>Consumer, Consumer Low-Income, Business, Industrial</v>
      </c>
      <c r="D212" s="486"/>
      <c r="E212" s="486">
        <f>'[4]Allocation Methodology'!D44</f>
        <v>2009</v>
      </c>
      <c r="F212" s="487" t="str">
        <f>'[4]Allocation Methodology'!E44</f>
        <v>Final</v>
      </c>
      <c r="G212" s="471" t="b">
        <v>0</v>
      </c>
      <c r="H212" s="568">
        <v>0</v>
      </c>
      <c r="I212" s="490">
        <v>0</v>
      </c>
      <c r="J212" s="490">
        <v>0</v>
      </c>
      <c r="K212" s="490">
        <v>0</v>
      </c>
      <c r="L212" s="490">
        <v>0</v>
      </c>
      <c r="M212" s="490">
        <v>0</v>
      </c>
      <c r="N212" s="490">
        <v>0</v>
      </c>
      <c r="O212" s="490">
        <v>0</v>
      </c>
      <c r="P212" s="490">
        <v>0</v>
      </c>
      <c r="Q212" s="490">
        <v>0</v>
      </c>
      <c r="R212" s="490">
        <v>0</v>
      </c>
      <c r="S212" s="490">
        <v>0</v>
      </c>
      <c r="T212" s="490">
        <v>0</v>
      </c>
      <c r="U212" s="490">
        <v>0</v>
      </c>
      <c r="V212" s="490">
        <v>0</v>
      </c>
      <c r="W212" s="490">
        <v>0</v>
      </c>
      <c r="X212" s="490">
        <v>0</v>
      </c>
      <c r="Y212" s="490">
        <v>0</v>
      </c>
      <c r="Z212" s="490">
        <v>0</v>
      </c>
      <c r="AA212" s="490">
        <v>0</v>
      </c>
      <c r="AB212" s="490">
        <v>0</v>
      </c>
      <c r="AC212" s="490">
        <v>0</v>
      </c>
      <c r="AD212" s="490">
        <v>0</v>
      </c>
      <c r="AE212" s="490">
        <v>0</v>
      </c>
      <c r="AF212" s="490">
        <v>0</v>
      </c>
      <c r="AG212" s="490">
        <v>0</v>
      </c>
      <c r="AH212" s="490">
        <v>0</v>
      </c>
      <c r="AI212" s="490">
        <v>0</v>
      </c>
      <c r="AJ212" s="490">
        <v>0</v>
      </c>
      <c r="AK212" s="490">
        <v>0</v>
      </c>
      <c r="AL212" s="490">
        <v>0</v>
      </c>
      <c r="AM212" s="490">
        <v>0</v>
      </c>
      <c r="AN212" s="490">
        <v>0</v>
      </c>
      <c r="AO212" s="490">
        <v>0</v>
      </c>
      <c r="AP212" s="490">
        <v>0</v>
      </c>
      <c r="AQ212" s="490">
        <v>0</v>
      </c>
      <c r="AR212" s="490">
        <v>0</v>
      </c>
      <c r="AS212" s="490">
        <v>0</v>
      </c>
      <c r="AT212" s="490">
        <v>0</v>
      </c>
      <c r="AU212" s="490">
        <v>0</v>
      </c>
      <c r="AV212" s="490">
        <v>0</v>
      </c>
      <c r="AW212" s="490">
        <v>0</v>
      </c>
      <c r="AX212" s="490">
        <v>0</v>
      </c>
      <c r="AY212" s="490">
        <v>0</v>
      </c>
      <c r="AZ212" s="491">
        <v>0</v>
      </c>
    </row>
    <row r="213" spans="1:52" s="469" customFormat="1">
      <c r="A213" s="492">
        <f>'[4]Allocation Methodology'!A45</f>
        <v>41</v>
      </c>
      <c r="B213" s="493" t="str">
        <f>'[4]Allocation Methodology'!B45</f>
        <v>High Performance New Construction</v>
      </c>
      <c r="C213" s="493" t="str">
        <f>'[4]Allocation Methodology'!C45</f>
        <v>Business</v>
      </c>
      <c r="D213" s="493"/>
      <c r="E213" s="493">
        <f>'[4]Allocation Methodology'!D45</f>
        <v>2009</v>
      </c>
      <c r="F213" s="494" t="str">
        <f>'[4]Allocation Methodology'!E45</f>
        <v>Final</v>
      </c>
      <c r="G213" s="471" t="b">
        <v>0</v>
      </c>
      <c r="H213" s="569">
        <v>0</v>
      </c>
      <c r="I213" s="497">
        <v>0</v>
      </c>
      <c r="J213" s="497">
        <v>0</v>
      </c>
      <c r="K213" s="497">
        <v>3.7834740373556663E-2</v>
      </c>
      <c r="L213" s="497">
        <v>3.7834740373556663E-2</v>
      </c>
      <c r="M213" s="497">
        <v>3.7834740373556663E-2</v>
      </c>
      <c r="N213" s="497">
        <v>3.7834740373556663E-2</v>
      </c>
      <c r="O213" s="497">
        <v>3.7834740373556663E-2</v>
      </c>
      <c r="P213" s="497">
        <v>3.7834740373556663E-2</v>
      </c>
      <c r="Q213" s="497">
        <v>3.7834740373556663E-2</v>
      </c>
      <c r="R213" s="497">
        <v>3.7834740373556663E-2</v>
      </c>
      <c r="S213" s="497">
        <v>3.7834740373556663E-2</v>
      </c>
      <c r="T213" s="497">
        <v>3.7834740373556663E-2</v>
      </c>
      <c r="U213" s="497">
        <v>3.7834740373556663E-2</v>
      </c>
      <c r="V213" s="497">
        <v>3.7834740373556663E-2</v>
      </c>
      <c r="W213" s="497">
        <v>3.7834740373556663E-2</v>
      </c>
      <c r="X213" s="497">
        <v>3.7834740373556663E-2</v>
      </c>
      <c r="Y213" s="497">
        <v>3.7834740373556663E-2</v>
      </c>
      <c r="Z213" s="497">
        <v>3.7834740373556663E-2</v>
      </c>
      <c r="AA213" s="497">
        <v>3.7834740373556663E-2</v>
      </c>
      <c r="AB213" s="497">
        <v>3.7834740373556663E-2</v>
      </c>
      <c r="AC213" s="497">
        <v>3.7834740373556663E-2</v>
      </c>
      <c r="AD213" s="497">
        <v>3.7834740373556663E-2</v>
      </c>
      <c r="AE213" s="497">
        <v>0</v>
      </c>
      <c r="AF213" s="497">
        <v>0</v>
      </c>
      <c r="AG213" s="497">
        <v>0</v>
      </c>
      <c r="AH213" s="497">
        <v>0</v>
      </c>
      <c r="AI213" s="497">
        <v>0</v>
      </c>
      <c r="AJ213" s="497">
        <v>0</v>
      </c>
      <c r="AK213" s="497">
        <v>0</v>
      </c>
      <c r="AL213" s="497">
        <v>0</v>
      </c>
      <c r="AM213" s="497">
        <v>0</v>
      </c>
      <c r="AN213" s="497">
        <v>0</v>
      </c>
      <c r="AO213" s="497">
        <v>0</v>
      </c>
      <c r="AP213" s="497">
        <v>0</v>
      </c>
      <c r="AQ213" s="497">
        <v>0</v>
      </c>
      <c r="AR213" s="497">
        <v>0</v>
      </c>
      <c r="AS213" s="497">
        <v>0</v>
      </c>
      <c r="AT213" s="497">
        <v>0</v>
      </c>
      <c r="AU213" s="497">
        <v>0</v>
      </c>
      <c r="AV213" s="497">
        <v>0</v>
      </c>
      <c r="AW213" s="497">
        <v>0</v>
      </c>
      <c r="AX213" s="497">
        <v>0</v>
      </c>
      <c r="AY213" s="497">
        <v>0</v>
      </c>
      <c r="AZ213" s="498">
        <v>0</v>
      </c>
    </row>
    <row r="214" spans="1:52" s="469" customFormat="1">
      <c r="A214" s="485">
        <f>'[4]Allocation Methodology'!A46</f>
        <v>42</v>
      </c>
      <c r="B214" s="486" t="str">
        <f>'[4]Allocation Methodology'!B46</f>
        <v>Power Savings Blitz</v>
      </c>
      <c r="C214" s="486" t="str">
        <f>'[4]Allocation Methodology'!C46</f>
        <v>Business</v>
      </c>
      <c r="D214" s="486"/>
      <c r="E214" s="486">
        <f>'[4]Allocation Methodology'!D46</f>
        <v>2009</v>
      </c>
      <c r="F214" s="487" t="str">
        <f>'[4]Allocation Methodology'!E46</f>
        <v>Final</v>
      </c>
      <c r="G214" s="471" t="b">
        <v>0</v>
      </c>
      <c r="H214" s="568">
        <v>0</v>
      </c>
      <c r="I214" s="490">
        <v>0</v>
      </c>
      <c r="J214" s="490">
        <v>0</v>
      </c>
      <c r="K214" s="490">
        <v>0.18429365344541779</v>
      </c>
      <c r="L214" s="490">
        <v>0.18429365344541779</v>
      </c>
      <c r="M214" s="490">
        <v>0.18429365344541779</v>
      </c>
      <c r="N214" s="490">
        <v>0.18429365344541779</v>
      </c>
      <c r="O214" s="490">
        <v>0.18429365344541779</v>
      </c>
      <c r="P214" s="490">
        <v>0.18429365344541779</v>
      </c>
      <c r="Q214" s="490">
        <v>0.18429365344541779</v>
      </c>
      <c r="R214" s="490">
        <v>0.18429365344541779</v>
      </c>
      <c r="S214" s="490">
        <v>0.18429365344541779</v>
      </c>
      <c r="T214" s="490">
        <v>0</v>
      </c>
      <c r="U214" s="490">
        <v>0</v>
      </c>
      <c r="V214" s="490">
        <v>0</v>
      </c>
      <c r="W214" s="490">
        <v>0</v>
      </c>
      <c r="X214" s="490">
        <v>0</v>
      </c>
      <c r="Y214" s="490">
        <v>0</v>
      </c>
      <c r="Z214" s="490">
        <v>0</v>
      </c>
      <c r="AA214" s="490">
        <v>0</v>
      </c>
      <c r="AB214" s="490">
        <v>0</v>
      </c>
      <c r="AC214" s="490">
        <v>0</v>
      </c>
      <c r="AD214" s="490">
        <v>0</v>
      </c>
      <c r="AE214" s="490">
        <v>0</v>
      </c>
      <c r="AF214" s="490">
        <v>0</v>
      </c>
      <c r="AG214" s="490">
        <v>0</v>
      </c>
      <c r="AH214" s="490">
        <v>0</v>
      </c>
      <c r="AI214" s="490">
        <v>0</v>
      </c>
      <c r="AJ214" s="490">
        <v>0</v>
      </c>
      <c r="AK214" s="490">
        <v>0</v>
      </c>
      <c r="AL214" s="490">
        <v>0</v>
      </c>
      <c r="AM214" s="490">
        <v>0</v>
      </c>
      <c r="AN214" s="490">
        <v>0</v>
      </c>
      <c r="AO214" s="490">
        <v>0</v>
      </c>
      <c r="AP214" s="490">
        <v>0</v>
      </c>
      <c r="AQ214" s="490">
        <v>0</v>
      </c>
      <c r="AR214" s="490">
        <v>0</v>
      </c>
      <c r="AS214" s="490">
        <v>0</v>
      </c>
      <c r="AT214" s="490">
        <v>0</v>
      </c>
      <c r="AU214" s="490">
        <v>0</v>
      </c>
      <c r="AV214" s="490">
        <v>0</v>
      </c>
      <c r="AW214" s="490">
        <v>0</v>
      </c>
      <c r="AX214" s="490">
        <v>0</v>
      </c>
      <c r="AY214" s="490">
        <v>0</v>
      </c>
      <c r="AZ214" s="491">
        <v>0</v>
      </c>
    </row>
    <row r="215" spans="1:52" s="469" customFormat="1">
      <c r="A215" s="492">
        <f>'[4]Allocation Methodology'!A47</f>
        <v>43</v>
      </c>
      <c r="B215" s="493" t="str">
        <f>'[4]Allocation Methodology'!B47</f>
        <v>Multi-Family Energy Efficiency Rebates</v>
      </c>
      <c r="C215" s="493" t="str">
        <f>'[4]Allocation Methodology'!C47</f>
        <v>Consumer, Consumer Low-Income</v>
      </c>
      <c r="D215" s="493"/>
      <c r="E215" s="493">
        <f>'[4]Allocation Methodology'!D47</f>
        <v>2009</v>
      </c>
      <c r="F215" s="494" t="str">
        <f>'[4]Allocation Methodology'!E47</f>
        <v>Final</v>
      </c>
      <c r="G215" s="471" t="b">
        <v>0</v>
      </c>
      <c r="H215" s="569">
        <v>0</v>
      </c>
      <c r="I215" s="497">
        <v>0</v>
      </c>
      <c r="J215" s="497">
        <v>0</v>
      </c>
      <c r="K215" s="497">
        <v>0</v>
      </c>
      <c r="L215" s="497">
        <v>0</v>
      </c>
      <c r="M215" s="497">
        <v>0</v>
      </c>
      <c r="N215" s="497">
        <v>0</v>
      </c>
      <c r="O215" s="497">
        <v>0</v>
      </c>
      <c r="P215" s="497">
        <v>0</v>
      </c>
      <c r="Q215" s="497">
        <v>0</v>
      </c>
      <c r="R215" s="497">
        <v>0</v>
      </c>
      <c r="S215" s="497">
        <v>0</v>
      </c>
      <c r="T215" s="497">
        <v>0</v>
      </c>
      <c r="U215" s="497">
        <v>0</v>
      </c>
      <c r="V215" s="497">
        <v>0</v>
      </c>
      <c r="W215" s="497">
        <v>0</v>
      </c>
      <c r="X215" s="497">
        <v>0</v>
      </c>
      <c r="Y215" s="497">
        <v>0</v>
      </c>
      <c r="Z215" s="497">
        <v>0</v>
      </c>
      <c r="AA215" s="497">
        <v>0</v>
      </c>
      <c r="AB215" s="497">
        <v>0</v>
      </c>
      <c r="AC215" s="497">
        <v>0</v>
      </c>
      <c r="AD215" s="497">
        <v>0</v>
      </c>
      <c r="AE215" s="497">
        <v>0</v>
      </c>
      <c r="AF215" s="497">
        <v>0</v>
      </c>
      <c r="AG215" s="497">
        <v>0</v>
      </c>
      <c r="AH215" s="497">
        <v>0</v>
      </c>
      <c r="AI215" s="497">
        <v>0</v>
      </c>
      <c r="AJ215" s="497">
        <v>0</v>
      </c>
      <c r="AK215" s="497">
        <v>0</v>
      </c>
      <c r="AL215" s="497">
        <v>0</v>
      </c>
      <c r="AM215" s="497">
        <v>0</v>
      </c>
      <c r="AN215" s="497">
        <v>0</v>
      </c>
      <c r="AO215" s="497">
        <v>0</v>
      </c>
      <c r="AP215" s="497">
        <v>0</v>
      </c>
      <c r="AQ215" s="497">
        <v>0</v>
      </c>
      <c r="AR215" s="497">
        <v>0</v>
      </c>
      <c r="AS215" s="497">
        <v>0</v>
      </c>
      <c r="AT215" s="497">
        <v>0</v>
      </c>
      <c r="AU215" s="497">
        <v>0</v>
      </c>
      <c r="AV215" s="497">
        <v>0</v>
      </c>
      <c r="AW215" s="497">
        <v>0</v>
      </c>
      <c r="AX215" s="497">
        <v>0</v>
      </c>
      <c r="AY215" s="497">
        <v>0</v>
      </c>
      <c r="AZ215" s="498">
        <v>0</v>
      </c>
    </row>
    <row r="216" spans="1:52" s="469" customFormat="1">
      <c r="A216" s="485">
        <f>'[4]Allocation Methodology'!A48</f>
        <v>44</v>
      </c>
      <c r="B216" s="486" t="str">
        <f>'[4]Allocation Methodology'!B48</f>
        <v>Demand Response 1</v>
      </c>
      <c r="C216" s="486" t="str">
        <f>'[4]Allocation Methodology'!C48</f>
        <v>Business, Industrial</v>
      </c>
      <c r="D216" s="486"/>
      <c r="E216" s="486">
        <f>'[4]Allocation Methodology'!D48</f>
        <v>2009</v>
      </c>
      <c r="F216" s="487" t="str">
        <f>'[4]Allocation Methodology'!E48</f>
        <v>Final</v>
      </c>
      <c r="G216" s="471" t="b">
        <v>0</v>
      </c>
      <c r="H216" s="568">
        <v>0</v>
      </c>
      <c r="I216" s="490">
        <v>0</v>
      </c>
      <c r="J216" s="490">
        <v>0</v>
      </c>
      <c r="K216" s="490">
        <v>1.1957688458910378</v>
      </c>
      <c r="L216" s="490">
        <v>0</v>
      </c>
      <c r="M216" s="490">
        <v>0</v>
      </c>
      <c r="N216" s="490">
        <v>0</v>
      </c>
      <c r="O216" s="490">
        <v>0</v>
      </c>
      <c r="P216" s="490">
        <v>0</v>
      </c>
      <c r="Q216" s="490">
        <v>0</v>
      </c>
      <c r="R216" s="490">
        <v>0</v>
      </c>
      <c r="S216" s="490">
        <v>0</v>
      </c>
      <c r="T216" s="490">
        <v>0</v>
      </c>
      <c r="U216" s="490">
        <v>0</v>
      </c>
      <c r="V216" s="490">
        <v>0</v>
      </c>
      <c r="W216" s="490">
        <v>0</v>
      </c>
      <c r="X216" s="490">
        <v>0</v>
      </c>
      <c r="Y216" s="490">
        <v>0</v>
      </c>
      <c r="Z216" s="490">
        <v>0</v>
      </c>
      <c r="AA216" s="490">
        <v>0</v>
      </c>
      <c r="AB216" s="490">
        <v>0</v>
      </c>
      <c r="AC216" s="490">
        <v>0</v>
      </c>
      <c r="AD216" s="490">
        <v>0</v>
      </c>
      <c r="AE216" s="490">
        <v>0</v>
      </c>
      <c r="AF216" s="490">
        <v>0</v>
      </c>
      <c r="AG216" s="490">
        <v>0</v>
      </c>
      <c r="AH216" s="490">
        <v>0</v>
      </c>
      <c r="AI216" s="490">
        <v>0</v>
      </c>
      <c r="AJ216" s="490">
        <v>0</v>
      </c>
      <c r="AK216" s="490">
        <v>0</v>
      </c>
      <c r="AL216" s="490">
        <v>0</v>
      </c>
      <c r="AM216" s="490">
        <v>0</v>
      </c>
      <c r="AN216" s="490">
        <v>0</v>
      </c>
      <c r="AO216" s="490">
        <v>0</v>
      </c>
      <c r="AP216" s="490">
        <v>0</v>
      </c>
      <c r="AQ216" s="490">
        <v>0</v>
      </c>
      <c r="AR216" s="490">
        <v>0</v>
      </c>
      <c r="AS216" s="490">
        <v>0</v>
      </c>
      <c r="AT216" s="490">
        <v>0</v>
      </c>
      <c r="AU216" s="490">
        <v>0</v>
      </c>
      <c r="AV216" s="490">
        <v>0</v>
      </c>
      <c r="AW216" s="490">
        <v>0</v>
      </c>
      <c r="AX216" s="490">
        <v>0</v>
      </c>
      <c r="AY216" s="490">
        <v>0</v>
      </c>
      <c r="AZ216" s="491">
        <v>0</v>
      </c>
    </row>
    <row r="217" spans="1:52" s="469" customFormat="1">
      <c r="A217" s="492">
        <f>'[4]Allocation Methodology'!A49</f>
        <v>45</v>
      </c>
      <c r="B217" s="493" t="str">
        <f>'[4]Allocation Methodology'!B49</f>
        <v>Demand Response 2</v>
      </c>
      <c r="C217" s="493" t="str">
        <f>'[4]Allocation Methodology'!C49</f>
        <v>Business, Industrial</v>
      </c>
      <c r="D217" s="493"/>
      <c r="E217" s="493">
        <f>'[4]Allocation Methodology'!D49</f>
        <v>2009</v>
      </c>
      <c r="F217" s="494" t="str">
        <f>'[4]Allocation Methodology'!E49</f>
        <v>Final</v>
      </c>
      <c r="G217" s="471" t="b">
        <v>0</v>
      </c>
      <c r="H217" s="569">
        <v>0</v>
      </c>
      <c r="I217" s="497">
        <v>0</v>
      </c>
      <c r="J217" s="497">
        <v>0</v>
      </c>
      <c r="K217" s="497">
        <v>0.81196286825126107</v>
      </c>
      <c r="L217" s="497">
        <v>0</v>
      </c>
      <c r="M217" s="497">
        <v>0</v>
      </c>
      <c r="N217" s="497">
        <v>0</v>
      </c>
      <c r="O217" s="497">
        <v>0</v>
      </c>
      <c r="P217" s="497">
        <v>0</v>
      </c>
      <c r="Q217" s="497">
        <v>0</v>
      </c>
      <c r="R217" s="497">
        <v>0</v>
      </c>
      <c r="S217" s="497">
        <v>0</v>
      </c>
      <c r="T217" s="497">
        <v>0</v>
      </c>
      <c r="U217" s="497">
        <v>0</v>
      </c>
      <c r="V217" s="497">
        <v>0</v>
      </c>
      <c r="W217" s="497">
        <v>0</v>
      </c>
      <c r="X217" s="497">
        <v>0</v>
      </c>
      <c r="Y217" s="497">
        <v>0</v>
      </c>
      <c r="Z217" s="497">
        <v>0</v>
      </c>
      <c r="AA217" s="497">
        <v>0</v>
      </c>
      <c r="AB217" s="497">
        <v>0</v>
      </c>
      <c r="AC217" s="497">
        <v>0</v>
      </c>
      <c r="AD217" s="497">
        <v>0</v>
      </c>
      <c r="AE217" s="497">
        <v>0</v>
      </c>
      <c r="AF217" s="497">
        <v>0</v>
      </c>
      <c r="AG217" s="497">
        <v>0</v>
      </c>
      <c r="AH217" s="497">
        <v>0</v>
      </c>
      <c r="AI217" s="497">
        <v>0</v>
      </c>
      <c r="AJ217" s="497">
        <v>0</v>
      </c>
      <c r="AK217" s="497">
        <v>0</v>
      </c>
      <c r="AL217" s="497">
        <v>0</v>
      </c>
      <c r="AM217" s="497">
        <v>0</v>
      </c>
      <c r="AN217" s="497">
        <v>0</v>
      </c>
      <c r="AO217" s="497">
        <v>0</v>
      </c>
      <c r="AP217" s="497">
        <v>0</v>
      </c>
      <c r="AQ217" s="497">
        <v>0</v>
      </c>
      <c r="AR217" s="497">
        <v>0</v>
      </c>
      <c r="AS217" s="497">
        <v>0</v>
      </c>
      <c r="AT217" s="497">
        <v>0</v>
      </c>
      <c r="AU217" s="497">
        <v>0</v>
      </c>
      <c r="AV217" s="497">
        <v>0</v>
      </c>
      <c r="AW217" s="497">
        <v>0</v>
      </c>
      <c r="AX217" s="497">
        <v>0</v>
      </c>
      <c r="AY217" s="497">
        <v>0</v>
      </c>
      <c r="AZ217" s="498">
        <v>0</v>
      </c>
    </row>
    <row r="218" spans="1:52" s="469" customFormat="1">
      <c r="A218" s="485">
        <f>'[4]Allocation Methodology'!A50</f>
        <v>46</v>
      </c>
      <c r="B218" s="486" t="str">
        <f>'[4]Allocation Methodology'!B50</f>
        <v>Demand Response 3</v>
      </c>
      <c r="C218" s="486" t="str">
        <f>'[4]Allocation Methodology'!C50</f>
        <v>Business, Industrial</v>
      </c>
      <c r="D218" s="486"/>
      <c r="E218" s="486">
        <f>'[4]Allocation Methodology'!D50</f>
        <v>2009</v>
      </c>
      <c r="F218" s="487" t="str">
        <f>'[4]Allocation Methodology'!E50</f>
        <v>Final</v>
      </c>
      <c r="G218" s="471" t="b">
        <v>0</v>
      </c>
      <c r="H218" s="568">
        <v>0</v>
      </c>
      <c r="I218" s="490">
        <v>0</v>
      </c>
      <c r="J218" s="490">
        <v>0</v>
      </c>
      <c r="K218" s="490">
        <v>1.1599469546446588</v>
      </c>
      <c r="L218" s="490">
        <v>0</v>
      </c>
      <c r="M218" s="490">
        <v>0</v>
      </c>
      <c r="N218" s="490">
        <v>0</v>
      </c>
      <c r="O218" s="490">
        <v>0</v>
      </c>
      <c r="P218" s="490">
        <v>0</v>
      </c>
      <c r="Q218" s="490">
        <v>0</v>
      </c>
      <c r="R218" s="490">
        <v>0</v>
      </c>
      <c r="S218" s="490">
        <v>0</v>
      </c>
      <c r="T218" s="490">
        <v>0</v>
      </c>
      <c r="U218" s="490">
        <v>0</v>
      </c>
      <c r="V218" s="490">
        <v>0</v>
      </c>
      <c r="W218" s="490">
        <v>0</v>
      </c>
      <c r="X218" s="490">
        <v>0</v>
      </c>
      <c r="Y218" s="490">
        <v>0</v>
      </c>
      <c r="Z218" s="490">
        <v>0</v>
      </c>
      <c r="AA218" s="490">
        <v>0</v>
      </c>
      <c r="AB218" s="490">
        <v>0</v>
      </c>
      <c r="AC218" s="490">
        <v>0</v>
      </c>
      <c r="AD218" s="490">
        <v>0</v>
      </c>
      <c r="AE218" s="490">
        <v>0</v>
      </c>
      <c r="AF218" s="490">
        <v>0</v>
      </c>
      <c r="AG218" s="490">
        <v>0</v>
      </c>
      <c r="AH218" s="490">
        <v>0</v>
      </c>
      <c r="AI218" s="490">
        <v>0</v>
      </c>
      <c r="AJ218" s="490">
        <v>0</v>
      </c>
      <c r="AK218" s="490">
        <v>0</v>
      </c>
      <c r="AL218" s="490">
        <v>0</v>
      </c>
      <c r="AM218" s="490">
        <v>0</v>
      </c>
      <c r="AN218" s="490">
        <v>0</v>
      </c>
      <c r="AO218" s="490">
        <v>0</v>
      </c>
      <c r="AP218" s="490">
        <v>0</v>
      </c>
      <c r="AQ218" s="490">
        <v>0</v>
      </c>
      <c r="AR218" s="490">
        <v>0</v>
      </c>
      <c r="AS218" s="490">
        <v>0</v>
      </c>
      <c r="AT218" s="490">
        <v>0</v>
      </c>
      <c r="AU218" s="490">
        <v>0</v>
      </c>
      <c r="AV218" s="490">
        <v>0</v>
      </c>
      <c r="AW218" s="490">
        <v>0</v>
      </c>
      <c r="AX218" s="490">
        <v>0</v>
      </c>
      <c r="AY218" s="490">
        <v>0</v>
      </c>
      <c r="AZ218" s="491">
        <v>0</v>
      </c>
    </row>
    <row r="219" spans="1:52" s="469" customFormat="1">
      <c r="A219" s="492">
        <f>'[4]Allocation Methodology'!A51</f>
        <v>47</v>
      </c>
      <c r="B219" s="493" t="str">
        <f>'[4]Allocation Methodology'!B51</f>
        <v>Loblaw &amp; York Region Demand Response</v>
      </c>
      <c r="C219" s="493" t="str">
        <f>'[4]Allocation Methodology'!C51</f>
        <v>Business, Industrial</v>
      </c>
      <c r="D219" s="493"/>
      <c r="E219" s="493">
        <f>'[4]Allocation Methodology'!D51</f>
        <v>2009</v>
      </c>
      <c r="F219" s="494" t="str">
        <f>'[4]Allocation Methodology'!E51</f>
        <v>Final</v>
      </c>
      <c r="G219" s="471" t="b">
        <v>0</v>
      </c>
      <c r="H219" s="569">
        <v>0</v>
      </c>
      <c r="I219" s="497">
        <v>0</v>
      </c>
      <c r="J219" s="497">
        <v>0</v>
      </c>
      <c r="K219" s="497">
        <v>0.19930617967747344</v>
      </c>
      <c r="L219" s="497">
        <v>0</v>
      </c>
      <c r="M219" s="497">
        <v>0</v>
      </c>
      <c r="N219" s="497">
        <v>0</v>
      </c>
      <c r="O219" s="497">
        <v>0</v>
      </c>
      <c r="P219" s="497">
        <v>0</v>
      </c>
      <c r="Q219" s="497">
        <v>0</v>
      </c>
      <c r="R219" s="497">
        <v>0</v>
      </c>
      <c r="S219" s="497">
        <v>0</v>
      </c>
      <c r="T219" s="497">
        <v>0</v>
      </c>
      <c r="U219" s="497">
        <v>0</v>
      </c>
      <c r="V219" s="497">
        <v>0</v>
      </c>
      <c r="W219" s="497">
        <v>0</v>
      </c>
      <c r="X219" s="497">
        <v>0</v>
      </c>
      <c r="Y219" s="497">
        <v>0</v>
      </c>
      <c r="Z219" s="497">
        <v>0</v>
      </c>
      <c r="AA219" s="497">
        <v>0</v>
      </c>
      <c r="AB219" s="497">
        <v>0</v>
      </c>
      <c r="AC219" s="497">
        <v>0</v>
      </c>
      <c r="AD219" s="497">
        <v>0</v>
      </c>
      <c r="AE219" s="497">
        <v>0</v>
      </c>
      <c r="AF219" s="497">
        <v>0</v>
      </c>
      <c r="AG219" s="497">
        <v>0</v>
      </c>
      <c r="AH219" s="497">
        <v>0</v>
      </c>
      <c r="AI219" s="497">
        <v>0</v>
      </c>
      <c r="AJ219" s="497">
        <v>0</v>
      </c>
      <c r="AK219" s="497">
        <v>0</v>
      </c>
      <c r="AL219" s="497">
        <v>0</v>
      </c>
      <c r="AM219" s="497">
        <v>0</v>
      </c>
      <c r="AN219" s="497">
        <v>0</v>
      </c>
      <c r="AO219" s="497">
        <v>0</v>
      </c>
      <c r="AP219" s="497">
        <v>0</v>
      </c>
      <c r="AQ219" s="497">
        <v>0</v>
      </c>
      <c r="AR219" s="497">
        <v>0</v>
      </c>
      <c r="AS219" s="497">
        <v>0</v>
      </c>
      <c r="AT219" s="497">
        <v>0</v>
      </c>
      <c r="AU219" s="497">
        <v>0</v>
      </c>
      <c r="AV219" s="497">
        <v>0</v>
      </c>
      <c r="AW219" s="497">
        <v>0</v>
      </c>
      <c r="AX219" s="497">
        <v>0</v>
      </c>
      <c r="AY219" s="497">
        <v>0</v>
      </c>
      <c r="AZ219" s="498">
        <v>0</v>
      </c>
    </row>
    <row r="220" spans="1:52" s="469" customFormat="1">
      <c r="A220" s="485">
        <f>'[4]Allocation Methodology'!A52</f>
        <v>48</v>
      </c>
      <c r="B220" s="486" t="str">
        <f>'[4]Allocation Methodology'!B52</f>
        <v>LDC Custom - Thunder Bay Hydro - Phantom Load</v>
      </c>
      <c r="C220" s="486" t="str">
        <f>'[4]Allocation Methodology'!C52</f>
        <v>Consumer</v>
      </c>
      <c r="D220" s="486"/>
      <c r="E220" s="486">
        <f>'[4]Allocation Methodology'!D52</f>
        <v>2009</v>
      </c>
      <c r="F220" s="487" t="str">
        <f>'[4]Allocation Methodology'!E52</f>
        <v>Final</v>
      </c>
      <c r="G220" s="471" t="b">
        <v>0</v>
      </c>
      <c r="H220" s="568">
        <v>0</v>
      </c>
      <c r="I220" s="490">
        <v>0</v>
      </c>
      <c r="J220" s="490">
        <v>0</v>
      </c>
      <c r="K220" s="490">
        <v>0</v>
      </c>
      <c r="L220" s="490">
        <v>0</v>
      </c>
      <c r="M220" s="490">
        <v>0</v>
      </c>
      <c r="N220" s="490">
        <v>0</v>
      </c>
      <c r="O220" s="490">
        <v>0</v>
      </c>
      <c r="P220" s="490">
        <v>0</v>
      </c>
      <c r="Q220" s="490">
        <v>0</v>
      </c>
      <c r="R220" s="490">
        <v>0</v>
      </c>
      <c r="S220" s="490">
        <v>0</v>
      </c>
      <c r="T220" s="490">
        <v>0</v>
      </c>
      <c r="U220" s="490">
        <v>0</v>
      </c>
      <c r="V220" s="490">
        <v>0</v>
      </c>
      <c r="W220" s="490">
        <v>0</v>
      </c>
      <c r="X220" s="490">
        <v>0</v>
      </c>
      <c r="Y220" s="490">
        <v>0</v>
      </c>
      <c r="Z220" s="490">
        <v>0</v>
      </c>
      <c r="AA220" s="490">
        <v>0</v>
      </c>
      <c r="AB220" s="490">
        <v>0</v>
      </c>
      <c r="AC220" s="490">
        <v>0</v>
      </c>
      <c r="AD220" s="490">
        <v>0</v>
      </c>
      <c r="AE220" s="490">
        <v>0</v>
      </c>
      <c r="AF220" s="490">
        <v>0</v>
      </c>
      <c r="AG220" s="490">
        <v>0</v>
      </c>
      <c r="AH220" s="490">
        <v>0</v>
      </c>
      <c r="AI220" s="490">
        <v>0</v>
      </c>
      <c r="AJ220" s="490">
        <v>0</v>
      </c>
      <c r="AK220" s="490">
        <v>0</v>
      </c>
      <c r="AL220" s="490">
        <v>0</v>
      </c>
      <c r="AM220" s="490">
        <v>0</v>
      </c>
      <c r="AN220" s="490">
        <v>0</v>
      </c>
      <c r="AO220" s="490">
        <v>0</v>
      </c>
      <c r="AP220" s="490">
        <v>0</v>
      </c>
      <c r="AQ220" s="490">
        <v>0</v>
      </c>
      <c r="AR220" s="490">
        <v>0</v>
      </c>
      <c r="AS220" s="490">
        <v>0</v>
      </c>
      <c r="AT220" s="490">
        <v>0</v>
      </c>
      <c r="AU220" s="490">
        <v>0</v>
      </c>
      <c r="AV220" s="490">
        <v>0</v>
      </c>
      <c r="AW220" s="490">
        <v>0</v>
      </c>
      <c r="AX220" s="490">
        <v>0</v>
      </c>
      <c r="AY220" s="490">
        <v>0</v>
      </c>
      <c r="AZ220" s="491">
        <v>0</v>
      </c>
    </row>
    <row r="221" spans="1:52" s="469" customFormat="1">
      <c r="A221" s="522">
        <f>'[4]Allocation Methodology'!A53</f>
        <v>49</v>
      </c>
      <c r="B221" s="523" t="str">
        <f>'[4]Allocation Methodology'!B53</f>
        <v>LDC Custom - Toronto Hydro - Summer Challenge</v>
      </c>
      <c r="C221" s="523" t="str">
        <f>'[4]Allocation Methodology'!C53</f>
        <v>Consumer</v>
      </c>
      <c r="D221" s="523"/>
      <c r="E221" s="523">
        <f>'[4]Allocation Methodology'!D53</f>
        <v>2009</v>
      </c>
      <c r="F221" s="524" t="str">
        <f>'[4]Allocation Methodology'!E53</f>
        <v>Final</v>
      </c>
      <c r="G221" s="471" t="b">
        <v>0</v>
      </c>
      <c r="H221" s="573">
        <v>0</v>
      </c>
      <c r="I221" s="574">
        <v>0</v>
      </c>
      <c r="J221" s="574">
        <v>0</v>
      </c>
      <c r="K221" s="574">
        <v>0</v>
      </c>
      <c r="L221" s="574">
        <v>0</v>
      </c>
      <c r="M221" s="574">
        <v>0</v>
      </c>
      <c r="N221" s="574">
        <v>0</v>
      </c>
      <c r="O221" s="574">
        <v>0</v>
      </c>
      <c r="P221" s="574">
        <v>0</v>
      </c>
      <c r="Q221" s="574">
        <v>0</v>
      </c>
      <c r="R221" s="574">
        <v>0</v>
      </c>
      <c r="S221" s="574">
        <v>0</v>
      </c>
      <c r="T221" s="574">
        <v>0</v>
      </c>
      <c r="U221" s="574">
        <v>0</v>
      </c>
      <c r="V221" s="574">
        <v>0</v>
      </c>
      <c r="W221" s="574">
        <v>0</v>
      </c>
      <c r="X221" s="574">
        <v>0</v>
      </c>
      <c r="Y221" s="574">
        <v>0</v>
      </c>
      <c r="Z221" s="574">
        <v>0</v>
      </c>
      <c r="AA221" s="574">
        <v>0</v>
      </c>
      <c r="AB221" s="574">
        <v>0</v>
      </c>
      <c r="AC221" s="574">
        <v>0</v>
      </c>
      <c r="AD221" s="574">
        <v>0</v>
      </c>
      <c r="AE221" s="574">
        <v>0</v>
      </c>
      <c r="AF221" s="574">
        <v>0</v>
      </c>
      <c r="AG221" s="574">
        <v>0</v>
      </c>
      <c r="AH221" s="574">
        <v>0</v>
      </c>
      <c r="AI221" s="574">
        <v>0</v>
      </c>
      <c r="AJ221" s="574">
        <v>0</v>
      </c>
      <c r="AK221" s="574">
        <v>0</v>
      </c>
      <c r="AL221" s="574">
        <v>0</v>
      </c>
      <c r="AM221" s="574">
        <v>0</v>
      </c>
      <c r="AN221" s="574">
        <v>0</v>
      </c>
      <c r="AO221" s="574">
        <v>0</v>
      </c>
      <c r="AP221" s="574">
        <v>0</v>
      </c>
      <c r="AQ221" s="574">
        <v>0</v>
      </c>
      <c r="AR221" s="574">
        <v>0</v>
      </c>
      <c r="AS221" s="574">
        <v>0</v>
      </c>
      <c r="AT221" s="574">
        <v>0</v>
      </c>
      <c r="AU221" s="574">
        <v>0</v>
      </c>
      <c r="AV221" s="574">
        <v>0</v>
      </c>
      <c r="AW221" s="574">
        <v>0</v>
      </c>
      <c r="AX221" s="574">
        <v>0</v>
      </c>
      <c r="AY221" s="574">
        <v>0</v>
      </c>
      <c r="AZ221" s="575">
        <v>0</v>
      </c>
    </row>
    <row r="222" spans="1:52" s="469" customFormat="1">
      <c r="A222" s="514">
        <f>'[4]Allocation Methodology'!A54</f>
        <v>50</v>
      </c>
      <c r="B222" s="515" t="str">
        <f>'[4]Allocation Methodology'!B54</f>
        <v>LDC Custom - PowerStream - Data Centers</v>
      </c>
      <c r="C222" s="515" t="str">
        <f>'[4]Allocation Methodology'!C54</f>
        <v>Business</v>
      </c>
      <c r="D222" s="515"/>
      <c r="E222" s="515">
        <f>'[4]Allocation Methodology'!D54</f>
        <v>2009</v>
      </c>
      <c r="F222" s="516" t="str">
        <f>'[4]Allocation Methodology'!E54</f>
        <v>Final</v>
      </c>
      <c r="G222" s="471"/>
      <c r="H222" s="572">
        <v>0</v>
      </c>
      <c r="I222" s="519">
        <v>0</v>
      </c>
      <c r="J222" s="519">
        <v>0</v>
      </c>
      <c r="K222" s="519">
        <v>0</v>
      </c>
      <c r="L222" s="519">
        <v>0</v>
      </c>
      <c r="M222" s="519">
        <v>0</v>
      </c>
      <c r="N222" s="519">
        <v>0</v>
      </c>
      <c r="O222" s="519">
        <v>0</v>
      </c>
      <c r="P222" s="519">
        <v>0</v>
      </c>
      <c r="Q222" s="519">
        <v>0</v>
      </c>
      <c r="R222" s="519">
        <v>0</v>
      </c>
      <c r="S222" s="519">
        <v>0</v>
      </c>
      <c r="T222" s="519">
        <v>0</v>
      </c>
      <c r="U222" s="519">
        <v>0</v>
      </c>
      <c r="V222" s="519">
        <v>0</v>
      </c>
      <c r="W222" s="519">
        <v>0</v>
      </c>
      <c r="X222" s="519">
        <v>0</v>
      </c>
      <c r="Y222" s="519">
        <v>0</v>
      </c>
      <c r="Z222" s="519">
        <v>0</v>
      </c>
      <c r="AA222" s="519">
        <v>0</v>
      </c>
      <c r="AB222" s="519">
        <v>0</v>
      </c>
      <c r="AC222" s="519">
        <v>0</v>
      </c>
      <c r="AD222" s="519">
        <v>0</v>
      </c>
      <c r="AE222" s="519">
        <v>0</v>
      </c>
      <c r="AF222" s="519">
        <v>0</v>
      </c>
      <c r="AG222" s="519">
        <v>0</v>
      </c>
      <c r="AH222" s="519">
        <v>0</v>
      </c>
      <c r="AI222" s="519">
        <v>0</v>
      </c>
      <c r="AJ222" s="519">
        <v>0</v>
      </c>
      <c r="AK222" s="519">
        <v>0</v>
      </c>
      <c r="AL222" s="519">
        <v>0</v>
      </c>
      <c r="AM222" s="519">
        <v>0</v>
      </c>
      <c r="AN222" s="519">
        <v>0</v>
      </c>
      <c r="AO222" s="519">
        <v>0</v>
      </c>
      <c r="AP222" s="519">
        <v>0</v>
      </c>
      <c r="AQ222" s="519">
        <v>0</v>
      </c>
      <c r="AR222" s="519">
        <v>0</v>
      </c>
      <c r="AS222" s="519">
        <v>0</v>
      </c>
      <c r="AT222" s="519">
        <v>0</v>
      </c>
      <c r="AU222" s="519">
        <v>0</v>
      </c>
      <c r="AV222" s="519">
        <v>0</v>
      </c>
      <c r="AW222" s="519">
        <v>0</v>
      </c>
      <c r="AX222" s="519">
        <v>0</v>
      </c>
      <c r="AY222" s="519">
        <v>0</v>
      </c>
      <c r="AZ222" s="520">
        <v>0</v>
      </c>
    </row>
    <row r="223" spans="1:52" s="469" customFormat="1">
      <c r="A223" s="478">
        <f>'[4]Allocation Methodology'!A55</f>
        <v>51</v>
      </c>
      <c r="B223" s="479" t="str">
        <f>'[4]Allocation Methodology'!B55</f>
        <v>Toronto Comprehensive Adjustment</v>
      </c>
      <c r="C223" s="479" t="str">
        <f>'[4]Allocation Methodology'!C55</f>
        <v>Consumer, Business</v>
      </c>
      <c r="D223" s="479"/>
      <c r="E223" s="479">
        <f>'[4]Allocation Methodology'!D55</f>
        <v>2008</v>
      </c>
      <c r="F223" s="480" t="str">
        <f>'[4]Allocation Methodology'!E55</f>
        <v>Final</v>
      </c>
      <c r="G223" s="471"/>
      <c r="H223" s="566">
        <v>0</v>
      </c>
      <c r="I223" s="483">
        <v>0</v>
      </c>
      <c r="J223" s="483">
        <v>0</v>
      </c>
      <c r="K223" s="483">
        <v>0</v>
      </c>
      <c r="L223" s="483">
        <v>0</v>
      </c>
      <c r="M223" s="483">
        <v>0</v>
      </c>
      <c r="N223" s="483">
        <v>0</v>
      </c>
      <c r="O223" s="483">
        <v>0</v>
      </c>
      <c r="P223" s="483">
        <v>0</v>
      </c>
      <c r="Q223" s="483">
        <v>0</v>
      </c>
      <c r="R223" s="483">
        <v>0</v>
      </c>
      <c r="S223" s="483">
        <v>0</v>
      </c>
      <c r="T223" s="483">
        <v>0</v>
      </c>
      <c r="U223" s="483">
        <v>0</v>
      </c>
      <c r="V223" s="483">
        <v>0</v>
      </c>
      <c r="W223" s="483">
        <v>0</v>
      </c>
      <c r="X223" s="483">
        <v>0</v>
      </c>
      <c r="Y223" s="483">
        <v>0</v>
      </c>
      <c r="Z223" s="483">
        <v>0</v>
      </c>
      <c r="AA223" s="483">
        <v>0</v>
      </c>
      <c r="AB223" s="483">
        <v>0</v>
      </c>
      <c r="AC223" s="483">
        <v>0</v>
      </c>
      <c r="AD223" s="483">
        <v>0</v>
      </c>
      <c r="AE223" s="483">
        <v>0</v>
      </c>
      <c r="AF223" s="483">
        <v>0</v>
      </c>
      <c r="AG223" s="483">
        <v>0</v>
      </c>
      <c r="AH223" s="483">
        <v>0</v>
      </c>
      <c r="AI223" s="483">
        <v>0</v>
      </c>
      <c r="AJ223" s="483">
        <v>0</v>
      </c>
      <c r="AK223" s="483">
        <v>0</v>
      </c>
      <c r="AL223" s="483">
        <v>0</v>
      </c>
      <c r="AM223" s="483">
        <v>0</v>
      </c>
      <c r="AN223" s="483">
        <v>0</v>
      </c>
      <c r="AO223" s="483">
        <v>0</v>
      </c>
      <c r="AP223" s="483">
        <v>0</v>
      </c>
      <c r="AQ223" s="483">
        <v>0</v>
      </c>
      <c r="AR223" s="483">
        <v>0</v>
      </c>
      <c r="AS223" s="483">
        <v>0</v>
      </c>
      <c r="AT223" s="483">
        <v>0</v>
      </c>
      <c r="AU223" s="483">
        <v>0</v>
      </c>
      <c r="AV223" s="483">
        <v>0</v>
      </c>
      <c r="AW223" s="483">
        <v>0</v>
      </c>
      <c r="AX223" s="483">
        <v>0</v>
      </c>
      <c r="AY223" s="483">
        <v>0</v>
      </c>
      <c r="AZ223" s="484">
        <v>0</v>
      </c>
    </row>
    <row r="224" spans="1:52" s="469" customFormat="1">
      <c r="A224" s="514">
        <f>'[4]Allocation Methodology'!A56</f>
        <v>52</v>
      </c>
      <c r="B224" s="515" t="str">
        <f>'[4]Allocation Methodology'!B56</f>
        <v>LDC Custom - Hydro One Networks Inc. - Double Return Adjustment</v>
      </c>
      <c r="C224" s="515" t="str">
        <f>'[4]Allocation Methodology'!C56</f>
        <v>Business, Industrial</v>
      </c>
      <c r="D224" s="515"/>
      <c r="E224" s="515">
        <f>'[4]Allocation Methodology'!D56</f>
        <v>2008</v>
      </c>
      <c r="F224" s="516" t="str">
        <f>'[4]Allocation Methodology'!E56</f>
        <v>Final</v>
      </c>
      <c r="G224" s="471"/>
      <c r="H224" s="572">
        <v>0</v>
      </c>
      <c r="I224" s="519">
        <v>0</v>
      </c>
      <c r="J224" s="519">
        <v>0</v>
      </c>
      <c r="K224" s="519">
        <v>0</v>
      </c>
      <c r="L224" s="519">
        <v>0</v>
      </c>
      <c r="M224" s="519">
        <v>0</v>
      </c>
      <c r="N224" s="519">
        <v>0</v>
      </c>
      <c r="O224" s="519">
        <v>0</v>
      </c>
      <c r="P224" s="519">
        <v>0</v>
      </c>
      <c r="Q224" s="519">
        <v>0</v>
      </c>
      <c r="R224" s="519">
        <v>0</v>
      </c>
      <c r="S224" s="519">
        <v>0</v>
      </c>
      <c r="T224" s="519">
        <v>0</v>
      </c>
      <c r="U224" s="519">
        <v>0</v>
      </c>
      <c r="V224" s="519">
        <v>0</v>
      </c>
      <c r="W224" s="519">
        <v>0</v>
      </c>
      <c r="X224" s="519">
        <v>0</v>
      </c>
      <c r="Y224" s="519">
        <v>0</v>
      </c>
      <c r="Z224" s="519">
        <v>0</v>
      </c>
      <c r="AA224" s="519">
        <v>0</v>
      </c>
      <c r="AB224" s="519">
        <v>0</v>
      </c>
      <c r="AC224" s="519">
        <v>0</v>
      </c>
      <c r="AD224" s="519">
        <v>0</v>
      </c>
      <c r="AE224" s="519">
        <v>0</v>
      </c>
      <c r="AF224" s="519">
        <v>0</v>
      </c>
      <c r="AG224" s="519">
        <v>0</v>
      </c>
      <c r="AH224" s="519">
        <v>0</v>
      </c>
      <c r="AI224" s="519">
        <v>0</v>
      </c>
      <c r="AJ224" s="519">
        <v>0</v>
      </c>
      <c r="AK224" s="519">
        <v>0</v>
      </c>
      <c r="AL224" s="519">
        <v>0</v>
      </c>
      <c r="AM224" s="519">
        <v>0</v>
      </c>
      <c r="AN224" s="519">
        <v>0</v>
      </c>
      <c r="AO224" s="519">
        <v>0</v>
      </c>
      <c r="AP224" s="519">
        <v>0</v>
      </c>
      <c r="AQ224" s="519">
        <v>0</v>
      </c>
      <c r="AR224" s="519">
        <v>0</v>
      </c>
      <c r="AS224" s="519">
        <v>0</v>
      </c>
      <c r="AT224" s="519">
        <v>0</v>
      </c>
      <c r="AU224" s="519">
        <v>0</v>
      </c>
      <c r="AV224" s="519">
        <v>0</v>
      </c>
      <c r="AW224" s="519">
        <v>0</v>
      </c>
      <c r="AX224" s="519">
        <v>0</v>
      </c>
      <c r="AY224" s="519">
        <v>0</v>
      </c>
      <c r="AZ224" s="520">
        <v>0</v>
      </c>
    </row>
    <row r="225" spans="1:52" s="469" customFormat="1">
      <c r="A225" s="478">
        <f>'[4]Allocation Methodology'!A57</f>
        <v>53</v>
      </c>
      <c r="B225" s="479" t="str">
        <f>'[4]Allocation Methodology'!B57</f>
        <v>Great Refrigerator Roundup</v>
      </c>
      <c r="C225" s="479" t="str">
        <f>'[4]Allocation Methodology'!C57</f>
        <v>Consumer</v>
      </c>
      <c r="D225" s="479"/>
      <c r="E225" s="479">
        <f>'[4]Allocation Methodology'!D57</f>
        <v>2010</v>
      </c>
      <c r="F225" s="480" t="str">
        <f>'[4]Allocation Methodology'!E57</f>
        <v>Final</v>
      </c>
      <c r="G225" s="471"/>
      <c r="H225" s="566">
        <v>0</v>
      </c>
      <c r="I225" s="483">
        <v>0</v>
      </c>
      <c r="J225" s="483">
        <v>0</v>
      </c>
      <c r="K225" s="483">
        <v>0</v>
      </c>
      <c r="L225" s="483">
        <v>2.6374157460676759E-2</v>
      </c>
      <c r="M225" s="483">
        <v>2.6374157460676759E-2</v>
      </c>
      <c r="N225" s="483">
        <v>2.6374157460676759E-2</v>
      </c>
      <c r="O225" s="483">
        <v>2.3724356789965886E-2</v>
      </c>
      <c r="P225" s="483">
        <v>1.6720020043831631E-2</v>
      </c>
      <c r="Q225" s="483">
        <v>0</v>
      </c>
      <c r="R225" s="483">
        <v>0</v>
      </c>
      <c r="S225" s="483">
        <v>0</v>
      </c>
      <c r="T225" s="483">
        <v>0</v>
      </c>
      <c r="U225" s="483">
        <v>0</v>
      </c>
      <c r="V225" s="483">
        <v>0</v>
      </c>
      <c r="W225" s="483">
        <v>0</v>
      </c>
      <c r="X225" s="483">
        <v>0</v>
      </c>
      <c r="Y225" s="483">
        <v>0</v>
      </c>
      <c r="Z225" s="483">
        <v>0</v>
      </c>
      <c r="AA225" s="483">
        <v>0</v>
      </c>
      <c r="AB225" s="483">
        <v>0</v>
      </c>
      <c r="AC225" s="483">
        <v>0</v>
      </c>
      <c r="AD225" s="483">
        <v>0</v>
      </c>
      <c r="AE225" s="483">
        <v>0</v>
      </c>
      <c r="AF225" s="483">
        <v>0</v>
      </c>
      <c r="AG225" s="483">
        <v>0</v>
      </c>
      <c r="AH225" s="483">
        <v>0</v>
      </c>
      <c r="AI225" s="483">
        <v>0</v>
      </c>
      <c r="AJ225" s="483">
        <v>0</v>
      </c>
      <c r="AK225" s="483">
        <v>0</v>
      </c>
      <c r="AL225" s="483">
        <v>0</v>
      </c>
      <c r="AM225" s="483">
        <v>0</v>
      </c>
      <c r="AN225" s="483">
        <v>0</v>
      </c>
      <c r="AO225" s="483">
        <v>0</v>
      </c>
      <c r="AP225" s="483">
        <v>0</v>
      </c>
      <c r="AQ225" s="483">
        <v>0</v>
      </c>
      <c r="AR225" s="483">
        <v>0</v>
      </c>
      <c r="AS225" s="483">
        <v>0</v>
      </c>
      <c r="AT225" s="483">
        <v>0</v>
      </c>
      <c r="AU225" s="483">
        <v>0</v>
      </c>
      <c r="AV225" s="483">
        <v>0</v>
      </c>
      <c r="AW225" s="483">
        <v>0</v>
      </c>
      <c r="AX225" s="483">
        <v>0</v>
      </c>
      <c r="AY225" s="483">
        <v>0</v>
      </c>
      <c r="AZ225" s="484">
        <v>0</v>
      </c>
    </row>
    <row r="226" spans="1:52" s="469" customFormat="1">
      <c r="A226" s="485">
        <f>'[4]Allocation Methodology'!A58</f>
        <v>54</v>
      </c>
      <c r="B226" s="486" t="str">
        <f>'[4]Allocation Methodology'!B58</f>
        <v>Cool Savings Rebate</v>
      </c>
      <c r="C226" s="486" t="str">
        <f>'[4]Allocation Methodology'!C58</f>
        <v>Consumer</v>
      </c>
      <c r="D226" s="486"/>
      <c r="E226" s="486">
        <f>'[4]Allocation Methodology'!D58</f>
        <v>2010</v>
      </c>
      <c r="F226" s="487" t="str">
        <f>'[4]Allocation Methodology'!E58</f>
        <v>Final</v>
      </c>
      <c r="G226" s="471"/>
      <c r="H226" s="568">
        <v>0</v>
      </c>
      <c r="I226" s="490">
        <v>0</v>
      </c>
      <c r="J226" s="490">
        <v>0</v>
      </c>
      <c r="K226" s="490">
        <v>0</v>
      </c>
      <c r="L226" s="490">
        <v>0.10707829526869482</v>
      </c>
      <c r="M226" s="490">
        <v>0.10707829526869482</v>
      </c>
      <c r="N226" s="490">
        <v>0.10707829526869482</v>
      </c>
      <c r="O226" s="490">
        <v>0.10707829526869482</v>
      </c>
      <c r="P226" s="490">
        <v>0.10707829526869482</v>
      </c>
      <c r="Q226" s="490">
        <v>0.10707829526869482</v>
      </c>
      <c r="R226" s="490">
        <v>0.10707829526869482</v>
      </c>
      <c r="S226" s="490">
        <v>0.10707829526869482</v>
      </c>
      <c r="T226" s="490">
        <v>0.10707829526869482</v>
      </c>
      <c r="U226" s="490">
        <v>0.10707829526869482</v>
      </c>
      <c r="V226" s="490">
        <v>0.10707829526869482</v>
      </c>
      <c r="W226" s="490">
        <v>0.10707829526869482</v>
      </c>
      <c r="X226" s="490">
        <v>0.10707829526869482</v>
      </c>
      <c r="Y226" s="490">
        <v>0.10707829526869482</v>
      </c>
      <c r="Z226" s="490">
        <v>0.10707829526869482</v>
      </c>
      <c r="AA226" s="490">
        <v>0.10467354444235347</v>
      </c>
      <c r="AB226" s="490">
        <v>0.10467354444235347</v>
      </c>
      <c r="AC226" s="490">
        <v>0.10467354444235347</v>
      </c>
      <c r="AD226" s="490">
        <v>9.7136810285352107E-2</v>
      </c>
      <c r="AE226" s="490">
        <v>0</v>
      </c>
      <c r="AF226" s="490">
        <v>0</v>
      </c>
      <c r="AG226" s="490">
        <v>0</v>
      </c>
      <c r="AH226" s="490">
        <v>0</v>
      </c>
      <c r="AI226" s="490">
        <v>0</v>
      </c>
      <c r="AJ226" s="490">
        <v>0</v>
      </c>
      <c r="AK226" s="490">
        <v>0</v>
      </c>
      <c r="AL226" s="490">
        <v>0</v>
      </c>
      <c r="AM226" s="490">
        <v>0</v>
      </c>
      <c r="AN226" s="490">
        <v>0</v>
      </c>
      <c r="AO226" s="490">
        <v>0</v>
      </c>
      <c r="AP226" s="490">
        <v>0</v>
      </c>
      <c r="AQ226" s="490">
        <v>0</v>
      </c>
      <c r="AR226" s="490">
        <v>0</v>
      </c>
      <c r="AS226" s="490">
        <v>0</v>
      </c>
      <c r="AT226" s="490">
        <v>0</v>
      </c>
      <c r="AU226" s="490">
        <v>0</v>
      </c>
      <c r="AV226" s="490">
        <v>0</v>
      </c>
      <c r="AW226" s="490">
        <v>0</v>
      </c>
      <c r="AX226" s="490">
        <v>0</v>
      </c>
      <c r="AY226" s="490">
        <v>0</v>
      </c>
      <c r="AZ226" s="491">
        <v>0</v>
      </c>
    </row>
    <row r="227" spans="1:52" s="469" customFormat="1">
      <c r="A227" s="492">
        <f>'[4]Allocation Methodology'!A59</f>
        <v>55</v>
      </c>
      <c r="B227" s="493" t="str">
        <f>'[4]Allocation Methodology'!B59</f>
        <v>Every Kilowatt Counts Power Savings Event</v>
      </c>
      <c r="C227" s="493" t="str">
        <f>'[4]Allocation Methodology'!C59</f>
        <v>Consumer</v>
      </c>
      <c r="D227" s="493"/>
      <c r="E227" s="493">
        <f>'[4]Allocation Methodology'!D59</f>
        <v>2010</v>
      </c>
      <c r="F227" s="494" t="str">
        <f>'[4]Allocation Methodology'!E59</f>
        <v>Final</v>
      </c>
      <c r="G227" s="471"/>
      <c r="H227" s="569">
        <v>0</v>
      </c>
      <c r="I227" s="497">
        <v>0</v>
      </c>
      <c r="J227" s="497">
        <v>0</v>
      </c>
      <c r="K227" s="497">
        <v>0</v>
      </c>
      <c r="L227" s="497">
        <v>1.8537252132629214E-2</v>
      </c>
      <c r="M227" s="497">
        <v>1.8537252132629214E-2</v>
      </c>
      <c r="N227" s="497">
        <v>1.8528124453682859E-2</v>
      </c>
      <c r="O227" s="497">
        <v>1.8528124453682859E-2</v>
      </c>
      <c r="P227" s="497">
        <v>1.8528124453682859E-2</v>
      </c>
      <c r="Q227" s="497">
        <v>1.7815776475515105E-2</v>
      </c>
      <c r="R227" s="497">
        <v>1.7311193492508533E-2</v>
      </c>
      <c r="S227" s="497">
        <v>1.7311193492508533E-2</v>
      </c>
      <c r="T227" s="497">
        <v>1.7311193492508533E-2</v>
      </c>
      <c r="U227" s="497">
        <v>1.3881196260077985E-2</v>
      </c>
      <c r="V227" s="497">
        <v>6.8455948166015494E-3</v>
      </c>
      <c r="W227" s="497">
        <v>6.8455948166015494E-3</v>
      </c>
      <c r="X227" s="497">
        <v>6.3112476421770241E-3</v>
      </c>
      <c r="Y227" s="497">
        <v>6.3112476421770241E-3</v>
      </c>
      <c r="Z227" s="497">
        <v>6.3112476421770241E-3</v>
      </c>
      <c r="AA227" s="497">
        <v>8.1653683001938697E-4</v>
      </c>
      <c r="AB227" s="497">
        <v>6.483978433000178E-6</v>
      </c>
      <c r="AC227" s="497">
        <v>6.483978433000178E-6</v>
      </c>
      <c r="AD227" s="497">
        <v>6.483978433000178E-6</v>
      </c>
      <c r="AE227" s="497">
        <v>6.483978433000178E-6</v>
      </c>
      <c r="AF227" s="497">
        <v>0</v>
      </c>
      <c r="AG227" s="497">
        <v>0</v>
      </c>
      <c r="AH227" s="497">
        <v>0</v>
      </c>
      <c r="AI227" s="497">
        <v>0</v>
      </c>
      <c r="AJ227" s="497">
        <v>0</v>
      </c>
      <c r="AK227" s="497">
        <v>0</v>
      </c>
      <c r="AL227" s="497">
        <v>0</v>
      </c>
      <c r="AM227" s="497">
        <v>0</v>
      </c>
      <c r="AN227" s="497">
        <v>0</v>
      </c>
      <c r="AO227" s="497">
        <v>0</v>
      </c>
      <c r="AP227" s="497">
        <v>0</v>
      </c>
      <c r="AQ227" s="497">
        <v>0</v>
      </c>
      <c r="AR227" s="497">
        <v>0</v>
      </c>
      <c r="AS227" s="497">
        <v>0</v>
      </c>
      <c r="AT227" s="497">
        <v>0</v>
      </c>
      <c r="AU227" s="497">
        <v>0</v>
      </c>
      <c r="AV227" s="497">
        <v>0</v>
      </c>
      <c r="AW227" s="497">
        <v>0</v>
      </c>
      <c r="AX227" s="497">
        <v>0</v>
      </c>
      <c r="AY227" s="497">
        <v>0</v>
      </c>
      <c r="AZ227" s="498">
        <v>0</v>
      </c>
    </row>
    <row r="228" spans="1:52" s="469" customFormat="1">
      <c r="A228" s="485">
        <f>'[4]Allocation Methodology'!A60</f>
        <v>56</v>
      </c>
      <c r="B228" s="521" t="str">
        <f>'[4]Allocation Methodology'!B60</f>
        <v>peaksaver®</v>
      </c>
      <c r="C228" s="486" t="str">
        <f>'[4]Allocation Methodology'!C60</f>
        <v>Consumer, Business</v>
      </c>
      <c r="D228" s="486"/>
      <c r="E228" s="486">
        <f>'[4]Allocation Methodology'!D60</f>
        <v>2010</v>
      </c>
      <c r="F228" s="487" t="str">
        <f>'[4]Allocation Methodology'!E60</f>
        <v>Final</v>
      </c>
      <c r="G228" s="471"/>
      <c r="H228" s="568">
        <v>0</v>
      </c>
      <c r="I228" s="490">
        <v>0</v>
      </c>
      <c r="J228" s="490">
        <v>0</v>
      </c>
      <c r="K228" s="490">
        <v>0</v>
      </c>
      <c r="L228" s="490">
        <v>0</v>
      </c>
      <c r="M228" s="490">
        <v>0</v>
      </c>
      <c r="N228" s="490">
        <v>0</v>
      </c>
      <c r="O228" s="490">
        <v>0</v>
      </c>
      <c r="P228" s="490">
        <v>0</v>
      </c>
      <c r="Q228" s="490">
        <v>0</v>
      </c>
      <c r="R228" s="490">
        <v>0</v>
      </c>
      <c r="S228" s="490">
        <v>0</v>
      </c>
      <c r="T228" s="490">
        <v>0</v>
      </c>
      <c r="U228" s="490">
        <v>0</v>
      </c>
      <c r="V228" s="490">
        <v>0</v>
      </c>
      <c r="W228" s="490">
        <v>0</v>
      </c>
      <c r="X228" s="490">
        <v>0</v>
      </c>
      <c r="Y228" s="490">
        <v>0</v>
      </c>
      <c r="Z228" s="490">
        <v>0</v>
      </c>
      <c r="AA228" s="490">
        <v>0</v>
      </c>
      <c r="AB228" s="490">
        <v>0</v>
      </c>
      <c r="AC228" s="490">
        <v>0</v>
      </c>
      <c r="AD228" s="490">
        <v>0</v>
      </c>
      <c r="AE228" s="490">
        <v>0</v>
      </c>
      <c r="AF228" s="490">
        <v>0</v>
      </c>
      <c r="AG228" s="490">
        <v>0</v>
      </c>
      <c r="AH228" s="490">
        <v>0</v>
      </c>
      <c r="AI228" s="490">
        <v>0</v>
      </c>
      <c r="AJ228" s="490">
        <v>0</v>
      </c>
      <c r="AK228" s="490">
        <v>0</v>
      </c>
      <c r="AL228" s="490">
        <v>0</v>
      </c>
      <c r="AM228" s="490">
        <v>0</v>
      </c>
      <c r="AN228" s="490">
        <v>0</v>
      </c>
      <c r="AO228" s="490">
        <v>0</v>
      </c>
      <c r="AP228" s="490">
        <v>0</v>
      </c>
      <c r="AQ228" s="490">
        <v>0</v>
      </c>
      <c r="AR228" s="490">
        <v>0</v>
      </c>
      <c r="AS228" s="490">
        <v>0</v>
      </c>
      <c r="AT228" s="490">
        <v>0</v>
      </c>
      <c r="AU228" s="490">
        <v>0</v>
      </c>
      <c r="AV228" s="490">
        <v>0</v>
      </c>
      <c r="AW228" s="490">
        <v>0</v>
      </c>
      <c r="AX228" s="490">
        <v>0</v>
      </c>
      <c r="AY228" s="490">
        <v>0</v>
      </c>
      <c r="AZ228" s="491">
        <v>0</v>
      </c>
    </row>
    <row r="229" spans="1:52" s="469" customFormat="1">
      <c r="A229" s="492">
        <f>'[4]Allocation Methodology'!A61</f>
        <v>57</v>
      </c>
      <c r="B229" s="493" t="str">
        <f>'[4]Allocation Methodology'!B61</f>
        <v>Electricity Retrofit Incentive</v>
      </c>
      <c r="C229" s="493" t="str">
        <f>'[4]Allocation Methodology'!C61</f>
        <v>Consumer, Business</v>
      </c>
      <c r="D229" s="493"/>
      <c r="E229" s="493">
        <f>'[4]Allocation Methodology'!D61</f>
        <v>2010</v>
      </c>
      <c r="F229" s="494" t="str">
        <f>'[4]Allocation Methodology'!E61</f>
        <v>Final</v>
      </c>
      <c r="G229" s="471"/>
      <c r="H229" s="569">
        <v>0</v>
      </c>
      <c r="I229" s="497">
        <v>0</v>
      </c>
      <c r="J229" s="497">
        <v>0</v>
      </c>
      <c r="K229" s="497">
        <v>0</v>
      </c>
      <c r="L229" s="497">
        <v>8.1486340900530335E-2</v>
      </c>
      <c r="M229" s="497">
        <v>8.1486340900530335E-2</v>
      </c>
      <c r="N229" s="497">
        <v>8.1486340900530335E-2</v>
      </c>
      <c r="O229" s="497">
        <v>8.1486340900530335E-2</v>
      </c>
      <c r="P229" s="497">
        <v>8.1486340900530335E-2</v>
      </c>
      <c r="Q229" s="497">
        <v>8.1486340900530335E-2</v>
      </c>
      <c r="R229" s="497">
        <v>8.1486340900530335E-2</v>
      </c>
      <c r="S229" s="497">
        <v>8.1486340900530335E-2</v>
      </c>
      <c r="T229" s="497">
        <v>8.1486340900530335E-2</v>
      </c>
      <c r="U229" s="497">
        <v>8.0839623909256295E-2</v>
      </c>
      <c r="V229" s="497">
        <v>0</v>
      </c>
      <c r="W229" s="497">
        <v>0</v>
      </c>
      <c r="X229" s="497">
        <v>0</v>
      </c>
      <c r="Y229" s="497">
        <v>0</v>
      </c>
      <c r="Z229" s="497">
        <v>0</v>
      </c>
      <c r="AA229" s="497">
        <v>0</v>
      </c>
      <c r="AB229" s="497">
        <v>0</v>
      </c>
      <c r="AC229" s="497">
        <v>0</v>
      </c>
      <c r="AD229" s="497">
        <v>0</v>
      </c>
      <c r="AE229" s="497">
        <v>0</v>
      </c>
      <c r="AF229" s="497">
        <v>0</v>
      </c>
      <c r="AG229" s="497">
        <v>0</v>
      </c>
      <c r="AH229" s="497">
        <v>0</v>
      </c>
      <c r="AI229" s="497">
        <v>0</v>
      </c>
      <c r="AJ229" s="497">
        <v>0</v>
      </c>
      <c r="AK229" s="497">
        <v>0</v>
      </c>
      <c r="AL229" s="497">
        <v>0</v>
      </c>
      <c r="AM229" s="497">
        <v>0</v>
      </c>
      <c r="AN229" s="497">
        <v>0</v>
      </c>
      <c r="AO229" s="497">
        <v>0</v>
      </c>
      <c r="AP229" s="497">
        <v>0</v>
      </c>
      <c r="AQ229" s="497">
        <v>0</v>
      </c>
      <c r="AR229" s="497">
        <v>0</v>
      </c>
      <c r="AS229" s="497">
        <v>0</v>
      </c>
      <c r="AT229" s="497">
        <v>0</v>
      </c>
      <c r="AU229" s="497">
        <v>0</v>
      </c>
      <c r="AV229" s="497">
        <v>0</v>
      </c>
      <c r="AW229" s="497">
        <v>0</v>
      </c>
      <c r="AX229" s="497">
        <v>0</v>
      </c>
      <c r="AY229" s="497">
        <v>0</v>
      </c>
      <c r="AZ229" s="498">
        <v>0</v>
      </c>
    </row>
    <row r="230" spans="1:52" s="469" customFormat="1">
      <c r="A230" s="485">
        <f>'[4]Allocation Methodology'!A62</f>
        <v>58</v>
      </c>
      <c r="B230" s="486" t="str">
        <f>'[4]Allocation Methodology'!B62</f>
        <v>Toronto Comprehensive</v>
      </c>
      <c r="C230" s="486" t="str">
        <f>'[4]Allocation Methodology'!C62</f>
        <v>Consumer, Consumer Low-Income, Business, Industrial</v>
      </c>
      <c r="D230" s="486"/>
      <c r="E230" s="486">
        <f>'[4]Allocation Methodology'!D62</f>
        <v>2010</v>
      </c>
      <c r="F230" s="487" t="str">
        <f>'[4]Allocation Methodology'!E62</f>
        <v>Final</v>
      </c>
      <c r="G230" s="471"/>
      <c r="H230" s="568">
        <v>0</v>
      </c>
      <c r="I230" s="490">
        <v>0</v>
      </c>
      <c r="J230" s="490">
        <v>0</v>
      </c>
      <c r="K230" s="490">
        <v>0</v>
      </c>
      <c r="L230" s="490">
        <v>0</v>
      </c>
      <c r="M230" s="490">
        <v>0</v>
      </c>
      <c r="N230" s="490">
        <v>0</v>
      </c>
      <c r="O230" s="490">
        <v>0</v>
      </c>
      <c r="P230" s="490">
        <v>0</v>
      </c>
      <c r="Q230" s="490">
        <v>0</v>
      </c>
      <c r="R230" s="490">
        <v>0</v>
      </c>
      <c r="S230" s="490">
        <v>0</v>
      </c>
      <c r="T230" s="490">
        <v>0</v>
      </c>
      <c r="U230" s="490">
        <v>0</v>
      </c>
      <c r="V230" s="490">
        <v>0</v>
      </c>
      <c r="W230" s="490">
        <v>0</v>
      </c>
      <c r="X230" s="490">
        <v>0</v>
      </c>
      <c r="Y230" s="490">
        <v>0</v>
      </c>
      <c r="Z230" s="490">
        <v>0</v>
      </c>
      <c r="AA230" s="490">
        <v>0</v>
      </c>
      <c r="AB230" s="490">
        <v>0</v>
      </c>
      <c r="AC230" s="490">
        <v>0</v>
      </c>
      <c r="AD230" s="490">
        <v>0</v>
      </c>
      <c r="AE230" s="490">
        <v>0</v>
      </c>
      <c r="AF230" s="490">
        <v>0</v>
      </c>
      <c r="AG230" s="490">
        <v>0</v>
      </c>
      <c r="AH230" s="490">
        <v>0</v>
      </c>
      <c r="AI230" s="490">
        <v>0</v>
      </c>
      <c r="AJ230" s="490">
        <v>0</v>
      </c>
      <c r="AK230" s="490">
        <v>0</v>
      </c>
      <c r="AL230" s="490">
        <v>0</v>
      </c>
      <c r="AM230" s="490">
        <v>0</v>
      </c>
      <c r="AN230" s="490">
        <v>0</v>
      </c>
      <c r="AO230" s="490">
        <v>0</v>
      </c>
      <c r="AP230" s="490">
        <v>0</v>
      </c>
      <c r="AQ230" s="490">
        <v>0</v>
      </c>
      <c r="AR230" s="490">
        <v>0</v>
      </c>
      <c r="AS230" s="490">
        <v>0</v>
      </c>
      <c r="AT230" s="490">
        <v>0</v>
      </c>
      <c r="AU230" s="490">
        <v>0</v>
      </c>
      <c r="AV230" s="490">
        <v>0</v>
      </c>
      <c r="AW230" s="490">
        <v>0</v>
      </c>
      <c r="AX230" s="490">
        <v>0</v>
      </c>
      <c r="AY230" s="490">
        <v>0</v>
      </c>
      <c r="AZ230" s="491">
        <v>0</v>
      </c>
    </row>
    <row r="231" spans="1:52" s="469" customFormat="1">
      <c r="A231" s="492">
        <f>'[4]Allocation Methodology'!A63</f>
        <v>59</v>
      </c>
      <c r="B231" s="493" t="str">
        <f>'[4]Allocation Methodology'!B63</f>
        <v>High Performance New Construction</v>
      </c>
      <c r="C231" s="493" t="str">
        <f>'[4]Allocation Methodology'!C63</f>
        <v>Business</v>
      </c>
      <c r="D231" s="493"/>
      <c r="E231" s="493">
        <f>'[4]Allocation Methodology'!D63</f>
        <v>2010</v>
      </c>
      <c r="F231" s="494" t="str">
        <f>'[4]Allocation Methodology'!E63</f>
        <v>Final</v>
      </c>
      <c r="G231" s="471"/>
      <c r="H231" s="569">
        <v>0</v>
      </c>
      <c r="I231" s="497">
        <v>0</v>
      </c>
      <c r="J231" s="497">
        <v>0</v>
      </c>
      <c r="K231" s="497">
        <v>0</v>
      </c>
      <c r="L231" s="497">
        <v>0.12290737602473549</v>
      </c>
      <c r="M231" s="497">
        <v>0.12290737602473549</v>
      </c>
      <c r="N231" s="497">
        <v>0.12290737602473549</v>
      </c>
      <c r="O231" s="497">
        <v>0.12290737602473549</v>
      </c>
      <c r="P231" s="497">
        <v>0.12290737602473549</v>
      </c>
      <c r="Q231" s="497">
        <v>0.12290737602473549</v>
      </c>
      <c r="R231" s="497">
        <v>0.12290737602473549</v>
      </c>
      <c r="S231" s="497">
        <v>0.12290737602473549</v>
      </c>
      <c r="T231" s="497">
        <v>0.12290737602473549</v>
      </c>
      <c r="U231" s="497">
        <v>0.12290737602473549</v>
      </c>
      <c r="V231" s="497">
        <v>0.12290737602473549</v>
      </c>
      <c r="W231" s="497">
        <v>0.12290737602473549</v>
      </c>
      <c r="X231" s="497">
        <v>0.12290737602473549</v>
      </c>
      <c r="Y231" s="497">
        <v>0.12290737602473549</v>
      </c>
      <c r="Z231" s="497">
        <v>0.12290737602473549</v>
      </c>
      <c r="AA231" s="497">
        <v>0.12290737602473549</v>
      </c>
      <c r="AB231" s="497">
        <v>0.12290737602473549</v>
      </c>
      <c r="AC231" s="497">
        <v>0.12290737602473549</v>
      </c>
      <c r="AD231" s="497">
        <v>0.12290737602473549</v>
      </c>
      <c r="AE231" s="497">
        <v>0.12290737602473549</v>
      </c>
      <c r="AF231" s="497">
        <v>0</v>
      </c>
      <c r="AG231" s="497">
        <v>0</v>
      </c>
      <c r="AH231" s="497">
        <v>0</v>
      </c>
      <c r="AI231" s="497">
        <v>0</v>
      </c>
      <c r="AJ231" s="497">
        <v>0</v>
      </c>
      <c r="AK231" s="497">
        <v>0</v>
      </c>
      <c r="AL231" s="497">
        <v>0</v>
      </c>
      <c r="AM231" s="497">
        <v>0</v>
      </c>
      <c r="AN231" s="497">
        <v>0</v>
      </c>
      <c r="AO231" s="497">
        <v>0</v>
      </c>
      <c r="AP231" s="497">
        <v>0</v>
      </c>
      <c r="AQ231" s="497">
        <v>0</v>
      </c>
      <c r="AR231" s="497">
        <v>0</v>
      </c>
      <c r="AS231" s="497">
        <v>0</v>
      </c>
      <c r="AT231" s="497">
        <v>0</v>
      </c>
      <c r="AU231" s="497">
        <v>0</v>
      </c>
      <c r="AV231" s="497">
        <v>0</v>
      </c>
      <c r="AW231" s="497">
        <v>0</v>
      </c>
      <c r="AX231" s="497">
        <v>0</v>
      </c>
      <c r="AY231" s="497">
        <v>0</v>
      </c>
      <c r="AZ231" s="498">
        <v>0</v>
      </c>
    </row>
    <row r="232" spans="1:52" s="469" customFormat="1">
      <c r="A232" s="485">
        <f>'[4]Allocation Methodology'!A64</f>
        <v>60</v>
      </c>
      <c r="B232" s="486" t="str">
        <f>'[4]Allocation Methodology'!B64</f>
        <v>Power Savings Blitz</v>
      </c>
      <c r="C232" s="486" t="str">
        <f>'[4]Allocation Methodology'!C64</f>
        <v>Business</v>
      </c>
      <c r="D232" s="486"/>
      <c r="E232" s="486">
        <f>'[4]Allocation Methodology'!D64</f>
        <v>2010</v>
      </c>
      <c r="F232" s="487" t="str">
        <f>'[4]Allocation Methodology'!E64</f>
        <v>Final</v>
      </c>
      <c r="G232" s="471"/>
      <c r="H232" s="568">
        <v>0</v>
      </c>
      <c r="I232" s="490">
        <v>0</v>
      </c>
      <c r="J232" s="490">
        <v>0</v>
      </c>
      <c r="K232" s="490">
        <v>0</v>
      </c>
      <c r="L232" s="490">
        <v>0.17755315291679419</v>
      </c>
      <c r="M232" s="490">
        <v>0.17755315291679419</v>
      </c>
      <c r="N232" s="490">
        <v>0.17755315291679419</v>
      </c>
      <c r="O232" s="490">
        <v>0.17755315291679419</v>
      </c>
      <c r="P232" s="490">
        <v>0.17755315291679419</v>
      </c>
      <c r="Q232" s="490">
        <v>0.17755315291679419</v>
      </c>
      <c r="R232" s="490">
        <v>0.17755315291679419</v>
      </c>
      <c r="S232" s="490">
        <v>0.17755315291679419</v>
      </c>
      <c r="T232" s="490">
        <v>0</v>
      </c>
      <c r="U232" s="490">
        <v>0</v>
      </c>
      <c r="V232" s="490">
        <v>0</v>
      </c>
      <c r="W232" s="490">
        <v>0</v>
      </c>
      <c r="X232" s="490">
        <v>0</v>
      </c>
      <c r="Y232" s="490">
        <v>0</v>
      </c>
      <c r="Z232" s="490">
        <v>0</v>
      </c>
      <c r="AA232" s="490">
        <v>0</v>
      </c>
      <c r="AB232" s="490">
        <v>0</v>
      </c>
      <c r="AC232" s="490">
        <v>0</v>
      </c>
      <c r="AD232" s="490">
        <v>0</v>
      </c>
      <c r="AE232" s="490">
        <v>0</v>
      </c>
      <c r="AF232" s="490">
        <v>0</v>
      </c>
      <c r="AG232" s="490">
        <v>0</v>
      </c>
      <c r="AH232" s="490">
        <v>0</v>
      </c>
      <c r="AI232" s="490">
        <v>0</v>
      </c>
      <c r="AJ232" s="490">
        <v>0</v>
      </c>
      <c r="AK232" s="490">
        <v>0</v>
      </c>
      <c r="AL232" s="490">
        <v>0</v>
      </c>
      <c r="AM232" s="490">
        <v>0</v>
      </c>
      <c r="AN232" s="490">
        <v>0</v>
      </c>
      <c r="AO232" s="490">
        <v>0</v>
      </c>
      <c r="AP232" s="490">
        <v>0</v>
      </c>
      <c r="AQ232" s="490">
        <v>0</v>
      </c>
      <c r="AR232" s="490">
        <v>0</v>
      </c>
      <c r="AS232" s="490">
        <v>0</v>
      </c>
      <c r="AT232" s="490">
        <v>0</v>
      </c>
      <c r="AU232" s="490">
        <v>0</v>
      </c>
      <c r="AV232" s="490">
        <v>0</v>
      </c>
      <c r="AW232" s="490">
        <v>0</v>
      </c>
      <c r="AX232" s="490">
        <v>0</v>
      </c>
      <c r="AY232" s="490">
        <v>0</v>
      </c>
      <c r="AZ232" s="491">
        <v>0</v>
      </c>
    </row>
    <row r="233" spans="1:52" s="469" customFormat="1">
      <c r="A233" s="492">
        <f>'[4]Allocation Methodology'!A65</f>
        <v>61</v>
      </c>
      <c r="B233" s="493" t="str">
        <f>'[4]Allocation Methodology'!B65</f>
        <v>Multi-Family Energy Efficiency Rebates</v>
      </c>
      <c r="C233" s="493" t="str">
        <f>'[4]Allocation Methodology'!C65</f>
        <v>Consumer, Consumer Low-Income</v>
      </c>
      <c r="D233" s="493"/>
      <c r="E233" s="493">
        <f>'[4]Allocation Methodology'!D65</f>
        <v>2010</v>
      </c>
      <c r="F233" s="494" t="str">
        <f>'[4]Allocation Methodology'!E65</f>
        <v>Final</v>
      </c>
      <c r="G233" s="471"/>
      <c r="H233" s="569">
        <v>0</v>
      </c>
      <c r="I233" s="497">
        <v>0</v>
      </c>
      <c r="J233" s="497">
        <v>0</v>
      </c>
      <c r="K233" s="497">
        <v>0</v>
      </c>
      <c r="L233" s="497">
        <v>1.102028128475937E-2</v>
      </c>
      <c r="M233" s="497">
        <v>1.102028128475937E-2</v>
      </c>
      <c r="N233" s="497">
        <v>1.102028128475937E-2</v>
      </c>
      <c r="O233" s="497">
        <v>1.102028128475937E-2</v>
      </c>
      <c r="P233" s="497">
        <v>1.102028128475937E-2</v>
      </c>
      <c r="Q233" s="497">
        <v>1.102028128475937E-2</v>
      </c>
      <c r="R233" s="497">
        <v>1.102028128475937E-2</v>
      </c>
      <c r="S233" s="497">
        <v>1.102028128475937E-2</v>
      </c>
      <c r="T233" s="497">
        <v>1.102028128475937E-2</v>
      </c>
      <c r="U233" s="497">
        <v>1.102028128475937E-2</v>
      </c>
      <c r="V233" s="497">
        <v>0</v>
      </c>
      <c r="W233" s="497">
        <v>0</v>
      </c>
      <c r="X233" s="497">
        <v>0</v>
      </c>
      <c r="Y233" s="497">
        <v>0</v>
      </c>
      <c r="Z233" s="497">
        <v>0</v>
      </c>
      <c r="AA233" s="497">
        <v>0</v>
      </c>
      <c r="AB233" s="497">
        <v>0</v>
      </c>
      <c r="AC233" s="497">
        <v>0</v>
      </c>
      <c r="AD233" s="497">
        <v>0</v>
      </c>
      <c r="AE233" s="497">
        <v>0</v>
      </c>
      <c r="AF233" s="497">
        <v>0</v>
      </c>
      <c r="AG233" s="497">
        <v>0</v>
      </c>
      <c r="AH233" s="497">
        <v>0</v>
      </c>
      <c r="AI233" s="497">
        <v>0</v>
      </c>
      <c r="AJ233" s="497">
        <v>0</v>
      </c>
      <c r="AK233" s="497">
        <v>0</v>
      </c>
      <c r="AL233" s="497">
        <v>0</v>
      </c>
      <c r="AM233" s="497">
        <v>0</v>
      </c>
      <c r="AN233" s="497">
        <v>0</v>
      </c>
      <c r="AO233" s="497">
        <v>0</v>
      </c>
      <c r="AP233" s="497">
        <v>0</v>
      </c>
      <c r="AQ233" s="497">
        <v>0</v>
      </c>
      <c r="AR233" s="497">
        <v>0</v>
      </c>
      <c r="AS233" s="497">
        <v>0</v>
      </c>
      <c r="AT233" s="497">
        <v>0</v>
      </c>
      <c r="AU233" s="497">
        <v>0</v>
      </c>
      <c r="AV233" s="497">
        <v>0</v>
      </c>
      <c r="AW233" s="497">
        <v>0</v>
      </c>
      <c r="AX233" s="497">
        <v>0</v>
      </c>
      <c r="AY233" s="497">
        <v>0</v>
      </c>
      <c r="AZ233" s="498">
        <v>0</v>
      </c>
    </row>
    <row r="234" spans="1:52" s="469" customFormat="1">
      <c r="A234" s="485">
        <f>'[4]Allocation Methodology'!A66</f>
        <v>62</v>
      </c>
      <c r="B234" s="486" t="str">
        <f>'[4]Allocation Methodology'!B66</f>
        <v>Demand Response 2</v>
      </c>
      <c r="C234" s="486" t="str">
        <f>'[4]Allocation Methodology'!C66</f>
        <v>Business, Industrial</v>
      </c>
      <c r="D234" s="486"/>
      <c r="E234" s="486">
        <f>'[4]Allocation Methodology'!D66</f>
        <v>2010</v>
      </c>
      <c r="F234" s="487" t="str">
        <f>'[4]Allocation Methodology'!E66</f>
        <v>Final</v>
      </c>
      <c r="G234" s="471"/>
      <c r="H234" s="568">
        <v>0</v>
      </c>
      <c r="I234" s="490">
        <v>0</v>
      </c>
      <c r="J234" s="490">
        <v>0</v>
      </c>
      <c r="K234" s="490">
        <v>0</v>
      </c>
      <c r="L234" s="490">
        <v>0.79308195429135875</v>
      </c>
      <c r="M234" s="490">
        <v>0</v>
      </c>
      <c r="N234" s="490">
        <v>0</v>
      </c>
      <c r="O234" s="490">
        <v>0</v>
      </c>
      <c r="P234" s="490">
        <v>0</v>
      </c>
      <c r="Q234" s="490">
        <v>0</v>
      </c>
      <c r="R234" s="490">
        <v>0</v>
      </c>
      <c r="S234" s="490">
        <v>0</v>
      </c>
      <c r="T234" s="490">
        <v>0</v>
      </c>
      <c r="U234" s="490">
        <v>0</v>
      </c>
      <c r="V234" s="490">
        <v>0</v>
      </c>
      <c r="W234" s="490">
        <v>0</v>
      </c>
      <c r="X234" s="490">
        <v>0</v>
      </c>
      <c r="Y234" s="490">
        <v>0</v>
      </c>
      <c r="Z234" s="490">
        <v>0</v>
      </c>
      <c r="AA234" s="490">
        <v>0</v>
      </c>
      <c r="AB234" s="490">
        <v>0</v>
      </c>
      <c r="AC234" s="490">
        <v>0</v>
      </c>
      <c r="AD234" s="490">
        <v>0</v>
      </c>
      <c r="AE234" s="490">
        <v>0</v>
      </c>
      <c r="AF234" s="490">
        <v>0</v>
      </c>
      <c r="AG234" s="490">
        <v>0</v>
      </c>
      <c r="AH234" s="490">
        <v>0</v>
      </c>
      <c r="AI234" s="490">
        <v>0</v>
      </c>
      <c r="AJ234" s="490">
        <v>0</v>
      </c>
      <c r="AK234" s="490">
        <v>0</v>
      </c>
      <c r="AL234" s="490">
        <v>0</v>
      </c>
      <c r="AM234" s="490">
        <v>0</v>
      </c>
      <c r="AN234" s="490">
        <v>0</v>
      </c>
      <c r="AO234" s="490">
        <v>0</v>
      </c>
      <c r="AP234" s="490">
        <v>0</v>
      </c>
      <c r="AQ234" s="490">
        <v>0</v>
      </c>
      <c r="AR234" s="490">
        <v>0</v>
      </c>
      <c r="AS234" s="490">
        <v>0</v>
      </c>
      <c r="AT234" s="490">
        <v>0</v>
      </c>
      <c r="AU234" s="490">
        <v>0</v>
      </c>
      <c r="AV234" s="490">
        <v>0</v>
      </c>
      <c r="AW234" s="490">
        <v>0</v>
      </c>
      <c r="AX234" s="490">
        <v>0</v>
      </c>
      <c r="AY234" s="490">
        <v>0</v>
      </c>
      <c r="AZ234" s="491">
        <v>0</v>
      </c>
    </row>
    <row r="235" spans="1:52" s="469" customFormat="1">
      <c r="A235" s="492">
        <f>'[4]Allocation Methodology'!A67</f>
        <v>63</v>
      </c>
      <c r="B235" s="493" t="str">
        <f>'[4]Allocation Methodology'!B67</f>
        <v>Demand Response 3</v>
      </c>
      <c r="C235" s="493" t="str">
        <f>'[4]Allocation Methodology'!C67</f>
        <v>Business, Industrial</v>
      </c>
      <c r="D235" s="493"/>
      <c r="E235" s="493">
        <f>'[4]Allocation Methodology'!D67</f>
        <v>2010</v>
      </c>
      <c r="F235" s="494" t="str">
        <f>'[4]Allocation Methodology'!E67</f>
        <v>Final</v>
      </c>
      <c r="G235" s="471"/>
      <c r="H235" s="569">
        <v>0</v>
      </c>
      <c r="I235" s="497">
        <v>0</v>
      </c>
      <c r="J235" s="497">
        <v>0</v>
      </c>
      <c r="K235" s="497">
        <v>0</v>
      </c>
      <c r="L235" s="497">
        <v>1.67746830163979</v>
      </c>
      <c r="M235" s="497">
        <v>0</v>
      </c>
      <c r="N235" s="497">
        <v>0</v>
      </c>
      <c r="O235" s="497">
        <v>0</v>
      </c>
      <c r="P235" s="497">
        <v>0</v>
      </c>
      <c r="Q235" s="497">
        <v>0</v>
      </c>
      <c r="R235" s="497">
        <v>0</v>
      </c>
      <c r="S235" s="497">
        <v>0</v>
      </c>
      <c r="T235" s="497">
        <v>0</v>
      </c>
      <c r="U235" s="497">
        <v>0</v>
      </c>
      <c r="V235" s="497">
        <v>0</v>
      </c>
      <c r="W235" s="497">
        <v>0</v>
      </c>
      <c r="X235" s="497">
        <v>0</v>
      </c>
      <c r="Y235" s="497">
        <v>0</v>
      </c>
      <c r="Z235" s="497">
        <v>0</v>
      </c>
      <c r="AA235" s="497">
        <v>0</v>
      </c>
      <c r="AB235" s="497">
        <v>0</v>
      </c>
      <c r="AC235" s="497">
        <v>0</v>
      </c>
      <c r="AD235" s="497">
        <v>0</v>
      </c>
      <c r="AE235" s="497">
        <v>0</v>
      </c>
      <c r="AF235" s="497">
        <v>0</v>
      </c>
      <c r="AG235" s="497">
        <v>0</v>
      </c>
      <c r="AH235" s="497">
        <v>0</v>
      </c>
      <c r="AI235" s="497">
        <v>0</v>
      </c>
      <c r="AJ235" s="497">
        <v>0</v>
      </c>
      <c r="AK235" s="497">
        <v>0</v>
      </c>
      <c r="AL235" s="497">
        <v>0</v>
      </c>
      <c r="AM235" s="497">
        <v>0</v>
      </c>
      <c r="AN235" s="497">
        <v>0</v>
      </c>
      <c r="AO235" s="497">
        <v>0</v>
      </c>
      <c r="AP235" s="497">
        <v>0</v>
      </c>
      <c r="AQ235" s="497">
        <v>0</v>
      </c>
      <c r="AR235" s="497">
        <v>0</v>
      </c>
      <c r="AS235" s="497">
        <v>0</v>
      </c>
      <c r="AT235" s="497">
        <v>0</v>
      </c>
      <c r="AU235" s="497">
        <v>0</v>
      </c>
      <c r="AV235" s="497">
        <v>0</v>
      </c>
      <c r="AW235" s="497">
        <v>0</v>
      </c>
      <c r="AX235" s="497">
        <v>0</v>
      </c>
      <c r="AY235" s="497">
        <v>0</v>
      </c>
      <c r="AZ235" s="498">
        <v>0</v>
      </c>
    </row>
    <row r="236" spans="1:52" s="469" customFormat="1">
      <c r="A236" s="485">
        <f>'[4]Allocation Methodology'!A68</f>
        <v>64</v>
      </c>
      <c r="B236" s="486" t="str">
        <f>'[4]Allocation Methodology'!B68</f>
        <v>Loblaw &amp; York Region Demand Response</v>
      </c>
      <c r="C236" s="486" t="str">
        <f>'[4]Allocation Methodology'!C68</f>
        <v>Business, Industrial</v>
      </c>
      <c r="D236" s="486"/>
      <c r="E236" s="486">
        <f>'[4]Allocation Methodology'!D68</f>
        <v>2010</v>
      </c>
      <c r="F236" s="487" t="str">
        <f>'[4]Allocation Methodology'!E68</f>
        <v>Final</v>
      </c>
      <c r="G236" s="471"/>
      <c r="H236" s="568">
        <v>0</v>
      </c>
      <c r="I236" s="490">
        <v>0</v>
      </c>
      <c r="J236" s="490">
        <v>0</v>
      </c>
      <c r="K236" s="490">
        <v>0</v>
      </c>
      <c r="L236" s="490">
        <v>0.19467162928445872</v>
      </c>
      <c r="M236" s="490">
        <v>0</v>
      </c>
      <c r="N236" s="490">
        <v>0</v>
      </c>
      <c r="O236" s="490">
        <v>0</v>
      </c>
      <c r="P236" s="490">
        <v>0</v>
      </c>
      <c r="Q236" s="490">
        <v>0</v>
      </c>
      <c r="R236" s="490">
        <v>0</v>
      </c>
      <c r="S236" s="490">
        <v>0</v>
      </c>
      <c r="T236" s="490">
        <v>0</v>
      </c>
      <c r="U236" s="490">
        <v>0</v>
      </c>
      <c r="V236" s="490">
        <v>0</v>
      </c>
      <c r="W236" s="490">
        <v>0</v>
      </c>
      <c r="X236" s="490">
        <v>0</v>
      </c>
      <c r="Y236" s="490">
        <v>0</v>
      </c>
      <c r="Z236" s="490">
        <v>0</v>
      </c>
      <c r="AA236" s="490">
        <v>0</v>
      </c>
      <c r="AB236" s="490">
        <v>0</v>
      </c>
      <c r="AC236" s="490">
        <v>0</v>
      </c>
      <c r="AD236" s="490">
        <v>0</v>
      </c>
      <c r="AE236" s="490">
        <v>0</v>
      </c>
      <c r="AF236" s="490">
        <v>0</v>
      </c>
      <c r="AG236" s="490">
        <v>0</v>
      </c>
      <c r="AH236" s="490">
        <v>0</v>
      </c>
      <c r="AI236" s="490">
        <v>0</v>
      </c>
      <c r="AJ236" s="490">
        <v>0</v>
      </c>
      <c r="AK236" s="490">
        <v>0</v>
      </c>
      <c r="AL236" s="490">
        <v>0</v>
      </c>
      <c r="AM236" s="490">
        <v>0</v>
      </c>
      <c r="AN236" s="490">
        <v>0</v>
      </c>
      <c r="AO236" s="490">
        <v>0</v>
      </c>
      <c r="AP236" s="490">
        <v>0</v>
      </c>
      <c r="AQ236" s="490">
        <v>0</v>
      </c>
      <c r="AR236" s="490">
        <v>0</v>
      </c>
      <c r="AS236" s="490">
        <v>0</v>
      </c>
      <c r="AT236" s="490">
        <v>0</v>
      </c>
      <c r="AU236" s="490">
        <v>0</v>
      </c>
      <c r="AV236" s="490">
        <v>0</v>
      </c>
      <c r="AW236" s="490">
        <v>0</v>
      </c>
      <c r="AX236" s="490">
        <v>0</v>
      </c>
      <c r="AY236" s="490">
        <v>0</v>
      </c>
      <c r="AZ236" s="491">
        <v>0</v>
      </c>
    </row>
    <row r="237" spans="1:52" s="469" customFormat="1">
      <c r="A237" s="499">
        <f>'[4]Allocation Methodology'!A69</f>
        <v>65</v>
      </c>
      <c r="B237" s="500" t="str">
        <f>'[4]Allocation Methodology'!B69</f>
        <v>LDC Custom - Hydro Ottawa - Small Commercial Demand Response</v>
      </c>
      <c r="C237" s="500" t="str">
        <f>'[4]Allocation Methodology'!C69</f>
        <v>Consumer</v>
      </c>
      <c r="D237" s="500"/>
      <c r="E237" s="500">
        <f>'[4]Allocation Methodology'!D69</f>
        <v>2010</v>
      </c>
      <c r="F237" s="501" t="str">
        <f>'[4]Allocation Methodology'!E69</f>
        <v>Final</v>
      </c>
      <c r="G237" s="471"/>
      <c r="H237" s="570">
        <v>0</v>
      </c>
      <c r="I237" s="504">
        <v>0</v>
      </c>
      <c r="J237" s="504">
        <v>0</v>
      </c>
      <c r="K237" s="504">
        <v>0</v>
      </c>
      <c r="L237" s="504">
        <v>0</v>
      </c>
      <c r="M237" s="504">
        <v>0</v>
      </c>
      <c r="N237" s="504">
        <v>0</v>
      </c>
      <c r="O237" s="504">
        <v>0</v>
      </c>
      <c r="P237" s="504">
        <v>0</v>
      </c>
      <c r="Q237" s="504">
        <v>0</v>
      </c>
      <c r="R237" s="504">
        <v>0</v>
      </c>
      <c r="S237" s="504">
        <v>0</v>
      </c>
      <c r="T237" s="504">
        <v>0</v>
      </c>
      <c r="U237" s="504">
        <v>0</v>
      </c>
      <c r="V237" s="504">
        <v>0</v>
      </c>
      <c r="W237" s="504">
        <v>0</v>
      </c>
      <c r="X237" s="504">
        <v>0</v>
      </c>
      <c r="Y237" s="504">
        <v>0</v>
      </c>
      <c r="Z237" s="504">
        <v>0</v>
      </c>
      <c r="AA237" s="504">
        <v>0</v>
      </c>
      <c r="AB237" s="504">
        <v>0</v>
      </c>
      <c r="AC237" s="504">
        <v>0</v>
      </c>
      <c r="AD237" s="504">
        <v>0</v>
      </c>
      <c r="AE237" s="504">
        <v>0</v>
      </c>
      <c r="AF237" s="504">
        <v>0</v>
      </c>
      <c r="AG237" s="504">
        <v>0</v>
      </c>
      <c r="AH237" s="504">
        <v>0</v>
      </c>
      <c r="AI237" s="504">
        <v>0</v>
      </c>
      <c r="AJ237" s="504">
        <v>0</v>
      </c>
      <c r="AK237" s="504">
        <v>0</v>
      </c>
      <c r="AL237" s="504">
        <v>0</v>
      </c>
      <c r="AM237" s="504">
        <v>0</v>
      </c>
      <c r="AN237" s="504">
        <v>0</v>
      </c>
      <c r="AO237" s="504">
        <v>0</v>
      </c>
      <c r="AP237" s="504">
        <v>0</v>
      </c>
      <c r="AQ237" s="504">
        <v>0</v>
      </c>
      <c r="AR237" s="504">
        <v>0</v>
      </c>
      <c r="AS237" s="504">
        <v>0</v>
      </c>
      <c r="AT237" s="504">
        <v>0</v>
      </c>
      <c r="AU237" s="504">
        <v>0</v>
      </c>
      <c r="AV237" s="504">
        <v>0</v>
      </c>
      <c r="AW237" s="504">
        <v>0</v>
      </c>
      <c r="AX237" s="504">
        <v>0</v>
      </c>
      <c r="AY237" s="504">
        <v>0</v>
      </c>
      <c r="AZ237" s="505">
        <v>0</v>
      </c>
    </row>
    <row r="238" spans="1:52" s="469" customFormat="1" ht="4.5" customHeight="1">
      <c r="A238" s="576"/>
      <c r="B238" s="576"/>
      <c r="C238" s="576"/>
      <c r="D238" s="576"/>
      <c r="E238" s="576"/>
      <c r="F238" s="576"/>
      <c r="G238" s="467"/>
      <c r="H238" s="468"/>
      <c r="I238" s="468"/>
      <c r="J238" s="468"/>
      <c r="K238" s="468"/>
      <c r="L238" s="468"/>
      <c r="M238" s="468"/>
      <c r="N238" s="468"/>
      <c r="O238" s="468"/>
      <c r="P238" s="468"/>
      <c r="Q238" s="468"/>
      <c r="R238" s="468"/>
      <c r="S238" s="468"/>
      <c r="T238" s="468"/>
      <c r="U238" s="468"/>
      <c r="V238" s="468"/>
      <c r="W238" s="468"/>
      <c r="X238" s="468"/>
      <c r="Y238" s="468"/>
      <c r="Z238" s="468"/>
      <c r="AA238" s="468"/>
      <c r="AB238" s="468"/>
      <c r="AC238" s="468"/>
      <c r="AD238" s="468"/>
      <c r="AE238" s="468"/>
      <c r="AF238" s="468"/>
      <c r="AG238" s="468"/>
      <c r="AH238" s="468"/>
      <c r="AI238" s="468"/>
      <c r="AJ238" s="468"/>
      <c r="AK238" s="468"/>
      <c r="AL238" s="468"/>
      <c r="AM238" s="468"/>
      <c r="AN238" s="468"/>
      <c r="AO238" s="468"/>
      <c r="AP238" s="468"/>
      <c r="AQ238" s="468"/>
      <c r="AR238" s="468"/>
      <c r="AS238" s="468"/>
      <c r="AT238" s="468"/>
      <c r="AU238" s="468"/>
      <c r="AV238" s="468"/>
      <c r="AW238" s="468"/>
      <c r="AX238" s="468"/>
      <c r="AY238" s="468"/>
      <c r="AZ238" s="468"/>
    </row>
    <row r="239" spans="1:52" s="469" customFormat="1" ht="13">
      <c r="A239" s="529" t="s">
        <v>510</v>
      </c>
      <c r="B239" s="530"/>
      <c r="C239" s="530"/>
      <c r="D239" s="530"/>
      <c r="E239" s="530"/>
      <c r="F239" s="531"/>
      <c r="G239" s="467"/>
      <c r="H239" s="532">
        <f>SUM(H173:H177)</f>
        <v>2.0016279352246333</v>
      </c>
      <c r="I239" s="532">
        <f t="shared" ref="I239:AZ239" si="17">SUM(I173:I177)</f>
        <v>0.10761918945004251</v>
      </c>
      <c r="J239" s="532">
        <f t="shared" si="17"/>
        <v>0.10761918945004251</v>
      </c>
      <c r="K239" s="532">
        <f t="shared" si="17"/>
        <v>0.10761918945004251</v>
      </c>
      <c r="L239" s="532">
        <f t="shared" si="17"/>
        <v>0.10761918945004251</v>
      </c>
      <c r="M239" s="532">
        <f t="shared" si="17"/>
        <v>0.10761918945004251</v>
      </c>
      <c r="N239" s="532">
        <f t="shared" si="17"/>
        <v>0.10062100467705935</v>
      </c>
      <c r="O239" s="532">
        <f t="shared" si="17"/>
        <v>0.10062100467705935</v>
      </c>
      <c r="P239" s="532">
        <f t="shared" si="17"/>
        <v>8.0149240718848408E-2</v>
      </c>
      <c r="Q239" s="532">
        <f t="shared" si="17"/>
        <v>8.0149240718848408E-2</v>
      </c>
      <c r="R239" s="532">
        <f t="shared" si="17"/>
        <v>8.0149240718848408E-2</v>
      </c>
      <c r="S239" s="532">
        <f t="shared" si="17"/>
        <v>8.0149240718848408E-2</v>
      </c>
      <c r="T239" s="532">
        <f t="shared" si="17"/>
        <v>8.0149240718848408E-2</v>
      </c>
      <c r="U239" s="532">
        <f t="shared" si="17"/>
        <v>8.0149240718848408E-2</v>
      </c>
      <c r="V239" s="532">
        <f t="shared" si="17"/>
        <v>5.1637757060606929E-2</v>
      </c>
      <c r="W239" s="532">
        <f t="shared" si="17"/>
        <v>3.1598802295710215E-2</v>
      </c>
      <c r="X239" s="532">
        <f t="shared" si="17"/>
        <v>3.1598802295710215E-2</v>
      </c>
      <c r="Y239" s="532">
        <f t="shared" si="17"/>
        <v>3.1598802295710215E-2</v>
      </c>
      <c r="Z239" s="532">
        <f t="shared" si="17"/>
        <v>8.6317454561158431E-4</v>
      </c>
      <c r="AA239" s="532">
        <f t="shared" si="17"/>
        <v>8.6317454561158431E-4</v>
      </c>
      <c r="AB239" s="532">
        <f t="shared" si="17"/>
        <v>0</v>
      </c>
      <c r="AC239" s="532">
        <f t="shared" si="17"/>
        <v>0</v>
      </c>
      <c r="AD239" s="532">
        <f t="shared" si="17"/>
        <v>0</v>
      </c>
      <c r="AE239" s="532">
        <f t="shared" si="17"/>
        <v>0</v>
      </c>
      <c r="AF239" s="532">
        <f t="shared" si="17"/>
        <v>0</v>
      </c>
      <c r="AG239" s="532">
        <f t="shared" si="17"/>
        <v>0</v>
      </c>
      <c r="AH239" s="532">
        <f t="shared" si="17"/>
        <v>0</v>
      </c>
      <c r="AI239" s="532">
        <f t="shared" si="17"/>
        <v>0</v>
      </c>
      <c r="AJ239" s="532">
        <f t="shared" si="17"/>
        <v>0</v>
      </c>
      <c r="AK239" s="532">
        <f t="shared" si="17"/>
        <v>0</v>
      </c>
      <c r="AL239" s="532">
        <f t="shared" si="17"/>
        <v>0</v>
      </c>
      <c r="AM239" s="532">
        <f t="shared" si="17"/>
        <v>0</v>
      </c>
      <c r="AN239" s="532">
        <f t="shared" si="17"/>
        <v>0</v>
      </c>
      <c r="AO239" s="532">
        <f t="shared" si="17"/>
        <v>0</v>
      </c>
      <c r="AP239" s="532">
        <f t="shared" si="17"/>
        <v>0</v>
      </c>
      <c r="AQ239" s="532">
        <f t="shared" si="17"/>
        <v>0</v>
      </c>
      <c r="AR239" s="532">
        <f t="shared" si="17"/>
        <v>0</v>
      </c>
      <c r="AS239" s="532">
        <f t="shared" si="17"/>
        <v>0</v>
      </c>
      <c r="AT239" s="532">
        <f t="shared" si="17"/>
        <v>0</v>
      </c>
      <c r="AU239" s="532">
        <f t="shared" si="17"/>
        <v>0</v>
      </c>
      <c r="AV239" s="532">
        <f t="shared" si="17"/>
        <v>0</v>
      </c>
      <c r="AW239" s="532">
        <f t="shared" si="17"/>
        <v>0</v>
      </c>
      <c r="AX239" s="532">
        <f t="shared" si="17"/>
        <v>0</v>
      </c>
      <c r="AY239" s="532">
        <f t="shared" si="17"/>
        <v>0</v>
      </c>
      <c r="AZ239" s="532">
        <f t="shared" si="17"/>
        <v>0</v>
      </c>
    </row>
    <row r="240" spans="1:52" s="469" customFormat="1" ht="4.5" customHeight="1">
      <c r="A240" s="477"/>
      <c r="B240" s="477"/>
      <c r="C240" s="477"/>
      <c r="D240" s="477"/>
      <c r="E240" s="477"/>
      <c r="F240" s="477"/>
      <c r="G240" s="467"/>
      <c r="H240" s="468"/>
      <c r="I240" s="468"/>
      <c r="J240" s="468"/>
      <c r="K240" s="468"/>
      <c r="L240" s="468"/>
      <c r="M240" s="468"/>
      <c r="N240" s="468"/>
      <c r="O240" s="468"/>
      <c r="P240" s="468"/>
      <c r="Q240" s="468"/>
      <c r="R240" s="468"/>
      <c r="S240" s="468"/>
      <c r="T240" s="468"/>
      <c r="U240" s="468"/>
      <c r="V240" s="468"/>
      <c r="W240" s="468"/>
      <c r="X240" s="468"/>
      <c r="Y240" s="468"/>
      <c r="Z240" s="468"/>
      <c r="AA240" s="468"/>
      <c r="AB240" s="468"/>
      <c r="AC240" s="468"/>
      <c r="AD240" s="468"/>
      <c r="AE240" s="468"/>
      <c r="AF240" s="468"/>
      <c r="AG240" s="468"/>
      <c r="AH240" s="468"/>
      <c r="AI240" s="468"/>
      <c r="AJ240" s="468"/>
      <c r="AK240" s="468"/>
      <c r="AL240" s="468"/>
      <c r="AM240" s="468"/>
      <c r="AN240" s="468"/>
      <c r="AO240" s="468"/>
      <c r="AP240" s="468"/>
      <c r="AQ240" s="468"/>
      <c r="AR240" s="468"/>
      <c r="AS240" s="468"/>
      <c r="AT240" s="468"/>
      <c r="AU240" s="468"/>
      <c r="AV240" s="468"/>
      <c r="AW240" s="468"/>
      <c r="AX240" s="468"/>
      <c r="AY240" s="468"/>
      <c r="AZ240" s="468"/>
    </row>
    <row r="241" spans="1:52" s="469" customFormat="1" ht="13">
      <c r="A241" s="529" t="s">
        <v>511</v>
      </c>
      <c r="B241" s="530"/>
      <c r="C241" s="530"/>
      <c r="D241" s="530"/>
      <c r="E241" s="530"/>
      <c r="F241" s="531"/>
      <c r="G241" s="467"/>
      <c r="H241" s="532">
        <f>SUM(H178:H191)</f>
        <v>0</v>
      </c>
      <c r="I241" s="532">
        <f t="shared" ref="I241:AZ241" si="18">SUM(I178:I191)</f>
        <v>3.8906928644590466</v>
      </c>
      <c r="J241" s="532">
        <f t="shared" si="18"/>
        <v>0.73673565966887011</v>
      </c>
      <c r="K241" s="532">
        <f t="shared" si="18"/>
        <v>0.49867489293967415</v>
      </c>
      <c r="L241" s="532">
        <f t="shared" si="18"/>
        <v>0.49867489293967415</v>
      </c>
      <c r="M241" s="532">
        <f t="shared" si="18"/>
        <v>0.49699017653781202</v>
      </c>
      <c r="N241" s="532">
        <f t="shared" si="18"/>
        <v>0.45809782515526376</v>
      </c>
      <c r="O241" s="532">
        <f t="shared" si="18"/>
        <v>0.45809782515526376</v>
      </c>
      <c r="P241" s="532">
        <f t="shared" si="18"/>
        <v>0.45809782515526376</v>
      </c>
      <c r="Q241" s="532">
        <f t="shared" si="18"/>
        <v>0.42875378053347185</v>
      </c>
      <c r="R241" s="532">
        <f t="shared" si="18"/>
        <v>0.41493766750202565</v>
      </c>
      <c r="S241" s="532">
        <f t="shared" si="18"/>
        <v>0.39697393905070311</v>
      </c>
      <c r="T241" s="532">
        <f t="shared" si="18"/>
        <v>0.39697393905070311</v>
      </c>
      <c r="U241" s="532">
        <f t="shared" si="18"/>
        <v>0.39697393905070311</v>
      </c>
      <c r="V241" s="532">
        <f t="shared" si="18"/>
        <v>0.39697393905070311</v>
      </c>
      <c r="W241" s="532">
        <f t="shared" si="18"/>
        <v>0.17418277296712265</v>
      </c>
      <c r="X241" s="532">
        <f t="shared" si="18"/>
        <v>7.152217576800135E-2</v>
      </c>
      <c r="Y241" s="532">
        <f t="shared" si="18"/>
        <v>7.1243261263123608E-2</v>
      </c>
      <c r="Z241" s="532">
        <f t="shared" si="18"/>
        <v>7.1243261263123608E-2</v>
      </c>
      <c r="AA241" s="532">
        <f t="shared" si="18"/>
        <v>4.7586666666666666E-2</v>
      </c>
      <c r="AB241" s="532">
        <f t="shared" si="18"/>
        <v>2.146E-2</v>
      </c>
      <c r="AC241" s="532">
        <f t="shared" si="18"/>
        <v>0</v>
      </c>
      <c r="AD241" s="532">
        <f t="shared" si="18"/>
        <v>0</v>
      </c>
      <c r="AE241" s="532">
        <f t="shared" si="18"/>
        <v>0</v>
      </c>
      <c r="AF241" s="532">
        <f t="shared" si="18"/>
        <v>0</v>
      </c>
      <c r="AG241" s="532">
        <f t="shared" si="18"/>
        <v>0</v>
      </c>
      <c r="AH241" s="532">
        <f t="shared" si="18"/>
        <v>0</v>
      </c>
      <c r="AI241" s="532">
        <f t="shared" si="18"/>
        <v>0</v>
      </c>
      <c r="AJ241" s="532">
        <f t="shared" si="18"/>
        <v>0</v>
      </c>
      <c r="AK241" s="532">
        <f t="shared" si="18"/>
        <v>0</v>
      </c>
      <c r="AL241" s="532">
        <f t="shared" si="18"/>
        <v>0</v>
      </c>
      <c r="AM241" s="532">
        <f t="shared" si="18"/>
        <v>0</v>
      </c>
      <c r="AN241" s="532">
        <f t="shared" si="18"/>
        <v>0</v>
      </c>
      <c r="AO241" s="532">
        <f t="shared" si="18"/>
        <v>0</v>
      </c>
      <c r="AP241" s="532">
        <f t="shared" si="18"/>
        <v>0</v>
      </c>
      <c r="AQ241" s="532">
        <f t="shared" si="18"/>
        <v>0</v>
      </c>
      <c r="AR241" s="532">
        <f t="shared" si="18"/>
        <v>0</v>
      </c>
      <c r="AS241" s="532">
        <f t="shared" si="18"/>
        <v>0</v>
      </c>
      <c r="AT241" s="532">
        <f t="shared" si="18"/>
        <v>0</v>
      </c>
      <c r="AU241" s="532">
        <f t="shared" si="18"/>
        <v>0</v>
      </c>
      <c r="AV241" s="532">
        <f t="shared" si="18"/>
        <v>0</v>
      </c>
      <c r="AW241" s="532">
        <f t="shared" si="18"/>
        <v>0</v>
      </c>
      <c r="AX241" s="532">
        <f t="shared" si="18"/>
        <v>0</v>
      </c>
      <c r="AY241" s="532">
        <f t="shared" si="18"/>
        <v>0</v>
      </c>
      <c r="AZ241" s="532">
        <f t="shared" si="18"/>
        <v>0</v>
      </c>
    </row>
    <row r="242" spans="1:52" s="469" customFormat="1" ht="5.15" customHeight="1">
      <c r="A242" s="477"/>
      <c r="B242" s="477"/>
      <c r="C242" s="477"/>
      <c r="D242" s="477"/>
      <c r="E242" s="477"/>
      <c r="F242" s="477"/>
      <c r="G242" s="467"/>
      <c r="H242" s="468"/>
      <c r="I242" s="468"/>
      <c r="J242" s="468"/>
      <c r="K242" s="468"/>
      <c r="L242" s="468"/>
      <c r="M242" s="468"/>
      <c r="N242" s="468"/>
      <c r="O242" s="468"/>
      <c r="P242" s="468"/>
      <c r="Q242" s="468"/>
      <c r="R242" s="468"/>
      <c r="S242" s="468"/>
      <c r="T242" s="468"/>
      <c r="U242" s="468"/>
      <c r="V242" s="468"/>
      <c r="W242" s="468"/>
      <c r="X242" s="468"/>
      <c r="Y242" s="468"/>
      <c r="Z242" s="468"/>
      <c r="AA242" s="468"/>
      <c r="AB242" s="468"/>
      <c r="AC242" s="468"/>
      <c r="AD242" s="468"/>
      <c r="AE242" s="468"/>
      <c r="AF242" s="468"/>
      <c r="AG242" s="468"/>
      <c r="AH242" s="468"/>
      <c r="AI242" s="468"/>
      <c r="AJ242" s="468"/>
      <c r="AK242" s="468"/>
      <c r="AL242" s="468"/>
      <c r="AM242" s="468"/>
      <c r="AN242" s="468"/>
      <c r="AO242" s="468"/>
      <c r="AP242" s="468"/>
      <c r="AQ242" s="468"/>
      <c r="AR242" s="468"/>
      <c r="AS242" s="468"/>
      <c r="AT242" s="468"/>
      <c r="AU242" s="468"/>
      <c r="AV242" s="468"/>
      <c r="AW242" s="468"/>
      <c r="AX242" s="468"/>
      <c r="AY242" s="468"/>
      <c r="AZ242" s="468"/>
    </row>
    <row r="243" spans="1:52" s="469" customFormat="1" ht="13">
      <c r="A243" s="529" t="s">
        <v>512</v>
      </c>
      <c r="B243" s="530"/>
      <c r="C243" s="530"/>
      <c r="D243" s="530"/>
      <c r="E243" s="530"/>
      <c r="F243" s="531"/>
      <c r="G243" s="467"/>
      <c r="H243" s="532">
        <f>SUM(H192:H206,H223:H224)</f>
        <v>0</v>
      </c>
      <c r="I243" s="532">
        <f t="shared" ref="I243:AZ243" si="19">SUM(I192:I206,I223:I224)</f>
        <v>0</v>
      </c>
      <c r="J243" s="532">
        <f t="shared" si="19"/>
        <v>4.3100480915859061</v>
      </c>
      <c r="K243" s="532">
        <f t="shared" si="19"/>
        <v>0.60685934418946419</v>
      </c>
      <c r="L243" s="532">
        <f t="shared" si="19"/>
        <v>0.60685934418946419</v>
      </c>
      <c r="M243" s="532">
        <f t="shared" si="19"/>
        <v>0.60685934418946419</v>
      </c>
      <c r="N243" s="532">
        <f t="shared" si="19"/>
        <v>0.59804677921805238</v>
      </c>
      <c r="O243" s="532">
        <f t="shared" si="19"/>
        <v>0.59804677921805238</v>
      </c>
      <c r="P243" s="532">
        <f t="shared" si="19"/>
        <v>0.58405491465190607</v>
      </c>
      <c r="Q243" s="532">
        <f t="shared" si="19"/>
        <v>0.57827274193551215</v>
      </c>
      <c r="R243" s="532">
        <f t="shared" si="19"/>
        <v>0.55682727481399219</v>
      </c>
      <c r="S243" s="532">
        <f t="shared" si="19"/>
        <v>0.53380151028183431</v>
      </c>
      <c r="T243" s="532">
        <f t="shared" si="19"/>
        <v>0.52997658871918463</v>
      </c>
      <c r="U243" s="532">
        <f t="shared" si="19"/>
        <v>0.52997658871918463</v>
      </c>
      <c r="V243" s="532">
        <f t="shared" si="19"/>
        <v>0.51828343465801474</v>
      </c>
      <c r="W243" s="532">
        <f t="shared" si="19"/>
        <v>0.51768616479776119</v>
      </c>
      <c r="X243" s="532">
        <f t="shared" si="19"/>
        <v>0.51424935940940386</v>
      </c>
      <c r="Y243" s="532">
        <f t="shared" si="19"/>
        <v>0.47858693565505067</v>
      </c>
      <c r="Z243" s="532">
        <f t="shared" si="19"/>
        <v>0.15927370665924898</v>
      </c>
      <c r="AA243" s="532">
        <f t="shared" si="19"/>
        <v>0.15927370665924898</v>
      </c>
      <c r="AB243" s="532">
        <f t="shared" si="19"/>
        <v>5.6102711719928033E-2</v>
      </c>
      <c r="AC243" s="532">
        <f t="shared" si="19"/>
        <v>5.6102711719928033E-2</v>
      </c>
      <c r="AD243" s="532">
        <f t="shared" si="19"/>
        <v>0</v>
      </c>
      <c r="AE243" s="532">
        <f t="shared" si="19"/>
        <v>0</v>
      </c>
      <c r="AF243" s="532">
        <f t="shared" si="19"/>
        <v>0</v>
      </c>
      <c r="AG243" s="532">
        <f t="shared" si="19"/>
        <v>0</v>
      </c>
      <c r="AH243" s="532">
        <f t="shared" si="19"/>
        <v>0</v>
      </c>
      <c r="AI243" s="532">
        <f t="shared" si="19"/>
        <v>0</v>
      </c>
      <c r="AJ243" s="532">
        <f t="shared" si="19"/>
        <v>0</v>
      </c>
      <c r="AK243" s="532">
        <f t="shared" si="19"/>
        <v>0</v>
      </c>
      <c r="AL243" s="532">
        <f t="shared" si="19"/>
        <v>0</v>
      </c>
      <c r="AM243" s="532">
        <f t="shared" si="19"/>
        <v>0</v>
      </c>
      <c r="AN243" s="532">
        <f t="shared" si="19"/>
        <v>0</v>
      </c>
      <c r="AO243" s="532">
        <f t="shared" si="19"/>
        <v>0</v>
      </c>
      <c r="AP243" s="532">
        <f t="shared" si="19"/>
        <v>0</v>
      </c>
      <c r="AQ243" s="532">
        <f t="shared" si="19"/>
        <v>0</v>
      </c>
      <c r="AR243" s="532">
        <f t="shared" si="19"/>
        <v>0</v>
      </c>
      <c r="AS243" s="532">
        <f t="shared" si="19"/>
        <v>0</v>
      </c>
      <c r="AT243" s="532">
        <f t="shared" si="19"/>
        <v>0</v>
      </c>
      <c r="AU243" s="532">
        <f t="shared" si="19"/>
        <v>0</v>
      </c>
      <c r="AV243" s="532">
        <f t="shared" si="19"/>
        <v>0</v>
      </c>
      <c r="AW243" s="532">
        <f t="shared" si="19"/>
        <v>0</v>
      </c>
      <c r="AX243" s="532">
        <f t="shared" si="19"/>
        <v>0</v>
      </c>
      <c r="AY243" s="532">
        <f t="shared" si="19"/>
        <v>0</v>
      </c>
      <c r="AZ243" s="532">
        <f t="shared" si="19"/>
        <v>0</v>
      </c>
    </row>
    <row r="244" spans="1:52" s="469" customFormat="1" ht="5.15" customHeight="1">
      <c r="A244" s="477"/>
      <c r="B244" s="477"/>
      <c r="C244" s="477"/>
      <c r="D244" s="477"/>
      <c r="E244" s="477"/>
      <c r="F244" s="477"/>
      <c r="G244" s="467"/>
      <c r="H244" s="468"/>
      <c r="I244" s="468"/>
      <c r="J244" s="468"/>
      <c r="K244" s="468"/>
      <c r="L244" s="468"/>
      <c r="M244" s="468"/>
      <c r="N244" s="468"/>
      <c r="O244" s="468"/>
      <c r="P244" s="468"/>
      <c r="Q244" s="468"/>
      <c r="R244" s="468"/>
      <c r="S244" s="468"/>
      <c r="T244" s="468"/>
      <c r="U244" s="468"/>
      <c r="V244" s="468"/>
      <c r="W244" s="468"/>
      <c r="X244" s="468"/>
      <c r="Y244" s="468"/>
      <c r="Z244" s="468"/>
      <c r="AA244" s="468"/>
      <c r="AB244" s="468"/>
      <c r="AC244" s="468"/>
      <c r="AD244" s="468"/>
      <c r="AE244" s="468"/>
      <c r="AF244" s="468"/>
      <c r="AG244" s="468"/>
      <c r="AH244" s="468"/>
      <c r="AI244" s="468"/>
      <c r="AJ244" s="468"/>
      <c r="AK244" s="468"/>
      <c r="AL244" s="468"/>
      <c r="AM244" s="468"/>
      <c r="AN244" s="468"/>
      <c r="AO244" s="468"/>
      <c r="AP244" s="468"/>
      <c r="AQ244" s="468"/>
      <c r="AR244" s="468"/>
      <c r="AS244" s="468"/>
      <c r="AT244" s="468"/>
      <c r="AU244" s="468"/>
      <c r="AV244" s="468"/>
      <c r="AW244" s="468"/>
      <c r="AX244" s="468"/>
      <c r="AY244" s="468"/>
      <c r="AZ244" s="468"/>
    </row>
    <row r="245" spans="1:52" s="469" customFormat="1" ht="13">
      <c r="A245" s="529" t="s">
        <v>513</v>
      </c>
      <c r="B245" s="530"/>
      <c r="C245" s="530"/>
      <c r="D245" s="530"/>
      <c r="E245" s="530"/>
      <c r="F245" s="531"/>
      <c r="G245" s="467"/>
      <c r="H245" s="532">
        <f>SUM(H207:H222)</f>
        <v>0</v>
      </c>
      <c r="I245" s="532">
        <f t="shared" ref="I245:AZ245" si="20">SUM(I207:I222)</f>
        <v>0</v>
      </c>
      <c r="J245" s="532">
        <f t="shared" si="20"/>
        <v>0</v>
      </c>
      <c r="K245" s="532">
        <f t="shared" si="20"/>
        <v>4.0382345442231342</v>
      </c>
      <c r="L245" s="532">
        <f t="shared" si="20"/>
        <v>0.668392667988017</v>
      </c>
      <c r="M245" s="532">
        <f t="shared" si="20"/>
        <v>0.668392667988017</v>
      </c>
      <c r="N245" s="532">
        <f t="shared" si="20"/>
        <v>0.66621057110833337</v>
      </c>
      <c r="O245" s="532">
        <f t="shared" si="20"/>
        <v>0.65536707222518864</v>
      </c>
      <c r="P245" s="532">
        <f t="shared" si="20"/>
        <v>0.63306477129396477</v>
      </c>
      <c r="Q245" s="532">
        <f t="shared" si="20"/>
        <v>0.62916311760994681</v>
      </c>
      <c r="R245" s="532">
        <f t="shared" si="20"/>
        <v>0.6007420649783678</v>
      </c>
      <c r="S245" s="532">
        <f t="shared" si="20"/>
        <v>0.58842532831892513</v>
      </c>
      <c r="T245" s="532">
        <f t="shared" si="20"/>
        <v>0.40413167487350732</v>
      </c>
      <c r="U245" s="532">
        <f t="shared" si="20"/>
        <v>0.39631755886946596</v>
      </c>
      <c r="V245" s="532">
        <f t="shared" si="20"/>
        <v>0.30085000471686929</v>
      </c>
      <c r="W245" s="532">
        <f t="shared" si="20"/>
        <v>0.28588395933270627</v>
      </c>
      <c r="X245" s="532">
        <f t="shared" si="20"/>
        <v>0.28588395933270627</v>
      </c>
      <c r="Y245" s="532">
        <f t="shared" si="20"/>
        <v>0.28439076846393108</v>
      </c>
      <c r="Z245" s="532">
        <f t="shared" si="20"/>
        <v>0.25573607244017349</v>
      </c>
      <c r="AA245" s="532">
        <f t="shared" si="20"/>
        <v>0.2542790355815725</v>
      </c>
      <c r="AB245" s="532">
        <f t="shared" si="20"/>
        <v>0.2542790355815725</v>
      </c>
      <c r="AC245" s="532">
        <f t="shared" si="20"/>
        <v>0.2110459755114456</v>
      </c>
      <c r="AD245" s="532">
        <f t="shared" si="20"/>
        <v>4.0673172872876535E-2</v>
      </c>
      <c r="AE245" s="532">
        <f t="shared" si="20"/>
        <v>0</v>
      </c>
      <c r="AF245" s="532">
        <f t="shared" si="20"/>
        <v>0</v>
      </c>
      <c r="AG245" s="532">
        <f t="shared" si="20"/>
        <v>0</v>
      </c>
      <c r="AH245" s="532">
        <f t="shared" si="20"/>
        <v>0</v>
      </c>
      <c r="AI245" s="532">
        <f t="shared" si="20"/>
        <v>0</v>
      </c>
      <c r="AJ245" s="532">
        <f t="shared" si="20"/>
        <v>0</v>
      </c>
      <c r="AK245" s="532">
        <f t="shared" si="20"/>
        <v>0</v>
      </c>
      <c r="AL245" s="532">
        <f t="shared" si="20"/>
        <v>0</v>
      </c>
      <c r="AM245" s="532">
        <f t="shared" si="20"/>
        <v>0</v>
      </c>
      <c r="AN245" s="532">
        <f t="shared" si="20"/>
        <v>0</v>
      </c>
      <c r="AO245" s="532">
        <f t="shared" si="20"/>
        <v>0</v>
      </c>
      <c r="AP245" s="532">
        <f t="shared" si="20"/>
        <v>0</v>
      </c>
      <c r="AQ245" s="532">
        <f t="shared" si="20"/>
        <v>0</v>
      </c>
      <c r="AR245" s="532">
        <f t="shared" si="20"/>
        <v>0</v>
      </c>
      <c r="AS245" s="532">
        <f t="shared" si="20"/>
        <v>0</v>
      </c>
      <c r="AT245" s="532">
        <f t="shared" si="20"/>
        <v>0</v>
      </c>
      <c r="AU245" s="532">
        <f t="shared" si="20"/>
        <v>0</v>
      </c>
      <c r="AV245" s="532">
        <f t="shared" si="20"/>
        <v>0</v>
      </c>
      <c r="AW245" s="532">
        <f t="shared" si="20"/>
        <v>0</v>
      </c>
      <c r="AX245" s="532">
        <f t="shared" si="20"/>
        <v>0</v>
      </c>
      <c r="AY245" s="532">
        <f t="shared" si="20"/>
        <v>0</v>
      </c>
      <c r="AZ245" s="532">
        <f t="shared" si="20"/>
        <v>0</v>
      </c>
    </row>
    <row r="246" spans="1:52" s="469" customFormat="1" ht="4.5" customHeight="1">
      <c r="A246" s="533"/>
      <c r="B246" s="533"/>
      <c r="C246" s="533"/>
      <c r="D246" s="533"/>
      <c r="E246" s="533"/>
      <c r="F246" s="533"/>
      <c r="G246" s="467"/>
      <c r="H246" s="534"/>
      <c r="I246" s="534"/>
      <c r="J246" s="534"/>
      <c r="K246" s="534"/>
      <c r="L246" s="534"/>
      <c r="M246" s="534"/>
      <c r="N246" s="534"/>
      <c r="O246" s="534"/>
      <c r="P246" s="534"/>
      <c r="Q246" s="534"/>
      <c r="R246" s="534"/>
      <c r="S246" s="534"/>
      <c r="T246" s="534"/>
      <c r="U246" s="534"/>
      <c r="V246" s="534"/>
      <c r="W246" s="534"/>
      <c r="X246" s="534"/>
      <c r="Y246" s="534"/>
      <c r="Z246" s="534"/>
      <c r="AA246" s="534"/>
      <c r="AB246" s="534"/>
      <c r="AC246" s="534"/>
      <c r="AD246" s="534"/>
      <c r="AE246" s="534"/>
      <c r="AF246" s="534"/>
      <c r="AG246" s="534"/>
      <c r="AH246" s="534"/>
      <c r="AI246" s="534"/>
      <c r="AJ246" s="534"/>
      <c r="AK246" s="534"/>
      <c r="AL246" s="534"/>
      <c r="AM246" s="534"/>
      <c r="AN246" s="534"/>
      <c r="AO246" s="534"/>
      <c r="AP246" s="534"/>
      <c r="AQ246" s="534"/>
      <c r="AR246" s="534"/>
      <c r="AS246" s="534"/>
      <c r="AT246" s="534"/>
      <c r="AU246" s="534"/>
      <c r="AV246" s="534"/>
      <c r="AW246" s="534"/>
      <c r="AX246" s="534"/>
      <c r="AY246" s="534"/>
      <c r="AZ246" s="534"/>
    </row>
    <row r="247" spans="1:52" s="469" customFormat="1" ht="13">
      <c r="A247" s="529" t="s">
        <v>514</v>
      </c>
      <c r="B247" s="530"/>
      <c r="C247" s="530"/>
      <c r="D247" s="530"/>
      <c r="E247" s="530"/>
      <c r="F247" s="531"/>
      <c r="G247" s="467"/>
      <c r="H247" s="532">
        <f>SUM(H225:H237)</f>
        <v>0</v>
      </c>
      <c r="I247" s="532">
        <f t="shared" ref="I247:AZ247" si="21">SUM(I225:I237)</f>
        <v>0</v>
      </c>
      <c r="J247" s="532">
        <f t="shared" si="21"/>
        <v>0</v>
      </c>
      <c r="K247" s="532">
        <f t="shared" si="21"/>
        <v>0</v>
      </c>
      <c r="L247" s="532">
        <f t="shared" si="21"/>
        <v>3.2101787412044276</v>
      </c>
      <c r="M247" s="532">
        <f t="shared" si="21"/>
        <v>0.54495685598882015</v>
      </c>
      <c r="N247" s="532">
        <f t="shared" si="21"/>
        <v>0.54494772830987392</v>
      </c>
      <c r="O247" s="532">
        <f t="shared" si="21"/>
        <v>0.54229792763916296</v>
      </c>
      <c r="P247" s="532">
        <f t="shared" si="21"/>
        <v>0.53529359089302875</v>
      </c>
      <c r="Q247" s="532">
        <f t="shared" si="21"/>
        <v>0.51786122287102943</v>
      </c>
      <c r="R247" s="532">
        <f t="shared" si="21"/>
        <v>0.51735663988802283</v>
      </c>
      <c r="S247" s="532">
        <f t="shared" si="21"/>
        <v>0.51735663988802283</v>
      </c>
      <c r="T247" s="532">
        <f t="shared" si="21"/>
        <v>0.33980348697122853</v>
      </c>
      <c r="U247" s="532">
        <f t="shared" si="21"/>
        <v>0.33572677274752394</v>
      </c>
      <c r="V247" s="532">
        <f t="shared" si="21"/>
        <v>0.23683126611003186</v>
      </c>
      <c r="W247" s="532">
        <f t="shared" si="21"/>
        <v>0.23683126611003186</v>
      </c>
      <c r="X247" s="532">
        <f t="shared" si="21"/>
        <v>0.23629691893560734</v>
      </c>
      <c r="Y247" s="532">
        <f t="shared" si="21"/>
        <v>0.23629691893560734</v>
      </c>
      <c r="Z247" s="532">
        <f t="shared" si="21"/>
        <v>0.23629691893560734</v>
      </c>
      <c r="AA247" s="532">
        <f t="shared" si="21"/>
        <v>0.22839745729710836</v>
      </c>
      <c r="AB247" s="532">
        <f t="shared" si="21"/>
        <v>0.22758740444552195</v>
      </c>
      <c r="AC247" s="532">
        <f t="shared" si="21"/>
        <v>0.22758740444552195</v>
      </c>
      <c r="AD247" s="532">
        <f t="shared" si="21"/>
        <v>0.2200506702885206</v>
      </c>
      <c r="AE247" s="532">
        <f t="shared" si="21"/>
        <v>0.12291386000316849</v>
      </c>
      <c r="AF247" s="532">
        <f t="shared" si="21"/>
        <v>0</v>
      </c>
      <c r="AG247" s="532">
        <f t="shared" si="21"/>
        <v>0</v>
      </c>
      <c r="AH247" s="532">
        <f t="shared" si="21"/>
        <v>0</v>
      </c>
      <c r="AI247" s="532">
        <f t="shared" si="21"/>
        <v>0</v>
      </c>
      <c r="AJ247" s="532">
        <f t="shared" si="21"/>
        <v>0</v>
      </c>
      <c r="AK247" s="532">
        <f t="shared" si="21"/>
        <v>0</v>
      </c>
      <c r="AL247" s="532">
        <f t="shared" si="21"/>
        <v>0</v>
      </c>
      <c r="AM247" s="532">
        <f t="shared" si="21"/>
        <v>0</v>
      </c>
      <c r="AN247" s="532">
        <f t="shared" si="21"/>
        <v>0</v>
      </c>
      <c r="AO247" s="532">
        <f t="shared" si="21"/>
        <v>0</v>
      </c>
      <c r="AP247" s="532">
        <f t="shared" si="21"/>
        <v>0</v>
      </c>
      <c r="AQ247" s="532">
        <f t="shared" si="21"/>
        <v>0</v>
      </c>
      <c r="AR247" s="532">
        <f t="shared" si="21"/>
        <v>0</v>
      </c>
      <c r="AS247" s="532">
        <f t="shared" si="21"/>
        <v>0</v>
      </c>
      <c r="AT247" s="532">
        <f t="shared" si="21"/>
        <v>0</v>
      </c>
      <c r="AU247" s="532">
        <f t="shared" si="21"/>
        <v>0</v>
      </c>
      <c r="AV247" s="532">
        <f t="shared" si="21"/>
        <v>0</v>
      </c>
      <c r="AW247" s="532">
        <f t="shared" si="21"/>
        <v>0</v>
      </c>
      <c r="AX247" s="532">
        <f t="shared" si="21"/>
        <v>0</v>
      </c>
      <c r="AY247" s="532">
        <f t="shared" si="21"/>
        <v>0</v>
      </c>
      <c r="AZ247" s="532">
        <f t="shared" si="21"/>
        <v>0</v>
      </c>
    </row>
    <row r="248" spans="1:52" s="469" customFormat="1" ht="5.15" customHeight="1">
      <c r="A248" s="477"/>
      <c r="B248" s="477"/>
      <c r="C248" s="477"/>
      <c r="D248" s="477"/>
      <c r="E248" s="477"/>
      <c r="F248" s="477"/>
      <c r="G248" s="467"/>
      <c r="H248" s="468"/>
      <c r="I248" s="468"/>
      <c r="J248" s="468"/>
      <c r="K248" s="468"/>
      <c r="L248" s="468"/>
      <c r="M248" s="468"/>
      <c r="N248" s="468"/>
      <c r="O248" s="468"/>
      <c r="P248" s="468"/>
      <c r="Q248" s="468"/>
      <c r="R248" s="468"/>
      <c r="S248" s="468"/>
      <c r="T248" s="468"/>
      <c r="U248" s="468"/>
      <c r="V248" s="468"/>
      <c r="W248" s="468"/>
      <c r="X248" s="468"/>
      <c r="Y248" s="468"/>
      <c r="Z248" s="468"/>
      <c r="AA248" s="468"/>
      <c r="AB248" s="468"/>
      <c r="AC248" s="468"/>
      <c r="AD248" s="468"/>
      <c r="AE248" s="468"/>
      <c r="AF248" s="468"/>
      <c r="AG248" s="468"/>
      <c r="AH248" s="468"/>
      <c r="AI248" s="468"/>
      <c r="AJ248" s="468"/>
      <c r="AK248" s="468"/>
      <c r="AL248" s="468"/>
      <c r="AM248" s="468"/>
      <c r="AN248" s="468"/>
      <c r="AO248" s="468"/>
      <c r="AP248" s="468"/>
      <c r="AQ248" s="468"/>
      <c r="AR248" s="468"/>
      <c r="AS248" s="468"/>
      <c r="AT248" s="468"/>
      <c r="AU248" s="468"/>
      <c r="AV248" s="468"/>
      <c r="AW248" s="468"/>
      <c r="AX248" s="468"/>
      <c r="AY248" s="468"/>
      <c r="AZ248" s="468"/>
    </row>
    <row r="249" spans="1:52" s="469" customFormat="1" ht="13">
      <c r="A249" s="529" t="s">
        <v>515</v>
      </c>
      <c r="B249" s="535"/>
      <c r="C249" s="535"/>
      <c r="D249" s="535"/>
      <c r="E249" s="535"/>
      <c r="F249" s="536"/>
      <c r="G249" s="467"/>
      <c r="H249" s="532">
        <f>SUM(H173:H237)</f>
        <v>2.0016279352246333</v>
      </c>
      <c r="I249" s="532">
        <f t="shared" ref="I249:AZ249" si="22">SUM(I173:I237)</f>
        <v>3.9983120539090891</v>
      </c>
      <c r="J249" s="532">
        <f t="shared" si="22"/>
        <v>5.1544029407048182</v>
      </c>
      <c r="K249" s="532">
        <f t="shared" si="22"/>
        <v>5.2513879708023152</v>
      </c>
      <c r="L249" s="532">
        <f t="shared" si="22"/>
        <v>5.0917248357716254</v>
      </c>
      <c r="M249" s="532">
        <f t="shared" si="22"/>
        <v>2.4248182341541558</v>
      </c>
      <c r="N249" s="532">
        <f t="shared" si="22"/>
        <v>2.3679239084685824</v>
      </c>
      <c r="O249" s="532">
        <f t="shared" si="22"/>
        <v>2.3544306089147264</v>
      </c>
      <c r="P249" s="532">
        <f t="shared" si="22"/>
        <v>2.2906603427130117</v>
      </c>
      <c r="Q249" s="532">
        <f t="shared" si="22"/>
        <v>2.2342001036688082</v>
      </c>
      <c r="R249" s="532">
        <f t="shared" si="22"/>
        <v>2.1700128879012568</v>
      </c>
      <c r="S249" s="532">
        <f t="shared" si="22"/>
        <v>2.1167066582583338</v>
      </c>
      <c r="T249" s="532">
        <f t="shared" si="22"/>
        <v>1.751034930333472</v>
      </c>
      <c r="U249" s="532">
        <f t="shared" si="22"/>
        <v>1.739144100105726</v>
      </c>
      <c r="V249" s="532">
        <f t="shared" si="22"/>
        <v>1.5045764015962257</v>
      </c>
      <c r="W249" s="532">
        <f t="shared" si="22"/>
        <v>1.2461829655033321</v>
      </c>
      <c r="X249" s="532">
        <f t="shared" si="22"/>
        <v>1.1395512157414289</v>
      </c>
      <c r="Y249" s="532">
        <f t="shared" si="22"/>
        <v>1.1021166866134229</v>
      </c>
      <c r="Z249" s="532">
        <f t="shared" si="22"/>
        <v>0.72341313384376493</v>
      </c>
      <c r="AA249" s="532">
        <f t="shared" si="22"/>
        <v>0.690400040750208</v>
      </c>
      <c r="AB249" s="532">
        <f t="shared" si="22"/>
        <v>0.55942915174702246</v>
      </c>
      <c r="AC249" s="532">
        <f t="shared" si="22"/>
        <v>0.49473609167689558</v>
      </c>
      <c r="AD249" s="532">
        <f t="shared" si="22"/>
        <v>0.26072384316139713</v>
      </c>
      <c r="AE249" s="532">
        <f t="shared" si="22"/>
        <v>0.12291386000316849</v>
      </c>
      <c r="AF249" s="532">
        <f t="shared" si="22"/>
        <v>0</v>
      </c>
      <c r="AG249" s="532">
        <f t="shared" si="22"/>
        <v>0</v>
      </c>
      <c r="AH249" s="532">
        <f t="shared" si="22"/>
        <v>0</v>
      </c>
      <c r="AI249" s="532">
        <f t="shared" si="22"/>
        <v>0</v>
      </c>
      <c r="AJ249" s="532">
        <f t="shared" si="22"/>
        <v>0</v>
      </c>
      <c r="AK249" s="532">
        <f t="shared" si="22"/>
        <v>0</v>
      </c>
      <c r="AL249" s="532">
        <f t="shared" si="22"/>
        <v>0</v>
      </c>
      <c r="AM249" s="532">
        <f t="shared" si="22"/>
        <v>0</v>
      </c>
      <c r="AN249" s="532">
        <f t="shared" si="22"/>
        <v>0</v>
      </c>
      <c r="AO249" s="532">
        <f t="shared" si="22"/>
        <v>0</v>
      </c>
      <c r="AP249" s="532">
        <f t="shared" si="22"/>
        <v>0</v>
      </c>
      <c r="AQ249" s="532">
        <f t="shared" si="22"/>
        <v>0</v>
      </c>
      <c r="AR249" s="532">
        <f t="shared" si="22"/>
        <v>0</v>
      </c>
      <c r="AS249" s="532">
        <f t="shared" si="22"/>
        <v>0</v>
      </c>
      <c r="AT249" s="532">
        <f t="shared" si="22"/>
        <v>0</v>
      </c>
      <c r="AU249" s="532">
        <f t="shared" si="22"/>
        <v>0</v>
      </c>
      <c r="AV249" s="532">
        <f t="shared" si="22"/>
        <v>0</v>
      </c>
      <c r="AW249" s="532">
        <f t="shared" si="22"/>
        <v>0</v>
      </c>
      <c r="AX249" s="532">
        <f t="shared" si="22"/>
        <v>0</v>
      </c>
      <c r="AY249" s="532">
        <f t="shared" si="22"/>
        <v>0</v>
      </c>
      <c r="AZ249" s="532">
        <f t="shared" si="22"/>
        <v>0</v>
      </c>
    </row>
    <row r="250" spans="1:52" s="540" customFormat="1">
      <c r="A250" s="537"/>
      <c r="B250" s="537"/>
      <c r="C250" s="537"/>
      <c r="D250" s="537"/>
      <c r="E250" s="537"/>
      <c r="F250" s="537"/>
      <c r="G250" s="538"/>
      <c r="H250" s="539">
        <v>3</v>
      </c>
      <c r="I250" s="539">
        <f>H250+1</f>
        <v>4</v>
      </c>
      <c r="J250" s="539">
        <f t="shared" ref="J250:AZ250" si="23">I250+1</f>
        <v>5</v>
      </c>
      <c r="K250" s="539">
        <f t="shared" si="23"/>
        <v>6</v>
      </c>
      <c r="L250" s="539">
        <f t="shared" si="23"/>
        <v>7</v>
      </c>
      <c r="M250" s="539">
        <f t="shared" si="23"/>
        <v>8</v>
      </c>
      <c r="N250" s="539">
        <f t="shared" si="23"/>
        <v>9</v>
      </c>
      <c r="O250" s="539">
        <f t="shared" si="23"/>
        <v>10</v>
      </c>
      <c r="P250" s="539">
        <f t="shared" si="23"/>
        <v>11</v>
      </c>
      <c r="Q250" s="539">
        <f t="shared" si="23"/>
        <v>12</v>
      </c>
      <c r="R250" s="539">
        <f t="shared" si="23"/>
        <v>13</v>
      </c>
      <c r="S250" s="539">
        <f t="shared" si="23"/>
        <v>14</v>
      </c>
      <c r="T250" s="539">
        <f t="shared" si="23"/>
        <v>15</v>
      </c>
      <c r="U250" s="539">
        <f t="shared" si="23"/>
        <v>16</v>
      </c>
      <c r="V250" s="539">
        <f t="shared" si="23"/>
        <v>17</v>
      </c>
      <c r="W250" s="539">
        <f t="shared" si="23"/>
        <v>18</v>
      </c>
      <c r="X250" s="539">
        <f t="shared" si="23"/>
        <v>19</v>
      </c>
      <c r="Y250" s="539">
        <f t="shared" si="23"/>
        <v>20</v>
      </c>
      <c r="Z250" s="539">
        <f t="shared" si="23"/>
        <v>21</v>
      </c>
      <c r="AA250" s="539">
        <f t="shared" si="23"/>
        <v>22</v>
      </c>
      <c r="AB250" s="539">
        <f t="shared" si="23"/>
        <v>23</v>
      </c>
      <c r="AC250" s="539">
        <f t="shared" si="23"/>
        <v>24</v>
      </c>
      <c r="AD250" s="539">
        <f t="shared" si="23"/>
        <v>25</v>
      </c>
      <c r="AE250" s="539">
        <f t="shared" si="23"/>
        <v>26</v>
      </c>
      <c r="AF250" s="539">
        <f t="shared" si="23"/>
        <v>27</v>
      </c>
      <c r="AG250" s="539">
        <f t="shared" si="23"/>
        <v>28</v>
      </c>
      <c r="AH250" s="539">
        <f t="shared" si="23"/>
        <v>29</v>
      </c>
      <c r="AI250" s="539">
        <f t="shared" si="23"/>
        <v>30</v>
      </c>
      <c r="AJ250" s="539">
        <f t="shared" si="23"/>
        <v>31</v>
      </c>
      <c r="AK250" s="539">
        <f t="shared" si="23"/>
        <v>32</v>
      </c>
      <c r="AL250" s="539">
        <f t="shared" si="23"/>
        <v>33</v>
      </c>
      <c r="AM250" s="539">
        <f t="shared" si="23"/>
        <v>34</v>
      </c>
      <c r="AN250" s="539">
        <f t="shared" si="23"/>
        <v>35</v>
      </c>
      <c r="AO250" s="539">
        <f t="shared" si="23"/>
        <v>36</v>
      </c>
      <c r="AP250" s="539">
        <f t="shared" si="23"/>
        <v>37</v>
      </c>
      <c r="AQ250" s="539">
        <f t="shared" si="23"/>
        <v>38</v>
      </c>
      <c r="AR250" s="539">
        <f t="shared" si="23"/>
        <v>39</v>
      </c>
      <c r="AS250" s="539">
        <f t="shared" si="23"/>
        <v>40</v>
      </c>
      <c r="AT250" s="539">
        <f t="shared" si="23"/>
        <v>41</v>
      </c>
      <c r="AU250" s="539">
        <f t="shared" si="23"/>
        <v>42</v>
      </c>
      <c r="AV250" s="539">
        <f t="shared" si="23"/>
        <v>43</v>
      </c>
      <c r="AW250" s="539">
        <f t="shared" si="23"/>
        <v>44</v>
      </c>
      <c r="AX250" s="539">
        <f t="shared" si="23"/>
        <v>45</v>
      </c>
      <c r="AY250" s="539">
        <f t="shared" si="23"/>
        <v>46</v>
      </c>
      <c r="AZ250" s="539">
        <f t="shared" si="23"/>
        <v>47</v>
      </c>
    </row>
    <row r="251" spans="1:52" s="469" customFormat="1">
      <c r="A251" s="466"/>
      <c r="B251" s="466"/>
      <c r="C251" s="466"/>
      <c r="D251" s="466"/>
      <c r="E251" s="466"/>
      <c r="F251" s="466"/>
      <c r="G251" s="467"/>
      <c r="H251" s="468"/>
      <c r="I251" s="468"/>
      <c r="J251" s="468"/>
      <c r="K251" s="468"/>
      <c r="L251" s="468"/>
      <c r="M251" s="468"/>
      <c r="N251" s="468"/>
      <c r="O251" s="468"/>
      <c r="P251" s="468"/>
      <c r="Q251" s="468"/>
      <c r="R251" s="468"/>
      <c r="S251" s="468"/>
      <c r="T251" s="468"/>
      <c r="U251" s="468"/>
      <c r="V251" s="468"/>
      <c r="W251" s="468"/>
      <c r="X251" s="468"/>
      <c r="Y251" s="468"/>
      <c r="Z251" s="468"/>
      <c r="AA251" s="468"/>
      <c r="AB251" s="468"/>
      <c r="AC251" s="468"/>
      <c r="AD251" s="468"/>
      <c r="AE251" s="468"/>
      <c r="AF251" s="468"/>
      <c r="AG251" s="468"/>
      <c r="AH251" s="468"/>
      <c r="AI251" s="468"/>
      <c r="AJ251" s="468"/>
      <c r="AK251" s="468"/>
      <c r="AL251" s="468"/>
      <c r="AM251" s="468"/>
      <c r="AN251" s="468"/>
      <c r="AO251" s="468"/>
      <c r="AP251" s="468"/>
      <c r="AQ251" s="468"/>
      <c r="AR251" s="468"/>
      <c r="AS251" s="468"/>
      <c r="AT251" s="468"/>
      <c r="AU251" s="468"/>
      <c r="AV251" s="468"/>
      <c r="AW251" s="468"/>
      <c r="AX251" s="468"/>
      <c r="AY251" s="468"/>
      <c r="AZ251" s="468"/>
    </row>
    <row r="252" spans="1:52" s="469" customFormat="1" ht="15.5">
      <c r="A252" s="474" t="s">
        <v>36</v>
      </c>
      <c r="B252" s="466"/>
      <c r="C252" s="466"/>
      <c r="D252" s="466"/>
      <c r="E252" s="466"/>
      <c r="F252" s="466"/>
      <c r="G252" s="467"/>
      <c r="H252" s="468"/>
      <c r="I252" s="468"/>
      <c r="J252" s="468"/>
      <c r="K252" s="468"/>
      <c r="L252" s="468"/>
      <c r="M252" s="468"/>
      <c r="N252" s="468"/>
      <c r="O252" s="468"/>
      <c r="P252" s="468"/>
      <c r="Q252" s="468"/>
      <c r="R252" s="468"/>
      <c r="S252" s="468"/>
      <c r="T252" s="468"/>
      <c r="U252" s="468"/>
      <c r="V252" s="468"/>
      <c r="W252" s="468"/>
      <c r="X252" s="468"/>
      <c r="Y252" s="468"/>
      <c r="Z252" s="468"/>
      <c r="AA252" s="468"/>
      <c r="AB252" s="468"/>
      <c r="AC252" s="468"/>
      <c r="AD252" s="468"/>
      <c r="AE252" s="468"/>
      <c r="AF252" s="468"/>
      <c r="AG252" s="468"/>
      <c r="AH252" s="468"/>
      <c r="AI252" s="468"/>
      <c r="AJ252" s="468"/>
      <c r="AK252" s="468"/>
      <c r="AL252" s="468"/>
      <c r="AM252" s="468"/>
      <c r="AN252" s="468"/>
      <c r="AO252" s="468"/>
      <c r="AP252" s="468"/>
      <c r="AQ252" s="468"/>
      <c r="AR252" s="468"/>
      <c r="AS252" s="468"/>
      <c r="AT252" s="468"/>
      <c r="AU252" s="468"/>
      <c r="AV252" s="468"/>
      <c r="AW252" s="468"/>
      <c r="AX252" s="468"/>
      <c r="AY252" s="468"/>
      <c r="AZ252" s="468"/>
    </row>
    <row r="253" spans="1:52" s="469" customFormat="1" ht="26">
      <c r="A253" s="475" t="s">
        <v>504</v>
      </c>
      <c r="B253" s="475" t="s">
        <v>505</v>
      </c>
      <c r="C253" s="475" t="s">
        <v>506</v>
      </c>
      <c r="D253" s="475"/>
      <c r="E253" s="476" t="s">
        <v>508</v>
      </c>
      <c r="F253" s="476" t="s">
        <v>509</v>
      </c>
      <c r="G253" s="467"/>
      <c r="H253" s="475">
        <v>2006</v>
      </c>
      <c r="I253" s="475">
        <f>H253+1</f>
        <v>2007</v>
      </c>
      <c r="J253" s="475">
        <f t="shared" ref="J253:AZ253" si="24">I253+1</f>
        <v>2008</v>
      </c>
      <c r="K253" s="475">
        <f t="shared" si="24"/>
        <v>2009</v>
      </c>
      <c r="L253" s="475">
        <f t="shared" si="24"/>
        <v>2010</v>
      </c>
      <c r="M253" s="475">
        <f t="shared" si="24"/>
        <v>2011</v>
      </c>
      <c r="N253" s="475">
        <f t="shared" si="24"/>
        <v>2012</v>
      </c>
      <c r="O253" s="475">
        <f t="shared" si="24"/>
        <v>2013</v>
      </c>
      <c r="P253" s="475">
        <f t="shared" si="24"/>
        <v>2014</v>
      </c>
      <c r="Q253" s="475">
        <f t="shared" si="24"/>
        <v>2015</v>
      </c>
      <c r="R253" s="475">
        <f t="shared" si="24"/>
        <v>2016</v>
      </c>
      <c r="S253" s="475">
        <f t="shared" si="24"/>
        <v>2017</v>
      </c>
      <c r="T253" s="475">
        <f t="shared" si="24"/>
        <v>2018</v>
      </c>
      <c r="U253" s="475">
        <f t="shared" si="24"/>
        <v>2019</v>
      </c>
      <c r="V253" s="475">
        <f t="shared" si="24"/>
        <v>2020</v>
      </c>
      <c r="W253" s="475">
        <f t="shared" si="24"/>
        <v>2021</v>
      </c>
      <c r="X253" s="475">
        <f t="shared" si="24"/>
        <v>2022</v>
      </c>
      <c r="Y253" s="475">
        <f t="shared" si="24"/>
        <v>2023</v>
      </c>
      <c r="Z253" s="475">
        <f t="shared" si="24"/>
        <v>2024</v>
      </c>
      <c r="AA253" s="475">
        <f t="shared" si="24"/>
        <v>2025</v>
      </c>
      <c r="AB253" s="475">
        <f t="shared" si="24"/>
        <v>2026</v>
      </c>
      <c r="AC253" s="475">
        <f t="shared" si="24"/>
        <v>2027</v>
      </c>
      <c r="AD253" s="475">
        <f t="shared" si="24"/>
        <v>2028</v>
      </c>
      <c r="AE253" s="475">
        <f t="shared" si="24"/>
        <v>2029</v>
      </c>
      <c r="AF253" s="475">
        <f t="shared" si="24"/>
        <v>2030</v>
      </c>
      <c r="AG253" s="475">
        <f t="shared" si="24"/>
        <v>2031</v>
      </c>
      <c r="AH253" s="475">
        <f t="shared" si="24"/>
        <v>2032</v>
      </c>
      <c r="AI253" s="475">
        <f t="shared" si="24"/>
        <v>2033</v>
      </c>
      <c r="AJ253" s="475">
        <f t="shared" si="24"/>
        <v>2034</v>
      </c>
      <c r="AK253" s="475">
        <f t="shared" si="24"/>
        <v>2035</v>
      </c>
      <c r="AL253" s="475">
        <f t="shared" si="24"/>
        <v>2036</v>
      </c>
      <c r="AM253" s="475">
        <f t="shared" si="24"/>
        <v>2037</v>
      </c>
      <c r="AN253" s="475">
        <f t="shared" si="24"/>
        <v>2038</v>
      </c>
      <c r="AO253" s="475">
        <f t="shared" si="24"/>
        <v>2039</v>
      </c>
      <c r="AP253" s="475">
        <f t="shared" si="24"/>
        <v>2040</v>
      </c>
      <c r="AQ253" s="475">
        <f t="shared" si="24"/>
        <v>2041</v>
      </c>
      <c r="AR253" s="475">
        <f t="shared" si="24"/>
        <v>2042</v>
      </c>
      <c r="AS253" s="475">
        <f t="shared" si="24"/>
        <v>2043</v>
      </c>
      <c r="AT253" s="475">
        <f t="shared" si="24"/>
        <v>2044</v>
      </c>
      <c r="AU253" s="475">
        <f t="shared" si="24"/>
        <v>2045</v>
      </c>
      <c r="AV253" s="475">
        <f t="shared" si="24"/>
        <v>2046</v>
      </c>
      <c r="AW253" s="475">
        <f t="shared" si="24"/>
        <v>2047</v>
      </c>
      <c r="AX253" s="475">
        <f t="shared" si="24"/>
        <v>2048</v>
      </c>
      <c r="AY253" s="475">
        <f t="shared" si="24"/>
        <v>2049</v>
      </c>
      <c r="AZ253" s="475">
        <f t="shared" si="24"/>
        <v>2050</v>
      </c>
    </row>
    <row r="254" spans="1:52" s="469" customFormat="1" ht="5.15" customHeight="1">
      <c r="A254" s="477"/>
      <c r="B254" s="477"/>
      <c r="C254" s="477"/>
      <c r="D254" s="477"/>
      <c r="E254" s="477"/>
      <c r="F254" s="477"/>
      <c r="G254" s="467"/>
      <c r="H254" s="466"/>
      <c r="I254" s="466"/>
      <c r="J254" s="466"/>
      <c r="K254" s="466"/>
      <c r="L254" s="466"/>
      <c r="M254" s="466"/>
      <c r="N254" s="466"/>
      <c r="O254" s="466"/>
      <c r="P254" s="466"/>
      <c r="Q254" s="466"/>
      <c r="R254" s="466"/>
      <c r="S254" s="466"/>
      <c r="T254" s="466"/>
      <c r="U254" s="466"/>
      <c r="V254" s="466"/>
      <c r="W254" s="466"/>
      <c r="X254" s="466"/>
      <c r="Y254" s="466"/>
      <c r="Z254" s="466"/>
      <c r="AA254" s="466"/>
      <c r="AB254" s="466"/>
      <c r="AC254" s="466"/>
      <c r="AD254" s="466"/>
      <c r="AE254" s="466"/>
      <c r="AF254" s="466"/>
      <c r="AG254" s="466"/>
      <c r="AH254" s="466"/>
      <c r="AI254" s="466"/>
      <c r="AJ254" s="466"/>
      <c r="AK254" s="466"/>
      <c r="AL254" s="466"/>
      <c r="AM254" s="466"/>
      <c r="AN254" s="466"/>
      <c r="AO254" s="466"/>
      <c r="AP254" s="466"/>
      <c r="AQ254" s="466"/>
      <c r="AR254" s="466"/>
      <c r="AS254" s="466"/>
      <c r="AT254" s="466"/>
      <c r="AU254" s="466"/>
      <c r="AV254" s="466"/>
      <c r="AW254" s="466"/>
      <c r="AX254" s="466"/>
      <c r="AY254" s="466"/>
      <c r="AZ254" s="466"/>
    </row>
    <row r="255" spans="1:52" s="469" customFormat="1">
      <c r="A255" s="478">
        <f>'[4]Allocation Methodology'!A5</f>
        <v>1</v>
      </c>
      <c r="B255" s="479" t="str">
        <f>'[4]Allocation Methodology'!B5</f>
        <v>Secondary Refrigerator Retirement Pilot</v>
      </c>
      <c r="C255" s="479" t="str">
        <f>'[4]Allocation Methodology'!C5</f>
        <v>Consumer</v>
      </c>
      <c r="D255" s="479"/>
      <c r="E255" s="479">
        <f>'[4]Allocation Methodology'!D5</f>
        <v>2006</v>
      </c>
      <c r="F255" s="480" t="str">
        <f>'[4]Allocation Methodology'!E5</f>
        <v>Final</v>
      </c>
      <c r="G255" s="471" t="b">
        <v>0</v>
      </c>
      <c r="H255" s="541">
        <v>30.874344586690405</v>
      </c>
      <c r="I255" s="542">
        <v>30.874344586690405</v>
      </c>
      <c r="J255" s="543">
        <v>30.874344586690405</v>
      </c>
      <c r="K255" s="542">
        <v>30.874344586690405</v>
      </c>
      <c r="L255" s="543">
        <v>30.874344586690405</v>
      </c>
      <c r="M255" s="543">
        <v>30.874344586690405</v>
      </c>
      <c r="N255" s="543">
        <v>0</v>
      </c>
      <c r="O255" s="543">
        <v>0</v>
      </c>
      <c r="P255" s="543">
        <v>0</v>
      </c>
      <c r="Q255" s="543">
        <v>0</v>
      </c>
      <c r="R255" s="543">
        <v>0</v>
      </c>
      <c r="S255" s="543">
        <v>0</v>
      </c>
      <c r="T255" s="543">
        <v>0</v>
      </c>
      <c r="U255" s="543">
        <v>0</v>
      </c>
      <c r="V255" s="543">
        <v>0</v>
      </c>
      <c r="W255" s="543">
        <v>0</v>
      </c>
      <c r="X255" s="543">
        <v>0</v>
      </c>
      <c r="Y255" s="543">
        <v>0</v>
      </c>
      <c r="Z255" s="543">
        <v>0</v>
      </c>
      <c r="AA255" s="543">
        <v>0</v>
      </c>
      <c r="AB255" s="543">
        <v>0</v>
      </c>
      <c r="AC255" s="543">
        <v>0</v>
      </c>
      <c r="AD255" s="543">
        <v>0</v>
      </c>
      <c r="AE255" s="543">
        <v>0</v>
      </c>
      <c r="AF255" s="543">
        <v>0</v>
      </c>
      <c r="AG255" s="543">
        <v>0</v>
      </c>
      <c r="AH255" s="543">
        <v>0</v>
      </c>
      <c r="AI255" s="543">
        <v>0</v>
      </c>
      <c r="AJ255" s="543">
        <v>0</v>
      </c>
      <c r="AK255" s="543">
        <v>0</v>
      </c>
      <c r="AL255" s="543">
        <v>0</v>
      </c>
      <c r="AM255" s="543">
        <v>0</v>
      </c>
      <c r="AN255" s="543">
        <v>0</v>
      </c>
      <c r="AO255" s="543">
        <v>0</v>
      </c>
      <c r="AP255" s="543">
        <v>0</v>
      </c>
      <c r="AQ255" s="543">
        <v>0</v>
      </c>
      <c r="AR255" s="543">
        <v>0</v>
      </c>
      <c r="AS255" s="543">
        <v>0</v>
      </c>
      <c r="AT255" s="543">
        <v>0</v>
      </c>
      <c r="AU255" s="543">
        <v>0</v>
      </c>
      <c r="AV255" s="543">
        <v>0</v>
      </c>
      <c r="AW255" s="543">
        <v>0</v>
      </c>
      <c r="AX255" s="543">
        <v>0</v>
      </c>
      <c r="AY255" s="543">
        <v>0</v>
      </c>
      <c r="AZ255" s="544">
        <v>0</v>
      </c>
    </row>
    <row r="256" spans="1:52" s="469" customFormat="1">
      <c r="A256" s="485">
        <f>'[4]Allocation Methodology'!A6</f>
        <v>2</v>
      </c>
      <c r="B256" s="486" t="str">
        <f>'[4]Allocation Methodology'!B6</f>
        <v>Cool &amp; Hot Savings Rebate</v>
      </c>
      <c r="C256" s="486" t="str">
        <f>'[4]Allocation Methodology'!C6</f>
        <v>Consumer</v>
      </c>
      <c r="D256" s="486"/>
      <c r="E256" s="486">
        <f>'[4]Allocation Methodology'!D6</f>
        <v>2006</v>
      </c>
      <c r="F256" s="487" t="str">
        <f>'[4]Allocation Methodology'!E6</f>
        <v>Final</v>
      </c>
      <c r="G256" s="471" t="b">
        <v>0</v>
      </c>
      <c r="H256" s="545">
        <v>86.896399496737601</v>
      </c>
      <c r="I256" s="546">
        <v>86.896399496737601</v>
      </c>
      <c r="J256" s="546">
        <v>86.896399496737601</v>
      </c>
      <c r="K256" s="546">
        <v>86.896399496737601</v>
      </c>
      <c r="L256" s="546">
        <v>86.896399496737601</v>
      </c>
      <c r="M256" s="546">
        <v>86.896399496737601</v>
      </c>
      <c r="N256" s="546">
        <v>86.896399496737601</v>
      </c>
      <c r="O256" s="546">
        <v>86.896399496737601</v>
      </c>
      <c r="P256" s="546">
        <v>66.91021915802061</v>
      </c>
      <c r="Q256" s="546">
        <v>66.91021915802061</v>
      </c>
      <c r="R256" s="546">
        <v>66.91021915802061</v>
      </c>
      <c r="S256" s="546">
        <v>66.91021915802061</v>
      </c>
      <c r="T256" s="546">
        <v>66.91021915802061</v>
      </c>
      <c r="U256" s="546">
        <v>66.91021915802061</v>
      </c>
      <c r="V256" s="546">
        <v>39.033305002526909</v>
      </c>
      <c r="W256" s="546">
        <v>11.873374804211316</v>
      </c>
      <c r="X256" s="546">
        <v>11.873374804211316</v>
      </c>
      <c r="Y256" s="546">
        <v>11.873374804211316</v>
      </c>
      <c r="Z256" s="546">
        <v>0</v>
      </c>
      <c r="AA256" s="546">
        <v>0</v>
      </c>
      <c r="AB256" s="546">
        <v>0</v>
      </c>
      <c r="AC256" s="546">
        <v>0</v>
      </c>
      <c r="AD256" s="546">
        <v>0</v>
      </c>
      <c r="AE256" s="546">
        <v>0</v>
      </c>
      <c r="AF256" s="546">
        <v>0</v>
      </c>
      <c r="AG256" s="546">
        <v>0</v>
      </c>
      <c r="AH256" s="546">
        <v>0</v>
      </c>
      <c r="AI256" s="546">
        <v>0</v>
      </c>
      <c r="AJ256" s="546">
        <v>0</v>
      </c>
      <c r="AK256" s="546">
        <v>0</v>
      </c>
      <c r="AL256" s="546">
        <v>0</v>
      </c>
      <c r="AM256" s="546">
        <v>0</v>
      </c>
      <c r="AN256" s="546">
        <v>0</v>
      </c>
      <c r="AO256" s="546">
        <v>0</v>
      </c>
      <c r="AP256" s="546">
        <v>0</v>
      </c>
      <c r="AQ256" s="546">
        <v>0</v>
      </c>
      <c r="AR256" s="546">
        <v>0</v>
      </c>
      <c r="AS256" s="546">
        <v>0</v>
      </c>
      <c r="AT256" s="546">
        <v>0</v>
      </c>
      <c r="AU256" s="546">
        <v>0</v>
      </c>
      <c r="AV256" s="546">
        <v>0</v>
      </c>
      <c r="AW256" s="546">
        <v>0</v>
      </c>
      <c r="AX256" s="546">
        <v>0</v>
      </c>
      <c r="AY256" s="546">
        <v>0</v>
      </c>
      <c r="AZ256" s="547">
        <v>0</v>
      </c>
    </row>
    <row r="257" spans="1:52" s="469" customFormat="1">
      <c r="A257" s="492">
        <f>'[4]Allocation Methodology'!A7</f>
        <v>3</v>
      </c>
      <c r="B257" s="493" t="str">
        <f>'[4]Allocation Methodology'!B7</f>
        <v>Every Kilowatt Counts</v>
      </c>
      <c r="C257" s="493" t="str">
        <f>'[4]Allocation Methodology'!C7</f>
        <v>Consumer</v>
      </c>
      <c r="D257" s="493"/>
      <c r="E257" s="493">
        <f>'[4]Allocation Methodology'!D7</f>
        <v>2006</v>
      </c>
      <c r="F257" s="494" t="str">
        <f>'[4]Allocation Methodology'!E7</f>
        <v>Final</v>
      </c>
      <c r="G257" s="471" t="b">
        <v>0</v>
      </c>
      <c r="H257" s="548">
        <v>1977.6193546747359</v>
      </c>
      <c r="I257" s="549">
        <v>1977.6193546747359</v>
      </c>
      <c r="J257" s="549">
        <v>1977.6193546747359</v>
      </c>
      <c r="K257" s="549">
        <v>1977.6193546747359</v>
      </c>
      <c r="L257" s="549">
        <v>254.97774839213079</v>
      </c>
      <c r="M257" s="549">
        <v>254.97774839213079</v>
      </c>
      <c r="N257" s="549">
        <v>254.97774839213079</v>
      </c>
      <c r="O257" s="549">
        <v>254.97774839213079</v>
      </c>
      <c r="P257" s="549">
        <v>254.97774839213079</v>
      </c>
      <c r="Q257" s="549">
        <v>254.97774839213079</v>
      </c>
      <c r="R257" s="549">
        <v>237.79269854743225</v>
      </c>
      <c r="S257" s="549">
        <v>237.79269854743225</v>
      </c>
      <c r="T257" s="549">
        <v>237.79269854743225</v>
      </c>
      <c r="U257" s="549">
        <v>237.79269854743225</v>
      </c>
      <c r="V257" s="549">
        <v>237.79269854743225</v>
      </c>
      <c r="W257" s="549">
        <v>220.28626132157467</v>
      </c>
      <c r="X257" s="549">
        <v>220.28626132157467</v>
      </c>
      <c r="Y257" s="549">
        <v>220.28626132157467</v>
      </c>
      <c r="Z257" s="549">
        <v>124.99853527544661</v>
      </c>
      <c r="AA257" s="549">
        <v>124.99853527544661</v>
      </c>
      <c r="AB257" s="549">
        <v>72.9363818144421</v>
      </c>
      <c r="AC257" s="549">
        <v>72.9363818144421</v>
      </c>
      <c r="AD257" s="549">
        <v>72.9363818144421</v>
      </c>
      <c r="AE257" s="549">
        <v>72.9363818144421</v>
      </c>
      <c r="AF257" s="549">
        <v>72.9363818144421</v>
      </c>
      <c r="AG257" s="549">
        <v>11.834705580732592</v>
      </c>
      <c r="AH257" s="549">
        <v>11.834705580732592</v>
      </c>
      <c r="AI257" s="549">
        <v>11.834705580732592</v>
      </c>
      <c r="AJ257" s="549">
        <v>11.834705580732592</v>
      </c>
      <c r="AK257" s="549">
        <v>11.834705580732592</v>
      </c>
      <c r="AL257" s="549">
        <v>0</v>
      </c>
      <c r="AM257" s="549">
        <v>0</v>
      </c>
      <c r="AN257" s="549">
        <v>0</v>
      </c>
      <c r="AO257" s="549">
        <v>0</v>
      </c>
      <c r="AP257" s="549">
        <v>0</v>
      </c>
      <c r="AQ257" s="549">
        <v>0</v>
      </c>
      <c r="AR257" s="549">
        <v>0</v>
      </c>
      <c r="AS257" s="549">
        <v>0</v>
      </c>
      <c r="AT257" s="549">
        <v>0</v>
      </c>
      <c r="AU257" s="549">
        <v>0</v>
      </c>
      <c r="AV257" s="549">
        <v>0</v>
      </c>
      <c r="AW257" s="549">
        <v>0</v>
      </c>
      <c r="AX257" s="549">
        <v>0</v>
      </c>
      <c r="AY257" s="549">
        <v>0</v>
      </c>
      <c r="AZ257" s="550">
        <v>0</v>
      </c>
    </row>
    <row r="258" spans="1:52" s="469" customFormat="1">
      <c r="A258" s="485">
        <f>'[4]Allocation Methodology'!A8</f>
        <v>4</v>
      </c>
      <c r="B258" s="486" t="str">
        <f>'[4]Allocation Methodology'!B8</f>
        <v>Demand Response 1</v>
      </c>
      <c r="C258" s="486" t="str">
        <f>'[4]Allocation Methodology'!C8</f>
        <v>Business, Industrial</v>
      </c>
      <c r="D258" s="486"/>
      <c r="E258" s="486">
        <f>'[4]Allocation Methodology'!D8</f>
        <v>2006</v>
      </c>
      <c r="F258" s="487" t="str">
        <f>'[4]Allocation Methodology'!E8</f>
        <v>Final</v>
      </c>
      <c r="G258" s="471" t="b">
        <v>0</v>
      </c>
      <c r="H258" s="545">
        <v>0</v>
      </c>
      <c r="I258" s="546">
        <v>0</v>
      </c>
      <c r="J258" s="546">
        <v>0</v>
      </c>
      <c r="K258" s="546">
        <v>0</v>
      </c>
      <c r="L258" s="546">
        <v>0</v>
      </c>
      <c r="M258" s="546">
        <v>0</v>
      </c>
      <c r="N258" s="546">
        <v>0</v>
      </c>
      <c r="O258" s="546">
        <v>0</v>
      </c>
      <c r="P258" s="546">
        <v>0</v>
      </c>
      <c r="Q258" s="546">
        <v>0</v>
      </c>
      <c r="R258" s="546">
        <v>0</v>
      </c>
      <c r="S258" s="546">
        <v>0</v>
      </c>
      <c r="T258" s="546">
        <v>0</v>
      </c>
      <c r="U258" s="546">
        <v>0</v>
      </c>
      <c r="V258" s="546">
        <v>0</v>
      </c>
      <c r="W258" s="546">
        <v>0</v>
      </c>
      <c r="X258" s="546">
        <v>0</v>
      </c>
      <c r="Y258" s="546">
        <v>0</v>
      </c>
      <c r="Z258" s="546">
        <v>0</v>
      </c>
      <c r="AA258" s="546">
        <v>0</v>
      </c>
      <c r="AB258" s="546">
        <v>0</v>
      </c>
      <c r="AC258" s="546">
        <v>0</v>
      </c>
      <c r="AD258" s="546">
        <v>0</v>
      </c>
      <c r="AE258" s="546">
        <v>0</v>
      </c>
      <c r="AF258" s="546">
        <v>0</v>
      </c>
      <c r="AG258" s="546">
        <v>0</v>
      </c>
      <c r="AH258" s="546">
        <v>0</v>
      </c>
      <c r="AI258" s="546">
        <v>0</v>
      </c>
      <c r="AJ258" s="546">
        <v>0</v>
      </c>
      <c r="AK258" s="546">
        <v>0</v>
      </c>
      <c r="AL258" s="546">
        <v>0</v>
      </c>
      <c r="AM258" s="546">
        <v>0</v>
      </c>
      <c r="AN258" s="546">
        <v>0</v>
      </c>
      <c r="AO258" s="546">
        <v>0</v>
      </c>
      <c r="AP258" s="546">
        <v>0</v>
      </c>
      <c r="AQ258" s="546">
        <v>0</v>
      </c>
      <c r="AR258" s="546">
        <v>0</v>
      </c>
      <c r="AS258" s="546">
        <v>0</v>
      </c>
      <c r="AT258" s="546">
        <v>0</v>
      </c>
      <c r="AU258" s="546">
        <v>0</v>
      </c>
      <c r="AV258" s="546">
        <v>0</v>
      </c>
      <c r="AW258" s="546">
        <v>0</v>
      </c>
      <c r="AX258" s="546">
        <v>0</v>
      </c>
      <c r="AY258" s="546">
        <v>0</v>
      </c>
      <c r="AZ258" s="547">
        <v>0</v>
      </c>
    </row>
    <row r="259" spans="1:52" s="469" customFormat="1">
      <c r="A259" s="499">
        <f>'[4]Allocation Methodology'!A9</f>
        <v>5</v>
      </c>
      <c r="B259" s="500" t="str">
        <f>'[4]Allocation Methodology'!B9</f>
        <v>Loblaw &amp; York Region Demand Response</v>
      </c>
      <c r="C259" s="500" t="str">
        <f>'[4]Allocation Methodology'!C9</f>
        <v>Business, Industrial</v>
      </c>
      <c r="D259" s="500"/>
      <c r="E259" s="500">
        <f>'[4]Allocation Methodology'!D9</f>
        <v>2006</v>
      </c>
      <c r="F259" s="501" t="str">
        <f>'[4]Allocation Methodology'!E9</f>
        <v>Final</v>
      </c>
      <c r="G259" s="471" t="b">
        <v>0</v>
      </c>
      <c r="H259" s="551">
        <v>0</v>
      </c>
      <c r="I259" s="552">
        <v>0</v>
      </c>
      <c r="J259" s="552">
        <v>0</v>
      </c>
      <c r="K259" s="552">
        <v>0</v>
      </c>
      <c r="L259" s="552">
        <v>0</v>
      </c>
      <c r="M259" s="552">
        <v>0</v>
      </c>
      <c r="N259" s="552">
        <v>0</v>
      </c>
      <c r="O259" s="552">
        <v>0</v>
      </c>
      <c r="P259" s="552">
        <v>0</v>
      </c>
      <c r="Q259" s="552">
        <v>0</v>
      </c>
      <c r="R259" s="552">
        <v>0</v>
      </c>
      <c r="S259" s="552">
        <v>0</v>
      </c>
      <c r="T259" s="552">
        <v>0</v>
      </c>
      <c r="U259" s="552">
        <v>0</v>
      </c>
      <c r="V259" s="552">
        <v>0</v>
      </c>
      <c r="W259" s="552">
        <v>0</v>
      </c>
      <c r="X259" s="552">
        <v>0</v>
      </c>
      <c r="Y259" s="552">
        <v>0</v>
      </c>
      <c r="Z259" s="552">
        <v>0</v>
      </c>
      <c r="AA259" s="552">
        <v>0</v>
      </c>
      <c r="AB259" s="552">
        <v>0</v>
      </c>
      <c r="AC259" s="552">
        <v>0</v>
      </c>
      <c r="AD259" s="552">
        <v>0</v>
      </c>
      <c r="AE259" s="552">
        <v>0</v>
      </c>
      <c r="AF259" s="552">
        <v>0</v>
      </c>
      <c r="AG259" s="552">
        <v>0</v>
      </c>
      <c r="AH259" s="552">
        <v>0</v>
      </c>
      <c r="AI259" s="552">
        <v>0</v>
      </c>
      <c r="AJ259" s="552">
        <v>0</v>
      </c>
      <c r="AK259" s="552">
        <v>0</v>
      </c>
      <c r="AL259" s="552">
        <v>0</v>
      </c>
      <c r="AM259" s="552">
        <v>0</v>
      </c>
      <c r="AN259" s="552">
        <v>0</v>
      </c>
      <c r="AO259" s="552">
        <v>0</v>
      </c>
      <c r="AP259" s="552">
        <v>0</v>
      </c>
      <c r="AQ259" s="552">
        <v>0</v>
      </c>
      <c r="AR259" s="552">
        <v>0</v>
      </c>
      <c r="AS259" s="552">
        <v>0</v>
      </c>
      <c r="AT259" s="552">
        <v>0</v>
      </c>
      <c r="AU259" s="552">
        <v>0</v>
      </c>
      <c r="AV259" s="552">
        <v>0</v>
      </c>
      <c r="AW259" s="552">
        <v>0</v>
      </c>
      <c r="AX259" s="552">
        <v>0</v>
      </c>
      <c r="AY259" s="552">
        <v>0</v>
      </c>
      <c r="AZ259" s="553">
        <v>0</v>
      </c>
    </row>
    <row r="260" spans="1:52" s="469" customFormat="1">
      <c r="A260" s="506">
        <f>'[4]Allocation Methodology'!A10</f>
        <v>6</v>
      </c>
      <c r="B260" s="507" t="str">
        <f>'[4]Allocation Methodology'!B10</f>
        <v>Great Refrigerator Roundup</v>
      </c>
      <c r="C260" s="507" t="str">
        <f>'[4]Allocation Methodology'!C10</f>
        <v>Consumer</v>
      </c>
      <c r="D260" s="507"/>
      <c r="E260" s="507">
        <f>'[4]Allocation Methodology'!D10</f>
        <v>2007</v>
      </c>
      <c r="F260" s="508" t="str">
        <f>'[4]Allocation Methodology'!E10</f>
        <v>Final</v>
      </c>
      <c r="G260" s="471" t="b">
        <v>0</v>
      </c>
      <c r="H260" s="554">
        <v>0</v>
      </c>
      <c r="I260" s="555">
        <v>151.31990266557551</v>
      </c>
      <c r="J260" s="555">
        <v>151.31990266557551</v>
      </c>
      <c r="K260" s="555">
        <v>151.31990266557551</v>
      </c>
      <c r="L260" s="555">
        <v>151.31990266557551</v>
      </c>
      <c r="M260" s="555">
        <v>150.95964441107961</v>
      </c>
      <c r="N260" s="555">
        <v>150.59938615658371</v>
      </c>
      <c r="O260" s="555">
        <v>150.59938615658371</v>
      </c>
      <c r="P260" s="555">
        <v>150.59938615658371</v>
      </c>
      <c r="Q260" s="555">
        <v>128.15142886607126</v>
      </c>
      <c r="R260" s="555">
        <v>0</v>
      </c>
      <c r="S260" s="555">
        <v>0</v>
      </c>
      <c r="T260" s="555">
        <v>0</v>
      </c>
      <c r="U260" s="555">
        <v>0</v>
      </c>
      <c r="V260" s="555">
        <v>0</v>
      </c>
      <c r="W260" s="555">
        <v>0</v>
      </c>
      <c r="X260" s="555">
        <v>0</v>
      </c>
      <c r="Y260" s="555">
        <v>0</v>
      </c>
      <c r="Z260" s="555">
        <v>0</v>
      </c>
      <c r="AA260" s="555">
        <v>0</v>
      </c>
      <c r="AB260" s="555">
        <v>0</v>
      </c>
      <c r="AC260" s="555">
        <v>0</v>
      </c>
      <c r="AD260" s="555">
        <v>0</v>
      </c>
      <c r="AE260" s="555">
        <v>0</v>
      </c>
      <c r="AF260" s="555">
        <v>0</v>
      </c>
      <c r="AG260" s="555">
        <v>0</v>
      </c>
      <c r="AH260" s="555">
        <v>0</v>
      </c>
      <c r="AI260" s="555">
        <v>0</v>
      </c>
      <c r="AJ260" s="555">
        <v>0</v>
      </c>
      <c r="AK260" s="555">
        <v>0</v>
      </c>
      <c r="AL260" s="555">
        <v>0</v>
      </c>
      <c r="AM260" s="555">
        <v>0</v>
      </c>
      <c r="AN260" s="555">
        <v>0</v>
      </c>
      <c r="AO260" s="555">
        <v>0</v>
      </c>
      <c r="AP260" s="555">
        <v>0</v>
      </c>
      <c r="AQ260" s="555">
        <v>0</v>
      </c>
      <c r="AR260" s="555">
        <v>0</v>
      </c>
      <c r="AS260" s="555">
        <v>0</v>
      </c>
      <c r="AT260" s="555">
        <v>0</v>
      </c>
      <c r="AU260" s="555">
        <v>0</v>
      </c>
      <c r="AV260" s="555">
        <v>0</v>
      </c>
      <c r="AW260" s="555">
        <v>0</v>
      </c>
      <c r="AX260" s="555">
        <v>0</v>
      </c>
      <c r="AY260" s="555">
        <v>0</v>
      </c>
      <c r="AZ260" s="556">
        <v>0</v>
      </c>
    </row>
    <row r="261" spans="1:52" s="469" customFormat="1">
      <c r="A261" s="492">
        <f>'[4]Allocation Methodology'!A11</f>
        <v>7</v>
      </c>
      <c r="B261" s="493" t="str">
        <f>'[4]Allocation Methodology'!B11</f>
        <v>Cool &amp; Hot Savings Rebate</v>
      </c>
      <c r="C261" s="493" t="str">
        <f>'[4]Allocation Methodology'!C11</f>
        <v>Consumer</v>
      </c>
      <c r="D261" s="493"/>
      <c r="E261" s="493">
        <f>'[4]Allocation Methodology'!D11</f>
        <v>2007</v>
      </c>
      <c r="F261" s="494" t="str">
        <f>'[4]Allocation Methodology'!E11</f>
        <v>Final</v>
      </c>
      <c r="G261" s="471" t="b">
        <v>0</v>
      </c>
      <c r="H261" s="548">
        <v>0</v>
      </c>
      <c r="I261" s="549">
        <v>231.51898622698926</v>
      </c>
      <c r="J261" s="549">
        <v>231.51898622698926</v>
      </c>
      <c r="K261" s="549">
        <v>231.51898622698926</v>
      </c>
      <c r="L261" s="549">
        <v>231.51898622698926</v>
      </c>
      <c r="M261" s="549">
        <v>231.51898622698926</v>
      </c>
      <c r="N261" s="549">
        <v>195.95216272360048</v>
      </c>
      <c r="O261" s="549">
        <v>195.95216272360048</v>
      </c>
      <c r="P261" s="549">
        <v>195.95216272360048</v>
      </c>
      <c r="Q261" s="549">
        <v>195.95216272360048</v>
      </c>
      <c r="R261" s="549">
        <v>195.95216272360048</v>
      </c>
      <c r="S261" s="549">
        <v>195.95216272360048</v>
      </c>
      <c r="T261" s="549">
        <v>195.95216272360048</v>
      </c>
      <c r="U261" s="549">
        <v>195.95216272360048</v>
      </c>
      <c r="V261" s="549">
        <v>195.95216272360048</v>
      </c>
      <c r="W261" s="549">
        <v>195.95216272360048</v>
      </c>
      <c r="X261" s="549">
        <v>21.526692143170731</v>
      </c>
      <c r="Y261" s="549">
        <v>21.526692143170731</v>
      </c>
      <c r="Z261" s="549">
        <v>21.526692143170731</v>
      </c>
      <c r="AA261" s="549">
        <v>0</v>
      </c>
      <c r="AB261" s="549">
        <v>0</v>
      </c>
      <c r="AC261" s="549">
        <v>0</v>
      </c>
      <c r="AD261" s="549">
        <v>0</v>
      </c>
      <c r="AE261" s="549">
        <v>0</v>
      </c>
      <c r="AF261" s="549">
        <v>0</v>
      </c>
      <c r="AG261" s="549">
        <v>0</v>
      </c>
      <c r="AH261" s="549">
        <v>0</v>
      </c>
      <c r="AI261" s="549">
        <v>0</v>
      </c>
      <c r="AJ261" s="549">
        <v>0</v>
      </c>
      <c r="AK261" s="549">
        <v>0</v>
      </c>
      <c r="AL261" s="549">
        <v>0</v>
      </c>
      <c r="AM261" s="549">
        <v>0</v>
      </c>
      <c r="AN261" s="549">
        <v>0</v>
      </c>
      <c r="AO261" s="549">
        <v>0</v>
      </c>
      <c r="AP261" s="549">
        <v>0</v>
      </c>
      <c r="AQ261" s="549">
        <v>0</v>
      </c>
      <c r="AR261" s="549">
        <v>0</v>
      </c>
      <c r="AS261" s="549">
        <v>0</v>
      </c>
      <c r="AT261" s="549">
        <v>0</v>
      </c>
      <c r="AU261" s="549">
        <v>0</v>
      </c>
      <c r="AV261" s="549">
        <v>0</v>
      </c>
      <c r="AW261" s="549">
        <v>0</v>
      </c>
      <c r="AX261" s="549">
        <v>0</v>
      </c>
      <c r="AY261" s="549">
        <v>0</v>
      </c>
      <c r="AZ261" s="550">
        <v>0</v>
      </c>
    </row>
    <row r="262" spans="1:52" s="469" customFormat="1">
      <c r="A262" s="485">
        <f>'[4]Allocation Methodology'!A12</f>
        <v>8</v>
      </c>
      <c r="B262" s="486" t="str">
        <f>'[4]Allocation Methodology'!B12</f>
        <v>Every Kilowatt Counts</v>
      </c>
      <c r="C262" s="486" t="str">
        <f>'[4]Allocation Methodology'!C12</f>
        <v>Consumer</v>
      </c>
      <c r="D262" s="486"/>
      <c r="E262" s="486">
        <f>'[4]Allocation Methodology'!D12</f>
        <v>2007</v>
      </c>
      <c r="F262" s="487" t="str">
        <f>'[4]Allocation Methodology'!E12</f>
        <v>Final</v>
      </c>
      <c r="G262" s="471" t="b">
        <v>0</v>
      </c>
      <c r="H262" s="545">
        <v>0</v>
      </c>
      <c r="I262" s="546">
        <v>963.98617631899037</v>
      </c>
      <c r="J262" s="546">
        <v>948.27410947275075</v>
      </c>
      <c r="K262" s="546">
        <v>948.27410947275075</v>
      </c>
      <c r="L262" s="546">
        <v>948.27410947275075</v>
      </c>
      <c r="M262" s="546">
        <v>948.27410947275075</v>
      </c>
      <c r="N262" s="546">
        <v>893.81381341169651</v>
      </c>
      <c r="O262" s="546">
        <v>893.81381341169651</v>
      </c>
      <c r="P262" s="546">
        <v>893.81381341169651</v>
      </c>
      <c r="Q262" s="546">
        <v>96.772232176828012</v>
      </c>
      <c r="R262" s="546">
        <v>96.772232176828012</v>
      </c>
      <c r="S262" s="546">
        <v>17.304287100682313</v>
      </c>
      <c r="T262" s="546">
        <v>17.304287100682313</v>
      </c>
      <c r="U262" s="546">
        <v>17.304287100682313</v>
      </c>
      <c r="V262" s="546">
        <v>17.304287100682313</v>
      </c>
      <c r="W262" s="546">
        <v>17.304287100682313</v>
      </c>
      <c r="X262" s="546">
        <v>9.7524754762032249</v>
      </c>
      <c r="Y262" s="546">
        <v>3.6312982173682316</v>
      </c>
      <c r="Z262" s="546">
        <v>3.6312982173682316</v>
      </c>
      <c r="AA262" s="546">
        <v>0</v>
      </c>
      <c r="AB262" s="546">
        <v>0</v>
      </c>
      <c r="AC262" s="546">
        <v>0</v>
      </c>
      <c r="AD262" s="546">
        <v>0</v>
      </c>
      <c r="AE262" s="546">
        <v>0</v>
      </c>
      <c r="AF262" s="546">
        <v>0</v>
      </c>
      <c r="AG262" s="546">
        <v>0</v>
      </c>
      <c r="AH262" s="546">
        <v>0</v>
      </c>
      <c r="AI262" s="546">
        <v>0</v>
      </c>
      <c r="AJ262" s="546">
        <v>0</v>
      </c>
      <c r="AK262" s="546">
        <v>0</v>
      </c>
      <c r="AL262" s="546">
        <v>0</v>
      </c>
      <c r="AM262" s="546">
        <v>0</v>
      </c>
      <c r="AN262" s="546">
        <v>0</v>
      </c>
      <c r="AO262" s="546">
        <v>0</v>
      </c>
      <c r="AP262" s="546">
        <v>0</v>
      </c>
      <c r="AQ262" s="546">
        <v>0</v>
      </c>
      <c r="AR262" s="546">
        <v>0</v>
      </c>
      <c r="AS262" s="546">
        <v>0</v>
      </c>
      <c r="AT262" s="546">
        <v>0</v>
      </c>
      <c r="AU262" s="546">
        <v>0</v>
      </c>
      <c r="AV262" s="546">
        <v>0</v>
      </c>
      <c r="AW262" s="546">
        <v>0</v>
      </c>
      <c r="AX262" s="546">
        <v>0</v>
      </c>
      <c r="AY262" s="546">
        <v>0</v>
      </c>
      <c r="AZ262" s="547">
        <v>0</v>
      </c>
    </row>
    <row r="263" spans="1:52" s="469" customFormat="1">
      <c r="A263" s="492">
        <f>'[4]Allocation Methodology'!A13</f>
        <v>9</v>
      </c>
      <c r="B263" s="513" t="str">
        <f>'[4]Allocation Methodology'!B13</f>
        <v>peaksaver®</v>
      </c>
      <c r="C263" s="493" t="str">
        <f>'[4]Allocation Methodology'!C13</f>
        <v>Consumer, Business</v>
      </c>
      <c r="D263" s="493"/>
      <c r="E263" s="493">
        <f>'[4]Allocation Methodology'!D13</f>
        <v>2007</v>
      </c>
      <c r="F263" s="494" t="str">
        <f>'[4]Allocation Methodology'!E13</f>
        <v>Final</v>
      </c>
      <c r="G263" s="471" t="b">
        <v>0</v>
      </c>
      <c r="H263" s="548">
        <v>0</v>
      </c>
      <c r="I263" s="549">
        <v>0</v>
      </c>
      <c r="J263" s="549">
        <v>0</v>
      </c>
      <c r="K263" s="549">
        <v>0</v>
      </c>
      <c r="L263" s="549">
        <v>0</v>
      </c>
      <c r="M263" s="549">
        <v>0</v>
      </c>
      <c r="N263" s="549">
        <v>0</v>
      </c>
      <c r="O263" s="549">
        <v>0</v>
      </c>
      <c r="P263" s="549">
        <v>0</v>
      </c>
      <c r="Q263" s="549">
        <v>0</v>
      </c>
      <c r="R263" s="549">
        <v>0</v>
      </c>
      <c r="S263" s="549">
        <v>0</v>
      </c>
      <c r="T263" s="549">
        <v>0</v>
      </c>
      <c r="U263" s="549">
        <v>0</v>
      </c>
      <c r="V263" s="549">
        <v>0</v>
      </c>
      <c r="W263" s="549">
        <v>0</v>
      </c>
      <c r="X263" s="549">
        <v>0</v>
      </c>
      <c r="Y263" s="549">
        <v>0</v>
      </c>
      <c r="Z263" s="549">
        <v>0</v>
      </c>
      <c r="AA263" s="549">
        <v>0</v>
      </c>
      <c r="AB263" s="549">
        <v>0</v>
      </c>
      <c r="AC263" s="549">
        <v>0</v>
      </c>
      <c r="AD263" s="549">
        <v>0</v>
      </c>
      <c r="AE263" s="549">
        <v>0</v>
      </c>
      <c r="AF263" s="549">
        <v>0</v>
      </c>
      <c r="AG263" s="549">
        <v>0</v>
      </c>
      <c r="AH263" s="549">
        <v>0</v>
      </c>
      <c r="AI263" s="549">
        <v>0</v>
      </c>
      <c r="AJ263" s="549">
        <v>0</v>
      </c>
      <c r="AK263" s="549">
        <v>0</v>
      </c>
      <c r="AL263" s="549">
        <v>0</v>
      </c>
      <c r="AM263" s="549">
        <v>0</v>
      </c>
      <c r="AN263" s="549">
        <v>0</v>
      </c>
      <c r="AO263" s="549">
        <v>0</v>
      </c>
      <c r="AP263" s="549">
        <v>0</v>
      </c>
      <c r="AQ263" s="549">
        <v>0</v>
      </c>
      <c r="AR263" s="549">
        <v>0</v>
      </c>
      <c r="AS263" s="549">
        <v>0</v>
      </c>
      <c r="AT263" s="549">
        <v>0</v>
      </c>
      <c r="AU263" s="549">
        <v>0</v>
      </c>
      <c r="AV263" s="549">
        <v>0</v>
      </c>
      <c r="AW263" s="549">
        <v>0</v>
      </c>
      <c r="AX263" s="549">
        <v>0</v>
      </c>
      <c r="AY263" s="549">
        <v>0</v>
      </c>
      <c r="AZ263" s="550">
        <v>0</v>
      </c>
    </row>
    <row r="264" spans="1:52" s="469" customFormat="1">
      <c r="A264" s="485">
        <f>'[4]Allocation Methodology'!A14</f>
        <v>10</v>
      </c>
      <c r="B264" s="486" t="str">
        <f>'[4]Allocation Methodology'!B14</f>
        <v>Summer Savings</v>
      </c>
      <c r="C264" s="486" t="str">
        <f>'[4]Allocation Methodology'!C14</f>
        <v>Consumer</v>
      </c>
      <c r="D264" s="486"/>
      <c r="E264" s="486">
        <f>'[4]Allocation Methodology'!D14</f>
        <v>2007</v>
      </c>
      <c r="F264" s="487" t="str">
        <f>'[4]Allocation Methodology'!E14</f>
        <v>Final</v>
      </c>
      <c r="G264" s="471" t="b">
        <v>0</v>
      </c>
      <c r="H264" s="545">
        <v>0</v>
      </c>
      <c r="I264" s="546">
        <v>2749.8896526498397</v>
      </c>
      <c r="J264" s="546">
        <v>463.50058762386629</v>
      </c>
      <c r="K264" s="546">
        <v>175.44243901458955</v>
      </c>
      <c r="L264" s="546">
        <v>175.44243901458955</v>
      </c>
      <c r="M264" s="546">
        <v>175.44243901458955</v>
      </c>
      <c r="N264" s="546">
        <v>175.44243901458955</v>
      </c>
      <c r="O264" s="546">
        <v>175.44243901458955</v>
      </c>
      <c r="P264" s="546">
        <v>175.44243901458955</v>
      </c>
      <c r="Q264" s="546">
        <v>111.42429867092343</v>
      </c>
      <c r="R264" s="546">
        <v>111.42429867092343</v>
      </c>
      <c r="S264" s="546">
        <v>111.42429867092343</v>
      </c>
      <c r="T264" s="546">
        <v>111.42429867092343</v>
      </c>
      <c r="U264" s="546">
        <v>111.42429867092343</v>
      </c>
      <c r="V264" s="546">
        <v>111.42429867092343</v>
      </c>
      <c r="W264" s="546">
        <v>0</v>
      </c>
      <c r="X264" s="546">
        <v>0</v>
      </c>
      <c r="Y264" s="546">
        <v>0</v>
      </c>
      <c r="Z264" s="546">
        <v>0</v>
      </c>
      <c r="AA264" s="546">
        <v>0</v>
      </c>
      <c r="AB264" s="546">
        <v>0</v>
      </c>
      <c r="AC264" s="546">
        <v>0</v>
      </c>
      <c r="AD264" s="546">
        <v>0</v>
      </c>
      <c r="AE264" s="546">
        <v>0</v>
      </c>
      <c r="AF264" s="546">
        <v>0</v>
      </c>
      <c r="AG264" s="546">
        <v>0</v>
      </c>
      <c r="AH264" s="546">
        <v>0</v>
      </c>
      <c r="AI264" s="546">
        <v>0</v>
      </c>
      <c r="AJ264" s="546">
        <v>0</v>
      </c>
      <c r="AK264" s="546">
        <v>0</v>
      </c>
      <c r="AL264" s="546">
        <v>0</v>
      </c>
      <c r="AM264" s="546">
        <v>0</v>
      </c>
      <c r="AN264" s="546">
        <v>0</v>
      </c>
      <c r="AO264" s="546">
        <v>0</v>
      </c>
      <c r="AP264" s="546">
        <v>0</v>
      </c>
      <c r="AQ264" s="546">
        <v>0</v>
      </c>
      <c r="AR264" s="546">
        <v>0</v>
      </c>
      <c r="AS264" s="546">
        <v>0</v>
      </c>
      <c r="AT264" s="546">
        <v>0</v>
      </c>
      <c r="AU264" s="546">
        <v>0</v>
      </c>
      <c r="AV264" s="546">
        <v>0</v>
      </c>
      <c r="AW264" s="546">
        <v>0</v>
      </c>
      <c r="AX264" s="546">
        <v>0</v>
      </c>
      <c r="AY264" s="546">
        <v>0</v>
      </c>
      <c r="AZ264" s="547">
        <v>0</v>
      </c>
    </row>
    <row r="265" spans="1:52" s="469" customFormat="1">
      <c r="A265" s="492">
        <f>'[4]Allocation Methodology'!A15</f>
        <v>11</v>
      </c>
      <c r="B265" s="493" t="str">
        <f>'[4]Allocation Methodology'!B15</f>
        <v>Aboriginal</v>
      </c>
      <c r="C265" s="493" t="str">
        <f>'[4]Allocation Methodology'!C15</f>
        <v>Consumer</v>
      </c>
      <c r="D265" s="493"/>
      <c r="E265" s="493">
        <f>'[4]Allocation Methodology'!D15</f>
        <v>2007</v>
      </c>
      <c r="F265" s="494" t="str">
        <f>'[4]Allocation Methodology'!E15</f>
        <v>Final</v>
      </c>
      <c r="G265" s="471" t="b">
        <v>0</v>
      </c>
      <c r="H265" s="548">
        <v>0</v>
      </c>
      <c r="I265" s="549">
        <v>0</v>
      </c>
      <c r="J265" s="549">
        <v>0</v>
      </c>
      <c r="K265" s="549">
        <v>0</v>
      </c>
      <c r="L265" s="549">
        <v>0</v>
      </c>
      <c r="M265" s="549">
        <v>0</v>
      </c>
      <c r="N265" s="549">
        <v>0</v>
      </c>
      <c r="O265" s="549">
        <v>0</v>
      </c>
      <c r="P265" s="549">
        <v>0</v>
      </c>
      <c r="Q265" s="549">
        <v>0</v>
      </c>
      <c r="R265" s="549">
        <v>0</v>
      </c>
      <c r="S265" s="549">
        <v>0</v>
      </c>
      <c r="T265" s="549">
        <v>0</v>
      </c>
      <c r="U265" s="549">
        <v>0</v>
      </c>
      <c r="V265" s="549">
        <v>0</v>
      </c>
      <c r="W265" s="549">
        <v>0</v>
      </c>
      <c r="X265" s="549">
        <v>0</v>
      </c>
      <c r="Y265" s="549">
        <v>0</v>
      </c>
      <c r="Z265" s="549">
        <v>0</v>
      </c>
      <c r="AA265" s="549">
        <v>0</v>
      </c>
      <c r="AB265" s="549">
        <v>0</v>
      </c>
      <c r="AC265" s="549">
        <v>0</v>
      </c>
      <c r="AD265" s="549">
        <v>0</v>
      </c>
      <c r="AE265" s="549">
        <v>0</v>
      </c>
      <c r="AF265" s="549">
        <v>0</v>
      </c>
      <c r="AG265" s="549">
        <v>0</v>
      </c>
      <c r="AH265" s="549">
        <v>0</v>
      </c>
      <c r="AI265" s="549">
        <v>0</v>
      </c>
      <c r="AJ265" s="549">
        <v>0</v>
      </c>
      <c r="AK265" s="549">
        <v>0</v>
      </c>
      <c r="AL265" s="549">
        <v>0</v>
      </c>
      <c r="AM265" s="549">
        <v>0</v>
      </c>
      <c r="AN265" s="549">
        <v>0</v>
      </c>
      <c r="AO265" s="549">
        <v>0</v>
      </c>
      <c r="AP265" s="549">
        <v>0</v>
      </c>
      <c r="AQ265" s="549">
        <v>0</v>
      </c>
      <c r="AR265" s="549">
        <v>0</v>
      </c>
      <c r="AS265" s="549">
        <v>0</v>
      </c>
      <c r="AT265" s="549">
        <v>0</v>
      </c>
      <c r="AU265" s="549">
        <v>0</v>
      </c>
      <c r="AV265" s="549">
        <v>0</v>
      </c>
      <c r="AW265" s="549">
        <v>0</v>
      </c>
      <c r="AX265" s="549">
        <v>0</v>
      </c>
      <c r="AY265" s="549">
        <v>0</v>
      </c>
      <c r="AZ265" s="550">
        <v>0</v>
      </c>
    </row>
    <row r="266" spans="1:52" s="469" customFormat="1">
      <c r="A266" s="485">
        <f>'[4]Allocation Methodology'!A16</f>
        <v>12</v>
      </c>
      <c r="B266" s="486" t="str">
        <f>'[4]Allocation Methodology'!B16</f>
        <v>Affordable Housing Pilot</v>
      </c>
      <c r="C266" s="486" t="str">
        <f>'[4]Allocation Methodology'!C16</f>
        <v>Consumer Low-Income</v>
      </c>
      <c r="D266" s="486"/>
      <c r="E266" s="486">
        <f>'[4]Allocation Methodology'!D16</f>
        <v>2007</v>
      </c>
      <c r="F266" s="487" t="str">
        <f>'[4]Allocation Methodology'!E16</f>
        <v>Final</v>
      </c>
      <c r="G266" s="471" t="b">
        <v>0</v>
      </c>
      <c r="H266" s="545">
        <v>0</v>
      </c>
      <c r="I266" s="546">
        <v>120.72139</v>
      </c>
      <c r="J266" s="546">
        <v>120.72139</v>
      </c>
      <c r="K266" s="546">
        <v>120.72139</v>
      </c>
      <c r="L266" s="546">
        <v>120.72139</v>
      </c>
      <c r="M266" s="546">
        <v>120.72139</v>
      </c>
      <c r="N266" s="546">
        <v>120.72139</v>
      </c>
      <c r="O266" s="546">
        <v>120.72139</v>
      </c>
      <c r="P266" s="546">
        <v>120.72139</v>
      </c>
      <c r="Q266" s="546">
        <v>120.72139</v>
      </c>
      <c r="R266" s="546">
        <v>120.72139</v>
      </c>
      <c r="S266" s="546">
        <v>120.72139</v>
      </c>
      <c r="T266" s="546">
        <v>120.72139</v>
      </c>
      <c r="U266" s="546">
        <v>120.72139</v>
      </c>
      <c r="V266" s="546">
        <v>120.72139</v>
      </c>
      <c r="W266" s="546">
        <v>0</v>
      </c>
      <c r="X266" s="546">
        <v>0</v>
      </c>
      <c r="Y266" s="546">
        <v>0</v>
      </c>
      <c r="Z266" s="546">
        <v>0</v>
      </c>
      <c r="AA266" s="546">
        <v>0</v>
      </c>
      <c r="AB266" s="546">
        <v>0</v>
      </c>
      <c r="AC266" s="546">
        <v>0</v>
      </c>
      <c r="AD266" s="546">
        <v>0</v>
      </c>
      <c r="AE266" s="546">
        <v>0</v>
      </c>
      <c r="AF266" s="546">
        <v>0</v>
      </c>
      <c r="AG266" s="546">
        <v>0</v>
      </c>
      <c r="AH266" s="546">
        <v>0</v>
      </c>
      <c r="AI266" s="546">
        <v>0</v>
      </c>
      <c r="AJ266" s="546">
        <v>0</v>
      </c>
      <c r="AK266" s="546">
        <v>0</v>
      </c>
      <c r="AL266" s="546">
        <v>0</v>
      </c>
      <c r="AM266" s="546">
        <v>0</v>
      </c>
      <c r="AN266" s="546">
        <v>0</v>
      </c>
      <c r="AO266" s="546">
        <v>0</v>
      </c>
      <c r="AP266" s="546">
        <v>0</v>
      </c>
      <c r="AQ266" s="546">
        <v>0</v>
      </c>
      <c r="AR266" s="546">
        <v>0</v>
      </c>
      <c r="AS266" s="546">
        <v>0</v>
      </c>
      <c r="AT266" s="546">
        <v>0</v>
      </c>
      <c r="AU266" s="546">
        <v>0</v>
      </c>
      <c r="AV266" s="546">
        <v>0</v>
      </c>
      <c r="AW266" s="546">
        <v>0</v>
      </c>
      <c r="AX266" s="546">
        <v>0</v>
      </c>
      <c r="AY266" s="546">
        <v>0</v>
      </c>
      <c r="AZ266" s="547">
        <v>0</v>
      </c>
    </row>
    <row r="267" spans="1:52" s="469" customFormat="1">
      <c r="A267" s="492">
        <f>'[4]Allocation Methodology'!A17</f>
        <v>13</v>
      </c>
      <c r="B267" s="493" t="str">
        <f>'[4]Allocation Methodology'!B17</f>
        <v>Social Housing Pilot</v>
      </c>
      <c r="C267" s="493" t="str">
        <f>'[4]Allocation Methodology'!C17</f>
        <v>Consumer Low-Income</v>
      </c>
      <c r="D267" s="493"/>
      <c r="E267" s="493">
        <f>'[4]Allocation Methodology'!D17</f>
        <v>2007</v>
      </c>
      <c r="F267" s="494" t="str">
        <f>'[4]Allocation Methodology'!E17</f>
        <v>Final</v>
      </c>
      <c r="G267" s="471" t="b">
        <v>0</v>
      </c>
      <c r="H267" s="548">
        <v>0</v>
      </c>
      <c r="I267" s="549">
        <v>64.220752287921457</v>
      </c>
      <c r="J267" s="549">
        <v>64.220752287921457</v>
      </c>
      <c r="K267" s="549">
        <v>64.220752287921457</v>
      </c>
      <c r="L267" s="549">
        <v>64.220752287921457</v>
      </c>
      <c r="M267" s="549">
        <v>64.220752287921457</v>
      </c>
      <c r="N267" s="549">
        <v>64.220752287921457</v>
      </c>
      <c r="O267" s="549">
        <v>64.220752287921457</v>
      </c>
      <c r="P267" s="549">
        <v>64.220752287921457</v>
      </c>
      <c r="Q267" s="549">
        <v>64.220752287921457</v>
      </c>
      <c r="R267" s="549">
        <v>64.220752287921457</v>
      </c>
      <c r="S267" s="549">
        <v>0</v>
      </c>
      <c r="T267" s="549">
        <v>0</v>
      </c>
      <c r="U267" s="549">
        <v>0</v>
      </c>
      <c r="V267" s="549">
        <v>0</v>
      </c>
      <c r="W267" s="549">
        <v>0</v>
      </c>
      <c r="X267" s="549">
        <v>0</v>
      </c>
      <c r="Y267" s="549">
        <v>0</v>
      </c>
      <c r="Z267" s="549">
        <v>0</v>
      </c>
      <c r="AA267" s="549">
        <v>0</v>
      </c>
      <c r="AB267" s="549">
        <v>0</v>
      </c>
      <c r="AC267" s="549">
        <v>0</v>
      </c>
      <c r="AD267" s="549">
        <v>0</v>
      </c>
      <c r="AE267" s="549">
        <v>0</v>
      </c>
      <c r="AF267" s="549">
        <v>0</v>
      </c>
      <c r="AG267" s="549">
        <v>0</v>
      </c>
      <c r="AH267" s="549">
        <v>0</v>
      </c>
      <c r="AI267" s="549">
        <v>0</v>
      </c>
      <c r="AJ267" s="549">
        <v>0</v>
      </c>
      <c r="AK267" s="549">
        <v>0</v>
      </c>
      <c r="AL267" s="549">
        <v>0</v>
      </c>
      <c r="AM267" s="549">
        <v>0</v>
      </c>
      <c r="AN267" s="549">
        <v>0</v>
      </c>
      <c r="AO267" s="549">
        <v>0</v>
      </c>
      <c r="AP267" s="549">
        <v>0</v>
      </c>
      <c r="AQ267" s="549">
        <v>0</v>
      </c>
      <c r="AR267" s="549">
        <v>0</v>
      </c>
      <c r="AS267" s="549">
        <v>0</v>
      </c>
      <c r="AT267" s="549">
        <v>0</v>
      </c>
      <c r="AU267" s="549">
        <v>0</v>
      </c>
      <c r="AV267" s="549">
        <v>0</v>
      </c>
      <c r="AW267" s="549">
        <v>0</v>
      </c>
      <c r="AX267" s="549">
        <v>0</v>
      </c>
      <c r="AY267" s="549">
        <v>0</v>
      </c>
      <c r="AZ267" s="550">
        <v>0</v>
      </c>
    </row>
    <row r="268" spans="1:52" s="469" customFormat="1">
      <c r="A268" s="485">
        <f>'[4]Allocation Methodology'!A18</f>
        <v>14</v>
      </c>
      <c r="B268" s="486" t="str">
        <f>'[4]Allocation Methodology'!B18</f>
        <v>Energy Efficiency Assistance for Houses Pilot</v>
      </c>
      <c r="C268" s="486" t="str">
        <f>'[4]Allocation Methodology'!C18</f>
        <v>Consumer Low-Income</v>
      </c>
      <c r="D268" s="486"/>
      <c r="E268" s="486">
        <f>'[4]Allocation Methodology'!D18</f>
        <v>2007</v>
      </c>
      <c r="F268" s="487" t="str">
        <f>'[4]Allocation Methodology'!E18</f>
        <v>Final</v>
      </c>
      <c r="G268" s="471" t="b">
        <v>0</v>
      </c>
      <c r="H268" s="545">
        <v>0</v>
      </c>
      <c r="I268" s="546">
        <v>131.6722004675193</v>
      </c>
      <c r="J268" s="546">
        <v>131.6722004675193</v>
      </c>
      <c r="K268" s="546">
        <v>131.6722004675193</v>
      </c>
      <c r="L268" s="546">
        <v>131.6722004675193</v>
      </c>
      <c r="M268" s="546">
        <v>131.6722004675193</v>
      </c>
      <c r="N268" s="546">
        <v>131.6722004675193</v>
      </c>
      <c r="O268" s="546">
        <v>131.6722004675193</v>
      </c>
      <c r="P268" s="546">
        <v>131.6722004675193</v>
      </c>
      <c r="Q268" s="546">
        <v>131.6722004675193</v>
      </c>
      <c r="R268" s="546">
        <v>131.6722004675193</v>
      </c>
      <c r="S268" s="546">
        <v>131.6722004675193</v>
      </c>
      <c r="T268" s="546">
        <v>131.6722004675193</v>
      </c>
      <c r="U268" s="546">
        <v>131.6722004675193</v>
      </c>
      <c r="V268" s="546">
        <v>131.6722004675193</v>
      </c>
      <c r="W268" s="546">
        <v>131.6722004675193</v>
      </c>
      <c r="X268" s="546">
        <v>131.6722004675193</v>
      </c>
      <c r="Y268" s="546">
        <v>131.6722004675193</v>
      </c>
      <c r="Z268" s="546">
        <v>131.6722004675193</v>
      </c>
      <c r="AA268" s="546">
        <v>131.6722004675193</v>
      </c>
      <c r="AB268" s="546">
        <v>0</v>
      </c>
      <c r="AC268" s="546">
        <v>0</v>
      </c>
      <c r="AD268" s="546">
        <v>0</v>
      </c>
      <c r="AE268" s="546">
        <v>0</v>
      </c>
      <c r="AF268" s="546">
        <v>0</v>
      </c>
      <c r="AG268" s="546">
        <v>0</v>
      </c>
      <c r="AH268" s="546">
        <v>0</v>
      </c>
      <c r="AI268" s="546">
        <v>0</v>
      </c>
      <c r="AJ268" s="546">
        <v>0</v>
      </c>
      <c r="AK268" s="546">
        <v>0</v>
      </c>
      <c r="AL268" s="546">
        <v>0</v>
      </c>
      <c r="AM268" s="546">
        <v>0</v>
      </c>
      <c r="AN268" s="546">
        <v>0</v>
      </c>
      <c r="AO268" s="546">
        <v>0</v>
      </c>
      <c r="AP268" s="546">
        <v>0</v>
      </c>
      <c r="AQ268" s="546">
        <v>0</v>
      </c>
      <c r="AR268" s="546">
        <v>0</v>
      </c>
      <c r="AS268" s="546">
        <v>0</v>
      </c>
      <c r="AT268" s="546">
        <v>0</v>
      </c>
      <c r="AU268" s="546">
        <v>0</v>
      </c>
      <c r="AV268" s="546">
        <v>0</v>
      </c>
      <c r="AW268" s="546">
        <v>0</v>
      </c>
      <c r="AX268" s="546">
        <v>0</v>
      </c>
      <c r="AY268" s="546">
        <v>0</v>
      </c>
      <c r="AZ268" s="547">
        <v>0</v>
      </c>
    </row>
    <row r="269" spans="1:52" s="469" customFormat="1">
      <c r="A269" s="492">
        <f>'[4]Allocation Methodology'!A19</f>
        <v>15</v>
      </c>
      <c r="B269" s="493" t="str">
        <f>'[4]Allocation Methodology'!B19</f>
        <v>Electricity Retrofit Incentive</v>
      </c>
      <c r="C269" s="493" t="str">
        <f>'[4]Allocation Methodology'!C19</f>
        <v>Business</v>
      </c>
      <c r="D269" s="493"/>
      <c r="E269" s="493">
        <f>'[4]Allocation Methodology'!D19</f>
        <v>2007</v>
      </c>
      <c r="F269" s="494" t="str">
        <f>'[4]Allocation Methodology'!E19</f>
        <v>Final</v>
      </c>
      <c r="G269" s="471" t="b">
        <v>0</v>
      </c>
      <c r="H269" s="548">
        <v>0</v>
      </c>
      <c r="I269" s="549">
        <v>0</v>
      </c>
      <c r="J269" s="549">
        <v>0</v>
      </c>
      <c r="K269" s="549">
        <v>0</v>
      </c>
      <c r="L269" s="549">
        <v>0</v>
      </c>
      <c r="M269" s="549">
        <v>0</v>
      </c>
      <c r="N269" s="549">
        <v>0</v>
      </c>
      <c r="O269" s="549">
        <v>0</v>
      </c>
      <c r="P269" s="549">
        <v>0</v>
      </c>
      <c r="Q269" s="549">
        <v>0</v>
      </c>
      <c r="R269" s="549">
        <v>0</v>
      </c>
      <c r="S269" s="549">
        <v>0</v>
      </c>
      <c r="T269" s="549">
        <v>0</v>
      </c>
      <c r="U269" s="549">
        <v>0</v>
      </c>
      <c r="V269" s="549">
        <v>0</v>
      </c>
      <c r="W269" s="549">
        <v>0</v>
      </c>
      <c r="X269" s="549">
        <v>0</v>
      </c>
      <c r="Y269" s="549">
        <v>0</v>
      </c>
      <c r="Z269" s="549">
        <v>0</v>
      </c>
      <c r="AA269" s="549">
        <v>0</v>
      </c>
      <c r="AB269" s="549">
        <v>0</v>
      </c>
      <c r="AC269" s="549">
        <v>0</v>
      </c>
      <c r="AD269" s="549">
        <v>0</v>
      </c>
      <c r="AE269" s="549">
        <v>0</v>
      </c>
      <c r="AF269" s="549">
        <v>0</v>
      </c>
      <c r="AG269" s="549">
        <v>0</v>
      </c>
      <c r="AH269" s="549">
        <v>0</v>
      </c>
      <c r="AI269" s="549">
        <v>0</v>
      </c>
      <c r="AJ269" s="549">
        <v>0</v>
      </c>
      <c r="AK269" s="549">
        <v>0</v>
      </c>
      <c r="AL269" s="549">
        <v>0</v>
      </c>
      <c r="AM269" s="549">
        <v>0</v>
      </c>
      <c r="AN269" s="549">
        <v>0</v>
      </c>
      <c r="AO269" s="549">
        <v>0</v>
      </c>
      <c r="AP269" s="549">
        <v>0</v>
      </c>
      <c r="AQ269" s="549">
        <v>0</v>
      </c>
      <c r="AR269" s="549">
        <v>0</v>
      </c>
      <c r="AS269" s="549">
        <v>0</v>
      </c>
      <c r="AT269" s="549">
        <v>0</v>
      </c>
      <c r="AU269" s="549">
        <v>0</v>
      </c>
      <c r="AV269" s="549">
        <v>0</v>
      </c>
      <c r="AW269" s="549">
        <v>0</v>
      </c>
      <c r="AX269" s="549">
        <v>0</v>
      </c>
      <c r="AY269" s="549">
        <v>0</v>
      </c>
      <c r="AZ269" s="550">
        <v>0</v>
      </c>
    </row>
    <row r="270" spans="1:52" s="469" customFormat="1">
      <c r="A270" s="485">
        <f>'[4]Allocation Methodology'!A20</f>
        <v>16</v>
      </c>
      <c r="B270" s="486" t="str">
        <f>'[4]Allocation Methodology'!B20</f>
        <v>Toronto Comprehensive</v>
      </c>
      <c r="C270" s="486" t="str">
        <f>'[4]Allocation Methodology'!C20</f>
        <v>Business</v>
      </c>
      <c r="D270" s="486"/>
      <c r="E270" s="486">
        <f>'[4]Allocation Methodology'!D20</f>
        <v>2007</v>
      </c>
      <c r="F270" s="487" t="str">
        <f>'[4]Allocation Methodology'!E20</f>
        <v>Final</v>
      </c>
      <c r="G270" s="471" t="b">
        <v>0</v>
      </c>
      <c r="H270" s="545">
        <v>0</v>
      </c>
      <c r="I270" s="546">
        <v>0</v>
      </c>
      <c r="J270" s="546">
        <v>0</v>
      </c>
      <c r="K270" s="546">
        <v>0</v>
      </c>
      <c r="L270" s="546">
        <v>0</v>
      </c>
      <c r="M270" s="546">
        <v>0</v>
      </c>
      <c r="N270" s="546">
        <v>0</v>
      </c>
      <c r="O270" s="546">
        <v>0</v>
      </c>
      <c r="P270" s="546">
        <v>0</v>
      </c>
      <c r="Q270" s="546">
        <v>0</v>
      </c>
      <c r="R270" s="546">
        <v>0</v>
      </c>
      <c r="S270" s="546">
        <v>0</v>
      </c>
      <c r="T270" s="546">
        <v>0</v>
      </c>
      <c r="U270" s="546">
        <v>0</v>
      </c>
      <c r="V270" s="546">
        <v>0</v>
      </c>
      <c r="W270" s="546">
        <v>0</v>
      </c>
      <c r="X270" s="546">
        <v>0</v>
      </c>
      <c r="Y270" s="546">
        <v>0</v>
      </c>
      <c r="Z270" s="546">
        <v>0</v>
      </c>
      <c r="AA270" s="546">
        <v>0</v>
      </c>
      <c r="AB270" s="546">
        <v>0</v>
      </c>
      <c r="AC270" s="546">
        <v>0</v>
      </c>
      <c r="AD270" s="546">
        <v>0</v>
      </c>
      <c r="AE270" s="546">
        <v>0</v>
      </c>
      <c r="AF270" s="546">
        <v>0</v>
      </c>
      <c r="AG270" s="546">
        <v>0</v>
      </c>
      <c r="AH270" s="546">
        <v>0</v>
      </c>
      <c r="AI270" s="546">
        <v>0</v>
      </c>
      <c r="AJ270" s="546">
        <v>0</v>
      </c>
      <c r="AK270" s="546">
        <v>0</v>
      </c>
      <c r="AL270" s="546">
        <v>0</v>
      </c>
      <c r="AM270" s="546">
        <v>0</v>
      </c>
      <c r="AN270" s="546">
        <v>0</v>
      </c>
      <c r="AO270" s="546">
        <v>0</v>
      </c>
      <c r="AP270" s="546">
        <v>0</v>
      </c>
      <c r="AQ270" s="546">
        <v>0</v>
      </c>
      <c r="AR270" s="546">
        <v>0</v>
      </c>
      <c r="AS270" s="546">
        <v>0</v>
      </c>
      <c r="AT270" s="546">
        <v>0</v>
      </c>
      <c r="AU270" s="546">
        <v>0</v>
      </c>
      <c r="AV270" s="546">
        <v>0</v>
      </c>
      <c r="AW270" s="546">
        <v>0</v>
      </c>
      <c r="AX270" s="546">
        <v>0</v>
      </c>
      <c r="AY270" s="546">
        <v>0</v>
      </c>
      <c r="AZ270" s="547">
        <v>0</v>
      </c>
    </row>
    <row r="271" spans="1:52" s="469" customFormat="1">
      <c r="A271" s="492">
        <f>'[4]Allocation Methodology'!A21</f>
        <v>17</v>
      </c>
      <c r="B271" s="493" t="str">
        <f>'[4]Allocation Methodology'!B21</f>
        <v>Demand Response 1</v>
      </c>
      <c r="C271" s="493" t="str">
        <f>'[4]Allocation Methodology'!C21</f>
        <v>Business, Industrial</v>
      </c>
      <c r="D271" s="493"/>
      <c r="E271" s="493">
        <f>'[4]Allocation Methodology'!D21</f>
        <v>2007</v>
      </c>
      <c r="F271" s="494" t="str">
        <f>'[4]Allocation Methodology'!E21</f>
        <v>Final</v>
      </c>
      <c r="G271" s="471" t="b">
        <v>0</v>
      </c>
      <c r="H271" s="548">
        <v>0</v>
      </c>
      <c r="I271" s="549">
        <v>0</v>
      </c>
      <c r="J271" s="549">
        <v>0</v>
      </c>
      <c r="K271" s="549">
        <v>0</v>
      </c>
      <c r="L271" s="549">
        <v>0</v>
      </c>
      <c r="M271" s="549">
        <v>0</v>
      </c>
      <c r="N271" s="549">
        <v>0</v>
      </c>
      <c r="O271" s="549">
        <v>0</v>
      </c>
      <c r="P271" s="549">
        <v>0</v>
      </c>
      <c r="Q271" s="549">
        <v>0</v>
      </c>
      <c r="R271" s="549">
        <v>0</v>
      </c>
      <c r="S271" s="549">
        <v>0</v>
      </c>
      <c r="T271" s="549">
        <v>0</v>
      </c>
      <c r="U271" s="549">
        <v>0</v>
      </c>
      <c r="V271" s="549">
        <v>0</v>
      </c>
      <c r="W271" s="549">
        <v>0</v>
      </c>
      <c r="X271" s="549">
        <v>0</v>
      </c>
      <c r="Y271" s="549">
        <v>0</v>
      </c>
      <c r="Z271" s="549">
        <v>0</v>
      </c>
      <c r="AA271" s="549">
        <v>0</v>
      </c>
      <c r="AB271" s="549">
        <v>0</v>
      </c>
      <c r="AC271" s="549">
        <v>0</v>
      </c>
      <c r="AD271" s="549">
        <v>0</v>
      </c>
      <c r="AE271" s="549">
        <v>0</v>
      </c>
      <c r="AF271" s="549">
        <v>0</v>
      </c>
      <c r="AG271" s="549">
        <v>0</v>
      </c>
      <c r="AH271" s="549">
        <v>0</v>
      </c>
      <c r="AI271" s="549">
        <v>0</v>
      </c>
      <c r="AJ271" s="549">
        <v>0</v>
      </c>
      <c r="AK271" s="549">
        <v>0</v>
      </c>
      <c r="AL271" s="549">
        <v>0</v>
      </c>
      <c r="AM271" s="549">
        <v>0</v>
      </c>
      <c r="AN271" s="549">
        <v>0</v>
      </c>
      <c r="AO271" s="549">
        <v>0</v>
      </c>
      <c r="AP271" s="549">
        <v>0</v>
      </c>
      <c r="AQ271" s="549">
        <v>0</v>
      </c>
      <c r="AR271" s="549">
        <v>0</v>
      </c>
      <c r="AS271" s="549">
        <v>0</v>
      </c>
      <c r="AT271" s="549">
        <v>0</v>
      </c>
      <c r="AU271" s="549">
        <v>0</v>
      </c>
      <c r="AV271" s="549">
        <v>0</v>
      </c>
      <c r="AW271" s="549">
        <v>0</v>
      </c>
      <c r="AX271" s="549">
        <v>0</v>
      </c>
      <c r="AY271" s="549">
        <v>0</v>
      </c>
      <c r="AZ271" s="550">
        <v>0</v>
      </c>
    </row>
    <row r="272" spans="1:52" s="469" customFormat="1">
      <c r="A272" s="485">
        <f>'[4]Allocation Methodology'!A22</f>
        <v>18</v>
      </c>
      <c r="B272" s="486" t="str">
        <f>'[4]Allocation Methodology'!B22</f>
        <v>Loblaw &amp; York Region Demand Response</v>
      </c>
      <c r="C272" s="486" t="str">
        <f>'[4]Allocation Methodology'!C22</f>
        <v>Business, Industrial</v>
      </c>
      <c r="D272" s="486"/>
      <c r="E272" s="486">
        <f>'[4]Allocation Methodology'!D22</f>
        <v>2007</v>
      </c>
      <c r="F272" s="487" t="str">
        <f>'[4]Allocation Methodology'!E22</f>
        <v>Final</v>
      </c>
      <c r="G272" s="471" t="b">
        <v>0</v>
      </c>
      <c r="H272" s="545">
        <v>0</v>
      </c>
      <c r="I272" s="546">
        <v>0</v>
      </c>
      <c r="J272" s="546">
        <v>0</v>
      </c>
      <c r="K272" s="546">
        <v>0</v>
      </c>
      <c r="L272" s="546">
        <v>0</v>
      </c>
      <c r="M272" s="546">
        <v>0</v>
      </c>
      <c r="N272" s="546">
        <v>0</v>
      </c>
      <c r="O272" s="546">
        <v>0</v>
      </c>
      <c r="P272" s="546">
        <v>0</v>
      </c>
      <c r="Q272" s="546">
        <v>0</v>
      </c>
      <c r="R272" s="546">
        <v>0</v>
      </c>
      <c r="S272" s="546">
        <v>0</v>
      </c>
      <c r="T272" s="546">
        <v>0</v>
      </c>
      <c r="U272" s="546">
        <v>0</v>
      </c>
      <c r="V272" s="546">
        <v>0</v>
      </c>
      <c r="W272" s="546">
        <v>0</v>
      </c>
      <c r="X272" s="546">
        <v>0</v>
      </c>
      <c r="Y272" s="546">
        <v>0</v>
      </c>
      <c r="Z272" s="546">
        <v>0</v>
      </c>
      <c r="AA272" s="546">
        <v>0</v>
      </c>
      <c r="AB272" s="546">
        <v>0</v>
      </c>
      <c r="AC272" s="546">
        <v>0</v>
      </c>
      <c r="AD272" s="546">
        <v>0</v>
      </c>
      <c r="AE272" s="546">
        <v>0</v>
      </c>
      <c r="AF272" s="546">
        <v>0</v>
      </c>
      <c r="AG272" s="546">
        <v>0</v>
      </c>
      <c r="AH272" s="546">
        <v>0</v>
      </c>
      <c r="AI272" s="546">
        <v>0</v>
      </c>
      <c r="AJ272" s="546">
        <v>0</v>
      </c>
      <c r="AK272" s="546">
        <v>0</v>
      </c>
      <c r="AL272" s="546">
        <v>0</v>
      </c>
      <c r="AM272" s="546">
        <v>0</v>
      </c>
      <c r="AN272" s="546">
        <v>0</v>
      </c>
      <c r="AO272" s="546">
        <v>0</v>
      </c>
      <c r="AP272" s="546">
        <v>0</v>
      </c>
      <c r="AQ272" s="546">
        <v>0</v>
      </c>
      <c r="AR272" s="546">
        <v>0</v>
      </c>
      <c r="AS272" s="546">
        <v>0</v>
      </c>
      <c r="AT272" s="546">
        <v>0</v>
      </c>
      <c r="AU272" s="546">
        <v>0</v>
      </c>
      <c r="AV272" s="546">
        <v>0</v>
      </c>
      <c r="AW272" s="546">
        <v>0</v>
      </c>
      <c r="AX272" s="546">
        <v>0</v>
      </c>
      <c r="AY272" s="546">
        <v>0</v>
      </c>
      <c r="AZ272" s="547">
        <v>0</v>
      </c>
    </row>
    <row r="273" spans="1:52" s="469" customFormat="1">
      <c r="A273" s="499">
        <f>'[4]Allocation Methodology'!A23</f>
        <v>19</v>
      </c>
      <c r="B273" s="500" t="str">
        <f>'[4]Allocation Methodology'!B23</f>
        <v>Renewable Energy Standard Offer</v>
      </c>
      <c r="C273" s="500" t="str">
        <f>'[4]Allocation Methodology'!C23</f>
        <v>Consumer, Business, Industrial</v>
      </c>
      <c r="D273" s="500"/>
      <c r="E273" s="500">
        <f>'[4]Allocation Methodology'!D23</f>
        <v>2007</v>
      </c>
      <c r="F273" s="501" t="str">
        <f>'[4]Allocation Methodology'!E23</f>
        <v>Final</v>
      </c>
      <c r="G273" s="471" t="b">
        <v>0</v>
      </c>
      <c r="H273" s="551">
        <v>0</v>
      </c>
      <c r="I273" s="552">
        <v>24.438648000000001</v>
      </c>
      <c r="J273" s="552">
        <v>24.438648000000001</v>
      </c>
      <c r="K273" s="552">
        <v>24.438648000000001</v>
      </c>
      <c r="L273" s="552">
        <v>24.438648000000001</v>
      </c>
      <c r="M273" s="552">
        <v>24.438648000000001</v>
      </c>
      <c r="N273" s="552">
        <v>24.438648000000001</v>
      </c>
      <c r="O273" s="552">
        <v>24.438648000000001</v>
      </c>
      <c r="P273" s="552">
        <v>24.438648000000001</v>
      </c>
      <c r="Q273" s="552">
        <v>24.438648000000001</v>
      </c>
      <c r="R273" s="552">
        <v>24.438648000000001</v>
      </c>
      <c r="S273" s="552">
        <v>24.438648000000001</v>
      </c>
      <c r="T273" s="552">
        <v>24.438648000000001</v>
      </c>
      <c r="U273" s="552">
        <v>24.438648000000001</v>
      </c>
      <c r="V273" s="552">
        <v>24.438648000000001</v>
      </c>
      <c r="W273" s="552">
        <v>24.438648000000001</v>
      </c>
      <c r="X273" s="552">
        <v>24.438648000000001</v>
      </c>
      <c r="Y273" s="552">
        <v>24.438648000000001</v>
      </c>
      <c r="Z273" s="552">
        <v>24.438648000000001</v>
      </c>
      <c r="AA273" s="552">
        <v>24.438648000000001</v>
      </c>
      <c r="AB273" s="552">
        <v>24.438648000000001</v>
      </c>
      <c r="AC273" s="552">
        <v>0</v>
      </c>
      <c r="AD273" s="552">
        <v>0</v>
      </c>
      <c r="AE273" s="552">
        <v>0</v>
      </c>
      <c r="AF273" s="552">
        <v>0</v>
      </c>
      <c r="AG273" s="552">
        <v>0</v>
      </c>
      <c r="AH273" s="552">
        <v>0</v>
      </c>
      <c r="AI273" s="552">
        <v>0</v>
      </c>
      <c r="AJ273" s="552">
        <v>0</v>
      </c>
      <c r="AK273" s="552">
        <v>0</v>
      </c>
      <c r="AL273" s="552">
        <v>0</v>
      </c>
      <c r="AM273" s="552">
        <v>0</v>
      </c>
      <c r="AN273" s="552">
        <v>0</v>
      </c>
      <c r="AO273" s="552">
        <v>0</v>
      </c>
      <c r="AP273" s="552">
        <v>0</v>
      </c>
      <c r="AQ273" s="552">
        <v>0</v>
      </c>
      <c r="AR273" s="552">
        <v>0</v>
      </c>
      <c r="AS273" s="552">
        <v>0</v>
      </c>
      <c r="AT273" s="552">
        <v>0</v>
      </c>
      <c r="AU273" s="552">
        <v>0</v>
      </c>
      <c r="AV273" s="552">
        <v>0</v>
      </c>
      <c r="AW273" s="552">
        <v>0</v>
      </c>
      <c r="AX273" s="552">
        <v>0</v>
      </c>
      <c r="AY273" s="552">
        <v>0</v>
      </c>
      <c r="AZ273" s="553">
        <v>0</v>
      </c>
    </row>
    <row r="274" spans="1:52" s="469" customFormat="1">
      <c r="A274" s="506">
        <f>'[4]Allocation Methodology'!A24</f>
        <v>20</v>
      </c>
      <c r="B274" s="507" t="str">
        <f>'[4]Allocation Methodology'!B24</f>
        <v>Great Refrigerator Roundup</v>
      </c>
      <c r="C274" s="507" t="str">
        <f>'[4]Allocation Methodology'!C24</f>
        <v>Consumer</v>
      </c>
      <c r="D274" s="507"/>
      <c r="E274" s="507">
        <f>'[4]Allocation Methodology'!D24</f>
        <v>2008</v>
      </c>
      <c r="F274" s="508" t="str">
        <f>'[4]Allocation Methodology'!E24</f>
        <v>Final</v>
      </c>
      <c r="G274" s="471" t="b">
        <v>0</v>
      </c>
      <c r="H274" s="554">
        <v>0</v>
      </c>
      <c r="I274" s="555">
        <v>0</v>
      </c>
      <c r="J274" s="555">
        <v>211.01599999999999</v>
      </c>
      <c r="K274" s="555">
        <v>211.01599999999999</v>
      </c>
      <c r="L274" s="555">
        <v>211.01599999999999</v>
      </c>
      <c r="M274" s="555">
        <v>211.01599999999999</v>
      </c>
      <c r="N274" s="555">
        <v>210.22800000000001</v>
      </c>
      <c r="O274" s="555">
        <v>209.44</v>
      </c>
      <c r="P274" s="555">
        <v>209.44</v>
      </c>
      <c r="Q274" s="555">
        <v>209.44</v>
      </c>
      <c r="R274" s="555">
        <v>164.3</v>
      </c>
      <c r="S274" s="555">
        <v>0</v>
      </c>
      <c r="T274" s="555">
        <v>0</v>
      </c>
      <c r="U274" s="555">
        <v>0</v>
      </c>
      <c r="V274" s="555">
        <v>0</v>
      </c>
      <c r="W274" s="555">
        <v>0</v>
      </c>
      <c r="X274" s="555">
        <v>0</v>
      </c>
      <c r="Y274" s="555">
        <v>0</v>
      </c>
      <c r="Z274" s="555">
        <v>0</v>
      </c>
      <c r="AA274" s="555">
        <v>0</v>
      </c>
      <c r="AB274" s="555">
        <v>0</v>
      </c>
      <c r="AC274" s="555">
        <v>0</v>
      </c>
      <c r="AD274" s="555">
        <v>0</v>
      </c>
      <c r="AE274" s="555">
        <v>0</v>
      </c>
      <c r="AF274" s="555">
        <v>0</v>
      </c>
      <c r="AG274" s="555">
        <v>0</v>
      </c>
      <c r="AH274" s="555">
        <v>0</v>
      </c>
      <c r="AI274" s="555">
        <v>0</v>
      </c>
      <c r="AJ274" s="555">
        <v>0</v>
      </c>
      <c r="AK274" s="555">
        <v>0</v>
      </c>
      <c r="AL274" s="555">
        <v>0</v>
      </c>
      <c r="AM274" s="555">
        <v>0</v>
      </c>
      <c r="AN274" s="555">
        <v>0</v>
      </c>
      <c r="AO274" s="555">
        <v>0</v>
      </c>
      <c r="AP274" s="555">
        <v>0</v>
      </c>
      <c r="AQ274" s="555">
        <v>0</v>
      </c>
      <c r="AR274" s="555">
        <v>0</v>
      </c>
      <c r="AS274" s="555">
        <v>0</v>
      </c>
      <c r="AT274" s="555">
        <v>0</v>
      </c>
      <c r="AU274" s="555">
        <v>0</v>
      </c>
      <c r="AV274" s="555">
        <v>0</v>
      </c>
      <c r="AW274" s="555">
        <v>0</v>
      </c>
      <c r="AX274" s="555">
        <v>0</v>
      </c>
      <c r="AY274" s="555">
        <v>0</v>
      </c>
      <c r="AZ274" s="556">
        <v>0</v>
      </c>
    </row>
    <row r="275" spans="1:52" s="469" customFormat="1">
      <c r="A275" s="492">
        <f>'[4]Allocation Methodology'!A25</f>
        <v>21</v>
      </c>
      <c r="B275" s="493" t="str">
        <f>'[4]Allocation Methodology'!B25</f>
        <v>Cool Savings Rebate</v>
      </c>
      <c r="C275" s="493" t="str">
        <f>'[4]Allocation Methodology'!C25</f>
        <v>Consumer</v>
      </c>
      <c r="D275" s="493"/>
      <c r="E275" s="493">
        <f>'[4]Allocation Methodology'!D25</f>
        <v>2008</v>
      </c>
      <c r="F275" s="494" t="str">
        <f>'[4]Allocation Methodology'!E25</f>
        <v>Final</v>
      </c>
      <c r="G275" s="471" t="b">
        <v>0</v>
      </c>
      <c r="H275" s="548">
        <v>0</v>
      </c>
      <c r="I275" s="549">
        <v>0</v>
      </c>
      <c r="J275" s="549">
        <v>201.2351404637152</v>
      </c>
      <c r="K275" s="549">
        <v>201.2351404637152</v>
      </c>
      <c r="L275" s="549">
        <v>201.2351404637152</v>
      </c>
      <c r="M275" s="549">
        <v>201.2351404637152</v>
      </c>
      <c r="N275" s="549">
        <v>201.2351404637152</v>
      </c>
      <c r="O275" s="549">
        <v>201.2351404637152</v>
      </c>
      <c r="P275" s="549">
        <v>201.2351404637152</v>
      </c>
      <c r="Q275" s="549">
        <v>201.2351404637152</v>
      </c>
      <c r="R275" s="549">
        <v>201.2351404637152</v>
      </c>
      <c r="S275" s="549">
        <v>201.2351404637152</v>
      </c>
      <c r="T275" s="549">
        <v>201.2351404637152</v>
      </c>
      <c r="U275" s="549">
        <v>201.2351404637152</v>
      </c>
      <c r="V275" s="549">
        <v>201.2351404637152</v>
      </c>
      <c r="W275" s="549">
        <v>201.2351404637152</v>
      </c>
      <c r="X275" s="549">
        <v>201.2351404637152</v>
      </c>
      <c r="Y275" s="549">
        <v>160.57753453048724</v>
      </c>
      <c r="Z275" s="549">
        <v>160.57753453048724</v>
      </c>
      <c r="AA275" s="549">
        <v>160.57753453048724</v>
      </c>
      <c r="AB275" s="549">
        <v>0</v>
      </c>
      <c r="AC275" s="549">
        <v>0</v>
      </c>
      <c r="AD275" s="549">
        <v>0</v>
      </c>
      <c r="AE275" s="549">
        <v>0</v>
      </c>
      <c r="AF275" s="549">
        <v>0</v>
      </c>
      <c r="AG275" s="549">
        <v>0</v>
      </c>
      <c r="AH275" s="549">
        <v>0</v>
      </c>
      <c r="AI275" s="549">
        <v>0</v>
      </c>
      <c r="AJ275" s="549">
        <v>0</v>
      </c>
      <c r="AK275" s="549">
        <v>0</v>
      </c>
      <c r="AL275" s="549">
        <v>0</v>
      </c>
      <c r="AM275" s="549">
        <v>0</v>
      </c>
      <c r="AN275" s="549">
        <v>0</v>
      </c>
      <c r="AO275" s="549">
        <v>0</v>
      </c>
      <c r="AP275" s="549">
        <v>0</v>
      </c>
      <c r="AQ275" s="549">
        <v>0</v>
      </c>
      <c r="AR275" s="549">
        <v>0</v>
      </c>
      <c r="AS275" s="549">
        <v>0</v>
      </c>
      <c r="AT275" s="549">
        <v>0</v>
      </c>
      <c r="AU275" s="549">
        <v>0</v>
      </c>
      <c r="AV275" s="549">
        <v>0</v>
      </c>
      <c r="AW275" s="549">
        <v>0</v>
      </c>
      <c r="AX275" s="549">
        <v>0</v>
      </c>
      <c r="AY275" s="549">
        <v>0</v>
      </c>
      <c r="AZ275" s="550">
        <v>0</v>
      </c>
    </row>
    <row r="276" spans="1:52" s="469" customFormat="1">
      <c r="A276" s="485">
        <f>'[4]Allocation Methodology'!A26</f>
        <v>22</v>
      </c>
      <c r="B276" s="486" t="str">
        <f>'[4]Allocation Methodology'!B26</f>
        <v>Every Kilowatt Counts Power Savings Event</v>
      </c>
      <c r="C276" s="486" t="str">
        <f>'[4]Allocation Methodology'!C26</f>
        <v>Consumer</v>
      </c>
      <c r="D276" s="486"/>
      <c r="E276" s="486">
        <f>'[4]Allocation Methodology'!D26</f>
        <v>2008</v>
      </c>
      <c r="F276" s="487" t="str">
        <f>'[4]Allocation Methodology'!E26</f>
        <v>Final</v>
      </c>
      <c r="G276" s="471" t="b">
        <v>0</v>
      </c>
      <c r="H276" s="545">
        <v>0</v>
      </c>
      <c r="I276" s="546">
        <v>0</v>
      </c>
      <c r="J276" s="546">
        <v>1455.3580236163975</v>
      </c>
      <c r="K276" s="546">
        <v>1448.0829186014942</v>
      </c>
      <c r="L276" s="546">
        <v>1448.0829186014942</v>
      </c>
      <c r="M276" s="546">
        <v>1448.0829186014942</v>
      </c>
      <c r="N276" s="546">
        <v>1218.9840300118412</v>
      </c>
      <c r="O276" s="546">
        <v>1218.9840300118412</v>
      </c>
      <c r="P276" s="546">
        <v>1013.186960916724</v>
      </c>
      <c r="Q276" s="546">
        <v>829.7263386241375</v>
      </c>
      <c r="R276" s="546">
        <v>593.30288201323503</v>
      </c>
      <c r="S276" s="546">
        <v>587.16387236327296</v>
      </c>
      <c r="T276" s="546">
        <v>498.18357952082363</v>
      </c>
      <c r="U276" s="546">
        <v>498.18357952082363</v>
      </c>
      <c r="V276" s="546">
        <v>478.03103331471095</v>
      </c>
      <c r="W276" s="546">
        <v>478.03103331471095</v>
      </c>
      <c r="X276" s="546">
        <v>478.03103331471095</v>
      </c>
      <c r="Y276" s="546">
        <v>464.97861151140063</v>
      </c>
      <c r="Z276" s="546">
        <v>0</v>
      </c>
      <c r="AA276" s="546">
        <v>0</v>
      </c>
      <c r="AB276" s="546">
        <v>0</v>
      </c>
      <c r="AC276" s="546">
        <v>0</v>
      </c>
      <c r="AD276" s="546">
        <v>0</v>
      </c>
      <c r="AE276" s="546">
        <v>0</v>
      </c>
      <c r="AF276" s="546">
        <v>0</v>
      </c>
      <c r="AG276" s="546">
        <v>0</v>
      </c>
      <c r="AH276" s="546">
        <v>0</v>
      </c>
      <c r="AI276" s="546">
        <v>0</v>
      </c>
      <c r="AJ276" s="546">
        <v>0</v>
      </c>
      <c r="AK276" s="546">
        <v>0</v>
      </c>
      <c r="AL276" s="546">
        <v>0</v>
      </c>
      <c r="AM276" s="546">
        <v>0</v>
      </c>
      <c r="AN276" s="546">
        <v>0</v>
      </c>
      <c r="AO276" s="546">
        <v>0</v>
      </c>
      <c r="AP276" s="546">
        <v>0</v>
      </c>
      <c r="AQ276" s="546">
        <v>0</v>
      </c>
      <c r="AR276" s="546">
        <v>0</v>
      </c>
      <c r="AS276" s="546">
        <v>0</v>
      </c>
      <c r="AT276" s="546">
        <v>0</v>
      </c>
      <c r="AU276" s="546">
        <v>0</v>
      </c>
      <c r="AV276" s="546">
        <v>0</v>
      </c>
      <c r="AW276" s="546">
        <v>0</v>
      </c>
      <c r="AX276" s="546">
        <v>0</v>
      </c>
      <c r="AY276" s="546">
        <v>0</v>
      </c>
      <c r="AZ276" s="547">
        <v>0</v>
      </c>
    </row>
    <row r="277" spans="1:52" s="469" customFormat="1">
      <c r="A277" s="492">
        <f>'[4]Allocation Methodology'!A27</f>
        <v>23</v>
      </c>
      <c r="B277" s="513" t="str">
        <f>'[4]Allocation Methodology'!B27</f>
        <v>peaksaver®</v>
      </c>
      <c r="C277" s="493" t="str">
        <f>'[4]Allocation Methodology'!C27</f>
        <v>Consumer, Business</v>
      </c>
      <c r="D277" s="493"/>
      <c r="E277" s="493">
        <f>'[4]Allocation Methodology'!D27</f>
        <v>2008</v>
      </c>
      <c r="F277" s="494" t="str">
        <f>'[4]Allocation Methodology'!E27</f>
        <v>Final</v>
      </c>
      <c r="G277" s="471" t="b">
        <v>0</v>
      </c>
      <c r="H277" s="548">
        <v>0</v>
      </c>
      <c r="I277" s="549">
        <v>0</v>
      </c>
      <c r="J277" s="549">
        <v>0</v>
      </c>
      <c r="K277" s="549">
        <v>0</v>
      </c>
      <c r="L277" s="549">
        <v>0</v>
      </c>
      <c r="M277" s="549">
        <v>0</v>
      </c>
      <c r="N277" s="549">
        <v>0</v>
      </c>
      <c r="O277" s="549">
        <v>0</v>
      </c>
      <c r="P277" s="549">
        <v>0</v>
      </c>
      <c r="Q277" s="549">
        <v>0</v>
      </c>
      <c r="R277" s="549">
        <v>0</v>
      </c>
      <c r="S277" s="549">
        <v>0</v>
      </c>
      <c r="T277" s="549">
        <v>0</v>
      </c>
      <c r="U277" s="549">
        <v>0</v>
      </c>
      <c r="V277" s="549">
        <v>0</v>
      </c>
      <c r="W277" s="549">
        <v>0</v>
      </c>
      <c r="X277" s="549">
        <v>0</v>
      </c>
      <c r="Y277" s="549">
        <v>0</v>
      </c>
      <c r="Z277" s="549">
        <v>0</v>
      </c>
      <c r="AA277" s="549">
        <v>0</v>
      </c>
      <c r="AB277" s="549">
        <v>0</v>
      </c>
      <c r="AC277" s="549">
        <v>0</v>
      </c>
      <c r="AD277" s="549">
        <v>0</v>
      </c>
      <c r="AE277" s="549">
        <v>0</v>
      </c>
      <c r="AF277" s="549">
        <v>0</v>
      </c>
      <c r="AG277" s="549">
        <v>0</v>
      </c>
      <c r="AH277" s="549">
        <v>0</v>
      </c>
      <c r="AI277" s="549">
        <v>0</v>
      </c>
      <c r="AJ277" s="549">
        <v>0</v>
      </c>
      <c r="AK277" s="549">
        <v>0</v>
      </c>
      <c r="AL277" s="549">
        <v>0</v>
      </c>
      <c r="AM277" s="549">
        <v>0</v>
      </c>
      <c r="AN277" s="549">
        <v>0</v>
      </c>
      <c r="AO277" s="549">
        <v>0</v>
      </c>
      <c r="AP277" s="549">
        <v>0</v>
      </c>
      <c r="AQ277" s="549">
        <v>0</v>
      </c>
      <c r="AR277" s="549">
        <v>0</v>
      </c>
      <c r="AS277" s="549">
        <v>0</v>
      </c>
      <c r="AT277" s="549">
        <v>0</v>
      </c>
      <c r="AU277" s="549">
        <v>0</v>
      </c>
      <c r="AV277" s="549">
        <v>0</v>
      </c>
      <c r="AW277" s="549">
        <v>0</v>
      </c>
      <c r="AX277" s="549">
        <v>0</v>
      </c>
      <c r="AY277" s="549">
        <v>0</v>
      </c>
      <c r="AZ277" s="550">
        <v>0</v>
      </c>
    </row>
    <row r="278" spans="1:52" s="469" customFormat="1">
      <c r="A278" s="485">
        <f>'[4]Allocation Methodology'!A28</f>
        <v>24</v>
      </c>
      <c r="B278" s="486" t="str">
        <f>'[4]Allocation Methodology'!B28</f>
        <v>Summer Sweepstakes</v>
      </c>
      <c r="C278" s="486" t="str">
        <f>'[4]Allocation Methodology'!C28</f>
        <v>Consumer</v>
      </c>
      <c r="D278" s="486"/>
      <c r="E278" s="486">
        <f>'[4]Allocation Methodology'!D28</f>
        <v>2008</v>
      </c>
      <c r="F278" s="487" t="str">
        <f>'[4]Allocation Methodology'!E28</f>
        <v>Final</v>
      </c>
      <c r="G278" s="471" t="b">
        <v>0</v>
      </c>
      <c r="H278" s="545">
        <v>0</v>
      </c>
      <c r="I278" s="546">
        <v>0</v>
      </c>
      <c r="J278" s="546">
        <v>339.03093026542922</v>
      </c>
      <c r="K278" s="546">
        <v>122.34045007262586</v>
      </c>
      <c r="L278" s="546">
        <v>122.34045007262586</v>
      </c>
      <c r="M278" s="546">
        <v>122.34045007262586</v>
      </c>
      <c r="N278" s="546">
        <v>122.34045007262586</v>
      </c>
      <c r="O278" s="546">
        <v>122.34045007262586</v>
      </c>
      <c r="P278" s="546">
        <v>122.34045007262586</v>
      </c>
      <c r="Q278" s="546">
        <v>122.34045007262586</v>
      </c>
      <c r="R278" s="546">
        <v>67.022461777153111</v>
      </c>
      <c r="S278" s="546">
        <v>67.022461777153111</v>
      </c>
      <c r="T278" s="546">
        <v>50.782865918852607</v>
      </c>
      <c r="U278" s="546">
        <v>50.782865918852607</v>
      </c>
      <c r="V278" s="546">
        <v>50.782865918852607</v>
      </c>
      <c r="W278" s="546">
        <v>44.929004174684991</v>
      </c>
      <c r="X278" s="546">
        <v>42.843244504094415</v>
      </c>
      <c r="Y278" s="546">
        <v>40.732965338671811</v>
      </c>
      <c r="Z278" s="546">
        <v>40.732965338671811</v>
      </c>
      <c r="AA278" s="546">
        <v>40.732965338671811</v>
      </c>
      <c r="AB278" s="546">
        <v>40.732965338671811</v>
      </c>
      <c r="AC278" s="546">
        <v>40.732965338671811</v>
      </c>
      <c r="AD278" s="546">
        <v>0</v>
      </c>
      <c r="AE278" s="546">
        <v>0</v>
      </c>
      <c r="AF278" s="546">
        <v>0</v>
      </c>
      <c r="AG278" s="546">
        <v>0</v>
      </c>
      <c r="AH278" s="546">
        <v>0</v>
      </c>
      <c r="AI278" s="546">
        <v>0</v>
      </c>
      <c r="AJ278" s="546">
        <v>0</v>
      </c>
      <c r="AK278" s="546">
        <v>0</v>
      </c>
      <c r="AL278" s="546">
        <v>0</v>
      </c>
      <c r="AM278" s="546">
        <v>0</v>
      </c>
      <c r="AN278" s="546">
        <v>0</v>
      </c>
      <c r="AO278" s="546">
        <v>0</v>
      </c>
      <c r="AP278" s="546">
        <v>0</v>
      </c>
      <c r="AQ278" s="546">
        <v>0</v>
      </c>
      <c r="AR278" s="546">
        <v>0</v>
      </c>
      <c r="AS278" s="546">
        <v>0</v>
      </c>
      <c r="AT278" s="546">
        <v>0</v>
      </c>
      <c r="AU278" s="546">
        <v>0</v>
      </c>
      <c r="AV278" s="546">
        <v>0</v>
      </c>
      <c r="AW278" s="546">
        <v>0</v>
      </c>
      <c r="AX278" s="546">
        <v>0</v>
      </c>
      <c r="AY278" s="546">
        <v>0</v>
      </c>
      <c r="AZ278" s="547">
        <v>0</v>
      </c>
    </row>
    <row r="279" spans="1:52" s="469" customFormat="1">
      <c r="A279" s="492">
        <f>'[4]Allocation Methodology'!A29</f>
        <v>25</v>
      </c>
      <c r="B279" s="493" t="str">
        <f>'[4]Allocation Methodology'!B29</f>
        <v>Electricity Retrofit Incentive</v>
      </c>
      <c r="C279" s="493" t="str">
        <f>'[4]Allocation Methodology'!C29</f>
        <v>Consumer, Business</v>
      </c>
      <c r="D279" s="493"/>
      <c r="E279" s="493">
        <f>'[4]Allocation Methodology'!D29</f>
        <v>2008</v>
      </c>
      <c r="F279" s="494" t="str">
        <f>'[4]Allocation Methodology'!E29</f>
        <v>Final</v>
      </c>
      <c r="G279" s="471" t="b">
        <v>0</v>
      </c>
      <c r="H279" s="548">
        <v>0</v>
      </c>
      <c r="I279" s="549">
        <v>0</v>
      </c>
      <c r="J279" s="549">
        <v>2759.8415682137829</v>
      </c>
      <c r="K279" s="549">
        <v>2759.822720617361</v>
      </c>
      <c r="L279" s="549">
        <v>2759.822720617361</v>
      </c>
      <c r="M279" s="549">
        <v>2759.822720617361</v>
      </c>
      <c r="N279" s="549">
        <v>2759.822720617361</v>
      </c>
      <c r="O279" s="549">
        <v>2759.822720617361</v>
      </c>
      <c r="P279" s="549">
        <v>2759.822720617361</v>
      </c>
      <c r="Q279" s="549">
        <v>2759.822720617361</v>
      </c>
      <c r="R279" s="549">
        <v>2534.6992655533058</v>
      </c>
      <c r="S279" s="549">
        <v>2534.6992655533058</v>
      </c>
      <c r="T279" s="549">
        <v>2534.6992655533058</v>
      </c>
      <c r="U279" s="549">
        <v>2534.6992655533058</v>
      </c>
      <c r="V279" s="549">
        <v>2534.6992655533058</v>
      </c>
      <c r="W279" s="549">
        <v>2534.6992655533058</v>
      </c>
      <c r="X279" s="549">
        <v>2534.6992655533058</v>
      </c>
      <c r="Y279" s="549">
        <v>2458.6582875867061</v>
      </c>
      <c r="Z279" s="549">
        <v>0</v>
      </c>
      <c r="AA279" s="549">
        <v>0</v>
      </c>
      <c r="AB279" s="549">
        <v>0</v>
      </c>
      <c r="AC279" s="549">
        <v>0</v>
      </c>
      <c r="AD279" s="549">
        <v>0</v>
      </c>
      <c r="AE279" s="549">
        <v>0</v>
      </c>
      <c r="AF279" s="549">
        <v>0</v>
      </c>
      <c r="AG279" s="549">
        <v>0</v>
      </c>
      <c r="AH279" s="549">
        <v>0</v>
      </c>
      <c r="AI279" s="549">
        <v>0</v>
      </c>
      <c r="AJ279" s="549">
        <v>0</v>
      </c>
      <c r="AK279" s="549">
        <v>0</v>
      </c>
      <c r="AL279" s="549">
        <v>0</v>
      </c>
      <c r="AM279" s="549">
        <v>0</v>
      </c>
      <c r="AN279" s="549">
        <v>0</v>
      </c>
      <c r="AO279" s="549">
        <v>0</v>
      </c>
      <c r="AP279" s="549">
        <v>0</v>
      </c>
      <c r="AQ279" s="549">
        <v>0</v>
      </c>
      <c r="AR279" s="549">
        <v>0</v>
      </c>
      <c r="AS279" s="549">
        <v>0</v>
      </c>
      <c r="AT279" s="549">
        <v>0</v>
      </c>
      <c r="AU279" s="549">
        <v>0</v>
      </c>
      <c r="AV279" s="549">
        <v>0</v>
      </c>
      <c r="AW279" s="549">
        <v>0</v>
      </c>
      <c r="AX279" s="549">
        <v>0</v>
      </c>
      <c r="AY279" s="549">
        <v>0</v>
      </c>
      <c r="AZ279" s="550">
        <v>0</v>
      </c>
    </row>
    <row r="280" spans="1:52" s="469" customFormat="1">
      <c r="A280" s="485">
        <f>'[4]Allocation Methodology'!A30</f>
        <v>26</v>
      </c>
      <c r="B280" s="486" t="str">
        <f>'[4]Allocation Methodology'!B30</f>
        <v>Toronto Comprehensive</v>
      </c>
      <c r="C280" s="486" t="str">
        <f>'[4]Allocation Methodology'!C30</f>
        <v>Consumer, Consumer Low-Income, Business</v>
      </c>
      <c r="D280" s="486"/>
      <c r="E280" s="486">
        <f>'[4]Allocation Methodology'!D30</f>
        <v>2008</v>
      </c>
      <c r="F280" s="487" t="str">
        <f>'[4]Allocation Methodology'!E30</f>
        <v>Final</v>
      </c>
      <c r="G280" s="471" t="b">
        <v>0</v>
      </c>
      <c r="H280" s="545">
        <v>0</v>
      </c>
      <c r="I280" s="546">
        <v>0</v>
      </c>
      <c r="J280" s="546">
        <v>0</v>
      </c>
      <c r="K280" s="546">
        <v>0</v>
      </c>
      <c r="L280" s="546">
        <v>0</v>
      </c>
      <c r="M280" s="546">
        <v>0</v>
      </c>
      <c r="N280" s="546">
        <v>0</v>
      </c>
      <c r="O280" s="546">
        <v>0</v>
      </c>
      <c r="P280" s="546">
        <v>0</v>
      </c>
      <c r="Q280" s="546">
        <v>0</v>
      </c>
      <c r="R280" s="546">
        <v>0</v>
      </c>
      <c r="S280" s="546">
        <v>0</v>
      </c>
      <c r="T280" s="546">
        <v>0</v>
      </c>
      <c r="U280" s="546">
        <v>0</v>
      </c>
      <c r="V280" s="546">
        <v>0</v>
      </c>
      <c r="W280" s="546">
        <v>0</v>
      </c>
      <c r="X280" s="546">
        <v>0</v>
      </c>
      <c r="Y280" s="546">
        <v>0</v>
      </c>
      <c r="Z280" s="546">
        <v>0</v>
      </c>
      <c r="AA280" s="546">
        <v>0</v>
      </c>
      <c r="AB280" s="546">
        <v>0</v>
      </c>
      <c r="AC280" s="546">
        <v>0</v>
      </c>
      <c r="AD280" s="546">
        <v>0</v>
      </c>
      <c r="AE280" s="546">
        <v>0</v>
      </c>
      <c r="AF280" s="546">
        <v>0</v>
      </c>
      <c r="AG280" s="546">
        <v>0</v>
      </c>
      <c r="AH280" s="546">
        <v>0</v>
      </c>
      <c r="AI280" s="546">
        <v>0</v>
      </c>
      <c r="AJ280" s="546">
        <v>0</v>
      </c>
      <c r="AK280" s="546">
        <v>0</v>
      </c>
      <c r="AL280" s="546">
        <v>0</v>
      </c>
      <c r="AM280" s="546">
        <v>0</v>
      </c>
      <c r="AN280" s="546">
        <v>0</v>
      </c>
      <c r="AO280" s="546">
        <v>0</v>
      </c>
      <c r="AP280" s="546">
        <v>0</v>
      </c>
      <c r="AQ280" s="546">
        <v>0</v>
      </c>
      <c r="AR280" s="546">
        <v>0</v>
      </c>
      <c r="AS280" s="546">
        <v>0</v>
      </c>
      <c r="AT280" s="546">
        <v>0</v>
      </c>
      <c r="AU280" s="546">
        <v>0</v>
      </c>
      <c r="AV280" s="546">
        <v>0</v>
      </c>
      <c r="AW280" s="546">
        <v>0</v>
      </c>
      <c r="AX280" s="546">
        <v>0</v>
      </c>
      <c r="AY280" s="546">
        <v>0</v>
      </c>
      <c r="AZ280" s="547">
        <v>0</v>
      </c>
    </row>
    <row r="281" spans="1:52" s="469" customFormat="1">
      <c r="A281" s="492">
        <f>'[4]Allocation Methodology'!A31</f>
        <v>27</v>
      </c>
      <c r="B281" s="493" t="str">
        <f>'[4]Allocation Methodology'!B31</f>
        <v>High Performance New Construction</v>
      </c>
      <c r="C281" s="493" t="str">
        <f>'[4]Allocation Methodology'!C31</f>
        <v>Business</v>
      </c>
      <c r="D281" s="493"/>
      <c r="E281" s="493">
        <f>'[4]Allocation Methodology'!D31</f>
        <v>2008</v>
      </c>
      <c r="F281" s="494" t="str">
        <f>'[4]Allocation Methodology'!E31</f>
        <v>Final</v>
      </c>
      <c r="G281" s="471" t="b">
        <v>0</v>
      </c>
      <c r="H281" s="548">
        <v>0</v>
      </c>
      <c r="I281" s="549">
        <v>0</v>
      </c>
      <c r="J281" s="549">
        <v>2.7117339080013845</v>
      </c>
      <c r="K281" s="549">
        <v>2.7117339080013845</v>
      </c>
      <c r="L281" s="549">
        <v>2.7117339080013845</v>
      </c>
      <c r="M281" s="549">
        <v>2.7117339080013845</v>
      </c>
      <c r="N281" s="549">
        <v>2.7117339080013845</v>
      </c>
      <c r="O281" s="549">
        <v>2.7117339080013845</v>
      </c>
      <c r="P281" s="549">
        <v>2.7117339080013845</v>
      </c>
      <c r="Q281" s="549">
        <v>2.7117339080013845</v>
      </c>
      <c r="R281" s="549">
        <v>2.7117339080013845</v>
      </c>
      <c r="S281" s="549">
        <v>2.7117339080013845</v>
      </c>
      <c r="T281" s="549">
        <v>2.7117339080013845</v>
      </c>
      <c r="U281" s="549">
        <v>2.7117339080013845</v>
      </c>
      <c r="V281" s="549">
        <v>2.7117339080013845</v>
      </c>
      <c r="W281" s="549">
        <v>2.7117339080013845</v>
      </c>
      <c r="X281" s="549">
        <v>0</v>
      </c>
      <c r="Y281" s="549">
        <v>0</v>
      </c>
      <c r="Z281" s="549">
        <v>0</v>
      </c>
      <c r="AA281" s="549">
        <v>0</v>
      </c>
      <c r="AB281" s="549">
        <v>0</v>
      </c>
      <c r="AC281" s="549">
        <v>0</v>
      </c>
      <c r="AD281" s="549">
        <v>0</v>
      </c>
      <c r="AE281" s="549">
        <v>0</v>
      </c>
      <c r="AF281" s="549">
        <v>0</v>
      </c>
      <c r="AG281" s="549">
        <v>0</v>
      </c>
      <c r="AH281" s="549">
        <v>0</v>
      </c>
      <c r="AI281" s="549">
        <v>0</v>
      </c>
      <c r="AJ281" s="549">
        <v>0</v>
      </c>
      <c r="AK281" s="549">
        <v>0</v>
      </c>
      <c r="AL281" s="549">
        <v>0</v>
      </c>
      <c r="AM281" s="549">
        <v>0</v>
      </c>
      <c r="AN281" s="549">
        <v>0</v>
      </c>
      <c r="AO281" s="549">
        <v>0</v>
      </c>
      <c r="AP281" s="549">
        <v>0</v>
      </c>
      <c r="AQ281" s="549">
        <v>0</v>
      </c>
      <c r="AR281" s="549">
        <v>0</v>
      </c>
      <c r="AS281" s="549">
        <v>0</v>
      </c>
      <c r="AT281" s="549">
        <v>0</v>
      </c>
      <c r="AU281" s="549">
        <v>0</v>
      </c>
      <c r="AV281" s="549">
        <v>0</v>
      </c>
      <c r="AW281" s="549">
        <v>0</v>
      </c>
      <c r="AX281" s="549">
        <v>0</v>
      </c>
      <c r="AY281" s="549">
        <v>0</v>
      </c>
      <c r="AZ281" s="550">
        <v>0</v>
      </c>
    </row>
    <row r="282" spans="1:52" s="469" customFormat="1">
      <c r="A282" s="485">
        <f>'[4]Allocation Methodology'!A32</f>
        <v>28</v>
      </c>
      <c r="B282" s="486" t="str">
        <f>'[4]Allocation Methodology'!B32</f>
        <v>Power Savings Blitz</v>
      </c>
      <c r="C282" s="486" t="str">
        <f>'[4]Allocation Methodology'!C32</f>
        <v>Business</v>
      </c>
      <c r="D282" s="486"/>
      <c r="E282" s="486">
        <f>'[4]Allocation Methodology'!D32</f>
        <v>2008</v>
      </c>
      <c r="F282" s="487" t="str">
        <f>'[4]Allocation Methodology'!E32</f>
        <v>Final</v>
      </c>
      <c r="G282" s="471" t="b">
        <v>0</v>
      </c>
      <c r="H282" s="545">
        <v>0</v>
      </c>
      <c r="I282" s="546">
        <v>0</v>
      </c>
      <c r="J282" s="546">
        <v>0</v>
      </c>
      <c r="K282" s="546">
        <v>0</v>
      </c>
      <c r="L282" s="546">
        <v>0</v>
      </c>
      <c r="M282" s="546">
        <v>0</v>
      </c>
      <c r="N282" s="546">
        <v>0</v>
      </c>
      <c r="O282" s="546">
        <v>0</v>
      </c>
      <c r="P282" s="546">
        <v>0</v>
      </c>
      <c r="Q282" s="546">
        <v>0</v>
      </c>
      <c r="R282" s="546">
        <v>0</v>
      </c>
      <c r="S282" s="546">
        <v>0</v>
      </c>
      <c r="T282" s="546">
        <v>0</v>
      </c>
      <c r="U282" s="546">
        <v>0</v>
      </c>
      <c r="V282" s="546">
        <v>0</v>
      </c>
      <c r="W282" s="546">
        <v>0</v>
      </c>
      <c r="X282" s="546">
        <v>0</v>
      </c>
      <c r="Y282" s="546">
        <v>0</v>
      </c>
      <c r="Z282" s="546">
        <v>0</v>
      </c>
      <c r="AA282" s="546">
        <v>0</v>
      </c>
      <c r="AB282" s="546">
        <v>0</v>
      </c>
      <c r="AC282" s="546">
        <v>0</v>
      </c>
      <c r="AD282" s="546">
        <v>0</v>
      </c>
      <c r="AE282" s="546">
        <v>0</v>
      </c>
      <c r="AF282" s="546">
        <v>0</v>
      </c>
      <c r="AG282" s="546">
        <v>0</v>
      </c>
      <c r="AH282" s="546">
        <v>0</v>
      </c>
      <c r="AI282" s="546">
        <v>0</v>
      </c>
      <c r="AJ282" s="546">
        <v>0</v>
      </c>
      <c r="AK282" s="546">
        <v>0</v>
      </c>
      <c r="AL282" s="546">
        <v>0</v>
      </c>
      <c r="AM282" s="546">
        <v>0</v>
      </c>
      <c r="AN282" s="546">
        <v>0</v>
      </c>
      <c r="AO282" s="546">
        <v>0</v>
      </c>
      <c r="AP282" s="546">
        <v>0</v>
      </c>
      <c r="AQ282" s="546">
        <v>0</v>
      </c>
      <c r="AR282" s="546">
        <v>0</v>
      </c>
      <c r="AS282" s="546">
        <v>0</v>
      </c>
      <c r="AT282" s="546">
        <v>0</v>
      </c>
      <c r="AU282" s="546">
        <v>0</v>
      </c>
      <c r="AV282" s="546">
        <v>0</v>
      </c>
      <c r="AW282" s="546">
        <v>0</v>
      </c>
      <c r="AX282" s="546">
        <v>0</v>
      </c>
      <c r="AY282" s="546">
        <v>0</v>
      </c>
      <c r="AZ282" s="547">
        <v>0</v>
      </c>
    </row>
    <row r="283" spans="1:52" s="469" customFormat="1">
      <c r="A283" s="492">
        <f>'[4]Allocation Methodology'!A33</f>
        <v>29</v>
      </c>
      <c r="B283" s="493" t="str">
        <f>'[4]Allocation Methodology'!B33</f>
        <v>Demand Response 1</v>
      </c>
      <c r="C283" s="493" t="str">
        <f>'[4]Allocation Methodology'!C33</f>
        <v>Business, Industrial</v>
      </c>
      <c r="D283" s="493"/>
      <c r="E283" s="493">
        <f>'[4]Allocation Methodology'!D33</f>
        <v>2008</v>
      </c>
      <c r="F283" s="494" t="str">
        <f>'[4]Allocation Methodology'!E33</f>
        <v>Final</v>
      </c>
      <c r="G283" s="471" t="b">
        <v>0</v>
      </c>
      <c r="H283" s="548">
        <v>0</v>
      </c>
      <c r="I283" s="549">
        <v>0</v>
      </c>
      <c r="J283" s="549">
        <v>0</v>
      </c>
      <c r="K283" s="549">
        <v>0</v>
      </c>
      <c r="L283" s="549">
        <v>0</v>
      </c>
      <c r="M283" s="549">
        <v>0</v>
      </c>
      <c r="N283" s="549">
        <v>0</v>
      </c>
      <c r="O283" s="549">
        <v>0</v>
      </c>
      <c r="P283" s="549">
        <v>0</v>
      </c>
      <c r="Q283" s="549">
        <v>0</v>
      </c>
      <c r="R283" s="549">
        <v>0</v>
      </c>
      <c r="S283" s="549">
        <v>0</v>
      </c>
      <c r="T283" s="549">
        <v>0</v>
      </c>
      <c r="U283" s="549">
        <v>0</v>
      </c>
      <c r="V283" s="549">
        <v>0</v>
      </c>
      <c r="W283" s="549">
        <v>0</v>
      </c>
      <c r="X283" s="549">
        <v>0</v>
      </c>
      <c r="Y283" s="549">
        <v>0</v>
      </c>
      <c r="Z283" s="549">
        <v>0</v>
      </c>
      <c r="AA283" s="549">
        <v>0</v>
      </c>
      <c r="AB283" s="549">
        <v>0</v>
      </c>
      <c r="AC283" s="549">
        <v>0</v>
      </c>
      <c r="AD283" s="549">
        <v>0</v>
      </c>
      <c r="AE283" s="549">
        <v>0</v>
      </c>
      <c r="AF283" s="549">
        <v>0</v>
      </c>
      <c r="AG283" s="549">
        <v>0</v>
      </c>
      <c r="AH283" s="549">
        <v>0</v>
      </c>
      <c r="AI283" s="549">
        <v>0</v>
      </c>
      <c r="AJ283" s="549">
        <v>0</v>
      </c>
      <c r="AK283" s="549">
        <v>0</v>
      </c>
      <c r="AL283" s="549">
        <v>0</v>
      </c>
      <c r="AM283" s="549">
        <v>0</v>
      </c>
      <c r="AN283" s="549">
        <v>0</v>
      </c>
      <c r="AO283" s="549">
        <v>0</v>
      </c>
      <c r="AP283" s="549">
        <v>0</v>
      </c>
      <c r="AQ283" s="549">
        <v>0</v>
      </c>
      <c r="AR283" s="549">
        <v>0</v>
      </c>
      <c r="AS283" s="549">
        <v>0</v>
      </c>
      <c r="AT283" s="549">
        <v>0</v>
      </c>
      <c r="AU283" s="549">
        <v>0</v>
      </c>
      <c r="AV283" s="549">
        <v>0</v>
      </c>
      <c r="AW283" s="549">
        <v>0</v>
      </c>
      <c r="AX283" s="549">
        <v>0</v>
      </c>
      <c r="AY283" s="549">
        <v>0</v>
      </c>
      <c r="AZ283" s="550">
        <v>0</v>
      </c>
    </row>
    <row r="284" spans="1:52" s="469" customFormat="1">
      <c r="A284" s="485">
        <f>'[4]Allocation Methodology'!A34</f>
        <v>30</v>
      </c>
      <c r="B284" s="486" t="str">
        <f>'[4]Allocation Methodology'!B34</f>
        <v>Demand Response 3</v>
      </c>
      <c r="C284" s="486" t="str">
        <f>'[4]Allocation Methodology'!C34</f>
        <v>Business, Industrial</v>
      </c>
      <c r="D284" s="486"/>
      <c r="E284" s="486">
        <f>'[4]Allocation Methodology'!D34</f>
        <v>2008</v>
      </c>
      <c r="F284" s="487" t="str">
        <f>'[4]Allocation Methodology'!E34</f>
        <v>Final</v>
      </c>
      <c r="G284" s="471" t="b">
        <v>0</v>
      </c>
      <c r="H284" s="545">
        <v>0</v>
      </c>
      <c r="I284" s="546">
        <v>0</v>
      </c>
      <c r="J284" s="546">
        <v>0</v>
      </c>
      <c r="K284" s="546">
        <v>0</v>
      </c>
      <c r="L284" s="546">
        <v>0</v>
      </c>
      <c r="M284" s="546">
        <v>0</v>
      </c>
      <c r="N284" s="546">
        <v>0</v>
      </c>
      <c r="O284" s="546">
        <v>0</v>
      </c>
      <c r="P284" s="546">
        <v>0</v>
      </c>
      <c r="Q284" s="546">
        <v>0</v>
      </c>
      <c r="R284" s="546">
        <v>0</v>
      </c>
      <c r="S284" s="546">
        <v>0</v>
      </c>
      <c r="T284" s="546">
        <v>0</v>
      </c>
      <c r="U284" s="546">
        <v>0</v>
      </c>
      <c r="V284" s="546">
        <v>0</v>
      </c>
      <c r="W284" s="546">
        <v>0</v>
      </c>
      <c r="X284" s="546">
        <v>0</v>
      </c>
      <c r="Y284" s="546">
        <v>0</v>
      </c>
      <c r="Z284" s="546">
        <v>0</v>
      </c>
      <c r="AA284" s="546">
        <v>0</v>
      </c>
      <c r="AB284" s="546">
        <v>0</v>
      </c>
      <c r="AC284" s="546">
        <v>0</v>
      </c>
      <c r="AD284" s="546">
        <v>0</v>
      </c>
      <c r="AE284" s="546">
        <v>0</v>
      </c>
      <c r="AF284" s="546">
        <v>0</v>
      </c>
      <c r="AG284" s="546">
        <v>0</v>
      </c>
      <c r="AH284" s="546">
        <v>0</v>
      </c>
      <c r="AI284" s="546">
        <v>0</v>
      </c>
      <c r="AJ284" s="546">
        <v>0</v>
      </c>
      <c r="AK284" s="546">
        <v>0</v>
      </c>
      <c r="AL284" s="546">
        <v>0</v>
      </c>
      <c r="AM284" s="546">
        <v>0</v>
      </c>
      <c r="AN284" s="546">
        <v>0</v>
      </c>
      <c r="AO284" s="546">
        <v>0</v>
      </c>
      <c r="AP284" s="546">
        <v>0</v>
      </c>
      <c r="AQ284" s="546">
        <v>0</v>
      </c>
      <c r="AR284" s="546">
        <v>0</v>
      </c>
      <c r="AS284" s="546">
        <v>0</v>
      </c>
      <c r="AT284" s="546">
        <v>0</v>
      </c>
      <c r="AU284" s="546">
        <v>0</v>
      </c>
      <c r="AV284" s="546">
        <v>0</v>
      </c>
      <c r="AW284" s="546">
        <v>0</v>
      </c>
      <c r="AX284" s="546">
        <v>0</v>
      </c>
      <c r="AY284" s="546">
        <v>0</v>
      </c>
      <c r="AZ284" s="547">
        <v>0</v>
      </c>
    </row>
    <row r="285" spans="1:52" s="469" customFormat="1">
      <c r="A285" s="492">
        <f>'[4]Allocation Methodology'!A35</f>
        <v>31</v>
      </c>
      <c r="B285" s="493" t="str">
        <f>'[4]Allocation Methodology'!B35</f>
        <v>Loblaw &amp; York Region Demand Response</v>
      </c>
      <c r="C285" s="493" t="str">
        <f>'[4]Allocation Methodology'!C35</f>
        <v>Business, Industrial</v>
      </c>
      <c r="D285" s="493"/>
      <c r="E285" s="493">
        <f>'[4]Allocation Methodology'!D35</f>
        <v>2008</v>
      </c>
      <c r="F285" s="494" t="str">
        <f>'[4]Allocation Methodology'!E35</f>
        <v>Final</v>
      </c>
      <c r="G285" s="471" t="b">
        <v>0</v>
      </c>
      <c r="H285" s="548">
        <v>0</v>
      </c>
      <c r="I285" s="549">
        <v>0</v>
      </c>
      <c r="J285" s="549">
        <v>0</v>
      </c>
      <c r="K285" s="549">
        <v>0</v>
      </c>
      <c r="L285" s="549">
        <v>0</v>
      </c>
      <c r="M285" s="549">
        <v>0</v>
      </c>
      <c r="N285" s="549">
        <v>0</v>
      </c>
      <c r="O285" s="549">
        <v>0</v>
      </c>
      <c r="P285" s="549">
        <v>0</v>
      </c>
      <c r="Q285" s="549">
        <v>0</v>
      </c>
      <c r="R285" s="549">
        <v>0</v>
      </c>
      <c r="S285" s="549">
        <v>0</v>
      </c>
      <c r="T285" s="549">
        <v>0</v>
      </c>
      <c r="U285" s="549">
        <v>0</v>
      </c>
      <c r="V285" s="549">
        <v>0</v>
      </c>
      <c r="W285" s="549">
        <v>0</v>
      </c>
      <c r="X285" s="549">
        <v>0</v>
      </c>
      <c r="Y285" s="549">
        <v>0</v>
      </c>
      <c r="Z285" s="549">
        <v>0</v>
      </c>
      <c r="AA285" s="549">
        <v>0</v>
      </c>
      <c r="AB285" s="549">
        <v>0</v>
      </c>
      <c r="AC285" s="549">
        <v>0</v>
      </c>
      <c r="AD285" s="549">
        <v>0</v>
      </c>
      <c r="AE285" s="549">
        <v>0</v>
      </c>
      <c r="AF285" s="549">
        <v>0</v>
      </c>
      <c r="AG285" s="549">
        <v>0</v>
      </c>
      <c r="AH285" s="549">
        <v>0</v>
      </c>
      <c r="AI285" s="549">
        <v>0</v>
      </c>
      <c r="AJ285" s="549">
        <v>0</v>
      </c>
      <c r="AK285" s="549">
        <v>0</v>
      </c>
      <c r="AL285" s="549">
        <v>0</v>
      </c>
      <c r="AM285" s="549">
        <v>0</v>
      </c>
      <c r="AN285" s="549">
        <v>0</v>
      </c>
      <c r="AO285" s="549">
        <v>0</v>
      </c>
      <c r="AP285" s="549">
        <v>0</v>
      </c>
      <c r="AQ285" s="549">
        <v>0</v>
      </c>
      <c r="AR285" s="549">
        <v>0</v>
      </c>
      <c r="AS285" s="549">
        <v>0</v>
      </c>
      <c r="AT285" s="549">
        <v>0</v>
      </c>
      <c r="AU285" s="549">
        <v>0</v>
      </c>
      <c r="AV285" s="549">
        <v>0</v>
      </c>
      <c r="AW285" s="549">
        <v>0</v>
      </c>
      <c r="AX285" s="549">
        <v>0</v>
      </c>
      <c r="AY285" s="549">
        <v>0</v>
      </c>
      <c r="AZ285" s="550">
        <v>0</v>
      </c>
    </row>
    <row r="286" spans="1:52" s="469" customFormat="1">
      <c r="A286" s="485">
        <f>'[4]Allocation Methodology'!A36</f>
        <v>32</v>
      </c>
      <c r="B286" s="486" t="str">
        <f>'[4]Allocation Methodology'!B36</f>
        <v>Renewable Energy Standard Offer</v>
      </c>
      <c r="C286" s="486" t="str">
        <f>'[4]Allocation Methodology'!C36</f>
        <v>Consumer, Business</v>
      </c>
      <c r="D286" s="486"/>
      <c r="E286" s="486">
        <f>'[4]Allocation Methodology'!D36</f>
        <v>2008</v>
      </c>
      <c r="F286" s="487" t="str">
        <f>'[4]Allocation Methodology'!E36</f>
        <v>Final</v>
      </c>
      <c r="G286" s="471" t="b">
        <v>0</v>
      </c>
      <c r="H286" s="545">
        <v>0</v>
      </c>
      <c r="I286" s="546">
        <v>0</v>
      </c>
      <c r="J286" s="546">
        <v>13.927524000000002</v>
      </c>
      <c r="K286" s="546">
        <v>13.927524000000002</v>
      </c>
      <c r="L286" s="546">
        <v>13.927524000000002</v>
      </c>
      <c r="M286" s="546">
        <v>13.927524000000002</v>
      </c>
      <c r="N286" s="546">
        <v>13.927524000000002</v>
      </c>
      <c r="O286" s="546">
        <v>13.927524000000002</v>
      </c>
      <c r="P286" s="546">
        <v>13.927524000000002</v>
      </c>
      <c r="Q286" s="546">
        <v>13.927524000000002</v>
      </c>
      <c r="R286" s="546">
        <v>13.927524000000002</v>
      </c>
      <c r="S286" s="546">
        <v>13.927524000000002</v>
      </c>
      <c r="T286" s="546">
        <v>13.927524000000002</v>
      </c>
      <c r="U286" s="546">
        <v>13.927524000000002</v>
      </c>
      <c r="V286" s="546">
        <v>13.927524000000002</v>
      </c>
      <c r="W286" s="546">
        <v>13.927524000000002</v>
      </c>
      <c r="X286" s="546">
        <v>13.927524000000002</v>
      </c>
      <c r="Y286" s="546">
        <v>13.927524000000002</v>
      </c>
      <c r="Z286" s="546">
        <v>13.927524000000002</v>
      </c>
      <c r="AA286" s="546">
        <v>13.927524000000002</v>
      </c>
      <c r="AB286" s="546">
        <v>13.927524000000002</v>
      </c>
      <c r="AC286" s="546">
        <v>13.927524000000002</v>
      </c>
      <c r="AD286" s="546">
        <v>0</v>
      </c>
      <c r="AE286" s="546">
        <v>0</v>
      </c>
      <c r="AF286" s="546">
        <v>0</v>
      </c>
      <c r="AG286" s="546">
        <v>0</v>
      </c>
      <c r="AH286" s="546">
        <v>0</v>
      </c>
      <c r="AI286" s="546">
        <v>0</v>
      </c>
      <c r="AJ286" s="546">
        <v>0</v>
      </c>
      <c r="AK286" s="546">
        <v>0</v>
      </c>
      <c r="AL286" s="546">
        <v>0</v>
      </c>
      <c r="AM286" s="546">
        <v>0</v>
      </c>
      <c r="AN286" s="546">
        <v>0</v>
      </c>
      <c r="AO286" s="546">
        <v>0</v>
      </c>
      <c r="AP286" s="546">
        <v>0</v>
      </c>
      <c r="AQ286" s="546">
        <v>0</v>
      </c>
      <c r="AR286" s="546">
        <v>0</v>
      </c>
      <c r="AS286" s="546">
        <v>0</v>
      </c>
      <c r="AT286" s="546">
        <v>0</v>
      </c>
      <c r="AU286" s="546">
        <v>0</v>
      </c>
      <c r="AV286" s="546">
        <v>0</v>
      </c>
      <c r="AW286" s="546">
        <v>0</v>
      </c>
      <c r="AX286" s="546">
        <v>0</v>
      </c>
      <c r="AY286" s="546">
        <v>0</v>
      </c>
      <c r="AZ286" s="547">
        <v>0</v>
      </c>
    </row>
    <row r="287" spans="1:52" s="469" customFormat="1">
      <c r="A287" s="492">
        <f>'[4]Allocation Methodology'!A37</f>
        <v>33</v>
      </c>
      <c r="B287" s="493" t="str">
        <f>'[4]Allocation Methodology'!B37</f>
        <v>Other Customer Based Generation</v>
      </c>
      <c r="C287" s="493" t="str">
        <f>'[4]Allocation Methodology'!C37</f>
        <v>Business</v>
      </c>
      <c r="D287" s="493"/>
      <c r="E287" s="493">
        <f>'[4]Allocation Methodology'!D37</f>
        <v>2008</v>
      </c>
      <c r="F287" s="494" t="str">
        <f>'[4]Allocation Methodology'!E37</f>
        <v>Final</v>
      </c>
      <c r="G287" s="471" t="b">
        <v>0</v>
      </c>
      <c r="H287" s="548">
        <v>0</v>
      </c>
      <c r="I287" s="549">
        <v>0</v>
      </c>
      <c r="J287" s="549">
        <v>0</v>
      </c>
      <c r="K287" s="549">
        <v>0</v>
      </c>
      <c r="L287" s="549">
        <v>0</v>
      </c>
      <c r="M287" s="549">
        <v>0</v>
      </c>
      <c r="N287" s="549">
        <v>0</v>
      </c>
      <c r="O287" s="549">
        <v>0</v>
      </c>
      <c r="P287" s="549">
        <v>0</v>
      </c>
      <c r="Q287" s="549">
        <v>0</v>
      </c>
      <c r="R287" s="549">
        <v>0</v>
      </c>
      <c r="S287" s="549">
        <v>0</v>
      </c>
      <c r="T287" s="549">
        <v>0</v>
      </c>
      <c r="U287" s="549">
        <v>0</v>
      </c>
      <c r="V287" s="549">
        <v>0</v>
      </c>
      <c r="W287" s="549">
        <v>0</v>
      </c>
      <c r="X287" s="549">
        <v>0</v>
      </c>
      <c r="Y287" s="549">
        <v>0</v>
      </c>
      <c r="Z287" s="549">
        <v>0</v>
      </c>
      <c r="AA287" s="549">
        <v>0</v>
      </c>
      <c r="AB287" s="549">
        <v>0</v>
      </c>
      <c r="AC287" s="549">
        <v>0</v>
      </c>
      <c r="AD287" s="549">
        <v>0</v>
      </c>
      <c r="AE287" s="549">
        <v>0</v>
      </c>
      <c r="AF287" s="549">
        <v>0</v>
      </c>
      <c r="AG287" s="549">
        <v>0</v>
      </c>
      <c r="AH287" s="549">
        <v>0</v>
      </c>
      <c r="AI287" s="549">
        <v>0</v>
      </c>
      <c r="AJ287" s="549">
        <v>0</v>
      </c>
      <c r="AK287" s="549">
        <v>0</v>
      </c>
      <c r="AL287" s="549">
        <v>0</v>
      </c>
      <c r="AM287" s="549">
        <v>0</v>
      </c>
      <c r="AN287" s="549">
        <v>0</v>
      </c>
      <c r="AO287" s="549">
        <v>0</v>
      </c>
      <c r="AP287" s="549">
        <v>0</v>
      </c>
      <c r="AQ287" s="549">
        <v>0</v>
      </c>
      <c r="AR287" s="549">
        <v>0</v>
      </c>
      <c r="AS287" s="549">
        <v>0</v>
      </c>
      <c r="AT287" s="549">
        <v>0</v>
      </c>
      <c r="AU287" s="549">
        <v>0</v>
      </c>
      <c r="AV287" s="549">
        <v>0</v>
      </c>
      <c r="AW287" s="549">
        <v>0</v>
      </c>
      <c r="AX287" s="549">
        <v>0</v>
      </c>
      <c r="AY287" s="549">
        <v>0</v>
      </c>
      <c r="AZ287" s="550">
        <v>0</v>
      </c>
    </row>
    <row r="288" spans="1:52" s="469" customFormat="1">
      <c r="A288" s="514">
        <f>'[4]Allocation Methodology'!A38</f>
        <v>34</v>
      </c>
      <c r="B288" s="515" t="str">
        <f>'[4]Allocation Methodology'!B38</f>
        <v>LDC Custom - Hydro One Networks Inc. - Double Return</v>
      </c>
      <c r="C288" s="515" t="str">
        <f>'[4]Allocation Methodology'!C38</f>
        <v>Business, Industrial</v>
      </c>
      <c r="D288" s="515"/>
      <c r="E288" s="515">
        <f>'[4]Allocation Methodology'!D38</f>
        <v>2008</v>
      </c>
      <c r="F288" s="516" t="str">
        <f>'[4]Allocation Methodology'!E38</f>
        <v>Final</v>
      </c>
      <c r="G288" s="471" t="b">
        <v>0</v>
      </c>
      <c r="H288" s="557">
        <v>0</v>
      </c>
      <c r="I288" s="558">
        <v>0</v>
      </c>
      <c r="J288" s="558">
        <v>0</v>
      </c>
      <c r="K288" s="558">
        <v>0</v>
      </c>
      <c r="L288" s="558">
        <v>0</v>
      </c>
      <c r="M288" s="558">
        <v>0</v>
      </c>
      <c r="N288" s="558">
        <v>0</v>
      </c>
      <c r="O288" s="558">
        <v>0</v>
      </c>
      <c r="P288" s="558">
        <v>0</v>
      </c>
      <c r="Q288" s="558">
        <v>0</v>
      </c>
      <c r="R288" s="558">
        <v>0</v>
      </c>
      <c r="S288" s="558">
        <v>0</v>
      </c>
      <c r="T288" s="558">
        <v>0</v>
      </c>
      <c r="U288" s="558">
        <v>0</v>
      </c>
      <c r="V288" s="558">
        <v>0</v>
      </c>
      <c r="W288" s="558">
        <v>0</v>
      </c>
      <c r="X288" s="558">
        <v>0</v>
      </c>
      <c r="Y288" s="558">
        <v>0</v>
      </c>
      <c r="Z288" s="558">
        <v>0</v>
      </c>
      <c r="AA288" s="558">
        <v>0</v>
      </c>
      <c r="AB288" s="558">
        <v>0</v>
      </c>
      <c r="AC288" s="558">
        <v>0</v>
      </c>
      <c r="AD288" s="558">
        <v>0</v>
      </c>
      <c r="AE288" s="558">
        <v>0</v>
      </c>
      <c r="AF288" s="558">
        <v>0</v>
      </c>
      <c r="AG288" s="558">
        <v>0</v>
      </c>
      <c r="AH288" s="558">
        <v>0</v>
      </c>
      <c r="AI288" s="558">
        <v>0</v>
      </c>
      <c r="AJ288" s="558">
        <v>0</v>
      </c>
      <c r="AK288" s="558">
        <v>0</v>
      </c>
      <c r="AL288" s="558">
        <v>0</v>
      </c>
      <c r="AM288" s="558">
        <v>0</v>
      </c>
      <c r="AN288" s="558">
        <v>0</v>
      </c>
      <c r="AO288" s="558">
        <v>0</v>
      </c>
      <c r="AP288" s="558">
        <v>0</v>
      </c>
      <c r="AQ288" s="558">
        <v>0</v>
      </c>
      <c r="AR288" s="558">
        <v>0</v>
      </c>
      <c r="AS288" s="558">
        <v>0</v>
      </c>
      <c r="AT288" s="558">
        <v>0</v>
      </c>
      <c r="AU288" s="558">
        <v>0</v>
      </c>
      <c r="AV288" s="558">
        <v>0</v>
      </c>
      <c r="AW288" s="558">
        <v>0</v>
      </c>
      <c r="AX288" s="558">
        <v>0</v>
      </c>
      <c r="AY288" s="558">
        <v>0</v>
      </c>
      <c r="AZ288" s="559">
        <v>0</v>
      </c>
    </row>
    <row r="289" spans="1:52" s="469" customFormat="1">
      <c r="A289" s="478">
        <f>'[4]Allocation Methodology'!A39</f>
        <v>35</v>
      </c>
      <c r="B289" s="479" t="str">
        <f>'[4]Allocation Methodology'!B39</f>
        <v>Great Refrigerator Roundup</v>
      </c>
      <c r="C289" s="479" t="str">
        <f>'[4]Allocation Methodology'!C39</f>
        <v>Consumer</v>
      </c>
      <c r="D289" s="479"/>
      <c r="E289" s="479">
        <f>'[4]Allocation Methodology'!D39</f>
        <v>2009</v>
      </c>
      <c r="F289" s="480" t="str">
        <f>'[4]Allocation Methodology'!E39</f>
        <v>Final</v>
      </c>
      <c r="G289" s="471" t="b">
        <v>0</v>
      </c>
      <c r="H289" s="541">
        <v>0</v>
      </c>
      <c r="I289" s="543">
        <v>0</v>
      </c>
      <c r="J289" s="543">
        <v>0</v>
      </c>
      <c r="K289" s="543">
        <v>217.13672497956065</v>
      </c>
      <c r="L289" s="543">
        <v>217.13672497956065</v>
      </c>
      <c r="M289" s="543">
        <v>217.13672497956065</v>
      </c>
      <c r="N289" s="543">
        <v>215.42600629931289</v>
      </c>
      <c r="O289" s="543">
        <v>159.69321225267387</v>
      </c>
      <c r="P289" s="543">
        <v>0</v>
      </c>
      <c r="Q289" s="543">
        <v>0</v>
      </c>
      <c r="R289" s="543">
        <v>0</v>
      </c>
      <c r="S289" s="543">
        <v>0</v>
      </c>
      <c r="T289" s="543">
        <v>0</v>
      </c>
      <c r="U289" s="543">
        <v>0</v>
      </c>
      <c r="V289" s="543">
        <v>0</v>
      </c>
      <c r="W289" s="543">
        <v>0</v>
      </c>
      <c r="X289" s="543">
        <v>0</v>
      </c>
      <c r="Y289" s="543">
        <v>0</v>
      </c>
      <c r="Z289" s="543">
        <v>0</v>
      </c>
      <c r="AA289" s="543">
        <v>0</v>
      </c>
      <c r="AB289" s="543">
        <v>0</v>
      </c>
      <c r="AC289" s="543">
        <v>0</v>
      </c>
      <c r="AD289" s="543">
        <v>0</v>
      </c>
      <c r="AE289" s="543">
        <v>0</v>
      </c>
      <c r="AF289" s="543">
        <v>0</v>
      </c>
      <c r="AG289" s="543">
        <v>0</v>
      </c>
      <c r="AH289" s="543">
        <v>0</v>
      </c>
      <c r="AI289" s="543">
        <v>0</v>
      </c>
      <c r="AJ289" s="543">
        <v>0</v>
      </c>
      <c r="AK289" s="543">
        <v>0</v>
      </c>
      <c r="AL289" s="543">
        <v>0</v>
      </c>
      <c r="AM289" s="543">
        <v>0</v>
      </c>
      <c r="AN289" s="543">
        <v>0</v>
      </c>
      <c r="AO289" s="543">
        <v>0</v>
      </c>
      <c r="AP289" s="543">
        <v>0</v>
      </c>
      <c r="AQ289" s="543">
        <v>0</v>
      </c>
      <c r="AR289" s="543">
        <v>0</v>
      </c>
      <c r="AS289" s="543">
        <v>0</v>
      </c>
      <c r="AT289" s="543">
        <v>0</v>
      </c>
      <c r="AU289" s="543">
        <v>0</v>
      </c>
      <c r="AV289" s="543">
        <v>0</v>
      </c>
      <c r="AW289" s="543">
        <v>0</v>
      </c>
      <c r="AX289" s="543">
        <v>0</v>
      </c>
      <c r="AY289" s="543">
        <v>0</v>
      </c>
      <c r="AZ289" s="544">
        <v>0</v>
      </c>
    </row>
    <row r="290" spans="1:52" s="469" customFormat="1">
      <c r="A290" s="485">
        <f>'[4]Allocation Methodology'!A40</f>
        <v>36</v>
      </c>
      <c r="B290" s="486" t="str">
        <f>'[4]Allocation Methodology'!B40</f>
        <v>Cool Savings Rebate</v>
      </c>
      <c r="C290" s="486" t="str">
        <f>'[4]Allocation Methodology'!C40</f>
        <v>Consumer</v>
      </c>
      <c r="D290" s="486"/>
      <c r="E290" s="486">
        <f>'[4]Allocation Methodology'!D40</f>
        <v>2009</v>
      </c>
      <c r="F290" s="487" t="str">
        <f>'[4]Allocation Methodology'!E40</f>
        <v>Final</v>
      </c>
      <c r="G290" s="471" t="b">
        <v>0</v>
      </c>
      <c r="H290" s="545">
        <v>0</v>
      </c>
      <c r="I290" s="546">
        <v>0</v>
      </c>
      <c r="J290" s="546">
        <v>0</v>
      </c>
      <c r="K290" s="546">
        <v>342.35606752864516</v>
      </c>
      <c r="L290" s="546">
        <v>342.35606752864516</v>
      </c>
      <c r="M290" s="546">
        <v>342.35606752864516</v>
      </c>
      <c r="N290" s="546">
        <v>341.83586634940809</v>
      </c>
      <c r="O290" s="546">
        <v>341.08779722724711</v>
      </c>
      <c r="P290" s="546">
        <v>340.20762293173215</v>
      </c>
      <c r="Q290" s="546">
        <v>340.20762293173215</v>
      </c>
      <c r="R290" s="546">
        <v>340.20762293173215</v>
      </c>
      <c r="S290" s="546">
        <v>340.20762293173215</v>
      </c>
      <c r="T290" s="546">
        <v>340.20762293173215</v>
      </c>
      <c r="U290" s="546">
        <v>336.98779210867349</v>
      </c>
      <c r="V290" s="546">
        <v>336.98779210867349</v>
      </c>
      <c r="W290" s="546">
        <v>336.98779210867349</v>
      </c>
      <c r="X290" s="546">
        <v>336.98779210867349</v>
      </c>
      <c r="Y290" s="546">
        <v>336.98779210867349</v>
      </c>
      <c r="Z290" s="546">
        <v>329.74962670045363</v>
      </c>
      <c r="AA290" s="546">
        <v>329.74962670045363</v>
      </c>
      <c r="AB290" s="546">
        <v>329.74962670045363</v>
      </c>
      <c r="AC290" s="546">
        <v>291.16985132888675</v>
      </c>
      <c r="AD290" s="546">
        <v>0</v>
      </c>
      <c r="AE290" s="546">
        <v>0</v>
      </c>
      <c r="AF290" s="546">
        <v>0</v>
      </c>
      <c r="AG290" s="546">
        <v>0</v>
      </c>
      <c r="AH290" s="546">
        <v>0</v>
      </c>
      <c r="AI290" s="546">
        <v>0</v>
      </c>
      <c r="AJ290" s="546">
        <v>0</v>
      </c>
      <c r="AK290" s="546">
        <v>0</v>
      </c>
      <c r="AL290" s="546">
        <v>0</v>
      </c>
      <c r="AM290" s="546">
        <v>0</v>
      </c>
      <c r="AN290" s="546">
        <v>0</v>
      </c>
      <c r="AO290" s="546">
        <v>0</v>
      </c>
      <c r="AP290" s="546">
        <v>0</v>
      </c>
      <c r="AQ290" s="546">
        <v>0</v>
      </c>
      <c r="AR290" s="546">
        <v>0</v>
      </c>
      <c r="AS290" s="546">
        <v>0</v>
      </c>
      <c r="AT290" s="546">
        <v>0</v>
      </c>
      <c r="AU290" s="546">
        <v>0</v>
      </c>
      <c r="AV290" s="546">
        <v>0</v>
      </c>
      <c r="AW290" s="546">
        <v>0</v>
      </c>
      <c r="AX290" s="546">
        <v>0</v>
      </c>
      <c r="AY290" s="546">
        <v>0</v>
      </c>
      <c r="AZ290" s="547">
        <v>0</v>
      </c>
    </row>
    <row r="291" spans="1:52" s="469" customFormat="1">
      <c r="A291" s="492">
        <f>'[4]Allocation Methodology'!A41</f>
        <v>37</v>
      </c>
      <c r="B291" s="493" t="str">
        <f>'[4]Allocation Methodology'!B41</f>
        <v>Every Kilowatt Counts Power Savings Event</v>
      </c>
      <c r="C291" s="493" t="str">
        <f>'[4]Allocation Methodology'!C41</f>
        <v>Consumer</v>
      </c>
      <c r="D291" s="493"/>
      <c r="E291" s="493">
        <f>'[4]Allocation Methodology'!D41</f>
        <v>2009</v>
      </c>
      <c r="F291" s="494" t="str">
        <f>'[4]Allocation Methodology'!E41</f>
        <v>Final</v>
      </c>
      <c r="G291" s="471" t="b">
        <v>0</v>
      </c>
      <c r="H291" s="548">
        <v>0</v>
      </c>
      <c r="I291" s="549">
        <v>0</v>
      </c>
      <c r="J291" s="549">
        <v>0</v>
      </c>
      <c r="K291" s="549">
        <v>693.20876107948482</v>
      </c>
      <c r="L291" s="549">
        <v>626.94649204192899</v>
      </c>
      <c r="M291" s="549">
        <v>626.94649204192899</v>
      </c>
      <c r="N291" s="549">
        <v>626.91384225107799</v>
      </c>
      <c r="O291" s="549">
        <v>623.36003809301167</v>
      </c>
      <c r="P291" s="549">
        <v>600.26531862790398</v>
      </c>
      <c r="Q291" s="549">
        <v>511.90988082124795</v>
      </c>
      <c r="R291" s="549">
        <v>509.61010565088918</v>
      </c>
      <c r="S291" s="549">
        <v>359.56240403669142</v>
      </c>
      <c r="T291" s="549">
        <v>359.56240403669142</v>
      </c>
      <c r="U291" s="549">
        <v>265.72804656684571</v>
      </c>
      <c r="V291" s="549">
        <v>265.60238638925347</v>
      </c>
      <c r="W291" s="549">
        <v>216.39905292036812</v>
      </c>
      <c r="X291" s="549">
        <v>216.39905292036812</v>
      </c>
      <c r="Y291" s="549">
        <v>202.05851409598768</v>
      </c>
      <c r="Z291" s="549">
        <v>99.679846041496788</v>
      </c>
      <c r="AA291" s="549">
        <v>61.696698219826899</v>
      </c>
      <c r="AB291" s="549">
        <v>35.583745549059834</v>
      </c>
      <c r="AC291" s="549">
        <v>34.671469029021189</v>
      </c>
      <c r="AD291" s="549">
        <v>34.671469029021189</v>
      </c>
      <c r="AE291" s="549">
        <v>0</v>
      </c>
      <c r="AF291" s="549">
        <v>0</v>
      </c>
      <c r="AG291" s="549">
        <v>0</v>
      </c>
      <c r="AH291" s="549">
        <v>0</v>
      </c>
      <c r="AI291" s="549">
        <v>0</v>
      </c>
      <c r="AJ291" s="549">
        <v>0</v>
      </c>
      <c r="AK291" s="549">
        <v>0</v>
      </c>
      <c r="AL291" s="549">
        <v>0</v>
      </c>
      <c r="AM291" s="549">
        <v>0</v>
      </c>
      <c r="AN291" s="549">
        <v>0</v>
      </c>
      <c r="AO291" s="549">
        <v>0</v>
      </c>
      <c r="AP291" s="549">
        <v>0</v>
      </c>
      <c r="AQ291" s="549">
        <v>0</v>
      </c>
      <c r="AR291" s="549">
        <v>0</v>
      </c>
      <c r="AS291" s="549">
        <v>0</v>
      </c>
      <c r="AT291" s="549">
        <v>0</v>
      </c>
      <c r="AU291" s="549">
        <v>0</v>
      </c>
      <c r="AV291" s="549">
        <v>0</v>
      </c>
      <c r="AW291" s="549">
        <v>0</v>
      </c>
      <c r="AX291" s="549">
        <v>0</v>
      </c>
      <c r="AY291" s="549">
        <v>0</v>
      </c>
      <c r="AZ291" s="550">
        <v>0</v>
      </c>
    </row>
    <row r="292" spans="1:52" s="469" customFormat="1">
      <c r="A292" s="485">
        <f>'[4]Allocation Methodology'!A42</f>
        <v>38</v>
      </c>
      <c r="B292" s="521" t="str">
        <f>'[4]Allocation Methodology'!B42</f>
        <v>peaksaver®</v>
      </c>
      <c r="C292" s="486" t="str">
        <f>'[4]Allocation Methodology'!C42</f>
        <v>Consumer, Business</v>
      </c>
      <c r="D292" s="486"/>
      <c r="E292" s="486">
        <f>'[4]Allocation Methodology'!D42</f>
        <v>2009</v>
      </c>
      <c r="F292" s="487" t="str">
        <f>'[4]Allocation Methodology'!E42</f>
        <v>Final</v>
      </c>
      <c r="G292" s="471" t="b">
        <v>0</v>
      </c>
      <c r="H292" s="545">
        <v>0</v>
      </c>
      <c r="I292" s="546">
        <v>0</v>
      </c>
      <c r="J292" s="546">
        <v>0</v>
      </c>
      <c r="K292" s="546">
        <v>0</v>
      </c>
      <c r="L292" s="546">
        <v>0</v>
      </c>
      <c r="M292" s="546">
        <v>0</v>
      </c>
      <c r="N292" s="546">
        <v>0</v>
      </c>
      <c r="O292" s="546">
        <v>0</v>
      </c>
      <c r="P292" s="546">
        <v>0</v>
      </c>
      <c r="Q292" s="546">
        <v>0</v>
      </c>
      <c r="R292" s="546">
        <v>0</v>
      </c>
      <c r="S292" s="546">
        <v>0</v>
      </c>
      <c r="T292" s="546">
        <v>0</v>
      </c>
      <c r="U292" s="546">
        <v>0</v>
      </c>
      <c r="V292" s="546">
        <v>0</v>
      </c>
      <c r="W292" s="546">
        <v>0</v>
      </c>
      <c r="X292" s="546">
        <v>0</v>
      </c>
      <c r="Y292" s="546">
        <v>0</v>
      </c>
      <c r="Z292" s="546">
        <v>0</v>
      </c>
      <c r="AA292" s="546">
        <v>0</v>
      </c>
      <c r="AB292" s="546">
        <v>0</v>
      </c>
      <c r="AC292" s="546">
        <v>0</v>
      </c>
      <c r="AD292" s="546">
        <v>0</v>
      </c>
      <c r="AE292" s="546">
        <v>0</v>
      </c>
      <c r="AF292" s="546">
        <v>0</v>
      </c>
      <c r="AG292" s="546">
        <v>0</v>
      </c>
      <c r="AH292" s="546">
        <v>0</v>
      </c>
      <c r="AI292" s="546">
        <v>0</v>
      </c>
      <c r="AJ292" s="546">
        <v>0</v>
      </c>
      <c r="AK292" s="546">
        <v>0</v>
      </c>
      <c r="AL292" s="546">
        <v>0</v>
      </c>
      <c r="AM292" s="546">
        <v>0</v>
      </c>
      <c r="AN292" s="546">
        <v>0</v>
      </c>
      <c r="AO292" s="546">
        <v>0</v>
      </c>
      <c r="AP292" s="546">
        <v>0</v>
      </c>
      <c r="AQ292" s="546">
        <v>0</v>
      </c>
      <c r="AR292" s="546">
        <v>0</v>
      </c>
      <c r="AS292" s="546">
        <v>0</v>
      </c>
      <c r="AT292" s="546">
        <v>0</v>
      </c>
      <c r="AU292" s="546">
        <v>0</v>
      </c>
      <c r="AV292" s="546">
        <v>0</v>
      </c>
      <c r="AW292" s="546">
        <v>0</v>
      </c>
      <c r="AX292" s="546">
        <v>0</v>
      </c>
      <c r="AY292" s="546">
        <v>0</v>
      </c>
      <c r="AZ292" s="547">
        <v>0</v>
      </c>
    </row>
    <row r="293" spans="1:52" s="469" customFormat="1">
      <c r="A293" s="492">
        <f>'[4]Allocation Methodology'!A43</f>
        <v>39</v>
      </c>
      <c r="B293" s="493" t="str">
        <f>'[4]Allocation Methodology'!B43</f>
        <v>Electricity Retrofit Incentive</v>
      </c>
      <c r="C293" s="493" t="str">
        <f>'[4]Allocation Methodology'!C43</f>
        <v>Consumer, Business</v>
      </c>
      <c r="D293" s="493"/>
      <c r="E293" s="493">
        <f>'[4]Allocation Methodology'!D43</f>
        <v>2009</v>
      </c>
      <c r="F293" s="494" t="str">
        <f>'[4]Allocation Methodology'!E43</f>
        <v>Final</v>
      </c>
      <c r="G293" s="471" t="b">
        <v>0</v>
      </c>
      <c r="H293" s="548">
        <v>0</v>
      </c>
      <c r="I293" s="549">
        <v>0</v>
      </c>
      <c r="J293" s="549">
        <v>0</v>
      </c>
      <c r="K293" s="549">
        <v>948.4988038277512</v>
      </c>
      <c r="L293" s="549">
        <v>948.4988038277512</v>
      </c>
      <c r="M293" s="549">
        <v>948.4988038277512</v>
      </c>
      <c r="N293" s="549">
        <v>948.4988038277512</v>
      </c>
      <c r="O293" s="549">
        <v>948.4988038277512</v>
      </c>
      <c r="P293" s="549">
        <v>948.4988038277512</v>
      </c>
      <c r="Q293" s="549">
        <v>769.63564593303909</v>
      </c>
      <c r="R293" s="549">
        <v>645.34090909090901</v>
      </c>
      <c r="S293" s="549">
        <v>645.34090909090901</v>
      </c>
      <c r="T293" s="549">
        <v>645.34090909090901</v>
      </c>
      <c r="U293" s="549">
        <v>522.72613636360109</v>
      </c>
      <c r="V293" s="549">
        <v>0</v>
      </c>
      <c r="W293" s="549">
        <v>0</v>
      </c>
      <c r="X293" s="549">
        <v>0</v>
      </c>
      <c r="Y293" s="549">
        <v>0</v>
      </c>
      <c r="Z293" s="549">
        <v>0</v>
      </c>
      <c r="AA293" s="549">
        <v>0</v>
      </c>
      <c r="AB293" s="549">
        <v>0</v>
      </c>
      <c r="AC293" s="549">
        <v>0</v>
      </c>
      <c r="AD293" s="549">
        <v>0</v>
      </c>
      <c r="AE293" s="549">
        <v>0</v>
      </c>
      <c r="AF293" s="549">
        <v>0</v>
      </c>
      <c r="AG293" s="549">
        <v>0</v>
      </c>
      <c r="AH293" s="549">
        <v>0</v>
      </c>
      <c r="AI293" s="549">
        <v>0</v>
      </c>
      <c r="AJ293" s="549">
        <v>0</v>
      </c>
      <c r="AK293" s="549">
        <v>0</v>
      </c>
      <c r="AL293" s="549">
        <v>0</v>
      </c>
      <c r="AM293" s="549">
        <v>0</v>
      </c>
      <c r="AN293" s="549">
        <v>0</v>
      </c>
      <c r="AO293" s="549">
        <v>0</v>
      </c>
      <c r="AP293" s="549">
        <v>0</v>
      </c>
      <c r="AQ293" s="549">
        <v>0</v>
      </c>
      <c r="AR293" s="549">
        <v>0</v>
      </c>
      <c r="AS293" s="549">
        <v>0</v>
      </c>
      <c r="AT293" s="549">
        <v>0</v>
      </c>
      <c r="AU293" s="549">
        <v>0</v>
      </c>
      <c r="AV293" s="549">
        <v>0</v>
      </c>
      <c r="AW293" s="549">
        <v>0</v>
      </c>
      <c r="AX293" s="549">
        <v>0</v>
      </c>
      <c r="AY293" s="549">
        <v>0</v>
      </c>
      <c r="AZ293" s="550">
        <v>0</v>
      </c>
    </row>
    <row r="294" spans="1:52" s="469" customFormat="1">
      <c r="A294" s="485">
        <f>'[4]Allocation Methodology'!A44</f>
        <v>40</v>
      </c>
      <c r="B294" s="486" t="str">
        <f>'[4]Allocation Methodology'!B44</f>
        <v>Toronto Comprehensive</v>
      </c>
      <c r="C294" s="486" t="str">
        <f>'[4]Allocation Methodology'!C44</f>
        <v>Consumer, Consumer Low-Income, Business, Industrial</v>
      </c>
      <c r="D294" s="486"/>
      <c r="E294" s="486">
        <f>'[4]Allocation Methodology'!D44</f>
        <v>2009</v>
      </c>
      <c r="F294" s="487" t="str">
        <f>'[4]Allocation Methodology'!E44</f>
        <v>Final</v>
      </c>
      <c r="G294" s="471" t="b">
        <v>0</v>
      </c>
      <c r="H294" s="545">
        <v>0</v>
      </c>
      <c r="I294" s="546">
        <v>0</v>
      </c>
      <c r="J294" s="546">
        <v>0</v>
      </c>
      <c r="K294" s="546">
        <v>0</v>
      </c>
      <c r="L294" s="546">
        <v>0</v>
      </c>
      <c r="M294" s="546">
        <v>0</v>
      </c>
      <c r="N294" s="546">
        <v>0</v>
      </c>
      <c r="O294" s="546">
        <v>0</v>
      </c>
      <c r="P294" s="546">
        <v>0</v>
      </c>
      <c r="Q294" s="546">
        <v>0</v>
      </c>
      <c r="R294" s="546">
        <v>0</v>
      </c>
      <c r="S294" s="546">
        <v>0</v>
      </c>
      <c r="T294" s="546">
        <v>0</v>
      </c>
      <c r="U294" s="546">
        <v>0</v>
      </c>
      <c r="V294" s="546">
        <v>0</v>
      </c>
      <c r="W294" s="546">
        <v>0</v>
      </c>
      <c r="X294" s="546">
        <v>0</v>
      </c>
      <c r="Y294" s="546">
        <v>0</v>
      </c>
      <c r="Z294" s="546">
        <v>0</v>
      </c>
      <c r="AA294" s="546">
        <v>0</v>
      </c>
      <c r="AB294" s="546">
        <v>0</v>
      </c>
      <c r="AC294" s="546">
        <v>0</v>
      </c>
      <c r="AD294" s="546">
        <v>0</v>
      </c>
      <c r="AE294" s="546">
        <v>0</v>
      </c>
      <c r="AF294" s="546">
        <v>0</v>
      </c>
      <c r="AG294" s="546">
        <v>0</v>
      </c>
      <c r="AH294" s="546">
        <v>0</v>
      </c>
      <c r="AI294" s="546">
        <v>0</v>
      </c>
      <c r="AJ294" s="546">
        <v>0</v>
      </c>
      <c r="AK294" s="546">
        <v>0</v>
      </c>
      <c r="AL294" s="546">
        <v>0</v>
      </c>
      <c r="AM294" s="546">
        <v>0</v>
      </c>
      <c r="AN294" s="546">
        <v>0</v>
      </c>
      <c r="AO294" s="546">
        <v>0</v>
      </c>
      <c r="AP294" s="546">
        <v>0</v>
      </c>
      <c r="AQ294" s="546">
        <v>0</v>
      </c>
      <c r="AR294" s="546">
        <v>0</v>
      </c>
      <c r="AS294" s="546">
        <v>0</v>
      </c>
      <c r="AT294" s="546">
        <v>0</v>
      </c>
      <c r="AU294" s="546">
        <v>0</v>
      </c>
      <c r="AV294" s="546">
        <v>0</v>
      </c>
      <c r="AW294" s="546">
        <v>0</v>
      </c>
      <c r="AX294" s="546">
        <v>0</v>
      </c>
      <c r="AY294" s="546">
        <v>0</v>
      </c>
      <c r="AZ294" s="547">
        <v>0</v>
      </c>
    </row>
    <row r="295" spans="1:52" s="469" customFormat="1">
      <c r="A295" s="492">
        <f>'[4]Allocation Methodology'!A45</f>
        <v>41</v>
      </c>
      <c r="B295" s="493" t="str">
        <f>'[4]Allocation Methodology'!B45</f>
        <v>High Performance New Construction</v>
      </c>
      <c r="C295" s="493" t="str">
        <f>'[4]Allocation Methodology'!C45</f>
        <v>Business</v>
      </c>
      <c r="D295" s="493"/>
      <c r="E295" s="493">
        <f>'[4]Allocation Methodology'!D45</f>
        <v>2009</v>
      </c>
      <c r="F295" s="494" t="str">
        <f>'[4]Allocation Methodology'!E45</f>
        <v>Final</v>
      </c>
      <c r="G295" s="471" t="b">
        <v>0</v>
      </c>
      <c r="H295" s="548">
        <v>0</v>
      </c>
      <c r="I295" s="549">
        <v>0</v>
      </c>
      <c r="J295" s="549">
        <v>0</v>
      </c>
      <c r="K295" s="549">
        <v>86.25911412128103</v>
      </c>
      <c r="L295" s="549">
        <v>86.25911412128103</v>
      </c>
      <c r="M295" s="549">
        <v>86.25911412128103</v>
      </c>
      <c r="N295" s="549">
        <v>86.25911412128103</v>
      </c>
      <c r="O295" s="549">
        <v>86.25911412128103</v>
      </c>
      <c r="P295" s="549">
        <v>86.25911412128103</v>
      </c>
      <c r="Q295" s="549">
        <v>86.25911412128103</v>
      </c>
      <c r="R295" s="549">
        <v>86.25911412128103</v>
      </c>
      <c r="S295" s="549">
        <v>86.25911412128103</v>
      </c>
      <c r="T295" s="549">
        <v>86.25911412128103</v>
      </c>
      <c r="U295" s="549">
        <v>86.25911412128103</v>
      </c>
      <c r="V295" s="549">
        <v>86.25911412128103</v>
      </c>
      <c r="W295" s="549">
        <v>86.25911412128103</v>
      </c>
      <c r="X295" s="549">
        <v>86.25911412128103</v>
      </c>
      <c r="Y295" s="549">
        <v>86.25911412128103</v>
      </c>
      <c r="Z295" s="549">
        <v>86.25911412128103</v>
      </c>
      <c r="AA295" s="549">
        <v>86.25911412128103</v>
      </c>
      <c r="AB295" s="549">
        <v>86.25911412128103</v>
      </c>
      <c r="AC295" s="549">
        <v>86.25911412128103</v>
      </c>
      <c r="AD295" s="549">
        <v>86.25911412128103</v>
      </c>
      <c r="AE295" s="549">
        <v>0</v>
      </c>
      <c r="AF295" s="549">
        <v>0</v>
      </c>
      <c r="AG295" s="549">
        <v>0</v>
      </c>
      <c r="AH295" s="549">
        <v>0</v>
      </c>
      <c r="AI295" s="549">
        <v>0</v>
      </c>
      <c r="AJ295" s="549">
        <v>0</v>
      </c>
      <c r="AK295" s="549">
        <v>0</v>
      </c>
      <c r="AL295" s="549">
        <v>0</v>
      </c>
      <c r="AM295" s="549">
        <v>0</v>
      </c>
      <c r="AN295" s="549">
        <v>0</v>
      </c>
      <c r="AO295" s="549">
        <v>0</v>
      </c>
      <c r="AP295" s="549">
        <v>0</v>
      </c>
      <c r="AQ295" s="549">
        <v>0</v>
      </c>
      <c r="AR295" s="549">
        <v>0</v>
      </c>
      <c r="AS295" s="549">
        <v>0</v>
      </c>
      <c r="AT295" s="549">
        <v>0</v>
      </c>
      <c r="AU295" s="549">
        <v>0</v>
      </c>
      <c r="AV295" s="549">
        <v>0</v>
      </c>
      <c r="AW295" s="549">
        <v>0</v>
      </c>
      <c r="AX295" s="549">
        <v>0</v>
      </c>
      <c r="AY295" s="549">
        <v>0</v>
      </c>
      <c r="AZ295" s="550">
        <v>0</v>
      </c>
    </row>
    <row r="296" spans="1:52" s="469" customFormat="1">
      <c r="A296" s="485">
        <f>'[4]Allocation Methodology'!A46</f>
        <v>42</v>
      </c>
      <c r="B296" s="486" t="str">
        <f>'[4]Allocation Methodology'!B46</f>
        <v>Power Savings Blitz</v>
      </c>
      <c r="C296" s="486" t="str">
        <f>'[4]Allocation Methodology'!C46</f>
        <v>Business</v>
      </c>
      <c r="D296" s="486"/>
      <c r="E296" s="486">
        <f>'[4]Allocation Methodology'!D46</f>
        <v>2009</v>
      </c>
      <c r="F296" s="487" t="str">
        <f>'[4]Allocation Methodology'!E46</f>
        <v>Final</v>
      </c>
      <c r="G296" s="471" t="b">
        <v>0</v>
      </c>
      <c r="H296" s="545">
        <v>0</v>
      </c>
      <c r="I296" s="546">
        <v>0</v>
      </c>
      <c r="J296" s="546">
        <v>0</v>
      </c>
      <c r="K296" s="546">
        <v>718.99317711889455</v>
      </c>
      <c r="L296" s="546">
        <v>718.99317711889455</v>
      </c>
      <c r="M296" s="546">
        <v>718.99317711889455</v>
      </c>
      <c r="N296" s="546">
        <v>718.99317711889455</v>
      </c>
      <c r="O296" s="546">
        <v>718.99317711889455</v>
      </c>
      <c r="P296" s="546">
        <v>718.99317711889455</v>
      </c>
      <c r="Q296" s="546">
        <v>718.99317711889455</v>
      </c>
      <c r="R296" s="546">
        <v>718.99317711889455</v>
      </c>
      <c r="S296" s="546">
        <v>404.95018021642642</v>
      </c>
      <c r="T296" s="546">
        <v>0</v>
      </c>
      <c r="U296" s="546">
        <v>0</v>
      </c>
      <c r="V296" s="546">
        <v>0</v>
      </c>
      <c r="W296" s="546">
        <v>0</v>
      </c>
      <c r="X296" s="546">
        <v>0</v>
      </c>
      <c r="Y296" s="546">
        <v>0</v>
      </c>
      <c r="Z296" s="546">
        <v>0</v>
      </c>
      <c r="AA296" s="546">
        <v>0</v>
      </c>
      <c r="AB296" s="546">
        <v>0</v>
      </c>
      <c r="AC296" s="546">
        <v>0</v>
      </c>
      <c r="AD296" s="546">
        <v>0</v>
      </c>
      <c r="AE296" s="546">
        <v>0</v>
      </c>
      <c r="AF296" s="546">
        <v>0</v>
      </c>
      <c r="AG296" s="546">
        <v>0</v>
      </c>
      <c r="AH296" s="546">
        <v>0</v>
      </c>
      <c r="AI296" s="546">
        <v>0</v>
      </c>
      <c r="AJ296" s="546">
        <v>0</v>
      </c>
      <c r="AK296" s="546">
        <v>0</v>
      </c>
      <c r="AL296" s="546">
        <v>0</v>
      </c>
      <c r="AM296" s="546">
        <v>0</v>
      </c>
      <c r="AN296" s="546">
        <v>0</v>
      </c>
      <c r="AO296" s="546">
        <v>0</v>
      </c>
      <c r="AP296" s="546">
        <v>0</v>
      </c>
      <c r="AQ296" s="546">
        <v>0</v>
      </c>
      <c r="AR296" s="546">
        <v>0</v>
      </c>
      <c r="AS296" s="546">
        <v>0</v>
      </c>
      <c r="AT296" s="546">
        <v>0</v>
      </c>
      <c r="AU296" s="546">
        <v>0</v>
      </c>
      <c r="AV296" s="546">
        <v>0</v>
      </c>
      <c r="AW296" s="546">
        <v>0</v>
      </c>
      <c r="AX296" s="546">
        <v>0</v>
      </c>
      <c r="AY296" s="546">
        <v>0</v>
      </c>
      <c r="AZ296" s="547">
        <v>0</v>
      </c>
    </row>
    <row r="297" spans="1:52" s="469" customFormat="1">
      <c r="A297" s="492">
        <f>'[4]Allocation Methodology'!A47</f>
        <v>43</v>
      </c>
      <c r="B297" s="493" t="str">
        <f>'[4]Allocation Methodology'!B47</f>
        <v>Multi-Family Energy Efficiency Rebates</v>
      </c>
      <c r="C297" s="493" t="str">
        <f>'[4]Allocation Methodology'!C47</f>
        <v>Consumer, Consumer Low-Income</v>
      </c>
      <c r="D297" s="493"/>
      <c r="E297" s="493">
        <f>'[4]Allocation Methodology'!D47</f>
        <v>2009</v>
      </c>
      <c r="F297" s="494" t="str">
        <f>'[4]Allocation Methodology'!E47</f>
        <v>Final</v>
      </c>
      <c r="G297" s="471" t="b">
        <v>0</v>
      </c>
      <c r="H297" s="548">
        <v>0</v>
      </c>
      <c r="I297" s="549">
        <v>0</v>
      </c>
      <c r="J297" s="549">
        <v>0</v>
      </c>
      <c r="K297" s="549">
        <v>0</v>
      </c>
      <c r="L297" s="549">
        <v>0</v>
      </c>
      <c r="M297" s="549">
        <v>0</v>
      </c>
      <c r="N297" s="549">
        <v>0</v>
      </c>
      <c r="O297" s="549">
        <v>0</v>
      </c>
      <c r="P297" s="549">
        <v>0</v>
      </c>
      <c r="Q297" s="549">
        <v>0</v>
      </c>
      <c r="R297" s="549">
        <v>0</v>
      </c>
      <c r="S297" s="549">
        <v>0</v>
      </c>
      <c r="T297" s="549">
        <v>0</v>
      </c>
      <c r="U297" s="549">
        <v>0</v>
      </c>
      <c r="V297" s="549">
        <v>0</v>
      </c>
      <c r="W297" s="549">
        <v>0</v>
      </c>
      <c r="X297" s="549">
        <v>0</v>
      </c>
      <c r="Y297" s="549">
        <v>0</v>
      </c>
      <c r="Z297" s="549">
        <v>0</v>
      </c>
      <c r="AA297" s="549">
        <v>0</v>
      </c>
      <c r="AB297" s="549">
        <v>0</v>
      </c>
      <c r="AC297" s="549">
        <v>0</v>
      </c>
      <c r="AD297" s="549">
        <v>0</v>
      </c>
      <c r="AE297" s="549">
        <v>0</v>
      </c>
      <c r="AF297" s="549">
        <v>0</v>
      </c>
      <c r="AG297" s="549">
        <v>0</v>
      </c>
      <c r="AH297" s="549">
        <v>0</v>
      </c>
      <c r="AI297" s="549">
        <v>0</v>
      </c>
      <c r="AJ297" s="549">
        <v>0</v>
      </c>
      <c r="AK297" s="549">
        <v>0</v>
      </c>
      <c r="AL297" s="549">
        <v>0</v>
      </c>
      <c r="AM297" s="549">
        <v>0</v>
      </c>
      <c r="AN297" s="549">
        <v>0</v>
      </c>
      <c r="AO297" s="549">
        <v>0</v>
      </c>
      <c r="AP297" s="549">
        <v>0</v>
      </c>
      <c r="AQ297" s="549">
        <v>0</v>
      </c>
      <c r="AR297" s="549">
        <v>0</v>
      </c>
      <c r="AS297" s="549">
        <v>0</v>
      </c>
      <c r="AT297" s="549">
        <v>0</v>
      </c>
      <c r="AU297" s="549">
        <v>0</v>
      </c>
      <c r="AV297" s="549">
        <v>0</v>
      </c>
      <c r="AW297" s="549">
        <v>0</v>
      </c>
      <c r="AX297" s="549">
        <v>0</v>
      </c>
      <c r="AY297" s="549">
        <v>0</v>
      </c>
      <c r="AZ297" s="550">
        <v>0</v>
      </c>
    </row>
    <row r="298" spans="1:52" s="469" customFormat="1">
      <c r="A298" s="485">
        <f>'[4]Allocation Methodology'!A48</f>
        <v>44</v>
      </c>
      <c r="B298" s="486" t="str">
        <f>'[4]Allocation Methodology'!B48</f>
        <v>Demand Response 1</v>
      </c>
      <c r="C298" s="486" t="str">
        <f>'[4]Allocation Methodology'!C48</f>
        <v>Business, Industrial</v>
      </c>
      <c r="D298" s="486"/>
      <c r="E298" s="486">
        <f>'[4]Allocation Methodology'!D48</f>
        <v>2009</v>
      </c>
      <c r="F298" s="487" t="str">
        <f>'[4]Allocation Methodology'!E48</f>
        <v>Final</v>
      </c>
      <c r="G298" s="471" t="b">
        <v>0</v>
      </c>
      <c r="H298" s="545">
        <v>0</v>
      </c>
      <c r="I298" s="546">
        <v>0</v>
      </c>
      <c r="J298" s="546">
        <v>0</v>
      </c>
      <c r="K298" s="546">
        <v>52.538773828022777</v>
      </c>
      <c r="L298" s="546">
        <v>0</v>
      </c>
      <c r="M298" s="546">
        <v>0</v>
      </c>
      <c r="N298" s="546">
        <v>0</v>
      </c>
      <c r="O298" s="546">
        <v>0</v>
      </c>
      <c r="P298" s="546">
        <v>0</v>
      </c>
      <c r="Q298" s="546">
        <v>0</v>
      </c>
      <c r="R298" s="546">
        <v>0</v>
      </c>
      <c r="S298" s="546">
        <v>0</v>
      </c>
      <c r="T298" s="546">
        <v>0</v>
      </c>
      <c r="U298" s="546">
        <v>0</v>
      </c>
      <c r="V298" s="546">
        <v>0</v>
      </c>
      <c r="W298" s="546">
        <v>0</v>
      </c>
      <c r="X298" s="546">
        <v>0</v>
      </c>
      <c r="Y298" s="546">
        <v>0</v>
      </c>
      <c r="Z298" s="546">
        <v>0</v>
      </c>
      <c r="AA298" s="546">
        <v>0</v>
      </c>
      <c r="AB298" s="546">
        <v>0</v>
      </c>
      <c r="AC298" s="546">
        <v>0</v>
      </c>
      <c r="AD298" s="546">
        <v>0</v>
      </c>
      <c r="AE298" s="546">
        <v>0</v>
      </c>
      <c r="AF298" s="546">
        <v>0</v>
      </c>
      <c r="AG298" s="546">
        <v>0</v>
      </c>
      <c r="AH298" s="546">
        <v>0</v>
      </c>
      <c r="AI298" s="546">
        <v>0</v>
      </c>
      <c r="AJ298" s="546">
        <v>0</v>
      </c>
      <c r="AK298" s="546">
        <v>0</v>
      </c>
      <c r="AL298" s="546">
        <v>0</v>
      </c>
      <c r="AM298" s="546">
        <v>0</v>
      </c>
      <c r="AN298" s="546">
        <v>0</v>
      </c>
      <c r="AO298" s="546">
        <v>0</v>
      </c>
      <c r="AP298" s="546">
        <v>0</v>
      </c>
      <c r="AQ298" s="546">
        <v>0</v>
      </c>
      <c r="AR298" s="546">
        <v>0</v>
      </c>
      <c r="AS298" s="546">
        <v>0</v>
      </c>
      <c r="AT298" s="546">
        <v>0</v>
      </c>
      <c r="AU298" s="546">
        <v>0</v>
      </c>
      <c r="AV298" s="546">
        <v>0</v>
      </c>
      <c r="AW298" s="546">
        <v>0</v>
      </c>
      <c r="AX298" s="546">
        <v>0</v>
      </c>
      <c r="AY298" s="546">
        <v>0</v>
      </c>
      <c r="AZ298" s="547">
        <v>0</v>
      </c>
    </row>
    <row r="299" spans="1:52" s="469" customFormat="1">
      <c r="A299" s="492">
        <f>'[4]Allocation Methodology'!A49</f>
        <v>45</v>
      </c>
      <c r="B299" s="493" t="str">
        <f>'[4]Allocation Methodology'!B49</f>
        <v>Demand Response 2</v>
      </c>
      <c r="C299" s="493" t="str">
        <f>'[4]Allocation Methodology'!C49</f>
        <v>Business, Industrial</v>
      </c>
      <c r="D299" s="493"/>
      <c r="E299" s="493">
        <f>'[4]Allocation Methodology'!D49</f>
        <v>2009</v>
      </c>
      <c r="F299" s="494" t="str">
        <f>'[4]Allocation Methodology'!E49</f>
        <v>Final</v>
      </c>
      <c r="G299" s="471" t="b">
        <v>0</v>
      </c>
      <c r="H299" s="548">
        <v>0</v>
      </c>
      <c r="I299" s="549">
        <v>0</v>
      </c>
      <c r="J299" s="549">
        <v>0</v>
      </c>
      <c r="K299" s="549">
        <v>500.14183397325576</v>
      </c>
      <c r="L299" s="549">
        <v>0</v>
      </c>
      <c r="M299" s="549">
        <v>0</v>
      </c>
      <c r="N299" s="549">
        <v>0</v>
      </c>
      <c r="O299" s="549">
        <v>0</v>
      </c>
      <c r="P299" s="549">
        <v>0</v>
      </c>
      <c r="Q299" s="549">
        <v>0</v>
      </c>
      <c r="R299" s="549">
        <v>0</v>
      </c>
      <c r="S299" s="549">
        <v>0</v>
      </c>
      <c r="T299" s="549">
        <v>0</v>
      </c>
      <c r="U299" s="549">
        <v>0</v>
      </c>
      <c r="V299" s="549">
        <v>0</v>
      </c>
      <c r="W299" s="549">
        <v>0</v>
      </c>
      <c r="X299" s="549">
        <v>0</v>
      </c>
      <c r="Y299" s="549">
        <v>0</v>
      </c>
      <c r="Z299" s="549">
        <v>0</v>
      </c>
      <c r="AA299" s="549">
        <v>0</v>
      </c>
      <c r="AB299" s="549">
        <v>0</v>
      </c>
      <c r="AC299" s="549">
        <v>0</v>
      </c>
      <c r="AD299" s="549">
        <v>0</v>
      </c>
      <c r="AE299" s="549">
        <v>0</v>
      </c>
      <c r="AF299" s="549">
        <v>0</v>
      </c>
      <c r="AG299" s="549">
        <v>0</v>
      </c>
      <c r="AH299" s="549">
        <v>0</v>
      </c>
      <c r="AI299" s="549">
        <v>0</v>
      </c>
      <c r="AJ299" s="549">
        <v>0</v>
      </c>
      <c r="AK299" s="549">
        <v>0</v>
      </c>
      <c r="AL299" s="549">
        <v>0</v>
      </c>
      <c r="AM299" s="549">
        <v>0</v>
      </c>
      <c r="AN299" s="549">
        <v>0</v>
      </c>
      <c r="AO299" s="549">
        <v>0</v>
      </c>
      <c r="AP299" s="549">
        <v>0</v>
      </c>
      <c r="AQ299" s="549">
        <v>0</v>
      </c>
      <c r="AR299" s="549">
        <v>0</v>
      </c>
      <c r="AS299" s="549">
        <v>0</v>
      </c>
      <c r="AT299" s="549">
        <v>0</v>
      </c>
      <c r="AU299" s="549">
        <v>0</v>
      </c>
      <c r="AV299" s="549">
        <v>0</v>
      </c>
      <c r="AW299" s="549">
        <v>0</v>
      </c>
      <c r="AX299" s="549">
        <v>0</v>
      </c>
      <c r="AY299" s="549">
        <v>0</v>
      </c>
      <c r="AZ299" s="550">
        <v>0</v>
      </c>
    </row>
    <row r="300" spans="1:52" s="469" customFormat="1">
      <c r="A300" s="485">
        <f>'[4]Allocation Methodology'!A50</f>
        <v>46</v>
      </c>
      <c r="B300" s="486" t="str">
        <f>'[4]Allocation Methodology'!B50</f>
        <v>Demand Response 3</v>
      </c>
      <c r="C300" s="486" t="str">
        <f>'[4]Allocation Methodology'!C50</f>
        <v>Business, Industrial</v>
      </c>
      <c r="D300" s="486"/>
      <c r="E300" s="486">
        <f>'[4]Allocation Methodology'!D50</f>
        <v>2009</v>
      </c>
      <c r="F300" s="487" t="str">
        <f>'[4]Allocation Methodology'!E50</f>
        <v>Final</v>
      </c>
      <c r="G300" s="471" t="b">
        <v>0</v>
      </c>
      <c r="H300" s="545">
        <v>0</v>
      </c>
      <c r="I300" s="546">
        <v>0</v>
      </c>
      <c r="J300" s="546">
        <v>0</v>
      </c>
      <c r="K300" s="546">
        <v>9.5525043323677785</v>
      </c>
      <c r="L300" s="546">
        <v>0</v>
      </c>
      <c r="M300" s="546">
        <v>0</v>
      </c>
      <c r="N300" s="546">
        <v>0</v>
      </c>
      <c r="O300" s="546">
        <v>0</v>
      </c>
      <c r="P300" s="546">
        <v>0</v>
      </c>
      <c r="Q300" s="546">
        <v>0</v>
      </c>
      <c r="R300" s="546">
        <v>0</v>
      </c>
      <c r="S300" s="546">
        <v>0</v>
      </c>
      <c r="T300" s="546">
        <v>0</v>
      </c>
      <c r="U300" s="546">
        <v>0</v>
      </c>
      <c r="V300" s="546">
        <v>0</v>
      </c>
      <c r="W300" s="546">
        <v>0</v>
      </c>
      <c r="X300" s="546">
        <v>0</v>
      </c>
      <c r="Y300" s="546">
        <v>0</v>
      </c>
      <c r="Z300" s="546">
        <v>0</v>
      </c>
      <c r="AA300" s="546">
        <v>0</v>
      </c>
      <c r="AB300" s="546">
        <v>0</v>
      </c>
      <c r="AC300" s="546">
        <v>0</v>
      </c>
      <c r="AD300" s="546">
        <v>0</v>
      </c>
      <c r="AE300" s="546">
        <v>0</v>
      </c>
      <c r="AF300" s="546">
        <v>0</v>
      </c>
      <c r="AG300" s="546">
        <v>0</v>
      </c>
      <c r="AH300" s="546">
        <v>0</v>
      </c>
      <c r="AI300" s="546">
        <v>0</v>
      </c>
      <c r="AJ300" s="546">
        <v>0</v>
      </c>
      <c r="AK300" s="546">
        <v>0</v>
      </c>
      <c r="AL300" s="546">
        <v>0</v>
      </c>
      <c r="AM300" s="546">
        <v>0</v>
      </c>
      <c r="AN300" s="546">
        <v>0</v>
      </c>
      <c r="AO300" s="546">
        <v>0</v>
      </c>
      <c r="AP300" s="546">
        <v>0</v>
      </c>
      <c r="AQ300" s="546">
        <v>0</v>
      </c>
      <c r="AR300" s="546">
        <v>0</v>
      </c>
      <c r="AS300" s="546">
        <v>0</v>
      </c>
      <c r="AT300" s="546">
        <v>0</v>
      </c>
      <c r="AU300" s="546">
        <v>0</v>
      </c>
      <c r="AV300" s="546">
        <v>0</v>
      </c>
      <c r="AW300" s="546">
        <v>0</v>
      </c>
      <c r="AX300" s="546">
        <v>0</v>
      </c>
      <c r="AY300" s="546">
        <v>0</v>
      </c>
      <c r="AZ300" s="547">
        <v>0</v>
      </c>
    </row>
    <row r="301" spans="1:52" s="469" customFormat="1">
      <c r="A301" s="492">
        <f>'[4]Allocation Methodology'!A51</f>
        <v>47</v>
      </c>
      <c r="B301" s="493" t="str">
        <f>'[4]Allocation Methodology'!B51</f>
        <v>Loblaw &amp; York Region Demand Response</v>
      </c>
      <c r="C301" s="493" t="str">
        <f>'[4]Allocation Methodology'!C51</f>
        <v>Business, Industrial</v>
      </c>
      <c r="D301" s="493"/>
      <c r="E301" s="493">
        <f>'[4]Allocation Methodology'!D51</f>
        <v>2009</v>
      </c>
      <c r="F301" s="494" t="str">
        <f>'[4]Allocation Methodology'!E51</f>
        <v>Final</v>
      </c>
      <c r="G301" s="471" t="b">
        <v>0</v>
      </c>
      <c r="H301" s="548">
        <v>0</v>
      </c>
      <c r="I301" s="549">
        <v>0</v>
      </c>
      <c r="J301" s="549">
        <v>0</v>
      </c>
      <c r="K301" s="549">
        <v>0</v>
      </c>
      <c r="L301" s="549">
        <v>0</v>
      </c>
      <c r="M301" s="549">
        <v>0</v>
      </c>
      <c r="N301" s="549">
        <v>0</v>
      </c>
      <c r="O301" s="549">
        <v>0</v>
      </c>
      <c r="P301" s="549">
        <v>0</v>
      </c>
      <c r="Q301" s="549">
        <v>0</v>
      </c>
      <c r="R301" s="549">
        <v>0</v>
      </c>
      <c r="S301" s="549">
        <v>0</v>
      </c>
      <c r="T301" s="549">
        <v>0</v>
      </c>
      <c r="U301" s="549">
        <v>0</v>
      </c>
      <c r="V301" s="549">
        <v>0</v>
      </c>
      <c r="W301" s="549">
        <v>0</v>
      </c>
      <c r="X301" s="549">
        <v>0</v>
      </c>
      <c r="Y301" s="549">
        <v>0</v>
      </c>
      <c r="Z301" s="549">
        <v>0</v>
      </c>
      <c r="AA301" s="549">
        <v>0</v>
      </c>
      <c r="AB301" s="549">
        <v>0</v>
      </c>
      <c r="AC301" s="549">
        <v>0</v>
      </c>
      <c r="AD301" s="549">
        <v>0</v>
      </c>
      <c r="AE301" s="549">
        <v>0</v>
      </c>
      <c r="AF301" s="549">
        <v>0</v>
      </c>
      <c r="AG301" s="549">
        <v>0</v>
      </c>
      <c r="AH301" s="549">
        <v>0</v>
      </c>
      <c r="AI301" s="549">
        <v>0</v>
      </c>
      <c r="AJ301" s="549">
        <v>0</v>
      </c>
      <c r="AK301" s="549">
        <v>0</v>
      </c>
      <c r="AL301" s="549">
        <v>0</v>
      </c>
      <c r="AM301" s="549">
        <v>0</v>
      </c>
      <c r="AN301" s="549">
        <v>0</v>
      </c>
      <c r="AO301" s="549">
        <v>0</v>
      </c>
      <c r="AP301" s="549">
        <v>0</v>
      </c>
      <c r="AQ301" s="549">
        <v>0</v>
      </c>
      <c r="AR301" s="549">
        <v>0</v>
      </c>
      <c r="AS301" s="549">
        <v>0</v>
      </c>
      <c r="AT301" s="549">
        <v>0</v>
      </c>
      <c r="AU301" s="549">
        <v>0</v>
      </c>
      <c r="AV301" s="549">
        <v>0</v>
      </c>
      <c r="AW301" s="549">
        <v>0</v>
      </c>
      <c r="AX301" s="549">
        <v>0</v>
      </c>
      <c r="AY301" s="549">
        <v>0</v>
      </c>
      <c r="AZ301" s="550">
        <v>0</v>
      </c>
    </row>
    <row r="302" spans="1:52" s="469" customFormat="1">
      <c r="A302" s="485">
        <f>'[4]Allocation Methodology'!A52</f>
        <v>48</v>
      </c>
      <c r="B302" s="486" t="str">
        <f>'[4]Allocation Methodology'!B52</f>
        <v>LDC Custom - Thunder Bay Hydro - Phantom Load</v>
      </c>
      <c r="C302" s="486" t="str">
        <f>'[4]Allocation Methodology'!C52</f>
        <v>Consumer</v>
      </c>
      <c r="D302" s="486"/>
      <c r="E302" s="486">
        <f>'[4]Allocation Methodology'!D52</f>
        <v>2009</v>
      </c>
      <c r="F302" s="487" t="str">
        <f>'[4]Allocation Methodology'!E52</f>
        <v>Final</v>
      </c>
      <c r="G302" s="471" t="b">
        <v>0</v>
      </c>
      <c r="H302" s="545">
        <v>0</v>
      </c>
      <c r="I302" s="546">
        <v>0</v>
      </c>
      <c r="J302" s="546">
        <v>0</v>
      </c>
      <c r="K302" s="546">
        <v>0</v>
      </c>
      <c r="L302" s="546">
        <v>0</v>
      </c>
      <c r="M302" s="546">
        <v>0</v>
      </c>
      <c r="N302" s="546">
        <v>0</v>
      </c>
      <c r="O302" s="546">
        <v>0</v>
      </c>
      <c r="P302" s="546">
        <v>0</v>
      </c>
      <c r="Q302" s="546">
        <v>0</v>
      </c>
      <c r="R302" s="546">
        <v>0</v>
      </c>
      <c r="S302" s="546">
        <v>0</v>
      </c>
      <c r="T302" s="546">
        <v>0</v>
      </c>
      <c r="U302" s="546">
        <v>0</v>
      </c>
      <c r="V302" s="546">
        <v>0</v>
      </c>
      <c r="W302" s="546">
        <v>0</v>
      </c>
      <c r="X302" s="546">
        <v>0</v>
      </c>
      <c r="Y302" s="546">
        <v>0</v>
      </c>
      <c r="Z302" s="546">
        <v>0</v>
      </c>
      <c r="AA302" s="546">
        <v>0</v>
      </c>
      <c r="AB302" s="546">
        <v>0</v>
      </c>
      <c r="AC302" s="546">
        <v>0</v>
      </c>
      <c r="AD302" s="546">
        <v>0</v>
      </c>
      <c r="AE302" s="546">
        <v>0</v>
      </c>
      <c r="AF302" s="546">
        <v>0</v>
      </c>
      <c r="AG302" s="546">
        <v>0</v>
      </c>
      <c r="AH302" s="546">
        <v>0</v>
      </c>
      <c r="AI302" s="546">
        <v>0</v>
      </c>
      <c r="AJ302" s="546">
        <v>0</v>
      </c>
      <c r="AK302" s="546">
        <v>0</v>
      </c>
      <c r="AL302" s="546">
        <v>0</v>
      </c>
      <c r="AM302" s="546">
        <v>0</v>
      </c>
      <c r="AN302" s="546">
        <v>0</v>
      </c>
      <c r="AO302" s="546">
        <v>0</v>
      </c>
      <c r="AP302" s="546">
        <v>0</v>
      </c>
      <c r="AQ302" s="546">
        <v>0</v>
      </c>
      <c r="AR302" s="546">
        <v>0</v>
      </c>
      <c r="AS302" s="546">
        <v>0</v>
      </c>
      <c r="AT302" s="546">
        <v>0</v>
      </c>
      <c r="AU302" s="546">
        <v>0</v>
      </c>
      <c r="AV302" s="546">
        <v>0</v>
      </c>
      <c r="AW302" s="546">
        <v>0</v>
      </c>
      <c r="AX302" s="546">
        <v>0</v>
      </c>
      <c r="AY302" s="546">
        <v>0</v>
      </c>
      <c r="AZ302" s="547">
        <v>0</v>
      </c>
    </row>
    <row r="303" spans="1:52" s="469" customFormat="1">
      <c r="A303" s="522">
        <f>'[4]Allocation Methodology'!A53</f>
        <v>49</v>
      </c>
      <c r="B303" s="523" t="str">
        <f>'[4]Allocation Methodology'!B53</f>
        <v>LDC Custom - Toronto Hydro - Summer Challenge</v>
      </c>
      <c r="C303" s="523" t="str">
        <f>'[4]Allocation Methodology'!C53</f>
        <v>Consumer</v>
      </c>
      <c r="D303" s="523"/>
      <c r="E303" s="523">
        <f>'[4]Allocation Methodology'!D53</f>
        <v>2009</v>
      </c>
      <c r="F303" s="524" t="str">
        <f>'[4]Allocation Methodology'!E53</f>
        <v>Final</v>
      </c>
      <c r="G303" s="471" t="b">
        <v>0</v>
      </c>
      <c r="H303" s="560">
        <v>0</v>
      </c>
      <c r="I303" s="561">
        <v>0</v>
      </c>
      <c r="J303" s="561">
        <v>0</v>
      </c>
      <c r="K303" s="561">
        <v>0</v>
      </c>
      <c r="L303" s="561">
        <v>0</v>
      </c>
      <c r="M303" s="561">
        <v>0</v>
      </c>
      <c r="N303" s="561">
        <v>0</v>
      </c>
      <c r="O303" s="561">
        <v>0</v>
      </c>
      <c r="P303" s="561">
        <v>0</v>
      </c>
      <c r="Q303" s="561">
        <v>0</v>
      </c>
      <c r="R303" s="561">
        <v>0</v>
      </c>
      <c r="S303" s="561">
        <v>0</v>
      </c>
      <c r="T303" s="561">
        <v>0</v>
      </c>
      <c r="U303" s="561">
        <v>0</v>
      </c>
      <c r="V303" s="561">
        <v>0</v>
      </c>
      <c r="W303" s="561">
        <v>0</v>
      </c>
      <c r="X303" s="561">
        <v>0</v>
      </c>
      <c r="Y303" s="561">
        <v>0</v>
      </c>
      <c r="Z303" s="561">
        <v>0</v>
      </c>
      <c r="AA303" s="561">
        <v>0</v>
      </c>
      <c r="AB303" s="561">
        <v>0</v>
      </c>
      <c r="AC303" s="561">
        <v>0</v>
      </c>
      <c r="AD303" s="561">
        <v>0</v>
      </c>
      <c r="AE303" s="561">
        <v>0</v>
      </c>
      <c r="AF303" s="561">
        <v>0</v>
      </c>
      <c r="AG303" s="561">
        <v>0</v>
      </c>
      <c r="AH303" s="561">
        <v>0</v>
      </c>
      <c r="AI303" s="561">
        <v>0</v>
      </c>
      <c r="AJ303" s="561">
        <v>0</v>
      </c>
      <c r="AK303" s="561">
        <v>0</v>
      </c>
      <c r="AL303" s="561">
        <v>0</v>
      </c>
      <c r="AM303" s="561">
        <v>0</v>
      </c>
      <c r="AN303" s="561">
        <v>0</v>
      </c>
      <c r="AO303" s="561">
        <v>0</v>
      </c>
      <c r="AP303" s="561">
        <v>0</v>
      </c>
      <c r="AQ303" s="561">
        <v>0</v>
      </c>
      <c r="AR303" s="561">
        <v>0</v>
      </c>
      <c r="AS303" s="561">
        <v>0</v>
      </c>
      <c r="AT303" s="561">
        <v>0</v>
      </c>
      <c r="AU303" s="561">
        <v>0</v>
      </c>
      <c r="AV303" s="561">
        <v>0</v>
      </c>
      <c r="AW303" s="561">
        <v>0</v>
      </c>
      <c r="AX303" s="561">
        <v>0</v>
      </c>
      <c r="AY303" s="561">
        <v>0</v>
      </c>
      <c r="AZ303" s="562">
        <v>0</v>
      </c>
    </row>
    <row r="304" spans="1:52" s="469" customFormat="1">
      <c r="A304" s="514">
        <f>'[4]Allocation Methodology'!A54</f>
        <v>50</v>
      </c>
      <c r="B304" s="515" t="str">
        <f>'[4]Allocation Methodology'!B54</f>
        <v>LDC Custom - PowerStream - Data Centers</v>
      </c>
      <c r="C304" s="515" t="str">
        <f>'[4]Allocation Methodology'!C54</f>
        <v>Business</v>
      </c>
      <c r="D304" s="515"/>
      <c r="E304" s="515">
        <f>'[4]Allocation Methodology'!D54</f>
        <v>2009</v>
      </c>
      <c r="F304" s="516" t="str">
        <f>'[4]Allocation Methodology'!E54</f>
        <v>Final</v>
      </c>
      <c r="G304" s="471"/>
      <c r="H304" s="557">
        <v>0</v>
      </c>
      <c r="I304" s="558">
        <v>0</v>
      </c>
      <c r="J304" s="558">
        <v>0</v>
      </c>
      <c r="K304" s="558">
        <v>0</v>
      </c>
      <c r="L304" s="558">
        <v>0</v>
      </c>
      <c r="M304" s="558">
        <v>0</v>
      </c>
      <c r="N304" s="558">
        <v>0</v>
      </c>
      <c r="O304" s="558">
        <v>0</v>
      </c>
      <c r="P304" s="558">
        <v>0</v>
      </c>
      <c r="Q304" s="558">
        <v>0</v>
      </c>
      <c r="R304" s="558">
        <v>0</v>
      </c>
      <c r="S304" s="558">
        <v>0</v>
      </c>
      <c r="T304" s="558">
        <v>0</v>
      </c>
      <c r="U304" s="558">
        <v>0</v>
      </c>
      <c r="V304" s="558">
        <v>0</v>
      </c>
      <c r="W304" s="558">
        <v>0</v>
      </c>
      <c r="X304" s="558">
        <v>0</v>
      </c>
      <c r="Y304" s="558">
        <v>0</v>
      </c>
      <c r="Z304" s="558">
        <v>0</v>
      </c>
      <c r="AA304" s="558">
        <v>0</v>
      </c>
      <c r="AB304" s="558">
        <v>0</v>
      </c>
      <c r="AC304" s="558">
        <v>0</v>
      </c>
      <c r="AD304" s="558">
        <v>0</v>
      </c>
      <c r="AE304" s="558">
        <v>0</v>
      </c>
      <c r="AF304" s="558">
        <v>0</v>
      </c>
      <c r="AG304" s="558">
        <v>0</v>
      </c>
      <c r="AH304" s="558">
        <v>0</v>
      </c>
      <c r="AI304" s="558">
        <v>0</v>
      </c>
      <c r="AJ304" s="558">
        <v>0</v>
      </c>
      <c r="AK304" s="558">
        <v>0</v>
      </c>
      <c r="AL304" s="558">
        <v>0</v>
      </c>
      <c r="AM304" s="558">
        <v>0</v>
      </c>
      <c r="AN304" s="558">
        <v>0</v>
      </c>
      <c r="AO304" s="558">
        <v>0</v>
      </c>
      <c r="AP304" s="558">
        <v>0</v>
      </c>
      <c r="AQ304" s="558">
        <v>0</v>
      </c>
      <c r="AR304" s="558">
        <v>0</v>
      </c>
      <c r="AS304" s="558">
        <v>0</v>
      </c>
      <c r="AT304" s="558">
        <v>0</v>
      </c>
      <c r="AU304" s="558">
        <v>0</v>
      </c>
      <c r="AV304" s="558">
        <v>0</v>
      </c>
      <c r="AW304" s="558">
        <v>0</v>
      </c>
      <c r="AX304" s="558">
        <v>0</v>
      </c>
      <c r="AY304" s="558">
        <v>0</v>
      </c>
      <c r="AZ304" s="559">
        <v>0</v>
      </c>
    </row>
    <row r="305" spans="1:52" s="469" customFormat="1">
      <c r="A305" s="478">
        <f>'[4]Allocation Methodology'!A55</f>
        <v>51</v>
      </c>
      <c r="B305" s="479" t="str">
        <f>'[4]Allocation Methodology'!B55</f>
        <v>Toronto Comprehensive Adjustment</v>
      </c>
      <c r="C305" s="479" t="str">
        <f>'[4]Allocation Methodology'!C55</f>
        <v>Consumer, Business</v>
      </c>
      <c r="D305" s="479"/>
      <c r="E305" s="479">
        <f>'[4]Allocation Methodology'!D55</f>
        <v>2008</v>
      </c>
      <c r="F305" s="480" t="str">
        <f>'[4]Allocation Methodology'!E55</f>
        <v>Final</v>
      </c>
      <c r="G305" s="471"/>
      <c r="H305" s="541">
        <v>0</v>
      </c>
      <c r="I305" s="543">
        <v>0</v>
      </c>
      <c r="J305" s="543">
        <v>0</v>
      </c>
      <c r="K305" s="543">
        <v>0</v>
      </c>
      <c r="L305" s="543">
        <v>0</v>
      </c>
      <c r="M305" s="543">
        <v>0</v>
      </c>
      <c r="N305" s="543">
        <v>0</v>
      </c>
      <c r="O305" s="543">
        <v>0</v>
      </c>
      <c r="P305" s="543">
        <v>0</v>
      </c>
      <c r="Q305" s="543">
        <v>0</v>
      </c>
      <c r="R305" s="543">
        <v>0</v>
      </c>
      <c r="S305" s="543">
        <v>0</v>
      </c>
      <c r="T305" s="543">
        <v>0</v>
      </c>
      <c r="U305" s="543">
        <v>0</v>
      </c>
      <c r="V305" s="543">
        <v>0</v>
      </c>
      <c r="W305" s="543">
        <v>0</v>
      </c>
      <c r="X305" s="543">
        <v>0</v>
      </c>
      <c r="Y305" s="543">
        <v>0</v>
      </c>
      <c r="Z305" s="543">
        <v>0</v>
      </c>
      <c r="AA305" s="543">
        <v>0</v>
      </c>
      <c r="AB305" s="543">
        <v>0</v>
      </c>
      <c r="AC305" s="543">
        <v>0</v>
      </c>
      <c r="AD305" s="543">
        <v>0</v>
      </c>
      <c r="AE305" s="543">
        <v>0</v>
      </c>
      <c r="AF305" s="543">
        <v>0</v>
      </c>
      <c r="AG305" s="543">
        <v>0</v>
      </c>
      <c r="AH305" s="543">
        <v>0</v>
      </c>
      <c r="AI305" s="543">
        <v>0</v>
      </c>
      <c r="AJ305" s="543">
        <v>0</v>
      </c>
      <c r="AK305" s="543">
        <v>0</v>
      </c>
      <c r="AL305" s="543">
        <v>0</v>
      </c>
      <c r="AM305" s="543">
        <v>0</v>
      </c>
      <c r="AN305" s="543">
        <v>0</v>
      </c>
      <c r="AO305" s="543">
        <v>0</v>
      </c>
      <c r="AP305" s="543">
        <v>0</v>
      </c>
      <c r="AQ305" s="543">
        <v>0</v>
      </c>
      <c r="AR305" s="543">
        <v>0</v>
      </c>
      <c r="AS305" s="543">
        <v>0</v>
      </c>
      <c r="AT305" s="543">
        <v>0</v>
      </c>
      <c r="AU305" s="543">
        <v>0</v>
      </c>
      <c r="AV305" s="543">
        <v>0</v>
      </c>
      <c r="AW305" s="543">
        <v>0</v>
      </c>
      <c r="AX305" s="543">
        <v>0</v>
      </c>
      <c r="AY305" s="543">
        <v>0</v>
      </c>
      <c r="AZ305" s="544">
        <v>0</v>
      </c>
    </row>
    <row r="306" spans="1:52" s="469" customFormat="1">
      <c r="A306" s="514">
        <f>'[4]Allocation Methodology'!A56</f>
        <v>52</v>
      </c>
      <c r="B306" s="515" t="str">
        <f>'[4]Allocation Methodology'!B56</f>
        <v>LDC Custom - Hydro One Networks Inc. - Double Return Adjustment</v>
      </c>
      <c r="C306" s="515" t="str">
        <f>'[4]Allocation Methodology'!C56</f>
        <v>Business, Industrial</v>
      </c>
      <c r="D306" s="515"/>
      <c r="E306" s="515">
        <f>'[4]Allocation Methodology'!D56</f>
        <v>2008</v>
      </c>
      <c r="F306" s="516" t="str">
        <f>'[4]Allocation Methodology'!E56</f>
        <v>Final</v>
      </c>
      <c r="G306" s="471"/>
      <c r="H306" s="557">
        <v>0</v>
      </c>
      <c r="I306" s="558">
        <v>0</v>
      </c>
      <c r="J306" s="558">
        <v>0</v>
      </c>
      <c r="K306" s="558">
        <v>0</v>
      </c>
      <c r="L306" s="558">
        <v>0</v>
      </c>
      <c r="M306" s="558">
        <v>0</v>
      </c>
      <c r="N306" s="558">
        <v>0</v>
      </c>
      <c r="O306" s="558">
        <v>0</v>
      </c>
      <c r="P306" s="558">
        <v>0</v>
      </c>
      <c r="Q306" s="558">
        <v>0</v>
      </c>
      <c r="R306" s="558">
        <v>0</v>
      </c>
      <c r="S306" s="558">
        <v>0</v>
      </c>
      <c r="T306" s="558">
        <v>0</v>
      </c>
      <c r="U306" s="558">
        <v>0</v>
      </c>
      <c r="V306" s="558">
        <v>0</v>
      </c>
      <c r="W306" s="558">
        <v>0</v>
      </c>
      <c r="X306" s="558">
        <v>0</v>
      </c>
      <c r="Y306" s="558">
        <v>0</v>
      </c>
      <c r="Z306" s="558">
        <v>0</v>
      </c>
      <c r="AA306" s="558">
        <v>0</v>
      </c>
      <c r="AB306" s="558">
        <v>0</v>
      </c>
      <c r="AC306" s="558">
        <v>0</v>
      </c>
      <c r="AD306" s="558">
        <v>0</v>
      </c>
      <c r="AE306" s="558">
        <v>0</v>
      </c>
      <c r="AF306" s="558">
        <v>0</v>
      </c>
      <c r="AG306" s="558">
        <v>0</v>
      </c>
      <c r="AH306" s="558">
        <v>0</v>
      </c>
      <c r="AI306" s="558">
        <v>0</v>
      </c>
      <c r="AJ306" s="558">
        <v>0</v>
      </c>
      <c r="AK306" s="558">
        <v>0</v>
      </c>
      <c r="AL306" s="558">
        <v>0</v>
      </c>
      <c r="AM306" s="558">
        <v>0</v>
      </c>
      <c r="AN306" s="558">
        <v>0</v>
      </c>
      <c r="AO306" s="558">
        <v>0</v>
      </c>
      <c r="AP306" s="558">
        <v>0</v>
      </c>
      <c r="AQ306" s="558">
        <v>0</v>
      </c>
      <c r="AR306" s="558">
        <v>0</v>
      </c>
      <c r="AS306" s="558">
        <v>0</v>
      </c>
      <c r="AT306" s="558">
        <v>0</v>
      </c>
      <c r="AU306" s="558">
        <v>0</v>
      </c>
      <c r="AV306" s="558">
        <v>0</v>
      </c>
      <c r="AW306" s="558">
        <v>0</v>
      </c>
      <c r="AX306" s="558">
        <v>0</v>
      </c>
      <c r="AY306" s="558">
        <v>0</v>
      </c>
      <c r="AZ306" s="559">
        <v>0</v>
      </c>
    </row>
    <row r="307" spans="1:52" s="469" customFormat="1">
      <c r="A307" s="478">
        <f>'[4]Allocation Methodology'!A57</f>
        <v>53</v>
      </c>
      <c r="B307" s="479" t="str">
        <f>'[4]Allocation Methodology'!B57</f>
        <v>Great Refrigerator Roundup</v>
      </c>
      <c r="C307" s="479" t="str">
        <f>'[4]Allocation Methodology'!C57</f>
        <v>Consumer</v>
      </c>
      <c r="D307" s="479"/>
      <c r="E307" s="479">
        <f>'[4]Allocation Methodology'!D57</f>
        <v>2010</v>
      </c>
      <c r="F307" s="480" t="str">
        <f>'[4]Allocation Methodology'!E57</f>
        <v>Final</v>
      </c>
      <c r="G307" s="471"/>
      <c r="H307" s="541">
        <v>0</v>
      </c>
      <c r="I307" s="543">
        <v>0</v>
      </c>
      <c r="J307" s="543">
        <v>0</v>
      </c>
      <c r="K307" s="543">
        <v>0</v>
      </c>
      <c r="L307" s="543">
        <v>170.83456159515654</v>
      </c>
      <c r="M307" s="543">
        <v>170.83456159515654</v>
      </c>
      <c r="N307" s="543">
        <v>170.83456159515654</v>
      </c>
      <c r="O307" s="543">
        <v>168.21679595681675</v>
      </c>
      <c r="P307" s="543">
        <v>119.96451670955268</v>
      </c>
      <c r="Q307" s="543">
        <v>0</v>
      </c>
      <c r="R307" s="543">
        <v>0</v>
      </c>
      <c r="S307" s="543">
        <v>0</v>
      </c>
      <c r="T307" s="543">
        <v>0</v>
      </c>
      <c r="U307" s="543">
        <v>0</v>
      </c>
      <c r="V307" s="543">
        <v>0</v>
      </c>
      <c r="W307" s="543">
        <v>0</v>
      </c>
      <c r="X307" s="543">
        <v>0</v>
      </c>
      <c r="Y307" s="543">
        <v>0</v>
      </c>
      <c r="Z307" s="543">
        <v>0</v>
      </c>
      <c r="AA307" s="543">
        <v>0</v>
      </c>
      <c r="AB307" s="543">
        <v>0</v>
      </c>
      <c r="AC307" s="543">
        <v>0</v>
      </c>
      <c r="AD307" s="543">
        <v>0</v>
      </c>
      <c r="AE307" s="543">
        <v>0</v>
      </c>
      <c r="AF307" s="543">
        <v>0</v>
      </c>
      <c r="AG307" s="543">
        <v>0</v>
      </c>
      <c r="AH307" s="543">
        <v>0</v>
      </c>
      <c r="AI307" s="543">
        <v>0</v>
      </c>
      <c r="AJ307" s="543">
        <v>0</v>
      </c>
      <c r="AK307" s="543">
        <v>0</v>
      </c>
      <c r="AL307" s="543">
        <v>0</v>
      </c>
      <c r="AM307" s="543">
        <v>0</v>
      </c>
      <c r="AN307" s="543">
        <v>0</v>
      </c>
      <c r="AO307" s="543">
        <v>0</v>
      </c>
      <c r="AP307" s="543">
        <v>0</v>
      </c>
      <c r="AQ307" s="543">
        <v>0</v>
      </c>
      <c r="AR307" s="543">
        <v>0</v>
      </c>
      <c r="AS307" s="543">
        <v>0</v>
      </c>
      <c r="AT307" s="543">
        <v>0</v>
      </c>
      <c r="AU307" s="543">
        <v>0</v>
      </c>
      <c r="AV307" s="543">
        <v>0</v>
      </c>
      <c r="AW307" s="543">
        <v>0</v>
      </c>
      <c r="AX307" s="543">
        <v>0</v>
      </c>
      <c r="AY307" s="543">
        <v>0</v>
      </c>
      <c r="AZ307" s="544">
        <v>0</v>
      </c>
    </row>
    <row r="308" spans="1:52" s="469" customFormat="1">
      <c r="A308" s="485">
        <f>'[4]Allocation Methodology'!A58</f>
        <v>54</v>
      </c>
      <c r="B308" s="486" t="str">
        <f>'[4]Allocation Methodology'!B58</f>
        <v>Cool Savings Rebate</v>
      </c>
      <c r="C308" s="486" t="str">
        <f>'[4]Allocation Methodology'!C58</f>
        <v>Consumer</v>
      </c>
      <c r="D308" s="486"/>
      <c r="E308" s="486">
        <f>'[4]Allocation Methodology'!D58</f>
        <v>2010</v>
      </c>
      <c r="F308" s="487" t="str">
        <f>'[4]Allocation Methodology'!E58</f>
        <v>Final</v>
      </c>
      <c r="G308" s="471"/>
      <c r="H308" s="545">
        <v>0</v>
      </c>
      <c r="I308" s="546">
        <v>0</v>
      </c>
      <c r="J308" s="546">
        <v>0</v>
      </c>
      <c r="K308" s="546">
        <v>0</v>
      </c>
      <c r="L308" s="546">
        <v>176.72958167168585</v>
      </c>
      <c r="M308" s="546">
        <v>176.72958167168585</v>
      </c>
      <c r="N308" s="546">
        <v>176.72958167168585</v>
      </c>
      <c r="O308" s="546">
        <v>176.72958167168585</v>
      </c>
      <c r="P308" s="546">
        <v>176.72958167168585</v>
      </c>
      <c r="Q308" s="546">
        <v>176.72958167168585</v>
      </c>
      <c r="R308" s="546">
        <v>176.72958167168585</v>
      </c>
      <c r="S308" s="546">
        <v>176.72958167168585</v>
      </c>
      <c r="T308" s="546">
        <v>176.72958167168585</v>
      </c>
      <c r="U308" s="546">
        <v>176.72958167168585</v>
      </c>
      <c r="V308" s="546">
        <v>176.72958167168585</v>
      </c>
      <c r="W308" s="546">
        <v>176.72958167168585</v>
      </c>
      <c r="X308" s="546">
        <v>176.72958167168585</v>
      </c>
      <c r="Y308" s="546">
        <v>176.72958167168585</v>
      </c>
      <c r="Z308" s="546">
        <v>176.72958167168585</v>
      </c>
      <c r="AA308" s="546">
        <v>173.9204971826579</v>
      </c>
      <c r="AB308" s="546">
        <v>173.9204971826579</v>
      </c>
      <c r="AC308" s="546">
        <v>173.9204971826579</v>
      </c>
      <c r="AD308" s="546">
        <v>166.94792225088</v>
      </c>
      <c r="AE308" s="546">
        <v>0</v>
      </c>
      <c r="AF308" s="546">
        <v>0</v>
      </c>
      <c r="AG308" s="546">
        <v>0</v>
      </c>
      <c r="AH308" s="546">
        <v>0</v>
      </c>
      <c r="AI308" s="546">
        <v>0</v>
      </c>
      <c r="AJ308" s="546">
        <v>0</v>
      </c>
      <c r="AK308" s="546">
        <v>0</v>
      </c>
      <c r="AL308" s="546">
        <v>0</v>
      </c>
      <c r="AM308" s="546">
        <v>0</v>
      </c>
      <c r="AN308" s="546">
        <v>0</v>
      </c>
      <c r="AO308" s="546">
        <v>0</v>
      </c>
      <c r="AP308" s="546">
        <v>0</v>
      </c>
      <c r="AQ308" s="546">
        <v>0</v>
      </c>
      <c r="AR308" s="546">
        <v>0</v>
      </c>
      <c r="AS308" s="546">
        <v>0</v>
      </c>
      <c r="AT308" s="546">
        <v>0</v>
      </c>
      <c r="AU308" s="546">
        <v>0</v>
      </c>
      <c r="AV308" s="546">
        <v>0</v>
      </c>
      <c r="AW308" s="546">
        <v>0</v>
      </c>
      <c r="AX308" s="546">
        <v>0</v>
      </c>
      <c r="AY308" s="546">
        <v>0</v>
      </c>
      <c r="AZ308" s="547">
        <v>0</v>
      </c>
    </row>
    <row r="309" spans="1:52" s="469" customFormat="1">
      <c r="A309" s="492">
        <f>'[4]Allocation Methodology'!A59</f>
        <v>55</v>
      </c>
      <c r="B309" s="493" t="str">
        <f>'[4]Allocation Methodology'!B59</f>
        <v>Every Kilowatt Counts Power Savings Event</v>
      </c>
      <c r="C309" s="493" t="str">
        <f>'[4]Allocation Methodology'!C59</f>
        <v>Consumer</v>
      </c>
      <c r="D309" s="493"/>
      <c r="E309" s="493">
        <f>'[4]Allocation Methodology'!D59</f>
        <v>2010</v>
      </c>
      <c r="F309" s="494" t="str">
        <f>'[4]Allocation Methodology'!E59</f>
        <v>Final</v>
      </c>
      <c r="G309" s="471"/>
      <c r="H309" s="548">
        <v>0</v>
      </c>
      <c r="I309" s="549">
        <v>0</v>
      </c>
      <c r="J309" s="549">
        <v>0</v>
      </c>
      <c r="K309" s="549">
        <v>0</v>
      </c>
      <c r="L309" s="549">
        <v>192.6893012970927</v>
      </c>
      <c r="M309" s="549">
        <v>192.17147681897112</v>
      </c>
      <c r="N309" s="549">
        <v>191.88661187630922</v>
      </c>
      <c r="O309" s="549">
        <v>191.88661187630922</v>
      </c>
      <c r="P309" s="549">
        <v>191.88661187630922</v>
      </c>
      <c r="Q309" s="549">
        <v>83.193269607573882</v>
      </c>
      <c r="R309" s="549">
        <v>67.450982207569339</v>
      </c>
      <c r="S309" s="549">
        <v>67.450982207569339</v>
      </c>
      <c r="T309" s="549">
        <v>67.450982207569339</v>
      </c>
      <c r="U309" s="549">
        <v>64.063237454818136</v>
      </c>
      <c r="V309" s="549">
        <v>46.566855854845656</v>
      </c>
      <c r="W309" s="549">
        <v>46.566855854845656</v>
      </c>
      <c r="X309" s="549">
        <v>40.402942161140551</v>
      </c>
      <c r="Y309" s="549">
        <v>40.402942161140551</v>
      </c>
      <c r="Z309" s="549">
        <v>40.402942161140551</v>
      </c>
      <c r="AA309" s="549">
        <v>24.649178003103213</v>
      </c>
      <c r="AB309" s="549">
        <v>0.32532502947040665</v>
      </c>
      <c r="AC309" s="549">
        <v>0.32532502947040665</v>
      </c>
      <c r="AD309" s="549">
        <v>0.32532502947040665</v>
      </c>
      <c r="AE309" s="549">
        <v>0.32532502947040665</v>
      </c>
      <c r="AF309" s="549">
        <v>0</v>
      </c>
      <c r="AG309" s="549">
        <v>0</v>
      </c>
      <c r="AH309" s="549">
        <v>0</v>
      </c>
      <c r="AI309" s="549">
        <v>0</v>
      </c>
      <c r="AJ309" s="549">
        <v>0</v>
      </c>
      <c r="AK309" s="549">
        <v>0</v>
      </c>
      <c r="AL309" s="549">
        <v>0</v>
      </c>
      <c r="AM309" s="549">
        <v>0</v>
      </c>
      <c r="AN309" s="549">
        <v>0</v>
      </c>
      <c r="AO309" s="549">
        <v>0</v>
      </c>
      <c r="AP309" s="549">
        <v>0</v>
      </c>
      <c r="AQ309" s="549">
        <v>0</v>
      </c>
      <c r="AR309" s="549">
        <v>0</v>
      </c>
      <c r="AS309" s="549">
        <v>0</v>
      </c>
      <c r="AT309" s="549">
        <v>0</v>
      </c>
      <c r="AU309" s="549">
        <v>0</v>
      </c>
      <c r="AV309" s="549">
        <v>0</v>
      </c>
      <c r="AW309" s="549">
        <v>0</v>
      </c>
      <c r="AX309" s="549">
        <v>0</v>
      </c>
      <c r="AY309" s="549">
        <v>0</v>
      </c>
      <c r="AZ309" s="550">
        <v>0</v>
      </c>
    </row>
    <row r="310" spans="1:52" s="469" customFormat="1">
      <c r="A310" s="485">
        <f>'[4]Allocation Methodology'!A60</f>
        <v>56</v>
      </c>
      <c r="B310" s="521" t="str">
        <f>'[4]Allocation Methodology'!B60</f>
        <v>peaksaver®</v>
      </c>
      <c r="C310" s="486" t="str">
        <f>'[4]Allocation Methodology'!C60</f>
        <v>Consumer, Business</v>
      </c>
      <c r="D310" s="486"/>
      <c r="E310" s="486">
        <f>'[4]Allocation Methodology'!D60</f>
        <v>2010</v>
      </c>
      <c r="F310" s="487" t="str">
        <f>'[4]Allocation Methodology'!E60</f>
        <v>Final</v>
      </c>
      <c r="G310" s="471"/>
      <c r="H310" s="545">
        <v>0</v>
      </c>
      <c r="I310" s="546">
        <v>0</v>
      </c>
      <c r="J310" s="546">
        <v>0</v>
      </c>
      <c r="K310" s="546">
        <v>0</v>
      </c>
      <c r="L310" s="546">
        <v>0</v>
      </c>
      <c r="M310" s="546">
        <v>0</v>
      </c>
      <c r="N310" s="546">
        <v>0</v>
      </c>
      <c r="O310" s="546">
        <v>0</v>
      </c>
      <c r="P310" s="546">
        <v>0</v>
      </c>
      <c r="Q310" s="546">
        <v>0</v>
      </c>
      <c r="R310" s="546">
        <v>0</v>
      </c>
      <c r="S310" s="546">
        <v>0</v>
      </c>
      <c r="T310" s="546">
        <v>0</v>
      </c>
      <c r="U310" s="546">
        <v>0</v>
      </c>
      <c r="V310" s="546">
        <v>0</v>
      </c>
      <c r="W310" s="546">
        <v>0</v>
      </c>
      <c r="X310" s="546">
        <v>0</v>
      </c>
      <c r="Y310" s="546">
        <v>0</v>
      </c>
      <c r="Z310" s="546">
        <v>0</v>
      </c>
      <c r="AA310" s="546">
        <v>0</v>
      </c>
      <c r="AB310" s="546">
        <v>0</v>
      </c>
      <c r="AC310" s="546">
        <v>0</v>
      </c>
      <c r="AD310" s="546">
        <v>0</v>
      </c>
      <c r="AE310" s="546">
        <v>0</v>
      </c>
      <c r="AF310" s="546">
        <v>0</v>
      </c>
      <c r="AG310" s="546">
        <v>0</v>
      </c>
      <c r="AH310" s="546">
        <v>0</v>
      </c>
      <c r="AI310" s="546">
        <v>0</v>
      </c>
      <c r="AJ310" s="546">
        <v>0</v>
      </c>
      <c r="AK310" s="546">
        <v>0</v>
      </c>
      <c r="AL310" s="546">
        <v>0</v>
      </c>
      <c r="AM310" s="546">
        <v>0</v>
      </c>
      <c r="AN310" s="546">
        <v>0</v>
      </c>
      <c r="AO310" s="546">
        <v>0</v>
      </c>
      <c r="AP310" s="546">
        <v>0</v>
      </c>
      <c r="AQ310" s="546">
        <v>0</v>
      </c>
      <c r="AR310" s="546">
        <v>0</v>
      </c>
      <c r="AS310" s="546">
        <v>0</v>
      </c>
      <c r="AT310" s="546">
        <v>0</v>
      </c>
      <c r="AU310" s="546">
        <v>0</v>
      </c>
      <c r="AV310" s="546">
        <v>0</v>
      </c>
      <c r="AW310" s="546">
        <v>0</v>
      </c>
      <c r="AX310" s="546">
        <v>0</v>
      </c>
      <c r="AY310" s="546">
        <v>0</v>
      </c>
      <c r="AZ310" s="547">
        <v>0</v>
      </c>
    </row>
    <row r="311" spans="1:52" s="469" customFormat="1">
      <c r="A311" s="492">
        <f>'[4]Allocation Methodology'!A61</f>
        <v>57</v>
      </c>
      <c r="B311" s="493" t="str">
        <f>'[4]Allocation Methodology'!B61</f>
        <v>Electricity Retrofit Incentive</v>
      </c>
      <c r="C311" s="493" t="str">
        <f>'[4]Allocation Methodology'!C61</f>
        <v>Consumer, Business</v>
      </c>
      <c r="D311" s="493"/>
      <c r="E311" s="493">
        <f>'[4]Allocation Methodology'!D61</f>
        <v>2010</v>
      </c>
      <c r="F311" s="494" t="str">
        <f>'[4]Allocation Methodology'!E61</f>
        <v>Final</v>
      </c>
      <c r="G311" s="471"/>
      <c r="H311" s="548">
        <v>0</v>
      </c>
      <c r="I311" s="549">
        <v>0</v>
      </c>
      <c r="J311" s="549">
        <v>0</v>
      </c>
      <c r="K311" s="549">
        <v>0</v>
      </c>
      <c r="L311" s="549">
        <v>474.69027159515292</v>
      </c>
      <c r="M311" s="549">
        <v>474.69027159515292</v>
      </c>
      <c r="N311" s="549">
        <v>474.69027159515292</v>
      </c>
      <c r="O311" s="549">
        <v>474.69027159515292</v>
      </c>
      <c r="P311" s="549">
        <v>474.69027159515292</v>
      </c>
      <c r="Q311" s="549">
        <v>474.69027159515292</v>
      </c>
      <c r="R311" s="549">
        <v>474.69027159515292</v>
      </c>
      <c r="S311" s="549">
        <v>474.69027159515292</v>
      </c>
      <c r="T311" s="549">
        <v>470.44041708106613</v>
      </c>
      <c r="U311" s="549">
        <v>106.46693290922506</v>
      </c>
      <c r="V311" s="549">
        <v>0</v>
      </c>
      <c r="W311" s="549">
        <v>0</v>
      </c>
      <c r="X311" s="549">
        <v>0</v>
      </c>
      <c r="Y311" s="549">
        <v>0</v>
      </c>
      <c r="Z311" s="549">
        <v>0</v>
      </c>
      <c r="AA311" s="549">
        <v>0</v>
      </c>
      <c r="AB311" s="549">
        <v>0</v>
      </c>
      <c r="AC311" s="549">
        <v>0</v>
      </c>
      <c r="AD311" s="549">
        <v>0</v>
      </c>
      <c r="AE311" s="549">
        <v>0</v>
      </c>
      <c r="AF311" s="549">
        <v>0</v>
      </c>
      <c r="AG311" s="549">
        <v>0</v>
      </c>
      <c r="AH311" s="549">
        <v>0</v>
      </c>
      <c r="AI311" s="549">
        <v>0</v>
      </c>
      <c r="AJ311" s="549">
        <v>0</v>
      </c>
      <c r="AK311" s="549">
        <v>0</v>
      </c>
      <c r="AL311" s="549">
        <v>0</v>
      </c>
      <c r="AM311" s="549">
        <v>0</v>
      </c>
      <c r="AN311" s="549">
        <v>0</v>
      </c>
      <c r="AO311" s="549">
        <v>0</v>
      </c>
      <c r="AP311" s="549">
        <v>0</v>
      </c>
      <c r="AQ311" s="549">
        <v>0</v>
      </c>
      <c r="AR311" s="549">
        <v>0</v>
      </c>
      <c r="AS311" s="549">
        <v>0</v>
      </c>
      <c r="AT311" s="549">
        <v>0</v>
      </c>
      <c r="AU311" s="549">
        <v>0</v>
      </c>
      <c r="AV311" s="549">
        <v>0</v>
      </c>
      <c r="AW311" s="549">
        <v>0</v>
      </c>
      <c r="AX311" s="549">
        <v>0</v>
      </c>
      <c r="AY311" s="549">
        <v>0</v>
      </c>
      <c r="AZ311" s="550">
        <v>0</v>
      </c>
    </row>
    <row r="312" spans="1:52" s="469" customFormat="1">
      <c r="A312" s="485">
        <f>'[4]Allocation Methodology'!A62</f>
        <v>58</v>
      </c>
      <c r="B312" s="486" t="str">
        <f>'[4]Allocation Methodology'!B62</f>
        <v>Toronto Comprehensive</v>
      </c>
      <c r="C312" s="486" t="str">
        <f>'[4]Allocation Methodology'!C62</f>
        <v>Consumer, Consumer Low-Income, Business, Industrial</v>
      </c>
      <c r="D312" s="486"/>
      <c r="E312" s="486">
        <f>'[4]Allocation Methodology'!D62</f>
        <v>2010</v>
      </c>
      <c r="F312" s="487" t="str">
        <f>'[4]Allocation Methodology'!E62</f>
        <v>Final</v>
      </c>
      <c r="G312" s="471"/>
      <c r="H312" s="545">
        <v>0</v>
      </c>
      <c r="I312" s="546">
        <v>0</v>
      </c>
      <c r="J312" s="546">
        <v>0</v>
      </c>
      <c r="K312" s="546">
        <v>0</v>
      </c>
      <c r="L312" s="546">
        <v>0</v>
      </c>
      <c r="M312" s="546">
        <v>0</v>
      </c>
      <c r="N312" s="546">
        <v>0</v>
      </c>
      <c r="O312" s="546">
        <v>0</v>
      </c>
      <c r="P312" s="546">
        <v>0</v>
      </c>
      <c r="Q312" s="546">
        <v>0</v>
      </c>
      <c r="R312" s="546">
        <v>0</v>
      </c>
      <c r="S312" s="546">
        <v>0</v>
      </c>
      <c r="T312" s="546">
        <v>0</v>
      </c>
      <c r="U312" s="546">
        <v>0</v>
      </c>
      <c r="V312" s="546">
        <v>0</v>
      </c>
      <c r="W312" s="546">
        <v>0</v>
      </c>
      <c r="X312" s="546">
        <v>0</v>
      </c>
      <c r="Y312" s="546">
        <v>0</v>
      </c>
      <c r="Z312" s="546">
        <v>0</v>
      </c>
      <c r="AA312" s="546">
        <v>0</v>
      </c>
      <c r="AB312" s="546">
        <v>0</v>
      </c>
      <c r="AC312" s="546">
        <v>0</v>
      </c>
      <c r="AD312" s="546">
        <v>0</v>
      </c>
      <c r="AE312" s="546">
        <v>0</v>
      </c>
      <c r="AF312" s="546">
        <v>0</v>
      </c>
      <c r="AG312" s="546">
        <v>0</v>
      </c>
      <c r="AH312" s="546">
        <v>0</v>
      </c>
      <c r="AI312" s="546">
        <v>0</v>
      </c>
      <c r="AJ312" s="546">
        <v>0</v>
      </c>
      <c r="AK312" s="546">
        <v>0</v>
      </c>
      <c r="AL312" s="546">
        <v>0</v>
      </c>
      <c r="AM312" s="546">
        <v>0</v>
      </c>
      <c r="AN312" s="546">
        <v>0</v>
      </c>
      <c r="AO312" s="546">
        <v>0</v>
      </c>
      <c r="AP312" s="546">
        <v>0</v>
      </c>
      <c r="AQ312" s="546">
        <v>0</v>
      </c>
      <c r="AR312" s="546">
        <v>0</v>
      </c>
      <c r="AS312" s="546">
        <v>0</v>
      </c>
      <c r="AT312" s="546">
        <v>0</v>
      </c>
      <c r="AU312" s="546">
        <v>0</v>
      </c>
      <c r="AV312" s="546">
        <v>0</v>
      </c>
      <c r="AW312" s="546">
        <v>0</v>
      </c>
      <c r="AX312" s="546">
        <v>0</v>
      </c>
      <c r="AY312" s="546">
        <v>0</v>
      </c>
      <c r="AZ312" s="547">
        <v>0</v>
      </c>
    </row>
    <row r="313" spans="1:52" s="469" customFormat="1">
      <c r="A313" s="492">
        <f>'[4]Allocation Methodology'!A63</f>
        <v>59</v>
      </c>
      <c r="B313" s="493" t="str">
        <f>'[4]Allocation Methodology'!B63</f>
        <v>High Performance New Construction</v>
      </c>
      <c r="C313" s="493" t="str">
        <f>'[4]Allocation Methodology'!C63</f>
        <v>Business</v>
      </c>
      <c r="D313" s="493"/>
      <c r="E313" s="493">
        <f>'[4]Allocation Methodology'!D63</f>
        <v>2010</v>
      </c>
      <c r="F313" s="494" t="str">
        <f>'[4]Allocation Methodology'!E63</f>
        <v>Final</v>
      </c>
      <c r="G313" s="471"/>
      <c r="H313" s="548">
        <v>0</v>
      </c>
      <c r="I313" s="549">
        <v>0</v>
      </c>
      <c r="J313" s="549">
        <v>0</v>
      </c>
      <c r="K313" s="549">
        <v>0</v>
      </c>
      <c r="L313" s="549">
        <v>280.22881733639696</v>
      </c>
      <c r="M313" s="549">
        <v>280.22881733639696</v>
      </c>
      <c r="N313" s="549">
        <v>280.22881733639696</v>
      </c>
      <c r="O313" s="549">
        <v>280.22881733639696</v>
      </c>
      <c r="P313" s="549">
        <v>280.22881733639696</v>
      </c>
      <c r="Q313" s="549">
        <v>280.22881733639696</v>
      </c>
      <c r="R313" s="549">
        <v>280.22881733639696</v>
      </c>
      <c r="S313" s="549">
        <v>280.22881733639696</v>
      </c>
      <c r="T313" s="549">
        <v>280.22881733639696</v>
      </c>
      <c r="U313" s="549">
        <v>280.22881733639696</v>
      </c>
      <c r="V313" s="549">
        <v>280.22881733639696</v>
      </c>
      <c r="W313" s="549">
        <v>280.22881733639696</v>
      </c>
      <c r="X313" s="549">
        <v>280.22881733639696</v>
      </c>
      <c r="Y313" s="549">
        <v>280.22881733639696</v>
      </c>
      <c r="Z313" s="549">
        <v>280.22881733639696</v>
      </c>
      <c r="AA313" s="549">
        <v>280.22881733639696</v>
      </c>
      <c r="AB313" s="549">
        <v>280.22881733639696</v>
      </c>
      <c r="AC313" s="549">
        <v>280.22881733639696</v>
      </c>
      <c r="AD313" s="549">
        <v>280.22881733639696</v>
      </c>
      <c r="AE313" s="549">
        <v>280.22881733639696</v>
      </c>
      <c r="AF313" s="549">
        <v>0</v>
      </c>
      <c r="AG313" s="549">
        <v>0</v>
      </c>
      <c r="AH313" s="549">
        <v>0</v>
      </c>
      <c r="AI313" s="549">
        <v>0</v>
      </c>
      <c r="AJ313" s="549">
        <v>0</v>
      </c>
      <c r="AK313" s="549">
        <v>0</v>
      </c>
      <c r="AL313" s="549">
        <v>0</v>
      </c>
      <c r="AM313" s="549">
        <v>0</v>
      </c>
      <c r="AN313" s="549">
        <v>0</v>
      </c>
      <c r="AO313" s="549">
        <v>0</v>
      </c>
      <c r="AP313" s="549">
        <v>0</v>
      </c>
      <c r="AQ313" s="549">
        <v>0</v>
      </c>
      <c r="AR313" s="549">
        <v>0</v>
      </c>
      <c r="AS313" s="549">
        <v>0</v>
      </c>
      <c r="AT313" s="549">
        <v>0</v>
      </c>
      <c r="AU313" s="549">
        <v>0</v>
      </c>
      <c r="AV313" s="549">
        <v>0</v>
      </c>
      <c r="AW313" s="549">
        <v>0</v>
      </c>
      <c r="AX313" s="549">
        <v>0</v>
      </c>
      <c r="AY313" s="549">
        <v>0</v>
      </c>
      <c r="AZ313" s="550">
        <v>0</v>
      </c>
    </row>
    <row r="314" spans="1:52" s="469" customFormat="1">
      <c r="A314" s="485">
        <f>'[4]Allocation Methodology'!A64</f>
        <v>60</v>
      </c>
      <c r="B314" s="486" t="str">
        <f>'[4]Allocation Methodology'!B64</f>
        <v>Power Savings Blitz</v>
      </c>
      <c r="C314" s="486" t="str">
        <f>'[4]Allocation Methodology'!C64</f>
        <v>Business</v>
      </c>
      <c r="D314" s="486"/>
      <c r="E314" s="486">
        <f>'[4]Allocation Methodology'!D64</f>
        <v>2010</v>
      </c>
      <c r="F314" s="487" t="str">
        <f>'[4]Allocation Methodology'!E64</f>
        <v>Final</v>
      </c>
      <c r="G314" s="471"/>
      <c r="H314" s="545">
        <v>0</v>
      </c>
      <c r="I314" s="546">
        <v>0</v>
      </c>
      <c r="J314" s="546">
        <v>0</v>
      </c>
      <c r="K314" s="546">
        <v>0</v>
      </c>
      <c r="L314" s="546">
        <v>544.86097873755557</v>
      </c>
      <c r="M314" s="546">
        <v>544.86097873755557</v>
      </c>
      <c r="N314" s="546">
        <v>544.86097873755557</v>
      </c>
      <c r="O314" s="546">
        <v>544.86097873755557</v>
      </c>
      <c r="P314" s="546">
        <v>544.86097873755557</v>
      </c>
      <c r="Q314" s="546">
        <v>544.86097873755557</v>
      </c>
      <c r="R314" s="546">
        <v>544.86097873755557</v>
      </c>
      <c r="S314" s="546">
        <v>367.7285678892606</v>
      </c>
      <c r="T314" s="546">
        <v>0</v>
      </c>
      <c r="U314" s="546">
        <v>0</v>
      </c>
      <c r="V314" s="546">
        <v>0</v>
      </c>
      <c r="W314" s="546">
        <v>0</v>
      </c>
      <c r="X314" s="546">
        <v>0</v>
      </c>
      <c r="Y314" s="546">
        <v>0</v>
      </c>
      <c r="Z314" s="546">
        <v>0</v>
      </c>
      <c r="AA314" s="546">
        <v>0</v>
      </c>
      <c r="AB314" s="546">
        <v>0</v>
      </c>
      <c r="AC314" s="546">
        <v>0</v>
      </c>
      <c r="AD314" s="546">
        <v>0</v>
      </c>
      <c r="AE314" s="546">
        <v>0</v>
      </c>
      <c r="AF314" s="546">
        <v>0</v>
      </c>
      <c r="AG314" s="546">
        <v>0</v>
      </c>
      <c r="AH314" s="546">
        <v>0</v>
      </c>
      <c r="AI314" s="546">
        <v>0</v>
      </c>
      <c r="AJ314" s="546">
        <v>0</v>
      </c>
      <c r="AK314" s="546">
        <v>0</v>
      </c>
      <c r="AL314" s="546">
        <v>0</v>
      </c>
      <c r="AM314" s="546">
        <v>0</v>
      </c>
      <c r="AN314" s="546">
        <v>0</v>
      </c>
      <c r="AO314" s="546">
        <v>0</v>
      </c>
      <c r="AP314" s="546">
        <v>0</v>
      </c>
      <c r="AQ314" s="546">
        <v>0</v>
      </c>
      <c r="AR314" s="546">
        <v>0</v>
      </c>
      <c r="AS314" s="546">
        <v>0</v>
      </c>
      <c r="AT314" s="546">
        <v>0</v>
      </c>
      <c r="AU314" s="546">
        <v>0</v>
      </c>
      <c r="AV314" s="546">
        <v>0</v>
      </c>
      <c r="AW314" s="546">
        <v>0</v>
      </c>
      <c r="AX314" s="546">
        <v>0</v>
      </c>
      <c r="AY314" s="546">
        <v>0</v>
      </c>
      <c r="AZ314" s="547">
        <v>0</v>
      </c>
    </row>
    <row r="315" spans="1:52" s="469" customFormat="1">
      <c r="A315" s="492">
        <f>'[4]Allocation Methodology'!A65</f>
        <v>61</v>
      </c>
      <c r="B315" s="493" t="str">
        <f>'[4]Allocation Methodology'!B65</f>
        <v>Multi-Family Energy Efficiency Rebates</v>
      </c>
      <c r="C315" s="493" t="str">
        <f>'[4]Allocation Methodology'!C65</f>
        <v>Consumer, Consumer Low-Income</v>
      </c>
      <c r="D315" s="493"/>
      <c r="E315" s="493">
        <f>'[4]Allocation Methodology'!D65</f>
        <v>2010</v>
      </c>
      <c r="F315" s="494" t="str">
        <f>'[4]Allocation Methodology'!E65</f>
        <v>Final</v>
      </c>
      <c r="G315" s="471"/>
      <c r="H315" s="548">
        <v>0</v>
      </c>
      <c r="I315" s="549">
        <v>0</v>
      </c>
      <c r="J315" s="549">
        <v>0</v>
      </c>
      <c r="K315" s="549">
        <v>0</v>
      </c>
      <c r="L315" s="549">
        <v>135.02159758974085</v>
      </c>
      <c r="M315" s="549">
        <v>135.02159758974085</v>
      </c>
      <c r="N315" s="549">
        <v>135.02159758974085</v>
      </c>
      <c r="O315" s="549">
        <v>135.02159758974085</v>
      </c>
      <c r="P315" s="549">
        <v>135.02159758974085</v>
      </c>
      <c r="Q315" s="549">
        <v>135.02159758974085</v>
      </c>
      <c r="R315" s="549">
        <v>135.02159758974085</v>
      </c>
      <c r="S315" s="549">
        <v>135.02159758974085</v>
      </c>
      <c r="T315" s="549">
        <v>135.02159758974085</v>
      </c>
      <c r="U315" s="549">
        <v>12.068969616964019</v>
      </c>
      <c r="V315" s="549">
        <v>0</v>
      </c>
      <c r="W315" s="549">
        <v>0</v>
      </c>
      <c r="X315" s="549">
        <v>0</v>
      </c>
      <c r="Y315" s="549">
        <v>0</v>
      </c>
      <c r="Z315" s="549">
        <v>0</v>
      </c>
      <c r="AA315" s="549">
        <v>0</v>
      </c>
      <c r="AB315" s="549">
        <v>0</v>
      </c>
      <c r="AC315" s="549">
        <v>0</v>
      </c>
      <c r="AD315" s="549">
        <v>0</v>
      </c>
      <c r="AE315" s="549">
        <v>0</v>
      </c>
      <c r="AF315" s="549">
        <v>0</v>
      </c>
      <c r="AG315" s="549">
        <v>0</v>
      </c>
      <c r="AH315" s="549">
        <v>0</v>
      </c>
      <c r="AI315" s="549">
        <v>0</v>
      </c>
      <c r="AJ315" s="549">
        <v>0</v>
      </c>
      <c r="AK315" s="549">
        <v>0</v>
      </c>
      <c r="AL315" s="549">
        <v>0</v>
      </c>
      <c r="AM315" s="549">
        <v>0</v>
      </c>
      <c r="AN315" s="549">
        <v>0</v>
      </c>
      <c r="AO315" s="549">
        <v>0</v>
      </c>
      <c r="AP315" s="549">
        <v>0</v>
      </c>
      <c r="AQ315" s="549">
        <v>0</v>
      </c>
      <c r="AR315" s="549">
        <v>0</v>
      </c>
      <c r="AS315" s="549">
        <v>0</v>
      </c>
      <c r="AT315" s="549">
        <v>0</v>
      </c>
      <c r="AU315" s="549">
        <v>0</v>
      </c>
      <c r="AV315" s="549">
        <v>0</v>
      </c>
      <c r="AW315" s="549">
        <v>0</v>
      </c>
      <c r="AX315" s="549">
        <v>0</v>
      </c>
      <c r="AY315" s="549">
        <v>0</v>
      </c>
      <c r="AZ315" s="550">
        <v>0</v>
      </c>
    </row>
    <row r="316" spans="1:52" s="469" customFormat="1">
      <c r="A316" s="485">
        <f>'[4]Allocation Methodology'!A66</f>
        <v>62</v>
      </c>
      <c r="B316" s="486" t="str">
        <f>'[4]Allocation Methodology'!B66</f>
        <v>Demand Response 2</v>
      </c>
      <c r="C316" s="486" t="str">
        <f>'[4]Allocation Methodology'!C66</f>
        <v>Business, Industrial</v>
      </c>
      <c r="D316" s="486"/>
      <c r="E316" s="486">
        <f>'[4]Allocation Methodology'!D66</f>
        <v>2010</v>
      </c>
      <c r="F316" s="487" t="str">
        <f>'[4]Allocation Methodology'!E66</f>
        <v>Final</v>
      </c>
      <c r="G316" s="471"/>
      <c r="H316" s="545">
        <v>0</v>
      </c>
      <c r="I316" s="546">
        <v>0</v>
      </c>
      <c r="J316" s="546">
        <v>0</v>
      </c>
      <c r="K316" s="546">
        <v>0</v>
      </c>
      <c r="L316" s="546">
        <v>927.03949446998331</v>
      </c>
      <c r="M316" s="546">
        <v>0</v>
      </c>
      <c r="N316" s="546">
        <v>0</v>
      </c>
      <c r="O316" s="546">
        <v>0</v>
      </c>
      <c r="P316" s="546">
        <v>0</v>
      </c>
      <c r="Q316" s="546">
        <v>0</v>
      </c>
      <c r="R316" s="546">
        <v>0</v>
      </c>
      <c r="S316" s="546">
        <v>0</v>
      </c>
      <c r="T316" s="546">
        <v>0</v>
      </c>
      <c r="U316" s="546">
        <v>0</v>
      </c>
      <c r="V316" s="546">
        <v>0</v>
      </c>
      <c r="W316" s="546">
        <v>0</v>
      </c>
      <c r="X316" s="546">
        <v>0</v>
      </c>
      <c r="Y316" s="546">
        <v>0</v>
      </c>
      <c r="Z316" s="546">
        <v>0</v>
      </c>
      <c r="AA316" s="546">
        <v>0</v>
      </c>
      <c r="AB316" s="546">
        <v>0</v>
      </c>
      <c r="AC316" s="546">
        <v>0</v>
      </c>
      <c r="AD316" s="546">
        <v>0</v>
      </c>
      <c r="AE316" s="546">
        <v>0</v>
      </c>
      <c r="AF316" s="546">
        <v>0</v>
      </c>
      <c r="AG316" s="546">
        <v>0</v>
      </c>
      <c r="AH316" s="546">
        <v>0</v>
      </c>
      <c r="AI316" s="546">
        <v>0</v>
      </c>
      <c r="AJ316" s="546">
        <v>0</v>
      </c>
      <c r="AK316" s="546">
        <v>0</v>
      </c>
      <c r="AL316" s="546">
        <v>0</v>
      </c>
      <c r="AM316" s="546">
        <v>0</v>
      </c>
      <c r="AN316" s="546">
        <v>0</v>
      </c>
      <c r="AO316" s="546">
        <v>0</v>
      </c>
      <c r="AP316" s="546">
        <v>0</v>
      </c>
      <c r="AQ316" s="546">
        <v>0</v>
      </c>
      <c r="AR316" s="546">
        <v>0</v>
      </c>
      <c r="AS316" s="546">
        <v>0</v>
      </c>
      <c r="AT316" s="546">
        <v>0</v>
      </c>
      <c r="AU316" s="546">
        <v>0</v>
      </c>
      <c r="AV316" s="546">
        <v>0</v>
      </c>
      <c r="AW316" s="546">
        <v>0</v>
      </c>
      <c r="AX316" s="546">
        <v>0</v>
      </c>
      <c r="AY316" s="546">
        <v>0</v>
      </c>
      <c r="AZ316" s="547">
        <v>0</v>
      </c>
    </row>
    <row r="317" spans="1:52" s="469" customFormat="1">
      <c r="A317" s="492">
        <f>'[4]Allocation Methodology'!A67</f>
        <v>63</v>
      </c>
      <c r="B317" s="493" t="str">
        <f>'[4]Allocation Methodology'!B67</f>
        <v>Demand Response 3</v>
      </c>
      <c r="C317" s="493" t="str">
        <f>'[4]Allocation Methodology'!C67</f>
        <v>Business, Industrial</v>
      </c>
      <c r="D317" s="493"/>
      <c r="E317" s="493">
        <f>'[4]Allocation Methodology'!D67</f>
        <v>2010</v>
      </c>
      <c r="F317" s="494" t="str">
        <f>'[4]Allocation Methodology'!E67</f>
        <v>Final</v>
      </c>
      <c r="G317" s="471"/>
      <c r="H317" s="548">
        <v>0</v>
      </c>
      <c r="I317" s="549">
        <v>0</v>
      </c>
      <c r="J317" s="549">
        <v>0</v>
      </c>
      <c r="K317" s="549">
        <v>0</v>
      </c>
      <c r="L317" s="549">
        <v>32.85625239207058</v>
      </c>
      <c r="M317" s="549">
        <v>0</v>
      </c>
      <c r="N317" s="549">
        <v>0</v>
      </c>
      <c r="O317" s="549">
        <v>0</v>
      </c>
      <c r="P317" s="549">
        <v>0</v>
      </c>
      <c r="Q317" s="549">
        <v>0</v>
      </c>
      <c r="R317" s="549">
        <v>0</v>
      </c>
      <c r="S317" s="549">
        <v>0</v>
      </c>
      <c r="T317" s="549">
        <v>0</v>
      </c>
      <c r="U317" s="549">
        <v>0</v>
      </c>
      <c r="V317" s="549">
        <v>0</v>
      </c>
      <c r="W317" s="549">
        <v>0</v>
      </c>
      <c r="X317" s="549">
        <v>0</v>
      </c>
      <c r="Y317" s="549">
        <v>0</v>
      </c>
      <c r="Z317" s="549">
        <v>0</v>
      </c>
      <c r="AA317" s="549">
        <v>0</v>
      </c>
      <c r="AB317" s="549">
        <v>0</v>
      </c>
      <c r="AC317" s="549">
        <v>0</v>
      </c>
      <c r="AD317" s="549">
        <v>0</v>
      </c>
      <c r="AE317" s="549">
        <v>0</v>
      </c>
      <c r="AF317" s="549">
        <v>0</v>
      </c>
      <c r="AG317" s="549">
        <v>0</v>
      </c>
      <c r="AH317" s="549">
        <v>0</v>
      </c>
      <c r="AI317" s="549">
        <v>0</v>
      </c>
      <c r="AJ317" s="549">
        <v>0</v>
      </c>
      <c r="AK317" s="549">
        <v>0</v>
      </c>
      <c r="AL317" s="549">
        <v>0</v>
      </c>
      <c r="AM317" s="549">
        <v>0</v>
      </c>
      <c r="AN317" s="549">
        <v>0</v>
      </c>
      <c r="AO317" s="549">
        <v>0</v>
      </c>
      <c r="AP317" s="549">
        <v>0</v>
      </c>
      <c r="AQ317" s="549">
        <v>0</v>
      </c>
      <c r="AR317" s="549">
        <v>0</v>
      </c>
      <c r="AS317" s="549">
        <v>0</v>
      </c>
      <c r="AT317" s="549">
        <v>0</v>
      </c>
      <c r="AU317" s="549">
        <v>0</v>
      </c>
      <c r="AV317" s="549">
        <v>0</v>
      </c>
      <c r="AW317" s="549">
        <v>0</v>
      </c>
      <c r="AX317" s="549">
        <v>0</v>
      </c>
      <c r="AY317" s="549">
        <v>0</v>
      </c>
      <c r="AZ317" s="550">
        <v>0</v>
      </c>
    </row>
    <row r="318" spans="1:52" s="469" customFormat="1">
      <c r="A318" s="485">
        <f>'[4]Allocation Methodology'!A68</f>
        <v>64</v>
      </c>
      <c r="B318" s="486" t="str">
        <f>'[4]Allocation Methodology'!B68</f>
        <v>Loblaw &amp; York Region Demand Response</v>
      </c>
      <c r="C318" s="486" t="str">
        <f>'[4]Allocation Methodology'!C68</f>
        <v>Business, Industrial</v>
      </c>
      <c r="D318" s="486"/>
      <c r="E318" s="486">
        <f>'[4]Allocation Methodology'!D68</f>
        <v>2010</v>
      </c>
      <c r="F318" s="487" t="str">
        <f>'[4]Allocation Methodology'!E68</f>
        <v>Final</v>
      </c>
      <c r="G318" s="471"/>
      <c r="H318" s="545">
        <v>0</v>
      </c>
      <c r="I318" s="546">
        <v>0</v>
      </c>
      <c r="J318" s="546">
        <v>0</v>
      </c>
      <c r="K318" s="546">
        <v>0</v>
      </c>
      <c r="L318" s="546">
        <v>0</v>
      </c>
      <c r="M318" s="546">
        <v>0</v>
      </c>
      <c r="N318" s="546">
        <v>0</v>
      </c>
      <c r="O318" s="546">
        <v>0</v>
      </c>
      <c r="P318" s="546">
        <v>0</v>
      </c>
      <c r="Q318" s="546">
        <v>0</v>
      </c>
      <c r="R318" s="546">
        <v>0</v>
      </c>
      <c r="S318" s="546">
        <v>0</v>
      </c>
      <c r="T318" s="546">
        <v>0</v>
      </c>
      <c r="U318" s="546">
        <v>0</v>
      </c>
      <c r="V318" s="546">
        <v>0</v>
      </c>
      <c r="W318" s="546">
        <v>0</v>
      </c>
      <c r="X318" s="546">
        <v>0</v>
      </c>
      <c r="Y318" s="546">
        <v>0</v>
      </c>
      <c r="Z318" s="546">
        <v>0</v>
      </c>
      <c r="AA318" s="546">
        <v>0</v>
      </c>
      <c r="AB318" s="546">
        <v>0</v>
      </c>
      <c r="AC318" s="546">
        <v>0</v>
      </c>
      <c r="AD318" s="546">
        <v>0</v>
      </c>
      <c r="AE318" s="546">
        <v>0</v>
      </c>
      <c r="AF318" s="546">
        <v>0</v>
      </c>
      <c r="AG318" s="546">
        <v>0</v>
      </c>
      <c r="AH318" s="546">
        <v>0</v>
      </c>
      <c r="AI318" s="546">
        <v>0</v>
      </c>
      <c r="AJ318" s="546">
        <v>0</v>
      </c>
      <c r="AK318" s="546">
        <v>0</v>
      </c>
      <c r="AL318" s="546">
        <v>0</v>
      </c>
      <c r="AM318" s="546">
        <v>0</v>
      </c>
      <c r="AN318" s="546">
        <v>0</v>
      </c>
      <c r="AO318" s="546">
        <v>0</v>
      </c>
      <c r="AP318" s="546">
        <v>0</v>
      </c>
      <c r="AQ318" s="546">
        <v>0</v>
      </c>
      <c r="AR318" s="546">
        <v>0</v>
      </c>
      <c r="AS318" s="546">
        <v>0</v>
      </c>
      <c r="AT318" s="546">
        <v>0</v>
      </c>
      <c r="AU318" s="546">
        <v>0</v>
      </c>
      <c r="AV318" s="546">
        <v>0</v>
      </c>
      <c r="AW318" s="546">
        <v>0</v>
      </c>
      <c r="AX318" s="546">
        <v>0</v>
      </c>
      <c r="AY318" s="546">
        <v>0</v>
      </c>
      <c r="AZ318" s="547">
        <v>0</v>
      </c>
    </row>
    <row r="319" spans="1:52" s="469" customFormat="1">
      <c r="A319" s="499">
        <f>'[4]Allocation Methodology'!A69</f>
        <v>65</v>
      </c>
      <c r="B319" s="500" t="str">
        <f>'[4]Allocation Methodology'!B69</f>
        <v>LDC Custom - Hydro Ottawa - Small Commercial Demand Response</v>
      </c>
      <c r="C319" s="500" t="str">
        <f>'[4]Allocation Methodology'!C69</f>
        <v>Consumer</v>
      </c>
      <c r="D319" s="500"/>
      <c r="E319" s="500">
        <f>'[4]Allocation Methodology'!D69</f>
        <v>2010</v>
      </c>
      <c r="F319" s="501" t="str">
        <f>'[4]Allocation Methodology'!E69</f>
        <v>Final</v>
      </c>
      <c r="G319" s="471"/>
      <c r="H319" s="551">
        <v>0</v>
      </c>
      <c r="I319" s="552">
        <v>0</v>
      </c>
      <c r="J319" s="552">
        <v>0</v>
      </c>
      <c r="K319" s="552">
        <v>0</v>
      </c>
      <c r="L319" s="552">
        <v>0</v>
      </c>
      <c r="M319" s="552">
        <v>0</v>
      </c>
      <c r="N319" s="552">
        <v>0</v>
      </c>
      <c r="O319" s="552">
        <v>0</v>
      </c>
      <c r="P319" s="552">
        <v>0</v>
      </c>
      <c r="Q319" s="552">
        <v>0</v>
      </c>
      <c r="R319" s="552">
        <v>0</v>
      </c>
      <c r="S319" s="552">
        <v>0</v>
      </c>
      <c r="T319" s="552">
        <v>0</v>
      </c>
      <c r="U319" s="552">
        <v>0</v>
      </c>
      <c r="V319" s="552">
        <v>0</v>
      </c>
      <c r="W319" s="552">
        <v>0</v>
      </c>
      <c r="X319" s="552">
        <v>0</v>
      </c>
      <c r="Y319" s="552">
        <v>0</v>
      </c>
      <c r="Z319" s="552">
        <v>0</v>
      </c>
      <c r="AA319" s="552">
        <v>0</v>
      </c>
      <c r="AB319" s="552">
        <v>0</v>
      </c>
      <c r="AC319" s="552">
        <v>0</v>
      </c>
      <c r="AD319" s="552">
        <v>0</v>
      </c>
      <c r="AE319" s="552">
        <v>0</v>
      </c>
      <c r="AF319" s="552">
        <v>0</v>
      </c>
      <c r="AG319" s="552">
        <v>0</v>
      </c>
      <c r="AH319" s="552">
        <v>0</v>
      </c>
      <c r="AI319" s="552">
        <v>0</v>
      </c>
      <c r="AJ319" s="552">
        <v>0</v>
      </c>
      <c r="AK319" s="552">
        <v>0</v>
      </c>
      <c r="AL319" s="552">
        <v>0</v>
      </c>
      <c r="AM319" s="552">
        <v>0</v>
      </c>
      <c r="AN319" s="552">
        <v>0</v>
      </c>
      <c r="AO319" s="552">
        <v>0</v>
      </c>
      <c r="AP319" s="552">
        <v>0</v>
      </c>
      <c r="AQ319" s="552">
        <v>0</v>
      </c>
      <c r="AR319" s="552">
        <v>0</v>
      </c>
      <c r="AS319" s="552">
        <v>0</v>
      </c>
      <c r="AT319" s="552">
        <v>0</v>
      </c>
      <c r="AU319" s="552">
        <v>0</v>
      </c>
      <c r="AV319" s="552">
        <v>0</v>
      </c>
      <c r="AW319" s="552">
        <v>0</v>
      </c>
      <c r="AX319" s="552">
        <v>0</v>
      </c>
      <c r="AY319" s="552">
        <v>0</v>
      </c>
      <c r="AZ319" s="553">
        <v>0</v>
      </c>
    </row>
    <row r="320" spans="1:52" s="469" customFormat="1" ht="4.5" customHeight="1">
      <c r="A320" s="477"/>
      <c r="B320" s="477"/>
      <c r="C320" s="477"/>
      <c r="D320" s="477"/>
      <c r="E320" s="477"/>
      <c r="F320" s="477"/>
      <c r="G320" s="467"/>
      <c r="H320" s="468"/>
      <c r="I320" s="468"/>
      <c r="J320" s="468"/>
      <c r="K320" s="468"/>
      <c r="L320" s="468"/>
      <c r="M320" s="468"/>
      <c r="N320" s="468"/>
      <c r="O320" s="468"/>
      <c r="P320" s="468"/>
      <c r="Q320" s="468"/>
      <c r="R320" s="468"/>
      <c r="S320" s="468"/>
      <c r="T320" s="468"/>
      <c r="U320" s="468"/>
      <c r="V320" s="468"/>
      <c r="W320" s="468"/>
      <c r="X320" s="468"/>
      <c r="Y320" s="468"/>
      <c r="Z320" s="468"/>
      <c r="AA320" s="468"/>
      <c r="AB320" s="468"/>
      <c r="AC320" s="468"/>
      <c r="AD320" s="468"/>
      <c r="AE320" s="468"/>
      <c r="AF320" s="468"/>
      <c r="AG320" s="468"/>
      <c r="AH320" s="468"/>
      <c r="AI320" s="468"/>
      <c r="AJ320" s="468"/>
      <c r="AK320" s="468"/>
      <c r="AL320" s="468"/>
      <c r="AM320" s="468"/>
      <c r="AN320" s="468"/>
      <c r="AO320" s="468"/>
      <c r="AP320" s="468"/>
      <c r="AQ320" s="468"/>
      <c r="AR320" s="468"/>
      <c r="AS320" s="468"/>
      <c r="AT320" s="468"/>
      <c r="AU320" s="468"/>
      <c r="AV320" s="468"/>
      <c r="AW320" s="468"/>
      <c r="AX320" s="468"/>
      <c r="AY320" s="468"/>
      <c r="AZ320" s="468"/>
    </row>
    <row r="321" spans="1:52" s="469" customFormat="1" ht="13">
      <c r="A321" s="529" t="s">
        <v>510</v>
      </c>
      <c r="B321" s="530"/>
      <c r="C321" s="530"/>
      <c r="D321" s="530"/>
      <c r="E321" s="530"/>
      <c r="F321" s="531"/>
      <c r="G321" s="467"/>
      <c r="H321" s="563">
        <f>SUM(H255:H259)</f>
        <v>2095.3900987581637</v>
      </c>
      <c r="I321" s="563">
        <f t="shared" ref="I321:AZ321" si="25">SUM(I255:I259)</f>
        <v>2095.3900987581637</v>
      </c>
      <c r="J321" s="563">
        <f t="shared" si="25"/>
        <v>2095.3900987581637</v>
      </c>
      <c r="K321" s="563">
        <f t="shared" si="25"/>
        <v>2095.3900987581637</v>
      </c>
      <c r="L321" s="563">
        <f t="shared" si="25"/>
        <v>372.74849247555881</v>
      </c>
      <c r="M321" s="563">
        <f t="shared" si="25"/>
        <v>372.74849247555881</v>
      </c>
      <c r="N321" s="563">
        <f t="shared" si="25"/>
        <v>341.87414788886838</v>
      </c>
      <c r="O321" s="563">
        <f t="shared" si="25"/>
        <v>341.87414788886838</v>
      </c>
      <c r="P321" s="563">
        <f t="shared" si="25"/>
        <v>321.88796755015142</v>
      </c>
      <c r="Q321" s="563">
        <f t="shared" si="25"/>
        <v>321.88796755015142</v>
      </c>
      <c r="R321" s="563">
        <f t="shared" si="25"/>
        <v>304.70291770545288</v>
      </c>
      <c r="S321" s="563">
        <f t="shared" si="25"/>
        <v>304.70291770545288</v>
      </c>
      <c r="T321" s="563">
        <f t="shared" si="25"/>
        <v>304.70291770545288</v>
      </c>
      <c r="U321" s="563">
        <f t="shared" si="25"/>
        <v>304.70291770545288</v>
      </c>
      <c r="V321" s="563">
        <f t="shared" si="25"/>
        <v>276.82600354995918</v>
      </c>
      <c r="W321" s="563">
        <f t="shared" si="25"/>
        <v>232.15963612578599</v>
      </c>
      <c r="X321" s="563">
        <f t="shared" si="25"/>
        <v>232.15963612578599</v>
      </c>
      <c r="Y321" s="563">
        <f t="shared" si="25"/>
        <v>232.15963612578599</v>
      </c>
      <c r="Z321" s="563">
        <f t="shared" si="25"/>
        <v>124.99853527544661</v>
      </c>
      <c r="AA321" s="563">
        <f t="shared" si="25"/>
        <v>124.99853527544661</v>
      </c>
      <c r="AB321" s="563">
        <f t="shared" si="25"/>
        <v>72.9363818144421</v>
      </c>
      <c r="AC321" s="563">
        <f t="shared" si="25"/>
        <v>72.9363818144421</v>
      </c>
      <c r="AD321" s="563">
        <f t="shared" si="25"/>
        <v>72.9363818144421</v>
      </c>
      <c r="AE321" s="563">
        <f t="shared" si="25"/>
        <v>72.9363818144421</v>
      </c>
      <c r="AF321" s="563">
        <f t="shared" si="25"/>
        <v>72.9363818144421</v>
      </c>
      <c r="AG321" s="563">
        <f t="shared" si="25"/>
        <v>11.834705580732592</v>
      </c>
      <c r="AH321" s="563">
        <f t="shared" si="25"/>
        <v>11.834705580732592</v>
      </c>
      <c r="AI321" s="563">
        <f t="shared" si="25"/>
        <v>11.834705580732592</v>
      </c>
      <c r="AJ321" s="563">
        <f t="shared" si="25"/>
        <v>11.834705580732592</v>
      </c>
      <c r="AK321" s="563">
        <f t="shared" si="25"/>
        <v>11.834705580732592</v>
      </c>
      <c r="AL321" s="563">
        <f t="shared" si="25"/>
        <v>0</v>
      </c>
      <c r="AM321" s="563">
        <f t="shared" si="25"/>
        <v>0</v>
      </c>
      <c r="AN321" s="563">
        <f t="shared" si="25"/>
        <v>0</v>
      </c>
      <c r="AO321" s="563">
        <f t="shared" si="25"/>
        <v>0</v>
      </c>
      <c r="AP321" s="563">
        <f t="shared" si="25"/>
        <v>0</v>
      </c>
      <c r="AQ321" s="563">
        <f t="shared" si="25"/>
        <v>0</v>
      </c>
      <c r="AR321" s="563">
        <f t="shared" si="25"/>
        <v>0</v>
      </c>
      <c r="AS321" s="563">
        <f t="shared" si="25"/>
        <v>0</v>
      </c>
      <c r="AT321" s="563">
        <f t="shared" si="25"/>
        <v>0</v>
      </c>
      <c r="AU321" s="563">
        <f t="shared" si="25"/>
        <v>0</v>
      </c>
      <c r="AV321" s="563">
        <f t="shared" si="25"/>
        <v>0</v>
      </c>
      <c r="AW321" s="563">
        <f t="shared" si="25"/>
        <v>0</v>
      </c>
      <c r="AX321" s="563">
        <f t="shared" si="25"/>
        <v>0</v>
      </c>
      <c r="AY321" s="563">
        <f t="shared" si="25"/>
        <v>0</v>
      </c>
      <c r="AZ321" s="563">
        <f t="shared" si="25"/>
        <v>0</v>
      </c>
    </row>
    <row r="322" spans="1:52" s="469" customFormat="1" ht="4.5" customHeight="1">
      <c r="A322" s="477"/>
      <c r="B322" s="477"/>
      <c r="C322" s="477"/>
      <c r="D322" s="477"/>
      <c r="E322" s="477"/>
      <c r="F322" s="477"/>
      <c r="G322" s="467"/>
      <c r="H322" s="564"/>
      <c r="I322" s="564"/>
      <c r="J322" s="564"/>
      <c r="K322" s="564"/>
      <c r="L322" s="564"/>
      <c r="M322" s="564"/>
      <c r="N322" s="564"/>
      <c r="O322" s="564"/>
      <c r="P322" s="564"/>
      <c r="Q322" s="564"/>
      <c r="R322" s="564"/>
      <c r="S322" s="564"/>
      <c r="T322" s="564"/>
      <c r="U322" s="564"/>
      <c r="V322" s="564"/>
      <c r="W322" s="564"/>
      <c r="X322" s="564"/>
      <c r="Y322" s="564"/>
      <c r="Z322" s="564"/>
      <c r="AA322" s="564"/>
      <c r="AB322" s="564"/>
      <c r="AC322" s="564"/>
      <c r="AD322" s="564"/>
      <c r="AE322" s="564"/>
      <c r="AF322" s="564"/>
      <c r="AG322" s="564"/>
      <c r="AH322" s="564"/>
      <c r="AI322" s="564"/>
      <c r="AJ322" s="564"/>
      <c r="AK322" s="564"/>
      <c r="AL322" s="564"/>
      <c r="AM322" s="564"/>
      <c r="AN322" s="564"/>
      <c r="AO322" s="564"/>
      <c r="AP322" s="564"/>
      <c r="AQ322" s="564"/>
      <c r="AR322" s="564"/>
      <c r="AS322" s="564"/>
      <c r="AT322" s="564"/>
      <c r="AU322" s="564"/>
      <c r="AV322" s="564"/>
      <c r="AW322" s="564"/>
      <c r="AX322" s="564"/>
      <c r="AY322" s="564"/>
      <c r="AZ322" s="564"/>
    </row>
    <row r="323" spans="1:52" s="469" customFormat="1" ht="13">
      <c r="A323" s="529" t="s">
        <v>511</v>
      </c>
      <c r="B323" s="530"/>
      <c r="C323" s="530"/>
      <c r="D323" s="530"/>
      <c r="E323" s="530"/>
      <c r="F323" s="531"/>
      <c r="G323" s="467"/>
      <c r="H323" s="563">
        <f>SUM(H260:H273)</f>
        <v>0</v>
      </c>
      <c r="I323" s="563">
        <f t="shared" ref="I323:AZ323" si="26">SUM(I260:I273)</f>
        <v>4437.767708616836</v>
      </c>
      <c r="J323" s="563">
        <f t="shared" si="26"/>
        <v>2135.666576744622</v>
      </c>
      <c r="K323" s="563">
        <f t="shared" si="26"/>
        <v>1847.6084281353458</v>
      </c>
      <c r="L323" s="563">
        <f t="shared" si="26"/>
        <v>1847.6084281353458</v>
      </c>
      <c r="M323" s="563">
        <f t="shared" si="26"/>
        <v>1847.2481698808499</v>
      </c>
      <c r="N323" s="563">
        <f t="shared" si="26"/>
        <v>1756.8607920619111</v>
      </c>
      <c r="O323" s="563">
        <f t="shared" si="26"/>
        <v>1756.8607920619111</v>
      </c>
      <c r="P323" s="563">
        <f t="shared" si="26"/>
        <v>1756.8607920619111</v>
      </c>
      <c r="Q323" s="563">
        <f t="shared" si="26"/>
        <v>873.35311319286393</v>
      </c>
      <c r="R323" s="563">
        <f t="shared" si="26"/>
        <v>745.2016843267927</v>
      </c>
      <c r="S323" s="563">
        <f t="shared" si="26"/>
        <v>601.51298696272556</v>
      </c>
      <c r="T323" s="563">
        <f t="shared" si="26"/>
        <v>601.51298696272556</v>
      </c>
      <c r="U323" s="563">
        <f t="shared" si="26"/>
        <v>601.51298696272556</v>
      </c>
      <c r="V323" s="563">
        <f t="shared" si="26"/>
        <v>601.51298696272556</v>
      </c>
      <c r="W323" s="563">
        <f t="shared" si="26"/>
        <v>369.36729829180211</v>
      </c>
      <c r="X323" s="563">
        <f t="shared" si="26"/>
        <v>187.39001608689327</v>
      </c>
      <c r="Y323" s="563">
        <f t="shared" si="26"/>
        <v>181.26883882805828</v>
      </c>
      <c r="Z323" s="563">
        <f t="shared" si="26"/>
        <v>181.26883882805828</v>
      </c>
      <c r="AA323" s="563">
        <f t="shared" si="26"/>
        <v>156.1108484675193</v>
      </c>
      <c r="AB323" s="563">
        <f t="shared" si="26"/>
        <v>24.438648000000001</v>
      </c>
      <c r="AC323" s="563">
        <f t="shared" si="26"/>
        <v>0</v>
      </c>
      <c r="AD323" s="563">
        <f t="shared" si="26"/>
        <v>0</v>
      </c>
      <c r="AE323" s="563">
        <f t="shared" si="26"/>
        <v>0</v>
      </c>
      <c r="AF323" s="563">
        <f t="shared" si="26"/>
        <v>0</v>
      </c>
      <c r="AG323" s="563">
        <f t="shared" si="26"/>
        <v>0</v>
      </c>
      <c r="AH323" s="563">
        <f t="shared" si="26"/>
        <v>0</v>
      </c>
      <c r="AI323" s="563">
        <f t="shared" si="26"/>
        <v>0</v>
      </c>
      <c r="AJ323" s="563">
        <f t="shared" si="26"/>
        <v>0</v>
      </c>
      <c r="AK323" s="563">
        <f t="shared" si="26"/>
        <v>0</v>
      </c>
      <c r="AL323" s="563">
        <f t="shared" si="26"/>
        <v>0</v>
      </c>
      <c r="AM323" s="563">
        <f t="shared" si="26"/>
        <v>0</v>
      </c>
      <c r="AN323" s="563">
        <f t="shared" si="26"/>
        <v>0</v>
      </c>
      <c r="AO323" s="563">
        <f t="shared" si="26"/>
        <v>0</v>
      </c>
      <c r="AP323" s="563">
        <f t="shared" si="26"/>
        <v>0</v>
      </c>
      <c r="AQ323" s="563">
        <f t="shared" si="26"/>
        <v>0</v>
      </c>
      <c r="AR323" s="563">
        <f t="shared" si="26"/>
        <v>0</v>
      </c>
      <c r="AS323" s="563">
        <f t="shared" si="26"/>
        <v>0</v>
      </c>
      <c r="AT323" s="563">
        <f t="shared" si="26"/>
        <v>0</v>
      </c>
      <c r="AU323" s="563">
        <f t="shared" si="26"/>
        <v>0</v>
      </c>
      <c r="AV323" s="563">
        <f t="shared" si="26"/>
        <v>0</v>
      </c>
      <c r="AW323" s="563">
        <f t="shared" si="26"/>
        <v>0</v>
      </c>
      <c r="AX323" s="563">
        <f t="shared" si="26"/>
        <v>0</v>
      </c>
      <c r="AY323" s="563">
        <f t="shared" si="26"/>
        <v>0</v>
      </c>
      <c r="AZ323" s="563">
        <f t="shared" si="26"/>
        <v>0</v>
      </c>
    </row>
    <row r="324" spans="1:52" s="469" customFormat="1" ht="5.15" customHeight="1">
      <c r="A324" s="477"/>
      <c r="B324" s="477"/>
      <c r="C324" s="477"/>
      <c r="D324" s="477"/>
      <c r="E324" s="477"/>
      <c r="F324" s="477"/>
      <c r="G324" s="467"/>
      <c r="H324" s="564"/>
      <c r="I324" s="564"/>
      <c r="J324" s="564"/>
      <c r="K324" s="564"/>
      <c r="L324" s="564"/>
      <c r="M324" s="564"/>
      <c r="N324" s="564"/>
      <c r="O324" s="564"/>
      <c r="P324" s="564"/>
      <c r="Q324" s="564"/>
      <c r="R324" s="564"/>
      <c r="S324" s="564"/>
      <c r="T324" s="564"/>
      <c r="U324" s="564"/>
      <c r="V324" s="564"/>
      <c r="W324" s="564"/>
      <c r="X324" s="564"/>
      <c r="Y324" s="564"/>
      <c r="Z324" s="564"/>
      <c r="AA324" s="564"/>
      <c r="AB324" s="564"/>
      <c r="AC324" s="564"/>
      <c r="AD324" s="564"/>
      <c r="AE324" s="564"/>
      <c r="AF324" s="564"/>
      <c r="AG324" s="564"/>
      <c r="AH324" s="564"/>
      <c r="AI324" s="564"/>
      <c r="AJ324" s="564"/>
      <c r="AK324" s="564"/>
      <c r="AL324" s="564"/>
      <c r="AM324" s="564"/>
      <c r="AN324" s="564"/>
      <c r="AO324" s="564"/>
      <c r="AP324" s="564"/>
      <c r="AQ324" s="564"/>
      <c r="AR324" s="564"/>
      <c r="AS324" s="564"/>
      <c r="AT324" s="564"/>
      <c r="AU324" s="564"/>
      <c r="AV324" s="564"/>
      <c r="AW324" s="564"/>
      <c r="AX324" s="564"/>
      <c r="AY324" s="564"/>
      <c r="AZ324" s="564"/>
    </row>
    <row r="325" spans="1:52" s="469" customFormat="1" ht="13">
      <c r="A325" s="529" t="s">
        <v>512</v>
      </c>
      <c r="B325" s="530"/>
      <c r="C325" s="530"/>
      <c r="D325" s="530"/>
      <c r="E325" s="530"/>
      <c r="F325" s="531"/>
      <c r="G325" s="467"/>
      <c r="H325" s="563">
        <f>SUM(H274:H288,H305:H306)</f>
        <v>0</v>
      </c>
      <c r="I325" s="563">
        <f t="shared" ref="I325:AZ325" si="27">SUM(I274:I288,I305:I306)</f>
        <v>0</v>
      </c>
      <c r="J325" s="563">
        <f t="shared" si="27"/>
        <v>4983.120920467326</v>
      </c>
      <c r="K325" s="563">
        <f t="shared" si="27"/>
        <v>4759.1364876631969</v>
      </c>
      <c r="L325" s="563">
        <f t="shared" si="27"/>
        <v>4759.1364876631969</v>
      </c>
      <c r="M325" s="563">
        <f t="shared" si="27"/>
        <v>4759.1364876631969</v>
      </c>
      <c r="N325" s="563">
        <f t="shared" si="27"/>
        <v>4529.2495990735442</v>
      </c>
      <c r="O325" s="563">
        <f t="shared" si="27"/>
        <v>4528.4615990735447</v>
      </c>
      <c r="P325" s="563">
        <f t="shared" si="27"/>
        <v>4322.6645299784277</v>
      </c>
      <c r="Q325" s="563">
        <f t="shared" si="27"/>
        <v>4139.2039076858409</v>
      </c>
      <c r="R325" s="563">
        <f t="shared" si="27"/>
        <v>3577.199007715411</v>
      </c>
      <c r="S325" s="563">
        <f t="shared" si="27"/>
        <v>3406.7599980654486</v>
      </c>
      <c r="T325" s="563">
        <f t="shared" si="27"/>
        <v>3301.5401093646988</v>
      </c>
      <c r="U325" s="563">
        <f t="shared" si="27"/>
        <v>3301.5401093646988</v>
      </c>
      <c r="V325" s="563">
        <f t="shared" si="27"/>
        <v>3281.3875631585861</v>
      </c>
      <c r="W325" s="563">
        <f t="shared" si="27"/>
        <v>3275.5337014144184</v>
      </c>
      <c r="X325" s="563">
        <f t="shared" si="27"/>
        <v>3270.7362078358265</v>
      </c>
      <c r="Y325" s="563">
        <f t="shared" si="27"/>
        <v>3138.8749229672658</v>
      </c>
      <c r="Z325" s="563">
        <f t="shared" si="27"/>
        <v>215.23802386915906</v>
      </c>
      <c r="AA325" s="563">
        <f t="shared" si="27"/>
        <v>215.23802386915906</v>
      </c>
      <c r="AB325" s="563">
        <f t="shared" si="27"/>
        <v>54.660489338671809</v>
      </c>
      <c r="AC325" s="563">
        <f t="shared" si="27"/>
        <v>54.660489338671809</v>
      </c>
      <c r="AD325" s="563">
        <f t="shared" si="27"/>
        <v>0</v>
      </c>
      <c r="AE325" s="563">
        <f t="shared" si="27"/>
        <v>0</v>
      </c>
      <c r="AF325" s="563">
        <f t="shared" si="27"/>
        <v>0</v>
      </c>
      <c r="AG325" s="563">
        <f t="shared" si="27"/>
        <v>0</v>
      </c>
      <c r="AH325" s="563">
        <f t="shared" si="27"/>
        <v>0</v>
      </c>
      <c r="AI325" s="563">
        <f t="shared" si="27"/>
        <v>0</v>
      </c>
      <c r="AJ325" s="563">
        <f t="shared" si="27"/>
        <v>0</v>
      </c>
      <c r="AK325" s="563">
        <f t="shared" si="27"/>
        <v>0</v>
      </c>
      <c r="AL325" s="563">
        <f t="shared" si="27"/>
        <v>0</v>
      </c>
      <c r="AM325" s="563">
        <f t="shared" si="27"/>
        <v>0</v>
      </c>
      <c r="AN325" s="563">
        <f t="shared" si="27"/>
        <v>0</v>
      </c>
      <c r="AO325" s="563">
        <f t="shared" si="27"/>
        <v>0</v>
      </c>
      <c r="AP325" s="563">
        <f t="shared" si="27"/>
        <v>0</v>
      </c>
      <c r="AQ325" s="563">
        <f t="shared" si="27"/>
        <v>0</v>
      </c>
      <c r="AR325" s="563">
        <f t="shared" si="27"/>
        <v>0</v>
      </c>
      <c r="AS325" s="563">
        <f t="shared" si="27"/>
        <v>0</v>
      </c>
      <c r="AT325" s="563">
        <f t="shared" si="27"/>
        <v>0</v>
      </c>
      <c r="AU325" s="563">
        <f t="shared" si="27"/>
        <v>0</v>
      </c>
      <c r="AV325" s="563">
        <f t="shared" si="27"/>
        <v>0</v>
      </c>
      <c r="AW325" s="563">
        <f t="shared" si="27"/>
        <v>0</v>
      </c>
      <c r="AX325" s="563">
        <f t="shared" si="27"/>
        <v>0</v>
      </c>
      <c r="AY325" s="563">
        <f t="shared" si="27"/>
        <v>0</v>
      </c>
      <c r="AZ325" s="563">
        <f t="shared" si="27"/>
        <v>0</v>
      </c>
    </row>
    <row r="326" spans="1:52" s="469" customFormat="1" ht="5.15" customHeight="1">
      <c r="A326" s="477"/>
      <c r="B326" s="477"/>
      <c r="C326" s="477"/>
      <c r="D326" s="477"/>
      <c r="E326" s="477"/>
      <c r="F326" s="477"/>
      <c r="G326" s="467"/>
      <c r="H326" s="564"/>
      <c r="I326" s="564"/>
      <c r="J326" s="564"/>
      <c r="K326" s="564"/>
      <c r="L326" s="564"/>
      <c r="M326" s="564"/>
      <c r="N326" s="564"/>
      <c r="O326" s="564"/>
      <c r="P326" s="564"/>
      <c r="Q326" s="564"/>
      <c r="R326" s="564"/>
      <c r="S326" s="564"/>
      <c r="T326" s="564"/>
      <c r="U326" s="564"/>
      <c r="V326" s="564"/>
      <c r="W326" s="564"/>
      <c r="X326" s="564"/>
      <c r="Y326" s="564"/>
      <c r="Z326" s="564"/>
      <c r="AA326" s="564"/>
      <c r="AB326" s="564"/>
      <c r="AC326" s="564"/>
      <c r="AD326" s="564"/>
      <c r="AE326" s="564"/>
      <c r="AF326" s="564"/>
      <c r="AG326" s="564"/>
      <c r="AH326" s="564"/>
      <c r="AI326" s="564"/>
      <c r="AJ326" s="564"/>
      <c r="AK326" s="564"/>
      <c r="AL326" s="564"/>
      <c r="AM326" s="564"/>
      <c r="AN326" s="564"/>
      <c r="AO326" s="564"/>
      <c r="AP326" s="564"/>
      <c r="AQ326" s="564"/>
      <c r="AR326" s="564"/>
      <c r="AS326" s="564"/>
      <c r="AT326" s="564"/>
      <c r="AU326" s="564"/>
      <c r="AV326" s="564"/>
      <c r="AW326" s="564"/>
      <c r="AX326" s="564"/>
      <c r="AY326" s="564"/>
      <c r="AZ326" s="564"/>
    </row>
    <row r="327" spans="1:52" s="469" customFormat="1" ht="13">
      <c r="A327" s="529" t="s">
        <v>513</v>
      </c>
      <c r="B327" s="530"/>
      <c r="C327" s="530"/>
      <c r="D327" s="530"/>
      <c r="E327" s="530"/>
      <c r="F327" s="531"/>
      <c r="G327" s="467"/>
      <c r="H327" s="563">
        <f>SUM(H289:H304)</f>
        <v>0</v>
      </c>
      <c r="I327" s="563">
        <f t="shared" ref="I327:AZ327" si="28">SUM(I289:I304)</f>
        <v>0</v>
      </c>
      <c r="J327" s="563">
        <f t="shared" si="28"/>
        <v>0</v>
      </c>
      <c r="K327" s="563">
        <f t="shared" si="28"/>
        <v>3568.6857607892639</v>
      </c>
      <c r="L327" s="563">
        <f t="shared" si="28"/>
        <v>2940.1903796180613</v>
      </c>
      <c r="M327" s="563">
        <f t="shared" si="28"/>
        <v>2940.1903796180613</v>
      </c>
      <c r="N327" s="563">
        <f t="shared" si="28"/>
        <v>2937.9268099677256</v>
      </c>
      <c r="O327" s="563">
        <f t="shared" si="28"/>
        <v>2877.8921426408592</v>
      </c>
      <c r="P327" s="563">
        <f t="shared" si="28"/>
        <v>2694.2240366275628</v>
      </c>
      <c r="Q327" s="563">
        <f t="shared" si="28"/>
        <v>2427.0054409261948</v>
      </c>
      <c r="R327" s="563">
        <f t="shared" si="28"/>
        <v>2300.4109289137059</v>
      </c>
      <c r="S327" s="563">
        <f t="shared" si="28"/>
        <v>1836.3202303970399</v>
      </c>
      <c r="T327" s="563">
        <f t="shared" si="28"/>
        <v>1431.3700501806136</v>
      </c>
      <c r="U327" s="563">
        <f t="shared" si="28"/>
        <v>1211.7010891604014</v>
      </c>
      <c r="V327" s="563">
        <f t="shared" si="28"/>
        <v>688.84929261920797</v>
      </c>
      <c r="W327" s="563">
        <f t="shared" si="28"/>
        <v>639.64595915032271</v>
      </c>
      <c r="X327" s="563">
        <f t="shared" si="28"/>
        <v>639.64595915032271</v>
      </c>
      <c r="Y327" s="563">
        <f t="shared" si="28"/>
        <v>625.30542032594224</v>
      </c>
      <c r="Z327" s="563">
        <f t="shared" si="28"/>
        <v>515.68858686323142</v>
      </c>
      <c r="AA327" s="563">
        <f t="shared" si="28"/>
        <v>477.70543904156153</v>
      </c>
      <c r="AB327" s="563">
        <f t="shared" si="28"/>
        <v>451.59248637079446</v>
      </c>
      <c r="AC327" s="563">
        <f t="shared" si="28"/>
        <v>412.10043447918895</v>
      </c>
      <c r="AD327" s="563">
        <f t="shared" si="28"/>
        <v>120.93058315030223</v>
      </c>
      <c r="AE327" s="563">
        <f t="shared" si="28"/>
        <v>0</v>
      </c>
      <c r="AF327" s="563">
        <f t="shared" si="28"/>
        <v>0</v>
      </c>
      <c r="AG327" s="563">
        <f t="shared" si="28"/>
        <v>0</v>
      </c>
      <c r="AH327" s="563">
        <f t="shared" si="28"/>
        <v>0</v>
      </c>
      <c r="AI327" s="563">
        <f t="shared" si="28"/>
        <v>0</v>
      </c>
      <c r="AJ327" s="563">
        <f t="shared" si="28"/>
        <v>0</v>
      </c>
      <c r="AK327" s="563">
        <f t="shared" si="28"/>
        <v>0</v>
      </c>
      <c r="AL327" s="563">
        <f t="shared" si="28"/>
        <v>0</v>
      </c>
      <c r="AM327" s="563">
        <f t="shared" si="28"/>
        <v>0</v>
      </c>
      <c r="AN327" s="563">
        <f t="shared" si="28"/>
        <v>0</v>
      </c>
      <c r="AO327" s="563">
        <f t="shared" si="28"/>
        <v>0</v>
      </c>
      <c r="AP327" s="563">
        <f t="shared" si="28"/>
        <v>0</v>
      </c>
      <c r="AQ327" s="563">
        <f t="shared" si="28"/>
        <v>0</v>
      </c>
      <c r="AR327" s="563">
        <f t="shared" si="28"/>
        <v>0</v>
      </c>
      <c r="AS327" s="563">
        <f t="shared" si="28"/>
        <v>0</v>
      </c>
      <c r="AT327" s="563">
        <f t="shared" si="28"/>
        <v>0</v>
      </c>
      <c r="AU327" s="563">
        <f t="shared" si="28"/>
        <v>0</v>
      </c>
      <c r="AV327" s="563">
        <f t="shared" si="28"/>
        <v>0</v>
      </c>
      <c r="AW327" s="563">
        <f t="shared" si="28"/>
        <v>0</v>
      </c>
      <c r="AX327" s="563">
        <f t="shared" si="28"/>
        <v>0</v>
      </c>
      <c r="AY327" s="563">
        <f t="shared" si="28"/>
        <v>0</v>
      </c>
      <c r="AZ327" s="563">
        <f t="shared" si="28"/>
        <v>0</v>
      </c>
    </row>
    <row r="328" spans="1:52" s="469" customFormat="1" ht="4.5" customHeight="1">
      <c r="A328" s="477"/>
      <c r="B328" s="477"/>
      <c r="C328" s="477"/>
      <c r="D328" s="477"/>
      <c r="E328" s="477"/>
      <c r="F328" s="477"/>
      <c r="G328" s="467"/>
      <c r="H328" s="564"/>
      <c r="I328" s="564"/>
      <c r="J328" s="564"/>
      <c r="K328" s="564"/>
      <c r="L328" s="564"/>
      <c r="M328" s="564"/>
      <c r="N328" s="564"/>
      <c r="O328" s="564"/>
      <c r="P328" s="564"/>
      <c r="Q328" s="564"/>
      <c r="R328" s="564"/>
      <c r="S328" s="564"/>
      <c r="T328" s="564"/>
      <c r="U328" s="564"/>
      <c r="V328" s="564"/>
      <c r="W328" s="564"/>
      <c r="X328" s="564"/>
      <c r="Y328" s="564"/>
      <c r="Z328" s="564"/>
      <c r="AA328" s="564"/>
      <c r="AB328" s="564"/>
      <c r="AC328" s="564"/>
      <c r="AD328" s="564"/>
      <c r="AE328" s="564"/>
      <c r="AF328" s="564"/>
      <c r="AG328" s="564"/>
      <c r="AH328" s="564"/>
      <c r="AI328" s="564"/>
      <c r="AJ328" s="564"/>
      <c r="AK328" s="564"/>
      <c r="AL328" s="564"/>
      <c r="AM328" s="564"/>
      <c r="AN328" s="564"/>
      <c r="AO328" s="564"/>
      <c r="AP328" s="564"/>
      <c r="AQ328" s="564"/>
      <c r="AR328" s="564"/>
      <c r="AS328" s="564"/>
      <c r="AT328" s="564"/>
      <c r="AU328" s="564"/>
      <c r="AV328" s="564"/>
      <c r="AW328" s="564"/>
      <c r="AX328" s="564"/>
      <c r="AY328" s="564"/>
      <c r="AZ328" s="564"/>
    </row>
    <row r="329" spans="1:52" s="469" customFormat="1" ht="13">
      <c r="A329" s="529" t="s">
        <v>514</v>
      </c>
      <c r="B329" s="530"/>
      <c r="C329" s="530"/>
      <c r="D329" s="530"/>
      <c r="E329" s="530"/>
      <c r="F329" s="531"/>
      <c r="G329" s="467"/>
      <c r="H329" s="563">
        <f>SUM(H307:H319)</f>
        <v>0</v>
      </c>
      <c r="I329" s="563">
        <f t="shared" ref="I329:AZ329" si="29">SUM(I307:I319)</f>
        <v>0</v>
      </c>
      <c r="J329" s="563">
        <f t="shared" si="29"/>
        <v>0</v>
      </c>
      <c r="K329" s="563">
        <f t="shared" si="29"/>
        <v>0</v>
      </c>
      <c r="L329" s="563">
        <f t="shared" si="29"/>
        <v>2934.9508566848349</v>
      </c>
      <c r="M329" s="563">
        <f t="shared" si="29"/>
        <v>1974.5372853446597</v>
      </c>
      <c r="N329" s="563">
        <f t="shared" si="29"/>
        <v>1974.2524204019978</v>
      </c>
      <c r="O329" s="563">
        <f t="shared" si="29"/>
        <v>1971.6346547636581</v>
      </c>
      <c r="P329" s="563">
        <f t="shared" si="29"/>
        <v>1923.3823755163939</v>
      </c>
      <c r="Q329" s="563">
        <f t="shared" si="29"/>
        <v>1694.7245165381059</v>
      </c>
      <c r="R329" s="563">
        <f t="shared" si="29"/>
        <v>1678.9822291381015</v>
      </c>
      <c r="S329" s="563">
        <f t="shared" si="29"/>
        <v>1501.8498182898065</v>
      </c>
      <c r="T329" s="563">
        <f t="shared" si="29"/>
        <v>1129.8713958864591</v>
      </c>
      <c r="U329" s="563">
        <f t="shared" si="29"/>
        <v>639.55753898909006</v>
      </c>
      <c r="V329" s="563">
        <f t="shared" si="29"/>
        <v>503.52525486292848</v>
      </c>
      <c r="W329" s="563">
        <f t="shared" si="29"/>
        <v>503.52525486292848</v>
      </c>
      <c r="X329" s="563">
        <f t="shared" si="29"/>
        <v>497.36134116922335</v>
      </c>
      <c r="Y329" s="563">
        <f t="shared" si="29"/>
        <v>497.36134116922335</v>
      </c>
      <c r="Z329" s="563">
        <f t="shared" si="29"/>
        <v>497.36134116922335</v>
      </c>
      <c r="AA329" s="563">
        <f t="shared" si="29"/>
        <v>478.79849252215809</v>
      </c>
      <c r="AB329" s="563">
        <f t="shared" si="29"/>
        <v>454.47463954852526</v>
      </c>
      <c r="AC329" s="563">
        <f t="shared" si="29"/>
        <v>454.47463954852526</v>
      </c>
      <c r="AD329" s="563">
        <f t="shared" si="29"/>
        <v>447.50206461674736</v>
      </c>
      <c r="AE329" s="563">
        <f t="shared" si="29"/>
        <v>280.55414236586739</v>
      </c>
      <c r="AF329" s="563">
        <f t="shared" si="29"/>
        <v>0</v>
      </c>
      <c r="AG329" s="563">
        <f t="shared" si="29"/>
        <v>0</v>
      </c>
      <c r="AH329" s="563">
        <f t="shared" si="29"/>
        <v>0</v>
      </c>
      <c r="AI329" s="563">
        <f t="shared" si="29"/>
        <v>0</v>
      </c>
      <c r="AJ329" s="563">
        <f t="shared" si="29"/>
        <v>0</v>
      </c>
      <c r="AK329" s="563">
        <f t="shared" si="29"/>
        <v>0</v>
      </c>
      <c r="AL329" s="563">
        <f t="shared" si="29"/>
        <v>0</v>
      </c>
      <c r="AM329" s="563">
        <f t="shared" si="29"/>
        <v>0</v>
      </c>
      <c r="AN329" s="563">
        <f t="shared" si="29"/>
        <v>0</v>
      </c>
      <c r="AO329" s="563">
        <f t="shared" si="29"/>
        <v>0</v>
      </c>
      <c r="AP329" s="563">
        <f t="shared" si="29"/>
        <v>0</v>
      </c>
      <c r="AQ329" s="563">
        <f t="shared" si="29"/>
        <v>0</v>
      </c>
      <c r="AR329" s="563">
        <f t="shared" si="29"/>
        <v>0</v>
      </c>
      <c r="AS329" s="563">
        <f t="shared" si="29"/>
        <v>0</v>
      </c>
      <c r="AT329" s="563">
        <f t="shared" si="29"/>
        <v>0</v>
      </c>
      <c r="AU329" s="563">
        <f t="shared" si="29"/>
        <v>0</v>
      </c>
      <c r="AV329" s="563">
        <f t="shared" si="29"/>
        <v>0</v>
      </c>
      <c r="AW329" s="563">
        <f t="shared" si="29"/>
        <v>0</v>
      </c>
      <c r="AX329" s="563">
        <f t="shared" si="29"/>
        <v>0</v>
      </c>
      <c r="AY329" s="563">
        <f t="shared" si="29"/>
        <v>0</v>
      </c>
      <c r="AZ329" s="563">
        <f t="shared" si="29"/>
        <v>0</v>
      </c>
    </row>
    <row r="330" spans="1:52" s="469" customFormat="1" ht="4.5" customHeight="1">
      <c r="A330" s="477"/>
      <c r="B330" s="477"/>
      <c r="C330" s="477"/>
      <c r="D330" s="477"/>
      <c r="E330" s="477"/>
      <c r="F330" s="477"/>
      <c r="G330" s="467"/>
      <c r="H330" s="564"/>
      <c r="I330" s="564"/>
      <c r="J330" s="564"/>
      <c r="K330" s="564"/>
      <c r="L330" s="564"/>
      <c r="M330" s="564"/>
      <c r="N330" s="564"/>
      <c r="O330" s="564"/>
      <c r="P330" s="564"/>
      <c r="Q330" s="564"/>
      <c r="R330" s="564"/>
      <c r="S330" s="564"/>
      <c r="T330" s="564"/>
      <c r="U330" s="564"/>
      <c r="V330" s="564"/>
      <c r="W330" s="564"/>
      <c r="X330" s="564"/>
      <c r="Y330" s="564"/>
      <c r="Z330" s="564"/>
      <c r="AA330" s="564"/>
      <c r="AB330" s="564"/>
      <c r="AC330" s="564"/>
      <c r="AD330" s="564"/>
      <c r="AE330" s="564"/>
      <c r="AF330" s="564"/>
      <c r="AG330" s="564"/>
      <c r="AH330" s="564"/>
      <c r="AI330" s="564"/>
      <c r="AJ330" s="564"/>
      <c r="AK330" s="564"/>
      <c r="AL330" s="564"/>
      <c r="AM330" s="564"/>
      <c r="AN330" s="564"/>
      <c r="AO330" s="564"/>
      <c r="AP330" s="564"/>
      <c r="AQ330" s="564"/>
      <c r="AR330" s="564"/>
      <c r="AS330" s="564"/>
      <c r="AT330" s="564"/>
      <c r="AU330" s="564"/>
      <c r="AV330" s="564"/>
      <c r="AW330" s="564"/>
      <c r="AX330" s="564"/>
      <c r="AY330" s="564"/>
      <c r="AZ330" s="564"/>
    </row>
    <row r="331" spans="1:52" s="469" customFormat="1" ht="13">
      <c r="A331" s="529" t="s">
        <v>515</v>
      </c>
      <c r="B331" s="535"/>
      <c r="C331" s="535"/>
      <c r="D331" s="535"/>
      <c r="E331" s="535"/>
      <c r="F331" s="536"/>
      <c r="G331" s="467"/>
      <c r="H331" s="563">
        <f>SUM(H255:H319)</f>
        <v>2095.3900987581637</v>
      </c>
      <c r="I331" s="563">
        <f t="shared" ref="I331:AZ331" si="30">SUM(I255:I319)</f>
        <v>6533.1578073750006</v>
      </c>
      <c r="J331" s="563">
        <f t="shared" si="30"/>
        <v>9214.1775959701154</v>
      </c>
      <c r="K331" s="563">
        <f t="shared" si="30"/>
        <v>12270.82077534597</v>
      </c>
      <c r="L331" s="563">
        <f t="shared" si="30"/>
        <v>12854.634644576998</v>
      </c>
      <c r="M331" s="563">
        <f t="shared" si="30"/>
        <v>11893.860814982327</v>
      </c>
      <c r="N331" s="563">
        <f t="shared" si="30"/>
        <v>11540.163769394047</v>
      </c>
      <c r="O331" s="563">
        <f t="shared" si="30"/>
        <v>11476.723336428842</v>
      </c>
      <c r="P331" s="563">
        <f t="shared" si="30"/>
        <v>11019.019701734447</v>
      </c>
      <c r="Q331" s="563">
        <f t="shared" si="30"/>
        <v>9456.1749458931572</v>
      </c>
      <c r="R331" s="563">
        <f t="shared" si="30"/>
        <v>8606.4967677994646</v>
      </c>
      <c r="S331" s="563">
        <f t="shared" si="30"/>
        <v>7651.1459514204726</v>
      </c>
      <c r="T331" s="563">
        <f t="shared" si="30"/>
        <v>6768.9974600999485</v>
      </c>
      <c r="U331" s="563">
        <f t="shared" si="30"/>
        <v>6059.0146421823665</v>
      </c>
      <c r="V331" s="563">
        <f t="shared" si="30"/>
        <v>5352.1011011534065</v>
      </c>
      <c r="W331" s="563">
        <f t="shared" si="30"/>
        <v>5020.2318498452578</v>
      </c>
      <c r="X331" s="563">
        <f t="shared" si="30"/>
        <v>4827.2931603680508</v>
      </c>
      <c r="Y331" s="563">
        <f t="shared" si="30"/>
        <v>4674.9701594162752</v>
      </c>
      <c r="Z331" s="563">
        <f t="shared" si="30"/>
        <v>1534.5553260051188</v>
      </c>
      <c r="AA331" s="563">
        <f t="shared" si="30"/>
        <v>1452.8513391758449</v>
      </c>
      <c r="AB331" s="563">
        <f t="shared" si="30"/>
        <v>1058.1026450724337</v>
      </c>
      <c r="AC331" s="563">
        <f t="shared" si="30"/>
        <v>994.17194518082806</v>
      </c>
      <c r="AD331" s="563">
        <f t="shared" si="30"/>
        <v>641.36902958149176</v>
      </c>
      <c r="AE331" s="563">
        <f t="shared" si="30"/>
        <v>353.49052418030948</v>
      </c>
      <c r="AF331" s="563">
        <f t="shared" si="30"/>
        <v>72.9363818144421</v>
      </c>
      <c r="AG331" s="563">
        <f t="shared" si="30"/>
        <v>11.834705580732592</v>
      </c>
      <c r="AH331" s="563">
        <f t="shared" si="30"/>
        <v>11.834705580732592</v>
      </c>
      <c r="AI331" s="563">
        <f t="shared" si="30"/>
        <v>11.834705580732592</v>
      </c>
      <c r="AJ331" s="563">
        <f t="shared" si="30"/>
        <v>11.834705580732592</v>
      </c>
      <c r="AK331" s="563">
        <f t="shared" si="30"/>
        <v>11.834705580732592</v>
      </c>
      <c r="AL331" s="563">
        <f t="shared" si="30"/>
        <v>0</v>
      </c>
      <c r="AM331" s="563">
        <f t="shared" si="30"/>
        <v>0</v>
      </c>
      <c r="AN331" s="563">
        <f t="shared" si="30"/>
        <v>0</v>
      </c>
      <c r="AO331" s="563">
        <f t="shared" si="30"/>
        <v>0</v>
      </c>
      <c r="AP331" s="563">
        <f t="shared" si="30"/>
        <v>0</v>
      </c>
      <c r="AQ331" s="563">
        <f t="shared" si="30"/>
        <v>0</v>
      </c>
      <c r="AR331" s="563">
        <f t="shared" si="30"/>
        <v>0</v>
      </c>
      <c r="AS331" s="563">
        <f t="shared" si="30"/>
        <v>0</v>
      </c>
      <c r="AT331" s="563">
        <f t="shared" si="30"/>
        <v>0</v>
      </c>
      <c r="AU331" s="563">
        <f t="shared" si="30"/>
        <v>0</v>
      </c>
      <c r="AV331" s="563">
        <f t="shared" si="30"/>
        <v>0</v>
      </c>
      <c r="AW331" s="563">
        <f t="shared" si="30"/>
        <v>0</v>
      </c>
      <c r="AX331" s="563">
        <f t="shared" si="30"/>
        <v>0</v>
      </c>
      <c r="AY331" s="563">
        <f t="shared" si="30"/>
        <v>0</v>
      </c>
      <c r="AZ331" s="563">
        <f t="shared" si="30"/>
        <v>0</v>
      </c>
    </row>
    <row r="332" spans="1:52" s="537" customFormat="1">
      <c r="G332" s="538"/>
      <c r="H332" s="539">
        <v>34</v>
      </c>
      <c r="I332" s="539">
        <f>H332+1</f>
        <v>35</v>
      </c>
      <c r="J332" s="539">
        <f t="shared" ref="J332:AZ332" si="31">I332+1</f>
        <v>36</v>
      </c>
      <c r="K332" s="539">
        <f t="shared" si="31"/>
        <v>37</v>
      </c>
      <c r="L332" s="539">
        <f t="shared" si="31"/>
        <v>38</v>
      </c>
      <c r="M332" s="539">
        <f t="shared" si="31"/>
        <v>39</v>
      </c>
      <c r="N332" s="539">
        <f t="shared" si="31"/>
        <v>40</v>
      </c>
      <c r="O332" s="539">
        <f t="shared" si="31"/>
        <v>41</v>
      </c>
      <c r="P332" s="539">
        <f t="shared" si="31"/>
        <v>42</v>
      </c>
      <c r="Q332" s="539">
        <f t="shared" si="31"/>
        <v>43</v>
      </c>
      <c r="R332" s="539">
        <f t="shared" si="31"/>
        <v>44</v>
      </c>
      <c r="S332" s="539">
        <f t="shared" si="31"/>
        <v>45</v>
      </c>
      <c r="T332" s="539">
        <f t="shared" si="31"/>
        <v>46</v>
      </c>
      <c r="U332" s="539">
        <f t="shared" si="31"/>
        <v>47</v>
      </c>
      <c r="V332" s="539">
        <f t="shared" si="31"/>
        <v>48</v>
      </c>
      <c r="W332" s="539">
        <f t="shared" si="31"/>
        <v>49</v>
      </c>
      <c r="X332" s="539">
        <f t="shared" si="31"/>
        <v>50</v>
      </c>
      <c r="Y332" s="539">
        <f t="shared" si="31"/>
        <v>51</v>
      </c>
      <c r="Z332" s="539">
        <f t="shared" si="31"/>
        <v>52</v>
      </c>
      <c r="AA332" s="539">
        <f t="shared" si="31"/>
        <v>53</v>
      </c>
      <c r="AB332" s="539">
        <f t="shared" si="31"/>
        <v>54</v>
      </c>
      <c r="AC332" s="539">
        <f t="shared" si="31"/>
        <v>55</v>
      </c>
      <c r="AD332" s="539">
        <f t="shared" si="31"/>
        <v>56</v>
      </c>
      <c r="AE332" s="539">
        <f t="shared" si="31"/>
        <v>57</v>
      </c>
      <c r="AF332" s="539">
        <f t="shared" si="31"/>
        <v>58</v>
      </c>
      <c r="AG332" s="539">
        <f t="shared" si="31"/>
        <v>59</v>
      </c>
      <c r="AH332" s="539">
        <f t="shared" si="31"/>
        <v>60</v>
      </c>
      <c r="AI332" s="539">
        <f t="shared" si="31"/>
        <v>61</v>
      </c>
      <c r="AJ332" s="539">
        <f t="shared" si="31"/>
        <v>62</v>
      </c>
      <c r="AK332" s="539">
        <f t="shared" si="31"/>
        <v>63</v>
      </c>
      <c r="AL332" s="539">
        <f t="shared" si="31"/>
        <v>64</v>
      </c>
      <c r="AM332" s="539">
        <f t="shared" si="31"/>
        <v>65</v>
      </c>
      <c r="AN332" s="539">
        <f t="shared" si="31"/>
        <v>66</v>
      </c>
      <c r="AO332" s="539">
        <f t="shared" si="31"/>
        <v>67</v>
      </c>
      <c r="AP332" s="539">
        <f t="shared" si="31"/>
        <v>68</v>
      </c>
      <c r="AQ332" s="539">
        <f t="shared" si="31"/>
        <v>69</v>
      </c>
      <c r="AR332" s="539">
        <f t="shared" si="31"/>
        <v>70</v>
      </c>
      <c r="AS332" s="539">
        <f t="shared" si="31"/>
        <v>71</v>
      </c>
      <c r="AT332" s="539">
        <f t="shared" si="31"/>
        <v>72</v>
      </c>
      <c r="AU332" s="539">
        <f t="shared" si="31"/>
        <v>73</v>
      </c>
      <c r="AV332" s="539">
        <f t="shared" si="31"/>
        <v>74</v>
      </c>
      <c r="AW332" s="539">
        <f t="shared" si="31"/>
        <v>75</v>
      </c>
      <c r="AX332" s="539">
        <f t="shared" si="31"/>
        <v>76</v>
      </c>
      <c r="AY332" s="539">
        <f t="shared" si="31"/>
        <v>77</v>
      </c>
      <c r="AZ332" s="539">
        <f t="shared" si="31"/>
        <v>78</v>
      </c>
    </row>
  </sheetData>
  <pageMargins left="0.5" right="0.5" top="0.5" bottom="0.5" header="0.35" footer="0.35"/>
  <pageSetup paperSize="17" scale="47" fitToHeight="4" orientation="landscape" r:id="rId1"/>
  <headerFooter alignWithMargins="0">
    <oddFooter>&amp;L&amp;D &amp;T&amp;RPage &amp;P of &amp;N</oddFooter>
  </headerFooter>
  <rowBreaks count="3" manualBreakCount="3">
    <brk id="87" max="59" man="1"/>
    <brk id="169" max="59" man="1"/>
    <brk id="251" max="59" man="1"/>
  </rowBreaks>
  <colBreaks count="1" manualBreakCount="1">
    <brk id="37" max="258"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8"/>
  <sheetViews>
    <sheetView showGridLines="0" topLeftCell="A28" zoomScale="80" zoomScaleNormal="80" workbookViewId="0">
      <selection activeCell="P7" sqref="P7"/>
    </sheetView>
  </sheetViews>
  <sheetFormatPr defaultColWidth="9.1796875" defaultRowHeight="14.5"/>
  <cols>
    <col min="1" max="1" width="4.7265625" style="41" customWidth="1"/>
    <col min="2" max="2" width="21.81640625" style="41" customWidth="1"/>
    <col min="3" max="5" width="26.7265625" style="41" customWidth="1"/>
    <col min="6" max="6" width="23.26953125" style="41" customWidth="1"/>
    <col min="7" max="13" width="6.7265625" style="41" customWidth="1"/>
    <col min="14" max="14" width="16.26953125" style="41" customWidth="1"/>
    <col min="15" max="25" width="15.7265625" style="41" customWidth="1"/>
    <col min="26" max="26" width="19.1796875" style="41" customWidth="1"/>
    <col min="27" max="27" width="19.26953125" style="41" customWidth="1"/>
    <col min="28" max="16384" width="9.1796875" style="41"/>
  </cols>
  <sheetData>
    <row r="1" spans="1:27" ht="23.5">
      <c r="A1" s="117" t="s">
        <v>199</v>
      </c>
      <c r="B1" s="117" t="s">
        <v>200</v>
      </c>
    </row>
    <row r="2" spans="1:27" ht="17.5" customHeight="1">
      <c r="A2" s="39"/>
      <c r="B2" s="958"/>
      <c r="C2" s="958"/>
      <c r="D2" s="958"/>
      <c r="E2" s="958"/>
      <c r="F2" s="118"/>
      <c r="G2" s="119"/>
      <c r="H2" s="40"/>
      <c r="I2" s="40"/>
      <c r="J2" s="40"/>
      <c r="K2" s="40"/>
      <c r="L2" s="40"/>
      <c r="M2" s="40"/>
      <c r="N2" s="39"/>
      <c r="O2" s="39"/>
      <c r="P2" s="39"/>
      <c r="Q2" s="39"/>
      <c r="R2" s="39"/>
      <c r="S2" s="39"/>
      <c r="T2" s="39"/>
      <c r="U2" s="39"/>
      <c r="V2" s="39"/>
      <c r="W2" s="39"/>
      <c r="X2" s="39"/>
      <c r="Y2" s="39"/>
      <c r="Z2" s="39"/>
      <c r="AA2" s="39"/>
    </row>
    <row r="3" spans="1:27" ht="21.65" customHeight="1">
      <c r="A3" s="39"/>
      <c r="B3" s="959" t="s">
        <v>201</v>
      </c>
      <c r="C3" s="960"/>
      <c r="D3" s="960"/>
      <c r="E3" s="960"/>
      <c r="F3" s="960"/>
      <c r="G3" s="960"/>
      <c r="H3" s="960"/>
      <c r="I3" s="960"/>
      <c r="J3" s="960"/>
      <c r="K3" s="960"/>
      <c r="L3" s="961"/>
      <c r="M3" s="39"/>
      <c r="N3" s="39"/>
      <c r="O3" s="39"/>
      <c r="P3" s="39"/>
      <c r="Q3" s="39"/>
      <c r="R3" s="39"/>
      <c r="S3" s="39"/>
      <c r="T3" s="39"/>
      <c r="U3" s="39"/>
      <c r="V3" s="39"/>
      <c r="W3" s="39"/>
      <c r="X3" s="39"/>
      <c r="Y3" s="39"/>
      <c r="Z3" s="39"/>
      <c r="AA3" s="39"/>
    </row>
    <row r="4" spans="1:27" ht="27.65" customHeight="1">
      <c r="A4" s="39"/>
      <c r="B4" s="120" t="s">
        <v>202</v>
      </c>
      <c r="C4" s="962" t="s">
        <v>203</v>
      </c>
      <c r="D4" s="963"/>
      <c r="E4" s="963"/>
      <c r="F4" s="963"/>
      <c r="G4" s="963"/>
      <c r="H4" s="963"/>
      <c r="I4" s="963"/>
      <c r="J4" s="963"/>
      <c r="K4" s="963"/>
      <c r="L4" s="964"/>
      <c r="M4" s="965"/>
      <c r="N4" s="966"/>
      <c r="O4" s="966"/>
      <c r="P4" s="966"/>
      <c r="Q4" s="966"/>
      <c r="R4" s="966"/>
      <c r="S4" s="966"/>
      <c r="T4" s="966"/>
      <c r="U4" s="966"/>
      <c r="V4" s="966"/>
      <c r="W4" s="39"/>
      <c r="X4" s="39"/>
      <c r="Y4" s="39"/>
      <c r="Z4" s="39"/>
      <c r="AA4" s="39"/>
    </row>
    <row r="5" spans="1:27" ht="43.9" customHeight="1">
      <c r="A5" s="39"/>
      <c r="B5" s="120" t="s">
        <v>204</v>
      </c>
      <c r="C5" s="963" t="s">
        <v>205</v>
      </c>
      <c r="D5" s="963"/>
      <c r="E5" s="963"/>
      <c r="F5" s="963"/>
      <c r="G5" s="963"/>
      <c r="H5" s="963"/>
      <c r="I5" s="963"/>
      <c r="J5" s="963"/>
      <c r="K5" s="963"/>
      <c r="L5" s="964"/>
      <c r="M5" s="965"/>
      <c r="N5" s="966"/>
      <c r="O5" s="966"/>
      <c r="P5" s="966"/>
      <c r="Q5" s="966"/>
      <c r="R5" s="966"/>
      <c r="S5" s="966"/>
      <c r="T5" s="966"/>
      <c r="U5" s="966"/>
      <c r="V5" s="966"/>
      <c r="W5" s="39"/>
      <c r="X5" s="39"/>
      <c r="Y5" s="39"/>
      <c r="Z5" s="39"/>
      <c r="AA5" s="39"/>
    </row>
    <row r="6" spans="1:27" ht="55.9" customHeight="1">
      <c r="A6" s="39"/>
      <c r="B6" s="121" t="s">
        <v>206</v>
      </c>
      <c r="C6" s="934" t="s">
        <v>207</v>
      </c>
      <c r="D6" s="935"/>
      <c r="E6" s="935"/>
      <c r="F6" s="935"/>
      <c r="G6" s="935"/>
      <c r="H6" s="935"/>
      <c r="I6" s="935"/>
      <c r="J6" s="935"/>
      <c r="K6" s="935"/>
      <c r="L6" s="936"/>
      <c r="M6" s="937"/>
      <c r="N6" s="938"/>
      <c r="O6" s="938"/>
      <c r="P6" s="938"/>
      <c r="Q6" s="938"/>
      <c r="R6" s="938"/>
      <c r="S6" s="938"/>
      <c r="T6" s="938"/>
      <c r="U6" s="938"/>
      <c r="V6" s="938"/>
      <c r="W6" s="39"/>
      <c r="X6" s="39"/>
      <c r="Y6" s="39"/>
      <c r="Z6" s="39"/>
      <c r="AA6" s="39"/>
    </row>
    <row r="7" spans="1:27" ht="41.5" customHeight="1">
      <c r="A7" s="39"/>
      <c r="B7" s="121" t="s">
        <v>208</v>
      </c>
      <c r="C7" s="939" t="s">
        <v>209</v>
      </c>
      <c r="D7" s="940"/>
      <c r="E7" s="940"/>
      <c r="F7" s="940"/>
      <c r="G7" s="940"/>
      <c r="H7" s="940"/>
      <c r="I7" s="940"/>
      <c r="J7" s="940"/>
      <c r="K7" s="940"/>
      <c r="L7" s="941"/>
      <c r="M7" s="122"/>
      <c r="N7" s="123"/>
      <c r="O7" s="123"/>
      <c r="P7" s="123"/>
      <c r="Q7" s="123"/>
      <c r="R7" s="123"/>
      <c r="S7" s="123"/>
      <c r="T7" s="123"/>
      <c r="U7" s="123"/>
      <c r="V7" s="123"/>
      <c r="W7" s="39"/>
      <c r="X7" s="39"/>
      <c r="Y7" s="39"/>
      <c r="Z7" s="39"/>
      <c r="AA7" s="39"/>
    </row>
    <row r="8" spans="1:27">
      <c r="A8" s="39"/>
      <c r="B8" s="39"/>
      <c r="C8" s="39"/>
      <c r="D8" s="39"/>
      <c r="E8" s="39"/>
      <c r="F8" s="39"/>
      <c r="G8" s="124"/>
      <c r="H8" s="39"/>
      <c r="I8" s="39"/>
      <c r="J8" s="39"/>
      <c r="K8" s="39"/>
      <c r="L8" s="39"/>
      <c r="M8" s="39"/>
      <c r="N8" s="39"/>
      <c r="O8" s="39"/>
      <c r="P8" s="39"/>
      <c r="Q8" s="39"/>
      <c r="R8" s="39"/>
      <c r="S8" s="39"/>
      <c r="T8" s="39"/>
      <c r="U8" s="39"/>
      <c r="V8" s="39"/>
      <c r="W8" s="39"/>
      <c r="X8" s="39"/>
      <c r="Y8" s="39"/>
      <c r="Z8" s="39"/>
      <c r="AA8" s="39"/>
    </row>
    <row r="9" spans="1:27" ht="18.5">
      <c r="A9" s="39"/>
      <c r="B9" s="120" t="s">
        <v>210</v>
      </c>
      <c r="C9" s="125" t="str">
        <f>IF('[8]A. General Information'!C13="","",'[8]A. General Information'!C13)</f>
        <v>Kingston Hydro Corporation</v>
      </c>
      <c r="D9" s="126"/>
      <c r="E9" s="39"/>
      <c r="F9" s="39"/>
      <c r="G9" s="124"/>
      <c r="H9" s="39"/>
      <c r="I9" s="39"/>
      <c r="J9" s="39"/>
      <c r="K9" s="39"/>
      <c r="L9" s="39"/>
      <c r="M9" s="39"/>
      <c r="N9" s="39"/>
      <c r="O9" s="39"/>
      <c r="P9" s="39"/>
      <c r="Q9" s="39"/>
      <c r="R9" s="39"/>
      <c r="S9" s="39"/>
      <c r="T9" s="39"/>
      <c r="U9" s="39"/>
      <c r="V9" s="39"/>
      <c r="W9" s="39"/>
      <c r="X9" s="39"/>
      <c r="Y9" s="39"/>
      <c r="Z9" s="39"/>
      <c r="AA9" s="39"/>
    </row>
    <row r="10" spans="1:27">
      <c r="A10" s="39"/>
      <c r="B10" s="39"/>
      <c r="C10" s="39"/>
      <c r="D10" s="39"/>
      <c r="E10" s="39"/>
      <c r="F10" s="39"/>
      <c r="G10" s="39"/>
      <c r="H10" s="39"/>
      <c r="I10" s="39"/>
      <c r="J10" s="39"/>
      <c r="K10" s="39"/>
      <c r="L10" s="39"/>
      <c r="M10" s="39"/>
      <c r="N10" s="39"/>
      <c r="O10" s="39"/>
      <c r="P10" s="39"/>
      <c r="Q10" s="39"/>
      <c r="R10" s="39"/>
      <c r="S10" s="39"/>
      <c r="T10" s="39"/>
      <c r="U10" s="39"/>
      <c r="V10" s="39"/>
      <c r="W10" s="39"/>
      <c r="X10" s="39"/>
      <c r="Y10" s="39"/>
      <c r="Z10" s="39"/>
      <c r="AA10" s="39"/>
    </row>
    <row r="11" spans="1:27" ht="25.15" customHeight="1">
      <c r="A11" s="39"/>
      <c r="B11" s="942" t="s">
        <v>211</v>
      </c>
      <c r="C11" s="943"/>
      <c r="D11" s="943"/>
      <c r="E11" s="943"/>
      <c r="F11" s="943"/>
      <c r="G11" s="943"/>
      <c r="H11" s="943"/>
      <c r="I11" s="943"/>
      <c r="J11" s="943"/>
      <c r="K11" s="943"/>
      <c r="L11" s="943"/>
      <c r="M11" s="943"/>
      <c r="N11" s="943"/>
      <c r="O11" s="943"/>
      <c r="P11" s="943"/>
      <c r="Q11" s="943"/>
      <c r="R11" s="943"/>
      <c r="S11" s="943"/>
      <c r="T11" s="943"/>
      <c r="U11" s="943"/>
      <c r="V11" s="943"/>
      <c r="W11" s="943"/>
      <c r="X11" s="943"/>
      <c r="Y11" s="943"/>
      <c r="Z11" s="943"/>
      <c r="AA11" s="943"/>
    </row>
    <row r="12" spans="1:27" ht="34.15" customHeight="1">
      <c r="A12" s="39"/>
      <c r="B12" s="944" t="s">
        <v>212</v>
      </c>
      <c r="C12" s="947" t="s">
        <v>213</v>
      </c>
      <c r="D12" s="947" t="s">
        <v>214</v>
      </c>
      <c r="E12" s="947" t="s">
        <v>215</v>
      </c>
      <c r="F12" s="947" t="s">
        <v>216</v>
      </c>
      <c r="G12" s="944" t="s">
        <v>217</v>
      </c>
      <c r="H12" s="950"/>
      <c r="I12" s="950"/>
      <c r="J12" s="950"/>
      <c r="K12" s="950"/>
      <c r="L12" s="950"/>
      <c r="M12" s="951"/>
      <c r="N12" s="954" t="s">
        <v>218</v>
      </c>
      <c r="O12" s="955"/>
      <c r="P12" s="955"/>
      <c r="Q12" s="955"/>
      <c r="R12" s="955"/>
      <c r="S12" s="955"/>
      <c r="T12" s="955"/>
      <c r="U12" s="955"/>
      <c r="V12" s="955"/>
      <c r="W12" s="955"/>
      <c r="X12" s="955"/>
      <c r="Y12" s="955"/>
      <c r="Z12" s="955"/>
      <c r="AA12" s="955"/>
    </row>
    <row r="13" spans="1:27" ht="67.900000000000006" customHeight="1">
      <c r="A13" s="39"/>
      <c r="B13" s="945"/>
      <c r="C13" s="948"/>
      <c r="D13" s="948"/>
      <c r="E13" s="948"/>
      <c r="F13" s="948"/>
      <c r="G13" s="946"/>
      <c r="H13" s="952"/>
      <c r="I13" s="952"/>
      <c r="J13" s="952"/>
      <c r="K13" s="952"/>
      <c r="L13" s="952"/>
      <c r="M13" s="953"/>
      <c r="N13" s="923">
        <v>2015</v>
      </c>
      <c r="O13" s="924"/>
      <c r="P13" s="956">
        <v>2016</v>
      </c>
      <c r="Q13" s="956"/>
      <c r="R13" s="923">
        <v>2017</v>
      </c>
      <c r="S13" s="924"/>
      <c r="T13" s="923">
        <v>2018</v>
      </c>
      <c r="U13" s="924"/>
      <c r="V13" s="923">
        <v>2019</v>
      </c>
      <c r="W13" s="924"/>
      <c r="X13" s="923">
        <v>2020</v>
      </c>
      <c r="Y13" s="924"/>
      <c r="Z13" s="927" t="s">
        <v>219</v>
      </c>
      <c r="AA13" s="928"/>
    </row>
    <row r="14" spans="1:27" ht="42" customHeight="1">
      <c r="A14" s="39"/>
      <c r="B14" s="945"/>
      <c r="C14" s="948"/>
      <c r="D14" s="948"/>
      <c r="E14" s="948"/>
      <c r="F14" s="948"/>
      <c r="G14" s="919" t="s">
        <v>17</v>
      </c>
      <c r="H14" s="921" t="s">
        <v>220</v>
      </c>
      <c r="I14" s="919" t="s">
        <v>221</v>
      </c>
      <c r="J14" s="899" t="s">
        <v>222</v>
      </c>
      <c r="K14" s="899" t="s">
        <v>223</v>
      </c>
      <c r="L14" s="899" t="s">
        <v>224</v>
      </c>
      <c r="M14" s="899" t="s">
        <v>27</v>
      </c>
      <c r="N14" s="925"/>
      <c r="O14" s="926"/>
      <c r="P14" s="957"/>
      <c r="Q14" s="957"/>
      <c r="R14" s="925"/>
      <c r="S14" s="926"/>
      <c r="T14" s="925"/>
      <c r="U14" s="926"/>
      <c r="V14" s="925"/>
      <c r="W14" s="926"/>
      <c r="X14" s="925"/>
      <c r="Y14" s="926"/>
      <c r="Z14" s="929"/>
      <c r="AA14" s="930"/>
    </row>
    <row r="15" spans="1:27" ht="78" customHeight="1">
      <c r="A15" s="39"/>
      <c r="B15" s="946"/>
      <c r="C15" s="949"/>
      <c r="D15" s="949"/>
      <c r="E15" s="949"/>
      <c r="F15" s="949"/>
      <c r="G15" s="920"/>
      <c r="H15" s="922"/>
      <c r="I15" s="920"/>
      <c r="J15" s="900"/>
      <c r="K15" s="900"/>
      <c r="L15" s="900"/>
      <c r="M15" s="900"/>
      <c r="N15" s="127" t="s">
        <v>225</v>
      </c>
      <c r="O15" s="127" t="s">
        <v>226</v>
      </c>
      <c r="P15" s="127" t="s">
        <v>225</v>
      </c>
      <c r="Q15" s="127" t="s">
        <v>226</v>
      </c>
      <c r="R15" s="127" t="s">
        <v>225</v>
      </c>
      <c r="S15" s="127" t="s">
        <v>226</v>
      </c>
      <c r="T15" s="127" t="s">
        <v>225</v>
      </c>
      <c r="U15" s="127" t="s">
        <v>226</v>
      </c>
      <c r="V15" s="127" t="s">
        <v>225</v>
      </c>
      <c r="W15" s="127" t="s">
        <v>226</v>
      </c>
      <c r="X15" s="127" t="s">
        <v>225</v>
      </c>
      <c r="Y15" s="127" t="s">
        <v>226</v>
      </c>
      <c r="Z15" s="127" t="s">
        <v>227</v>
      </c>
      <c r="AA15" s="127" t="s">
        <v>228</v>
      </c>
    </row>
    <row r="16" spans="1:27" ht="14.5" customHeight="1">
      <c r="B16" s="901" t="s">
        <v>229</v>
      </c>
      <c r="C16" s="128" t="s">
        <v>12</v>
      </c>
      <c r="D16" s="129"/>
      <c r="E16" s="129"/>
      <c r="F16" s="130" t="s">
        <v>230</v>
      </c>
      <c r="G16" s="131"/>
      <c r="H16" s="131"/>
      <c r="I16" s="131" t="s">
        <v>231</v>
      </c>
      <c r="J16" s="131" t="s">
        <v>231</v>
      </c>
      <c r="K16" s="131"/>
      <c r="L16" s="131" t="s">
        <v>231</v>
      </c>
      <c r="M16" s="131" t="s">
        <v>231</v>
      </c>
      <c r="N16" s="132"/>
      <c r="O16" s="133"/>
      <c r="P16" s="132">
        <v>681199.31441948796</v>
      </c>
      <c r="Q16" s="133">
        <v>2891.5873899999997</v>
      </c>
      <c r="R16" s="132">
        <v>761752.004278737</v>
      </c>
      <c r="S16" s="133">
        <v>3257.1689120000001</v>
      </c>
      <c r="T16" s="132">
        <v>837038.57899408287</v>
      </c>
      <c r="U16" s="133">
        <v>3708.1294339999999</v>
      </c>
      <c r="V16" s="132">
        <v>928349.61615384615</v>
      </c>
      <c r="W16" s="133">
        <v>4159.0899559999989</v>
      </c>
      <c r="X16" s="132">
        <v>1016779.736153846</v>
      </c>
      <c r="Y16" s="133">
        <v>4610.0504780000001</v>
      </c>
      <c r="Z16" s="134">
        <f>IF(SUM(N16,P16,R16,T16,V16,X16)=0,"",SUM(N16,P16,R16,T16,V16,X16))</f>
        <v>4225119.25</v>
      </c>
      <c r="AA16" s="135">
        <f>Q16+S16+U16+W16+Y16</f>
        <v>18626.026170000001</v>
      </c>
    </row>
    <row r="17" spans="2:27" ht="14.5" customHeight="1">
      <c r="B17" s="902"/>
      <c r="C17" s="128" t="s">
        <v>232</v>
      </c>
      <c r="D17" s="129" t="s">
        <v>126</v>
      </c>
      <c r="E17" s="129"/>
      <c r="F17" s="130" t="s">
        <v>230</v>
      </c>
      <c r="G17" s="131" t="s">
        <v>231</v>
      </c>
      <c r="H17" s="131"/>
      <c r="I17" s="131"/>
      <c r="J17" s="131"/>
      <c r="K17" s="131"/>
      <c r="L17" s="131"/>
      <c r="M17" s="131"/>
      <c r="N17" s="132"/>
      <c r="O17" s="133"/>
      <c r="P17" s="132">
        <v>246743.14386143698</v>
      </c>
      <c r="Q17" s="133">
        <v>103.45878061910437</v>
      </c>
      <c r="R17" s="132">
        <v>206833.07070660999</v>
      </c>
      <c r="S17" s="133">
        <v>11.559362689672248</v>
      </c>
      <c r="T17" s="132">
        <v>192375.1708934911</v>
      </c>
      <c r="U17" s="133">
        <v>11.559362689672248</v>
      </c>
      <c r="V17" s="132">
        <v>195544.17976923074</v>
      </c>
      <c r="W17" s="133">
        <v>11.559362689672248</v>
      </c>
      <c r="X17" s="132">
        <v>195544.17976923074</v>
      </c>
      <c r="Y17" s="133">
        <v>11.559362689672248</v>
      </c>
      <c r="Z17" s="134">
        <f t="shared" ref="Z17:Z46" si="0">IF(SUM(N17,P17,R17,T17,V17,X17)=0,"",SUM(N17,P17,R17,T17,V17,X17))</f>
        <v>1037039.7449999996</v>
      </c>
      <c r="AA17" s="135">
        <f t="shared" ref="AA17:AA23" si="1">Q17+S17+U17+W17+Y17</f>
        <v>149.69623137779334</v>
      </c>
    </row>
    <row r="18" spans="2:27">
      <c r="B18" s="902"/>
      <c r="C18" s="128" t="s">
        <v>233</v>
      </c>
      <c r="D18" s="129"/>
      <c r="E18" s="129"/>
      <c r="F18" s="130" t="s">
        <v>230</v>
      </c>
      <c r="G18" s="131" t="s">
        <v>231</v>
      </c>
      <c r="H18" s="131" t="s">
        <v>231</v>
      </c>
      <c r="I18" s="131" t="s">
        <v>231</v>
      </c>
      <c r="J18" s="131"/>
      <c r="K18" s="131"/>
      <c r="L18" s="131"/>
      <c r="M18" s="131"/>
      <c r="N18" s="132"/>
      <c r="O18" s="133"/>
      <c r="P18" s="132">
        <v>72551.597767795261</v>
      </c>
      <c r="Q18" s="133">
        <v>8.6760000000000002</v>
      </c>
      <c r="R18" s="132">
        <v>73617.025711494716</v>
      </c>
      <c r="S18" s="133">
        <v>8.6760000000000002</v>
      </c>
      <c r="T18" s="132">
        <v>68359.607597633134</v>
      </c>
      <c r="U18" s="133">
        <v>8.6760000000000002</v>
      </c>
      <c r="V18" s="132">
        <v>69511.974461538455</v>
      </c>
      <c r="W18" s="133">
        <v>8.6760000000000002</v>
      </c>
      <c r="X18" s="132">
        <v>69511.974461538455</v>
      </c>
      <c r="Y18" s="133">
        <v>8.6760000000000002</v>
      </c>
      <c r="Z18" s="134">
        <f t="shared" si="0"/>
        <v>353552.18000000005</v>
      </c>
      <c r="AA18" s="135">
        <f t="shared" si="1"/>
        <v>43.38</v>
      </c>
    </row>
    <row r="19" spans="2:27">
      <c r="B19" s="902"/>
      <c r="C19" s="128" t="s">
        <v>23</v>
      </c>
      <c r="D19" s="129"/>
      <c r="E19" s="129"/>
      <c r="F19" s="130" t="s">
        <v>230</v>
      </c>
      <c r="G19" s="131"/>
      <c r="H19" s="131" t="s">
        <v>231</v>
      </c>
      <c r="I19" s="131"/>
      <c r="J19" s="131"/>
      <c r="K19" s="131"/>
      <c r="L19" s="131"/>
      <c r="M19" s="131"/>
      <c r="N19" s="132"/>
      <c r="O19" s="133"/>
      <c r="P19" s="132">
        <v>107158.24720974406</v>
      </c>
      <c r="Q19" s="133">
        <v>31.375803333233922</v>
      </c>
      <c r="R19" s="132">
        <v>108490.03213936838</v>
      </c>
      <c r="S19" s="133">
        <v>31.375803333233922</v>
      </c>
      <c r="T19" s="132">
        <v>101918.25949704141</v>
      </c>
      <c r="U19" s="133">
        <v>31.375803333233922</v>
      </c>
      <c r="V19" s="132">
        <v>103358.71807692306</v>
      </c>
      <c r="W19" s="133">
        <v>31.375803333233922</v>
      </c>
      <c r="X19" s="132">
        <v>103358.71807692306</v>
      </c>
      <c r="Y19" s="133">
        <v>31.375803333233922</v>
      </c>
      <c r="Z19" s="134">
        <f t="shared" si="0"/>
        <v>524283.97499999998</v>
      </c>
      <c r="AA19" s="135">
        <f t="shared" si="1"/>
        <v>156.8790166661696</v>
      </c>
    </row>
    <row r="20" spans="2:27">
      <c r="B20" s="902"/>
      <c r="C20" s="128"/>
      <c r="D20" s="129"/>
      <c r="E20" s="129" t="s">
        <v>234</v>
      </c>
      <c r="F20" s="130" t="s">
        <v>230</v>
      </c>
      <c r="G20" s="131"/>
      <c r="H20" s="131"/>
      <c r="I20" s="131" t="s">
        <v>231</v>
      </c>
      <c r="J20" s="131" t="s">
        <v>231</v>
      </c>
      <c r="K20" s="131"/>
      <c r="L20" s="131" t="s">
        <v>231</v>
      </c>
      <c r="M20" s="131"/>
      <c r="N20" s="132"/>
      <c r="O20" s="133"/>
      <c r="P20" s="132">
        <v>224697.16576779526</v>
      </c>
      <c r="Q20" s="133">
        <v>396.21018800000002</v>
      </c>
      <c r="R20" s="132">
        <v>241352.5937114947</v>
      </c>
      <c r="S20" s="133">
        <v>432.22929600000003</v>
      </c>
      <c r="T20" s="132">
        <v>251685.17559763312</v>
      </c>
      <c r="U20" s="133">
        <v>468.24840400000005</v>
      </c>
      <c r="V20" s="132">
        <v>268427.54246153845</v>
      </c>
      <c r="W20" s="133">
        <v>504.26751200000001</v>
      </c>
      <c r="X20" s="132">
        <v>284017.54246153845</v>
      </c>
      <c r="Y20" s="133">
        <v>540.28661999999997</v>
      </c>
      <c r="Z20" s="134">
        <f t="shared" si="0"/>
        <v>1270180.02</v>
      </c>
      <c r="AA20" s="135">
        <f t="shared" si="1"/>
        <v>2341.2420199999997</v>
      </c>
    </row>
    <row r="21" spans="2:27" ht="28">
      <c r="B21" s="902"/>
      <c r="C21" s="128" t="s">
        <v>42</v>
      </c>
      <c r="D21" s="129"/>
      <c r="E21" s="129"/>
      <c r="F21" s="130" t="s">
        <v>230</v>
      </c>
      <c r="G21" s="131"/>
      <c r="H21" s="131"/>
      <c r="I21" s="131"/>
      <c r="J21" s="131" t="s">
        <v>231</v>
      </c>
      <c r="K21" s="131"/>
      <c r="L21" s="131" t="s">
        <v>231</v>
      </c>
      <c r="M21" s="131"/>
      <c r="N21" s="132"/>
      <c r="O21" s="133"/>
      <c r="P21" s="132">
        <v>50737.791441948815</v>
      </c>
      <c r="Q21" s="133">
        <v>113.99992920000001</v>
      </c>
      <c r="R21" s="132">
        <v>51004.148427873675</v>
      </c>
      <c r="S21" s="133">
        <v>113.99992920000001</v>
      </c>
      <c r="T21" s="132">
        <v>49689.79389940828</v>
      </c>
      <c r="U21" s="133">
        <v>113.99992920000001</v>
      </c>
      <c r="V21" s="132">
        <v>49977.885615384614</v>
      </c>
      <c r="W21" s="133">
        <v>113.99992920000001</v>
      </c>
      <c r="X21" s="132">
        <v>49977.885615384614</v>
      </c>
      <c r="Y21" s="133">
        <v>113.99992920000001</v>
      </c>
      <c r="Z21" s="134">
        <f t="shared" si="0"/>
        <v>251387.505</v>
      </c>
      <c r="AA21" s="135">
        <f t="shared" si="1"/>
        <v>569.9996460000001</v>
      </c>
    </row>
    <row r="22" spans="2:27">
      <c r="B22" s="902"/>
      <c r="C22" s="128" t="s">
        <v>235</v>
      </c>
      <c r="D22" s="129"/>
      <c r="E22" s="129"/>
      <c r="F22" s="130" t="s">
        <v>230</v>
      </c>
      <c r="G22" s="131"/>
      <c r="H22" s="131"/>
      <c r="I22" s="131" t="s">
        <v>231</v>
      </c>
      <c r="J22" s="131" t="s">
        <v>231</v>
      </c>
      <c r="K22" s="131"/>
      <c r="L22" s="131" t="s">
        <v>231</v>
      </c>
      <c r="M22" s="131"/>
      <c r="N22" s="132"/>
      <c r="O22" s="133"/>
      <c r="P22" s="132">
        <v>23956.331441948816</v>
      </c>
      <c r="Q22" s="133"/>
      <c r="R22" s="132">
        <v>24222.68842787368</v>
      </c>
      <c r="S22" s="133">
        <v>151.69999999999999</v>
      </c>
      <c r="T22" s="132">
        <v>22908.333899408284</v>
      </c>
      <c r="U22" s="133">
        <v>151.70705999999998</v>
      </c>
      <c r="V22" s="132">
        <v>23196.425615384618</v>
      </c>
      <c r="W22" s="133">
        <v>151.70705999999998</v>
      </c>
      <c r="X22" s="132">
        <v>23196.425615384618</v>
      </c>
      <c r="Y22" s="133">
        <v>151.70705999999998</v>
      </c>
      <c r="Z22" s="134">
        <f t="shared" si="0"/>
        <v>117480.20500000003</v>
      </c>
      <c r="AA22" s="135">
        <f t="shared" si="1"/>
        <v>606.82117999999991</v>
      </c>
    </row>
    <row r="23" spans="2:27" ht="28">
      <c r="B23" s="902"/>
      <c r="C23" s="128" t="s">
        <v>236</v>
      </c>
      <c r="D23" s="129"/>
      <c r="E23" s="129"/>
      <c r="F23" s="130" t="s">
        <v>230</v>
      </c>
      <c r="G23" s="131"/>
      <c r="H23" s="131"/>
      <c r="I23" s="131"/>
      <c r="J23" s="131" t="s">
        <v>231</v>
      </c>
      <c r="K23" s="131"/>
      <c r="L23" s="131" t="s">
        <v>231</v>
      </c>
      <c r="M23" s="131" t="s">
        <v>231</v>
      </c>
      <c r="N23" s="132"/>
      <c r="O23" s="133"/>
      <c r="P23" s="132">
        <v>309207.16576779529</v>
      </c>
      <c r="Q23" s="133">
        <v>7920.4600000000009</v>
      </c>
      <c r="R23" s="132">
        <v>294272.5937114947</v>
      </c>
      <c r="S23" s="133">
        <v>3028</v>
      </c>
      <c r="T23" s="132">
        <v>89015.175597633133</v>
      </c>
      <c r="U23" s="133">
        <v>400</v>
      </c>
      <c r="V23" s="132">
        <v>80167.542461538469</v>
      </c>
      <c r="W23" s="133">
        <v>300</v>
      </c>
      <c r="X23" s="132">
        <v>80167.542461538469</v>
      </c>
      <c r="Y23" s="133">
        <v>300</v>
      </c>
      <c r="Z23" s="134">
        <f t="shared" si="0"/>
        <v>852830.02</v>
      </c>
      <c r="AA23" s="135">
        <f t="shared" si="1"/>
        <v>11948.460000000001</v>
      </c>
    </row>
    <row r="24" spans="2:27">
      <c r="B24" s="902"/>
      <c r="C24" s="128"/>
      <c r="D24" s="129"/>
      <c r="E24" s="129"/>
      <c r="F24" s="130"/>
      <c r="G24" s="131"/>
      <c r="H24" s="131"/>
      <c r="I24" s="131"/>
      <c r="J24" s="131"/>
      <c r="K24" s="131"/>
      <c r="L24" s="131"/>
      <c r="M24" s="131"/>
      <c r="N24" s="132"/>
      <c r="O24" s="133"/>
      <c r="P24" s="132"/>
      <c r="Q24" s="133"/>
      <c r="R24" s="132"/>
      <c r="S24" s="133"/>
      <c r="T24" s="132"/>
      <c r="U24" s="133"/>
      <c r="V24" s="132"/>
      <c r="W24" s="133"/>
      <c r="X24" s="132"/>
      <c r="Y24" s="133"/>
      <c r="Z24" s="134" t="str">
        <f t="shared" si="0"/>
        <v/>
      </c>
      <c r="AA24" s="135"/>
    </row>
    <row r="25" spans="2:27">
      <c r="B25" s="902"/>
      <c r="C25" s="128"/>
      <c r="D25" s="129"/>
      <c r="E25" s="129"/>
      <c r="F25" s="130"/>
      <c r="G25" s="131"/>
      <c r="H25" s="131"/>
      <c r="I25" s="131"/>
      <c r="J25" s="131"/>
      <c r="K25" s="131"/>
      <c r="L25" s="131"/>
      <c r="M25" s="131"/>
      <c r="N25" s="132"/>
      <c r="O25" s="136"/>
      <c r="P25" s="132"/>
      <c r="Q25" s="136"/>
      <c r="R25" s="132"/>
      <c r="S25" s="136"/>
      <c r="T25" s="132"/>
      <c r="U25" s="136"/>
      <c r="V25" s="132"/>
      <c r="W25" s="136"/>
      <c r="X25" s="132"/>
      <c r="Y25" s="136"/>
      <c r="Z25" s="134" t="str">
        <f t="shared" si="0"/>
        <v/>
      </c>
      <c r="AA25" s="135"/>
    </row>
    <row r="26" spans="2:27">
      <c r="B26" s="902"/>
      <c r="C26" s="128"/>
      <c r="D26" s="129"/>
      <c r="E26" s="129"/>
      <c r="F26" s="137"/>
      <c r="G26" s="131"/>
      <c r="H26" s="131"/>
      <c r="I26" s="131"/>
      <c r="J26" s="131"/>
      <c r="K26" s="131"/>
      <c r="L26" s="131"/>
      <c r="M26" s="131"/>
      <c r="N26" s="132"/>
      <c r="O26" s="133"/>
      <c r="P26" s="132"/>
      <c r="Q26" s="133"/>
      <c r="R26" s="132"/>
      <c r="S26" s="133"/>
      <c r="T26" s="132"/>
      <c r="U26" s="133"/>
      <c r="V26" s="132"/>
      <c r="W26" s="133"/>
      <c r="X26" s="132"/>
      <c r="Y26" s="133"/>
      <c r="Z26" s="134" t="str">
        <f t="shared" si="0"/>
        <v/>
      </c>
      <c r="AA26" s="138"/>
    </row>
    <row r="27" spans="2:27">
      <c r="B27" s="902"/>
      <c r="C27" s="128"/>
      <c r="D27" s="129"/>
      <c r="E27" s="129"/>
      <c r="F27" s="137"/>
      <c r="G27" s="131"/>
      <c r="H27" s="131"/>
      <c r="I27" s="131"/>
      <c r="J27" s="131"/>
      <c r="K27" s="131"/>
      <c r="L27" s="131"/>
      <c r="M27" s="131"/>
      <c r="N27" s="132"/>
      <c r="O27" s="133"/>
      <c r="P27" s="132"/>
      <c r="Q27" s="133"/>
      <c r="R27" s="132"/>
      <c r="S27" s="133"/>
      <c r="T27" s="132"/>
      <c r="U27" s="133"/>
      <c r="V27" s="132"/>
      <c r="W27" s="133"/>
      <c r="X27" s="132"/>
      <c r="Y27" s="133"/>
      <c r="Z27" s="134" t="str">
        <f t="shared" si="0"/>
        <v/>
      </c>
      <c r="AA27" s="138"/>
    </row>
    <row r="28" spans="2:27">
      <c r="B28" s="902"/>
      <c r="C28" s="128"/>
      <c r="D28" s="129"/>
      <c r="E28" s="129"/>
      <c r="F28" s="137"/>
      <c r="G28" s="131"/>
      <c r="H28" s="131"/>
      <c r="I28" s="131"/>
      <c r="J28" s="131"/>
      <c r="K28" s="131"/>
      <c r="L28" s="131"/>
      <c r="M28" s="131"/>
      <c r="N28" s="132"/>
      <c r="O28" s="133"/>
      <c r="P28" s="132"/>
      <c r="Q28" s="133"/>
      <c r="R28" s="132"/>
      <c r="S28" s="133"/>
      <c r="T28" s="132"/>
      <c r="U28" s="133"/>
      <c r="V28" s="132"/>
      <c r="W28" s="133"/>
      <c r="X28" s="132"/>
      <c r="Y28" s="133"/>
      <c r="Z28" s="134" t="str">
        <f t="shared" si="0"/>
        <v/>
      </c>
      <c r="AA28" s="138"/>
    </row>
    <row r="29" spans="2:27">
      <c r="B29" s="902"/>
      <c r="C29" s="128"/>
      <c r="D29" s="129"/>
      <c r="E29" s="129"/>
      <c r="F29" s="137"/>
      <c r="G29" s="131"/>
      <c r="H29" s="131"/>
      <c r="I29" s="131"/>
      <c r="J29" s="131"/>
      <c r="K29" s="131"/>
      <c r="L29" s="131"/>
      <c r="M29" s="131"/>
      <c r="N29" s="132"/>
      <c r="O29" s="133"/>
      <c r="P29" s="132"/>
      <c r="Q29" s="133"/>
      <c r="R29" s="132"/>
      <c r="S29" s="133"/>
      <c r="T29" s="132"/>
      <c r="U29" s="133"/>
      <c r="V29" s="132"/>
      <c r="W29" s="133"/>
      <c r="X29" s="132"/>
      <c r="Y29" s="133"/>
      <c r="Z29" s="134" t="str">
        <f t="shared" si="0"/>
        <v/>
      </c>
      <c r="AA29" s="138"/>
    </row>
    <row r="30" spans="2:27">
      <c r="B30" s="902"/>
      <c r="C30" s="128"/>
      <c r="D30" s="129"/>
      <c r="E30" s="129"/>
      <c r="F30" s="137"/>
      <c r="G30" s="131"/>
      <c r="H30" s="131"/>
      <c r="I30" s="131"/>
      <c r="J30" s="131"/>
      <c r="K30" s="131"/>
      <c r="L30" s="131"/>
      <c r="M30" s="131"/>
      <c r="N30" s="132"/>
      <c r="O30" s="133"/>
      <c r="P30" s="132"/>
      <c r="Q30" s="133"/>
      <c r="R30" s="132"/>
      <c r="S30" s="133"/>
      <c r="T30" s="132"/>
      <c r="U30" s="133"/>
      <c r="V30" s="132"/>
      <c r="W30" s="133"/>
      <c r="X30" s="132"/>
      <c r="Y30" s="133"/>
      <c r="Z30" s="134" t="str">
        <f t="shared" si="0"/>
        <v/>
      </c>
      <c r="AA30" s="138"/>
    </row>
    <row r="31" spans="2:27">
      <c r="B31" s="902"/>
      <c r="C31" s="128"/>
      <c r="D31" s="129"/>
      <c r="E31" s="129"/>
      <c r="F31" s="137"/>
      <c r="G31" s="131"/>
      <c r="H31" s="131"/>
      <c r="I31" s="131"/>
      <c r="J31" s="131"/>
      <c r="K31" s="131"/>
      <c r="L31" s="131"/>
      <c r="M31" s="131"/>
      <c r="N31" s="132"/>
      <c r="O31" s="133"/>
      <c r="P31" s="132"/>
      <c r="Q31" s="133"/>
      <c r="R31" s="132"/>
      <c r="S31" s="133"/>
      <c r="T31" s="132"/>
      <c r="U31" s="133"/>
      <c r="V31" s="132"/>
      <c r="W31" s="133"/>
      <c r="X31" s="132"/>
      <c r="Y31" s="133"/>
      <c r="Z31" s="134" t="str">
        <f t="shared" si="0"/>
        <v/>
      </c>
      <c r="AA31" s="138"/>
    </row>
    <row r="32" spans="2:27">
      <c r="B32" s="902"/>
      <c r="C32" s="128"/>
      <c r="D32" s="129"/>
      <c r="E32" s="129"/>
      <c r="F32" s="137"/>
      <c r="G32" s="131"/>
      <c r="H32" s="131"/>
      <c r="I32" s="131"/>
      <c r="J32" s="131"/>
      <c r="K32" s="131"/>
      <c r="L32" s="131"/>
      <c r="M32" s="131"/>
      <c r="N32" s="132"/>
      <c r="O32" s="133"/>
      <c r="P32" s="132"/>
      <c r="Q32" s="133"/>
      <c r="R32" s="132"/>
      <c r="S32" s="133"/>
      <c r="T32" s="132"/>
      <c r="U32" s="133"/>
      <c r="V32" s="132"/>
      <c r="W32" s="133"/>
      <c r="X32" s="132"/>
      <c r="Y32" s="133"/>
      <c r="Z32" s="134" t="str">
        <f t="shared" si="0"/>
        <v/>
      </c>
      <c r="AA32" s="138"/>
    </row>
    <row r="33" spans="2:27">
      <c r="B33" s="902"/>
      <c r="C33" s="128"/>
      <c r="D33" s="129"/>
      <c r="E33" s="129"/>
      <c r="F33" s="137"/>
      <c r="G33" s="131"/>
      <c r="H33" s="131"/>
      <c r="I33" s="131"/>
      <c r="J33" s="131"/>
      <c r="K33" s="131"/>
      <c r="L33" s="131"/>
      <c r="M33" s="131"/>
      <c r="N33" s="132"/>
      <c r="O33" s="133"/>
      <c r="P33" s="132"/>
      <c r="Q33" s="133"/>
      <c r="R33" s="132"/>
      <c r="S33" s="133"/>
      <c r="T33" s="132"/>
      <c r="U33" s="133"/>
      <c r="V33" s="132"/>
      <c r="W33" s="133"/>
      <c r="X33" s="132"/>
      <c r="Y33" s="133"/>
      <c r="Z33" s="134" t="str">
        <f t="shared" si="0"/>
        <v/>
      </c>
      <c r="AA33" s="138"/>
    </row>
    <row r="34" spans="2:27">
      <c r="B34" s="902"/>
      <c r="C34" s="128"/>
      <c r="D34" s="129"/>
      <c r="E34" s="129"/>
      <c r="F34" s="137"/>
      <c r="G34" s="131"/>
      <c r="H34" s="131"/>
      <c r="I34" s="131"/>
      <c r="J34" s="131"/>
      <c r="K34" s="131"/>
      <c r="L34" s="131"/>
      <c r="M34" s="131"/>
      <c r="N34" s="132"/>
      <c r="O34" s="133"/>
      <c r="P34" s="132"/>
      <c r="Q34" s="133"/>
      <c r="R34" s="132"/>
      <c r="S34" s="133"/>
      <c r="T34" s="132"/>
      <c r="U34" s="133"/>
      <c r="V34" s="132"/>
      <c r="W34" s="133"/>
      <c r="X34" s="132"/>
      <c r="Y34" s="133"/>
      <c r="Z34" s="134" t="str">
        <f t="shared" si="0"/>
        <v/>
      </c>
      <c r="AA34" s="138"/>
    </row>
    <row r="35" spans="2:27">
      <c r="B35" s="902"/>
      <c r="C35" s="128"/>
      <c r="D35" s="129"/>
      <c r="E35" s="129"/>
      <c r="F35" s="137"/>
      <c r="G35" s="131"/>
      <c r="H35" s="131"/>
      <c r="I35" s="131"/>
      <c r="J35" s="131"/>
      <c r="K35" s="131"/>
      <c r="L35" s="131"/>
      <c r="M35" s="131"/>
      <c r="N35" s="132"/>
      <c r="O35" s="133"/>
      <c r="P35" s="132"/>
      <c r="Q35" s="133"/>
      <c r="R35" s="132"/>
      <c r="S35" s="133"/>
      <c r="T35" s="132"/>
      <c r="U35" s="133"/>
      <c r="V35" s="132"/>
      <c r="W35" s="133"/>
      <c r="X35" s="132"/>
      <c r="Y35" s="133"/>
      <c r="Z35" s="134" t="str">
        <f t="shared" si="0"/>
        <v/>
      </c>
      <c r="AA35" s="138"/>
    </row>
    <row r="36" spans="2:27">
      <c r="B36" s="902"/>
      <c r="C36" s="128"/>
      <c r="D36" s="129"/>
      <c r="E36" s="129"/>
      <c r="F36" s="137"/>
      <c r="G36" s="131"/>
      <c r="H36" s="131"/>
      <c r="I36" s="131"/>
      <c r="J36" s="131"/>
      <c r="K36" s="131"/>
      <c r="L36" s="131"/>
      <c r="M36" s="131"/>
      <c r="N36" s="132"/>
      <c r="O36" s="133"/>
      <c r="P36" s="132"/>
      <c r="Q36" s="133"/>
      <c r="R36" s="132"/>
      <c r="S36" s="133"/>
      <c r="T36" s="132"/>
      <c r="U36" s="133"/>
      <c r="V36" s="132"/>
      <c r="W36" s="133"/>
      <c r="X36" s="132"/>
      <c r="Y36" s="133"/>
      <c r="Z36" s="134" t="str">
        <f t="shared" si="0"/>
        <v/>
      </c>
      <c r="AA36" s="138"/>
    </row>
    <row r="37" spans="2:27">
      <c r="B37" s="902"/>
      <c r="C37" s="128"/>
      <c r="D37" s="129"/>
      <c r="E37" s="129"/>
      <c r="F37" s="137"/>
      <c r="G37" s="131"/>
      <c r="H37" s="131"/>
      <c r="I37" s="131"/>
      <c r="J37" s="131"/>
      <c r="K37" s="131"/>
      <c r="L37" s="131"/>
      <c r="M37" s="131"/>
      <c r="N37" s="132"/>
      <c r="O37" s="133"/>
      <c r="P37" s="132"/>
      <c r="Q37" s="133"/>
      <c r="R37" s="132"/>
      <c r="S37" s="133"/>
      <c r="T37" s="132"/>
      <c r="U37" s="133"/>
      <c r="V37" s="132"/>
      <c r="W37" s="133"/>
      <c r="X37" s="132"/>
      <c r="Y37" s="133"/>
      <c r="Z37" s="134" t="str">
        <f t="shared" si="0"/>
        <v/>
      </c>
      <c r="AA37" s="138"/>
    </row>
    <row r="38" spans="2:27">
      <c r="B38" s="902"/>
      <c r="C38" s="128"/>
      <c r="D38" s="129"/>
      <c r="E38" s="129"/>
      <c r="F38" s="137"/>
      <c r="G38" s="131"/>
      <c r="H38" s="131"/>
      <c r="I38" s="131"/>
      <c r="J38" s="131"/>
      <c r="K38" s="131"/>
      <c r="L38" s="131"/>
      <c r="M38" s="131"/>
      <c r="N38" s="132"/>
      <c r="O38" s="133"/>
      <c r="P38" s="132"/>
      <c r="Q38" s="133"/>
      <c r="R38" s="132"/>
      <c r="S38" s="133"/>
      <c r="T38" s="132"/>
      <c r="U38" s="133"/>
      <c r="V38" s="132"/>
      <c r="W38" s="133"/>
      <c r="X38" s="132"/>
      <c r="Y38" s="133"/>
      <c r="Z38" s="134" t="str">
        <f t="shared" si="0"/>
        <v/>
      </c>
      <c r="AA38" s="138"/>
    </row>
    <row r="39" spans="2:27">
      <c r="B39" s="902"/>
      <c r="C39" s="128"/>
      <c r="D39" s="129"/>
      <c r="E39" s="129"/>
      <c r="F39" s="137"/>
      <c r="G39" s="131"/>
      <c r="H39" s="131"/>
      <c r="I39" s="131"/>
      <c r="J39" s="131"/>
      <c r="K39" s="131"/>
      <c r="L39" s="131"/>
      <c r="M39" s="131"/>
      <c r="N39" s="132"/>
      <c r="O39" s="133"/>
      <c r="P39" s="132"/>
      <c r="Q39" s="133"/>
      <c r="R39" s="132"/>
      <c r="S39" s="133"/>
      <c r="T39" s="132"/>
      <c r="U39" s="133"/>
      <c r="V39" s="132"/>
      <c r="W39" s="133"/>
      <c r="X39" s="132"/>
      <c r="Y39" s="133"/>
      <c r="Z39" s="134" t="str">
        <f t="shared" si="0"/>
        <v/>
      </c>
      <c r="AA39" s="138"/>
    </row>
    <row r="40" spans="2:27">
      <c r="B40" s="902"/>
      <c r="C40" s="128"/>
      <c r="D40" s="129"/>
      <c r="E40" s="129"/>
      <c r="F40" s="137"/>
      <c r="G40" s="131"/>
      <c r="H40" s="131"/>
      <c r="I40" s="131"/>
      <c r="J40" s="131"/>
      <c r="K40" s="131"/>
      <c r="L40" s="131"/>
      <c r="M40" s="131"/>
      <c r="N40" s="132"/>
      <c r="O40" s="133"/>
      <c r="P40" s="132"/>
      <c r="Q40" s="133"/>
      <c r="R40" s="132"/>
      <c r="S40" s="133"/>
      <c r="T40" s="132"/>
      <c r="U40" s="133"/>
      <c r="V40" s="132"/>
      <c r="W40" s="133"/>
      <c r="X40" s="132"/>
      <c r="Y40" s="133"/>
      <c r="Z40" s="134" t="str">
        <f t="shared" si="0"/>
        <v/>
      </c>
      <c r="AA40" s="138"/>
    </row>
    <row r="41" spans="2:27">
      <c r="B41" s="902"/>
      <c r="C41" s="128"/>
      <c r="D41" s="129"/>
      <c r="E41" s="129"/>
      <c r="F41" s="137"/>
      <c r="G41" s="131"/>
      <c r="H41" s="131"/>
      <c r="I41" s="131"/>
      <c r="J41" s="131"/>
      <c r="K41" s="131"/>
      <c r="L41" s="131"/>
      <c r="M41" s="131"/>
      <c r="N41" s="132"/>
      <c r="O41" s="133"/>
      <c r="P41" s="132"/>
      <c r="Q41" s="133"/>
      <c r="R41" s="132"/>
      <c r="S41" s="133"/>
      <c r="T41" s="132"/>
      <c r="U41" s="133"/>
      <c r="V41" s="132"/>
      <c r="W41" s="133"/>
      <c r="X41" s="132"/>
      <c r="Y41" s="133"/>
      <c r="Z41" s="134" t="str">
        <f t="shared" si="0"/>
        <v/>
      </c>
      <c r="AA41" s="138"/>
    </row>
    <row r="42" spans="2:27">
      <c r="B42" s="902"/>
      <c r="C42" s="128"/>
      <c r="D42" s="129"/>
      <c r="E42" s="129"/>
      <c r="F42" s="137"/>
      <c r="G42" s="131"/>
      <c r="H42" s="131"/>
      <c r="I42" s="131"/>
      <c r="J42" s="131"/>
      <c r="K42" s="131"/>
      <c r="L42" s="131"/>
      <c r="M42" s="131"/>
      <c r="N42" s="132"/>
      <c r="O42" s="133"/>
      <c r="P42" s="132"/>
      <c r="Q42" s="133"/>
      <c r="R42" s="132"/>
      <c r="S42" s="133"/>
      <c r="T42" s="132"/>
      <c r="U42" s="133"/>
      <c r="V42" s="132"/>
      <c r="W42" s="133"/>
      <c r="X42" s="132"/>
      <c r="Y42" s="133"/>
      <c r="Z42" s="134" t="str">
        <f t="shared" si="0"/>
        <v/>
      </c>
      <c r="AA42" s="138"/>
    </row>
    <row r="43" spans="2:27">
      <c r="B43" s="902"/>
      <c r="C43" s="128"/>
      <c r="D43" s="129"/>
      <c r="E43" s="129"/>
      <c r="F43" s="137"/>
      <c r="G43" s="131"/>
      <c r="H43" s="131"/>
      <c r="I43" s="131"/>
      <c r="J43" s="131"/>
      <c r="K43" s="131"/>
      <c r="L43" s="131"/>
      <c r="M43" s="131"/>
      <c r="N43" s="132"/>
      <c r="O43" s="133"/>
      <c r="P43" s="132"/>
      <c r="Q43" s="133"/>
      <c r="R43" s="132"/>
      <c r="S43" s="133"/>
      <c r="T43" s="132"/>
      <c r="U43" s="133"/>
      <c r="V43" s="132"/>
      <c r="W43" s="133"/>
      <c r="X43" s="132"/>
      <c r="Y43" s="133"/>
      <c r="Z43" s="134" t="str">
        <f t="shared" si="0"/>
        <v/>
      </c>
      <c r="AA43" s="138"/>
    </row>
    <row r="44" spans="2:27">
      <c r="B44" s="902"/>
      <c r="C44" s="128"/>
      <c r="D44" s="129"/>
      <c r="E44" s="129"/>
      <c r="F44" s="137"/>
      <c r="G44" s="131"/>
      <c r="H44" s="131"/>
      <c r="I44" s="131"/>
      <c r="J44" s="131"/>
      <c r="K44" s="131"/>
      <c r="L44" s="131"/>
      <c r="M44" s="131"/>
      <c r="N44" s="132"/>
      <c r="O44" s="133"/>
      <c r="P44" s="132"/>
      <c r="Q44" s="133"/>
      <c r="R44" s="132"/>
      <c r="S44" s="133"/>
      <c r="T44" s="132"/>
      <c r="U44" s="133"/>
      <c r="V44" s="132"/>
      <c r="W44" s="133"/>
      <c r="X44" s="132"/>
      <c r="Y44" s="133"/>
      <c r="Z44" s="134" t="str">
        <f t="shared" si="0"/>
        <v/>
      </c>
      <c r="AA44" s="138"/>
    </row>
    <row r="45" spans="2:27">
      <c r="B45" s="902"/>
      <c r="C45" s="128"/>
      <c r="D45" s="129"/>
      <c r="E45" s="129"/>
      <c r="F45" s="137"/>
      <c r="G45" s="131"/>
      <c r="H45" s="131"/>
      <c r="I45" s="131"/>
      <c r="J45" s="131"/>
      <c r="K45" s="131"/>
      <c r="L45" s="131"/>
      <c r="M45" s="131"/>
      <c r="N45" s="132"/>
      <c r="O45" s="133"/>
      <c r="P45" s="132"/>
      <c r="Q45" s="133"/>
      <c r="R45" s="132"/>
      <c r="S45" s="133"/>
      <c r="T45" s="132"/>
      <c r="U45" s="133"/>
      <c r="V45" s="132"/>
      <c r="W45" s="133"/>
      <c r="X45" s="132"/>
      <c r="Y45" s="133"/>
      <c r="Z45" s="134" t="str">
        <f t="shared" si="0"/>
        <v/>
      </c>
      <c r="AA45" s="138"/>
    </row>
    <row r="46" spans="2:27">
      <c r="B46" s="903"/>
      <c r="C46" s="128"/>
      <c r="D46" s="129"/>
      <c r="E46" s="129"/>
      <c r="F46" s="137"/>
      <c r="G46" s="131"/>
      <c r="H46" s="131"/>
      <c r="I46" s="131"/>
      <c r="J46" s="131"/>
      <c r="K46" s="131"/>
      <c r="L46" s="131"/>
      <c r="M46" s="131"/>
      <c r="N46" s="132"/>
      <c r="O46" s="133"/>
      <c r="P46" s="132"/>
      <c r="Q46" s="133"/>
      <c r="R46" s="132"/>
      <c r="S46" s="133"/>
      <c r="T46" s="132"/>
      <c r="U46" s="133"/>
      <c r="V46" s="132"/>
      <c r="W46" s="133"/>
      <c r="X46" s="132"/>
      <c r="Y46" s="133"/>
      <c r="Z46" s="134" t="str">
        <f t="shared" si="0"/>
        <v/>
      </c>
      <c r="AA46" s="138"/>
    </row>
    <row r="47" spans="2:27" ht="22.9" customHeight="1">
      <c r="B47" s="139" t="s">
        <v>237</v>
      </c>
      <c r="C47" s="140"/>
      <c r="D47" s="140"/>
      <c r="E47" s="140"/>
      <c r="F47" s="140"/>
      <c r="G47" s="140"/>
      <c r="H47" s="140"/>
      <c r="I47" s="140"/>
      <c r="J47" s="140"/>
      <c r="K47" s="140"/>
      <c r="L47" s="140"/>
      <c r="M47" s="141"/>
      <c r="N47" s="134">
        <f>SUM(N16:N46)</f>
        <v>0</v>
      </c>
      <c r="O47" s="142">
        <f>SUM(O16:O46)</f>
        <v>0</v>
      </c>
      <c r="P47" s="134">
        <f>SUM(P16:P46)</f>
        <v>1716250.7576779523</v>
      </c>
      <c r="Q47" s="142">
        <f t="shared" ref="Q47:AA47" si="2">SUM(Q16:Q46)</f>
        <v>11465.768091152338</v>
      </c>
      <c r="R47" s="134">
        <f>SUM(R16:R46)</f>
        <v>1761544.1571149467</v>
      </c>
      <c r="S47" s="142">
        <f t="shared" si="2"/>
        <v>7034.7093032229059</v>
      </c>
      <c r="T47" s="134">
        <f t="shared" si="2"/>
        <v>1612990.0959763313</v>
      </c>
      <c r="U47" s="142">
        <f t="shared" si="2"/>
        <v>4893.6959932229056</v>
      </c>
      <c r="V47" s="134">
        <f t="shared" si="2"/>
        <v>1718533.8846153847</v>
      </c>
      <c r="W47" s="142">
        <f t="shared" si="2"/>
        <v>5280.6756232229063</v>
      </c>
      <c r="X47" s="134">
        <f t="shared" si="2"/>
        <v>1822554.0046153846</v>
      </c>
      <c r="Y47" s="142">
        <f t="shared" si="2"/>
        <v>5767.655253222907</v>
      </c>
      <c r="Z47" s="134">
        <f t="shared" si="2"/>
        <v>8631872.8999999985</v>
      </c>
      <c r="AA47" s="142">
        <f t="shared" si="2"/>
        <v>34442.504264043971</v>
      </c>
    </row>
    <row r="48" spans="2:27" s="145" customFormat="1" ht="15" customHeight="1">
      <c r="B48" s="143"/>
      <c r="C48" s="140"/>
      <c r="D48" s="140"/>
      <c r="E48" s="140"/>
      <c r="F48" s="140"/>
      <c r="G48" s="140"/>
      <c r="H48" s="140"/>
      <c r="I48" s="140"/>
      <c r="J48" s="140"/>
      <c r="K48" s="140"/>
      <c r="L48" s="140"/>
      <c r="M48" s="140"/>
      <c r="N48" s="144"/>
      <c r="O48" s="144"/>
      <c r="P48" s="144"/>
      <c r="Q48" s="144"/>
      <c r="R48" s="144"/>
      <c r="S48" s="144"/>
      <c r="T48" s="144"/>
      <c r="U48" s="144"/>
      <c r="V48" s="144"/>
      <c r="W48" s="144"/>
      <c r="X48" s="144"/>
      <c r="Y48" s="144"/>
      <c r="Z48" s="144"/>
      <c r="AA48" s="144"/>
    </row>
    <row r="49" spans="2:27" ht="15" customHeight="1">
      <c r="B49" s="901" t="s">
        <v>238</v>
      </c>
      <c r="C49" s="128"/>
      <c r="D49" s="129"/>
      <c r="E49" s="129"/>
      <c r="F49" s="137"/>
      <c r="G49" s="131"/>
      <c r="H49" s="131"/>
      <c r="I49" s="131"/>
      <c r="J49" s="131"/>
      <c r="K49" s="131"/>
      <c r="L49" s="131"/>
      <c r="M49" s="131"/>
      <c r="N49" s="132"/>
      <c r="O49" s="133"/>
      <c r="P49" s="132"/>
      <c r="Q49" s="133"/>
      <c r="R49" s="132"/>
      <c r="S49" s="133"/>
      <c r="T49" s="132"/>
      <c r="U49" s="133"/>
      <c r="V49" s="132"/>
      <c r="W49" s="133"/>
      <c r="X49" s="132"/>
      <c r="Y49" s="133"/>
      <c r="Z49" s="134" t="str">
        <f t="shared" ref="Z49:Z57" si="3">IF(SUM(N49,P49,R49,T49,V49,X49)=0,"",SUM(N49,P49,R49,T49,V49,X49))</f>
        <v/>
      </c>
      <c r="AA49" s="138"/>
    </row>
    <row r="50" spans="2:27">
      <c r="B50" s="902"/>
      <c r="C50" s="128"/>
      <c r="D50" s="129"/>
      <c r="E50" s="129"/>
      <c r="F50" s="137"/>
      <c r="G50" s="131"/>
      <c r="H50" s="131"/>
      <c r="I50" s="131"/>
      <c r="J50" s="131"/>
      <c r="K50" s="131"/>
      <c r="L50" s="131"/>
      <c r="M50" s="131"/>
      <c r="N50" s="132"/>
      <c r="O50" s="133"/>
      <c r="P50" s="132"/>
      <c r="Q50" s="133"/>
      <c r="R50" s="132"/>
      <c r="S50" s="133"/>
      <c r="T50" s="132"/>
      <c r="U50" s="133"/>
      <c r="V50" s="132"/>
      <c r="W50" s="133"/>
      <c r="X50" s="132"/>
      <c r="Y50" s="133"/>
      <c r="Z50" s="134" t="str">
        <f t="shared" si="3"/>
        <v/>
      </c>
      <c r="AA50" s="138"/>
    </row>
    <row r="51" spans="2:27">
      <c r="B51" s="902"/>
      <c r="C51" s="128"/>
      <c r="D51" s="129"/>
      <c r="E51" s="129"/>
      <c r="F51" s="137"/>
      <c r="G51" s="131"/>
      <c r="H51" s="131"/>
      <c r="I51" s="131"/>
      <c r="J51" s="131"/>
      <c r="K51" s="131"/>
      <c r="L51" s="131"/>
      <c r="M51" s="131"/>
      <c r="N51" s="132"/>
      <c r="O51" s="133"/>
      <c r="P51" s="132"/>
      <c r="Q51" s="133"/>
      <c r="R51" s="132"/>
      <c r="S51" s="133"/>
      <c r="T51" s="132"/>
      <c r="U51" s="133"/>
      <c r="V51" s="132"/>
      <c r="W51" s="133"/>
      <c r="X51" s="132"/>
      <c r="Y51" s="133"/>
      <c r="Z51" s="134" t="str">
        <f t="shared" si="3"/>
        <v/>
      </c>
      <c r="AA51" s="138"/>
    </row>
    <row r="52" spans="2:27">
      <c r="B52" s="902"/>
      <c r="C52" s="128"/>
      <c r="D52" s="129"/>
      <c r="E52" s="129"/>
      <c r="F52" s="137"/>
      <c r="G52" s="131"/>
      <c r="H52" s="131"/>
      <c r="I52" s="131"/>
      <c r="J52" s="131"/>
      <c r="K52" s="131"/>
      <c r="L52" s="131"/>
      <c r="M52" s="131"/>
      <c r="N52" s="132"/>
      <c r="O52" s="133"/>
      <c r="P52" s="132"/>
      <c r="Q52" s="133"/>
      <c r="R52" s="132"/>
      <c r="S52" s="133"/>
      <c r="T52" s="132"/>
      <c r="U52" s="133"/>
      <c r="V52" s="132"/>
      <c r="W52" s="133"/>
      <c r="X52" s="132"/>
      <c r="Y52" s="133"/>
      <c r="Z52" s="134" t="str">
        <f t="shared" si="3"/>
        <v/>
      </c>
      <c r="AA52" s="138"/>
    </row>
    <row r="53" spans="2:27">
      <c r="B53" s="902"/>
      <c r="C53" s="128"/>
      <c r="D53" s="129"/>
      <c r="E53" s="129"/>
      <c r="F53" s="137"/>
      <c r="G53" s="131"/>
      <c r="H53" s="131"/>
      <c r="I53" s="131"/>
      <c r="J53" s="131"/>
      <c r="K53" s="131"/>
      <c r="L53" s="131"/>
      <c r="M53" s="131"/>
      <c r="N53" s="132"/>
      <c r="O53" s="133"/>
      <c r="P53" s="132"/>
      <c r="Q53" s="133"/>
      <c r="R53" s="132"/>
      <c r="S53" s="133"/>
      <c r="T53" s="132"/>
      <c r="U53" s="133"/>
      <c r="V53" s="132"/>
      <c r="W53" s="133"/>
      <c r="X53" s="132"/>
      <c r="Y53" s="133"/>
      <c r="Z53" s="134" t="str">
        <f t="shared" si="3"/>
        <v/>
      </c>
      <c r="AA53" s="138"/>
    </row>
    <row r="54" spans="2:27">
      <c r="B54" s="902"/>
      <c r="C54" s="128"/>
      <c r="D54" s="129"/>
      <c r="E54" s="129"/>
      <c r="F54" s="137"/>
      <c r="G54" s="131"/>
      <c r="H54" s="131"/>
      <c r="I54" s="131"/>
      <c r="J54" s="131"/>
      <c r="K54" s="131"/>
      <c r="L54" s="131"/>
      <c r="M54" s="131"/>
      <c r="N54" s="132"/>
      <c r="O54" s="133"/>
      <c r="P54" s="132"/>
      <c r="Q54" s="133"/>
      <c r="R54" s="132"/>
      <c r="S54" s="133"/>
      <c r="T54" s="132"/>
      <c r="U54" s="133"/>
      <c r="V54" s="132"/>
      <c r="W54" s="133"/>
      <c r="X54" s="132"/>
      <c r="Y54" s="133"/>
      <c r="Z54" s="134" t="str">
        <f t="shared" si="3"/>
        <v/>
      </c>
      <c r="AA54" s="138"/>
    </row>
    <row r="55" spans="2:27">
      <c r="B55" s="902"/>
      <c r="C55" s="128"/>
      <c r="D55" s="129"/>
      <c r="E55" s="129"/>
      <c r="F55" s="137"/>
      <c r="G55" s="131"/>
      <c r="H55" s="131"/>
      <c r="I55" s="131"/>
      <c r="J55" s="131"/>
      <c r="K55" s="131"/>
      <c r="L55" s="131"/>
      <c r="M55" s="131"/>
      <c r="N55" s="132"/>
      <c r="O55" s="133"/>
      <c r="P55" s="132"/>
      <c r="Q55" s="133"/>
      <c r="R55" s="132"/>
      <c r="S55" s="133"/>
      <c r="T55" s="132"/>
      <c r="U55" s="133"/>
      <c r="V55" s="132"/>
      <c r="W55" s="133"/>
      <c r="X55" s="132"/>
      <c r="Y55" s="133"/>
      <c r="Z55" s="134" t="str">
        <f t="shared" si="3"/>
        <v/>
      </c>
      <c r="AA55" s="138"/>
    </row>
    <row r="56" spans="2:27">
      <c r="B56" s="902"/>
      <c r="C56" s="128"/>
      <c r="D56" s="129"/>
      <c r="E56" s="129"/>
      <c r="F56" s="137"/>
      <c r="G56" s="131"/>
      <c r="H56" s="131"/>
      <c r="I56" s="131"/>
      <c r="J56" s="131"/>
      <c r="K56" s="131"/>
      <c r="L56" s="131"/>
      <c r="M56" s="131"/>
      <c r="N56" s="132"/>
      <c r="O56" s="133"/>
      <c r="P56" s="132"/>
      <c r="Q56" s="133"/>
      <c r="R56" s="132"/>
      <c r="S56" s="133"/>
      <c r="T56" s="132"/>
      <c r="U56" s="133"/>
      <c r="V56" s="132"/>
      <c r="W56" s="133"/>
      <c r="X56" s="132"/>
      <c r="Y56" s="133"/>
      <c r="Z56" s="134" t="str">
        <f t="shared" si="3"/>
        <v/>
      </c>
      <c r="AA56" s="138"/>
    </row>
    <row r="57" spans="2:27">
      <c r="B57" s="903"/>
      <c r="C57" s="128"/>
      <c r="D57" s="129"/>
      <c r="E57" s="129"/>
      <c r="F57" s="137"/>
      <c r="G57" s="131"/>
      <c r="H57" s="131"/>
      <c r="I57" s="131"/>
      <c r="J57" s="131"/>
      <c r="K57" s="131"/>
      <c r="L57" s="131"/>
      <c r="M57" s="131"/>
      <c r="N57" s="132"/>
      <c r="O57" s="133"/>
      <c r="P57" s="132"/>
      <c r="Q57" s="133"/>
      <c r="R57" s="132"/>
      <c r="S57" s="133"/>
      <c r="T57" s="132"/>
      <c r="U57" s="133"/>
      <c r="V57" s="132"/>
      <c r="W57" s="133"/>
      <c r="X57" s="132"/>
      <c r="Y57" s="133"/>
      <c r="Z57" s="134" t="str">
        <f t="shared" si="3"/>
        <v/>
      </c>
      <c r="AA57" s="138"/>
    </row>
    <row r="58" spans="2:27" ht="22.9" customHeight="1">
      <c r="B58" s="904" t="s">
        <v>239</v>
      </c>
      <c r="C58" s="905"/>
      <c r="D58" s="905"/>
      <c r="E58" s="905"/>
      <c r="F58" s="905"/>
      <c r="G58" s="905"/>
      <c r="H58" s="905"/>
      <c r="I58" s="905"/>
      <c r="J58" s="905"/>
      <c r="K58" s="905"/>
      <c r="L58" s="905"/>
      <c r="M58" s="906"/>
      <c r="N58" s="134">
        <f t="shared" ref="N58:AA58" si="4">SUM(N49:N57)</f>
        <v>0</v>
      </c>
      <c r="O58" s="142">
        <f t="shared" si="4"/>
        <v>0</v>
      </c>
      <c r="P58" s="134">
        <f t="shared" si="4"/>
        <v>0</v>
      </c>
      <c r="Q58" s="142">
        <f t="shared" si="4"/>
        <v>0</v>
      </c>
      <c r="R58" s="134">
        <f t="shared" si="4"/>
        <v>0</v>
      </c>
      <c r="S58" s="142">
        <f t="shared" si="4"/>
        <v>0</v>
      </c>
      <c r="T58" s="134">
        <f t="shared" si="4"/>
        <v>0</v>
      </c>
      <c r="U58" s="142">
        <f t="shared" si="4"/>
        <v>0</v>
      </c>
      <c r="V58" s="134">
        <f t="shared" si="4"/>
        <v>0</v>
      </c>
      <c r="W58" s="142">
        <f t="shared" si="4"/>
        <v>0</v>
      </c>
      <c r="X58" s="134">
        <f t="shared" si="4"/>
        <v>0</v>
      </c>
      <c r="Y58" s="142">
        <f t="shared" si="4"/>
        <v>0</v>
      </c>
      <c r="Z58" s="134">
        <f t="shared" si="4"/>
        <v>0</v>
      </c>
      <c r="AA58" s="142">
        <f t="shared" si="4"/>
        <v>0</v>
      </c>
    </row>
    <row r="59" spans="2:27" s="145" customFormat="1" ht="15" customHeight="1">
      <c r="B59" s="146"/>
      <c r="C59" s="140"/>
      <c r="D59" s="140"/>
      <c r="E59" s="140"/>
      <c r="F59" s="140"/>
      <c r="G59" s="140"/>
      <c r="H59" s="140"/>
      <c r="I59" s="140"/>
      <c r="J59" s="140"/>
      <c r="K59" s="140"/>
      <c r="L59" s="140"/>
      <c r="M59" s="140"/>
      <c r="N59" s="144"/>
      <c r="O59" s="144"/>
      <c r="P59" s="144"/>
      <c r="Q59" s="144"/>
      <c r="R59" s="144"/>
      <c r="S59" s="144"/>
      <c r="T59" s="144"/>
      <c r="U59" s="144"/>
      <c r="V59" s="144"/>
      <c r="W59" s="144"/>
      <c r="X59" s="144"/>
      <c r="Y59" s="144"/>
      <c r="Z59" s="144"/>
      <c r="AA59" s="144"/>
    </row>
    <row r="60" spans="2:27">
      <c r="B60" s="907" t="s">
        <v>240</v>
      </c>
      <c r="C60" s="128" t="s">
        <v>12</v>
      </c>
      <c r="D60" s="910"/>
      <c r="E60" s="911"/>
      <c r="F60" s="911"/>
      <c r="G60" s="911"/>
      <c r="H60" s="911"/>
      <c r="I60" s="911"/>
      <c r="J60" s="911"/>
      <c r="K60" s="911"/>
      <c r="L60" s="911"/>
      <c r="M60" s="912"/>
      <c r="N60" s="147"/>
      <c r="O60" s="148">
        <v>2220</v>
      </c>
      <c r="P60" s="147"/>
      <c r="Q60" s="147"/>
      <c r="R60" s="147"/>
      <c r="S60" s="147"/>
      <c r="T60" s="147"/>
      <c r="U60" s="147"/>
      <c r="V60" s="147"/>
      <c r="W60" s="147"/>
      <c r="X60" s="147"/>
      <c r="Y60" s="147"/>
      <c r="Z60" s="149"/>
      <c r="AA60" s="148">
        <v>2220</v>
      </c>
    </row>
    <row r="61" spans="2:27">
      <c r="B61" s="908"/>
      <c r="C61" s="128" t="s">
        <v>241</v>
      </c>
      <c r="D61" s="913"/>
      <c r="E61" s="914"/>
      <c r="F61" s="914"/>
      <c r="G61" s="914"/>
      <c r="H61" s="914"/>
      <c r="I61" s="914"/>
      <c r="J61" s="914"/>
      <c r="K61" s="914"/>
      <c r="L61" s="914"/>
      <c r="M61" s="915"/>
      <c r="N61" s="147"/>
      <c r="O61" s="148">
        <v>100</v>
      </c>
      <c r="P61" s="147"/>
      <c r="Q61" s="147"/>
      <c r="R61" s="147"/>
      <c r="S61" s="147"/>
      <c r="T61" s="147"/>
      <c r="U61" s="147"/>
      <c r="V61" s="147"/>
      <c r="W61" s="147"/>
      <c r="X61" s="147"/>
      <c r="Y61" s="147"/>
      <c r="Z61" s="149"/>
      <c r="AA61" s="148">
        <v>100</v>
      </c>
    </row>
    <row r="62" spans="2:27" ht="28">
      <c r="B62" s="908"/>
      <c r="C62" s="128" t="s">
        <v>45</v>
      </c>
      <c r="D62" s="913"/>
      <c r="E62" s="914"/>
      <c r="F62" s="914"/>
      <c r="G62" s="914"/>
      <c r="H62" s="914"/>
      <c r="I62" s="914"/>
      <c r="J62" s="914"/>
      <c r="K62" s="914"/>
      <c r="L62" s="914"/>
      <c r="M62" s="915"/>
      <c r="N62" s="147"/>
      <c r="O62" s="148">
        <v>260</v>
      </c>
      <c r="P62" s="147"/>
      <c r="Q62" s="147"/>
      <c r="R62" s="147"/>
      <c r="S62" s="147"/>
      <c r="T62" s="147"/>
      <c r="U62" s="147"/>
      <c r="V62" s="147"/>
      <c r="W62" s="147"/>
      <c r="X62" s="147"/>
      <c r="Y62" s="147"/>
      <c r="Z62" s="149"/>
      <c r="AA62" s="148">
        <v>260</v>
      </c>
    </row>
    <row r="63" spans="2:27" ht="28">
      <c r="B63" s="908"/>
      <c r="C63" s="128" t="s">
        <v>242</v>
      </c>
      <c r="D63" s="913"/>
      <c r="E63" s="914"/>
      <c r="F63" s="914"/>
      <c r="G63" s="914"/>
      <c r="H63" s="914"/>
      <c r="I63" s="914"/>
      <c r="J63" s="914"/>
      <c r="K63" s="914"/>
      <c r="L63" s="914"/>
      <c r="M63" s="915"/>
      <c r="N63" s="147"/>
      <c r="O63" s="148">
        <v>60</v>
      </c>
      <c r="P63" s="147"/>
      <c r="Q63" s="147"/>
      <c r="R63" s="147"/>
      <c r="S63" s="147"/>
      <c r="T63" s="147"/>
      <c r="U63" s="147"/>
      <c r="V63" s="147"/>
      <c r="W63" s="147"/>
      <c r="X63" s="147"/>
      <c r="Y63" s="147"/>
      <c r="Z63" s="149"/>
      <c r="AA63" s="148">
        <v>60</v>
      </c>
    </row>
    <row r="64" spans="2:27">
      <c r="B64" s="908"/>
      <c r="C64" s="128" t="s">
        <v>243</v>
      </c>
      <c r="D64" s="913"/>
      <c r="E64" s="914"/>
      <c r="F64" s="914"/>
      <c r="G64" s="914"/>
      <c r="H64" s="914"/>
      <c r="I64" s="914"/>
      <c r="J64" s="914"/>
      <c r="K64" s="914"/>
      <c r="L64" s="914"/>
      <c r="M64" s="915"/>
      <c r="N64" s="147"/>
      <c r="O64" s="148"/>
      <c r="P64" s="147"/>
      <c r="Q64" s="147"/>
      <c r="R64" s="147"/>
      <c r="S64" s="147"/>
      <c r="T64" s="147"/>
      <c r="U64" s="147"/>
      <c r="V64" s="147"/>
      <c r="W64" s="147"/>
      <c r="X64" s="147"/>
      <c r="Y64" s="147"/>
      <c r="Z64" s="149"/>
      <c r="AA64" s="148"/>
    </row>
    <row r="65" spans="2:27" ht="28">
      <c r="B65" s="908"/>
      <c r="C65" s="128" t="s">
        <v>236</v>
      </c>
      <c r="D65" s="913"/>
      <c r="E65" s="914"/>
      <c r="F65" s="914"/>
      <c r="G65" s="914"/>
      <c r="H65" s="914"/>
      <c r="I65" s="914"/>
      <c r="J65" s="914"/>
      <c r="K65" s="914"/>
      <c r="L65" s="914"/>
      <c r="M65" s="915"/>
      <c r="N65" s="147"/>
      <c r="O65" s="148">
        <v>100</v>
      </c>
      <c r="P65" s="147"/>
      <c r="Q65" s="147"/>
      <c r="R65" s="147"/>
      <c r="S65" s="147"/>
      <c r="T65" s="147"/>
      <c r="U65" s="147"/>
      <c r="V65" s="147"/>
      <c r="W65" s="147"/>
      <c r="X65" s="147"/>
      <c r="Y65" s="147"/>
      <c r="Z65" s="149"/>
      <c r="AA65" s="148">
        <v>100</v>
      </c>
    </row>
    <row r="66" spans="2:27">
      <c r="B66" s="908"/>
      <c r="C66" s="128"/>
      <c r="D66" s="913"/>
      <c r="E66" s="914"/>
      <c r="F66" s="914"/>
      <c r="G66" s="914"/>
      <c r="H66" s="914"/>
      <c r="I66" s="914"/>
      <c r="J66" s="914"/>
      <c r="K66" s="914"/>
      <c r="L66" s="914"/>
      <c r="M66" s="915"/>
      <c r="N66" s="147"/>
      <c r="O66" s="148"/>
      <c r="P66" s="147"/>
      <c r="Q66" s="147"/>
      <c r="R66" s="147"/>
      <c r="S66" s="147"/>
      <c r="T66" s="147"/>
      <c r="U66" s="147"/>
      <c r="V66" s="147"/>
      <c r="W66" s="147"/>
      <c r="X66" s="147"/>
      <c r="Y66" s="147"/>
      <c r="Z66" s="149"/>
      <c r="AA66" s="138"/>
    </row>
    <row r="67" spans="2:27">
      <c r="B67" s="908"/>
      <c r="C67" s="128"/>
      <c r="D67" s="913"/>
      <c r="E67" s="914"/>
      <c r="F67" s="914"/>
      <c r="G67" s="914"/>
      <c r="H67" s="914"/>
      <c r="I67" s="914"/>
      <c r="J67" s="914"/>
      <c r="K67" s="914"/>
      <c r="L67" s="914"/>
      <c r="M67" s="915"/>
      <c r="N67" s="147"/>
      <c r="O67" s="148"/>
      <c r="P67" s="147"/>
      <c r="Q67" s="147"/>
      <c r="R67" s="147"/>
      <c r="S67" s="147"/>
      <c r="T67" s="147"/>
      <c r="U67" s="147"/>
      <c r="V67" s="147"/>
      <c r="W67" s="147"/>
      <c r="X67" s="147"/>
      <c r="Y67" s="147"/>
      <c r="Z67" s="149"/>
      <c r="AA67" s="138"/>
    </row>
    <row r="68" spans="2:27">
      <c r="B68" s="908"/>
      <c r="C68" s="128"/>
      <c r="D68" s="913"/>
      <c r="E68" s="914"/>
      <c r="F68" s="914"/>
      <c r="G68" s="914"/>
      <c r="H68" s="914"/>
      <c r="I68" s="914"/>
      <c r="J68" s="914"/>
      <c r="K68" s="914"/>
      <c r="L68" s="914"/>
      <c r="M68" s="915"/>
      <c r="N68" s="147"/>
      <c r="O68" s="148"/>
      <c r="P68" s="147"/>
      <c r="Q68" s="147"/>
      <c r="R68" s="147"/>
      <c r="S68" s="147"/>
      <c r="T68" s="147"/>
      <c r="U68" s="147"/>
      <c r="V68" s="147"/>
      <c r="W68" s="147"/>
      <c r="X68" s="147"/>
      <c r="Y68" s="147"/>
      <c r="Z68" s="149"/>
      <c r="AA68" s="138"/>
    </row>
    <row r="69" spans="2:27">
      <c r="B69" s="908"/>
      <c r="C69" s="128"/>
      <c r="D69" s="913"/>
      <c r="E69" s="914"/>
      <c r="F69" s="914"/>
      <c r="G69" s="914"/>
      <c r="H69" s="914"/>
      <c r="I69" s="914"/>
      <c r="J69" s="914"/>
      <c r="K69" s="914"/>
      <c r="L69" s="914"/>
      <c r="M69" s="915"/>
      <c r="N69" s="147"/>
      <c r="O69" s="148"/>
      <c r="P69" s="147"/>
      <c r="Q69" s="147"/>
      <c r="R69" s="147"/>
      <c r="S69" s="147"/>
      <c r="T69" s="147"/>
      <c r="U69" s="147"/>
      <c r="V69" s="147"/>
      <c r="W69" s="147"/>
      <c r="X69" s="147"/>
      <c r="Y69" s="147"/>
      <c r="Z69" s="149"/>
      <c r="AA69" s="138"/>
    </row>
    <row r="70" spans="2:27">
      <c r="B70" s="908"/>
      <c r="C70" s="128"/>
      <c r="D70" s="913"/>
      <c r="E70" s="914"/>
      <c r="F70" s="914"/>
      <c r="G70" s="914"/>
      <c r="H70" s="914"/>
      <c r="I70" s="914"/>
      <c r="J70" s="914"/>
      <c r="K70" s="914"/>
      <c r="L70" s="914"/>
      <c r="M70" s="915"/>
      <c r="N70" s="147"/>
      <c r="O70" s="148"/>
      <c r="P70" s="147"/>
      <c r="Q70" s="147"/>
      <c r="R70" s="147"/>
      <c r="S70" s="147"/>
      <c r="T70" s="147"/>
      <c r="U70" s="147"/>
      <c r="V70" s="147"/>
      <c r="W70" s="147"/>
      <c r="X70" s="147"/>
      <c r="Y70" s="147"/>
      <c r="Z70" s="149"/>
      <c r="AA70" s="138"/>
    </row>
    <row r="71" spans="2:27">
      <c r="B71" s="908"/>
      <c r="C71" s="128"/>
      <c r="D71" s="913"/>
      <c r="E71" s="914"/>
      <c r="F71" s="914"/>
      <c r="G71" s="914"/>
      <c r="H71" s="914"/>
      <c r="I71" s="914"/>
      <c r="J71" s="914"/>
      <c r="K71" s="914"/>
      <c r="L71" s="914"/>
      <c r="M71" s="915"/>
      <c r="N71" s="147"/>
      <c r="O71" s="133"/>
      <c r="P71" s="147"/>
      <c r="Q71" s="147"/>
      <c r="R71" s="147"/>
      <c r="S71" s="147"/>
      <c r="T71" s="147"/>
      <c r="U71" s="147"/>
      <c r="V71" s="147"/>
      <c r="W71" s="147"/>
      <c r="X71" s="147"/>
      <c r="Y71" s="147"/>
      <c r="Z71" s="149"/>
      <c r="AA71" s="138"/>
    </row>
    <row r="72" spans="2:27">
      <c r="B72" s="908"/>
      <c r="C72" s="128"/>
      <c r="D72" s="913"/>
      <c r="E72" s="914"/>
      <c r="F72" s="914"/>
      <c r="G72" s="914"/>
      <c r="H72" s="914"/>
      <c r="I72" s="914"/>
      <c r="J72" s="914"/>
      <c r="K72" s="914"/>
      <c r="L72" s="914"/>
      <c r="M72" s="915"/>
      <c r="N72" s="147"/>
      <c r="O72" s="133"/>
      <c r="P72" s="147"/>
      <c r="Q72" s="147"/>
      <c r="R72" s="147"/>
      <c r="S72" s="147"/>
      <c r="T72" s="147"/>
      <c r="U72" s="147"/>
      <c r="V72" s="147"/>
      <c r="W72" s="147"/>
      <c r="X72" s="147"/>
      <c r="Y72" s="147"/>
      <c r="Z72" s="149"/>
      <c r="AA72" s="138"/>
    </row>
    <row r="73" spans="2:27">
      <c r="B73" s="908"/>
      <c r="C73" s="128"/>
      <c r="D73" s="913"/>
      <c r="E73" s="914"/>
      <c r="F73" s="914"/>
      <c r="G73" s="914"/>
      <c r="H73" s="914"/>
      <c r="I73" s="914"/>
      <c r="J73" s="914"/>
      <c r="K73" s="914"/>
      <c r="L73" s="914"/>
      <c r="M73" s="915"/>
      <c r="N73" s="147"/>
      <c r="O73" s="133"/>
      <c r="P73" s="147"/>
      <c r="Q73" s="147"/>
      <c r="R73" s="147"/>
      <c r="S73" s="147"/>
      <c r="T73" s="147"/>
      <c r="U73" s="147"/>
      <c r="V73" s="147"/>
      <c r="W73" s="147"/>
      <c r="X73" s="147"/>
      <c r="Y73" s="147"/>
      <c r="Z73" s="149"/>
      <c r="AA73" s="138"/>
    </row>
    <row r="74" spans="2:27">
      <c r="B74" s="908"/>
      <c r="C74" s="128"/>
      <c r="D74" s="913"/>
      <c r="E74" s="914"/>
      <c r="F74" s="914"/>
      <c r="G74" s="914"/>
      <c r="H74" s="914"/>
      <c r="I74" s="914"/>
      <c r="J74" s="914"/>
      <c r="K74" s="914"/>
      <c r="L74" s="914"/>
      <c r="M74" s="915"/>
      <c r="N74" s="147"/>
      <c r="O74" s="133"/>
      <c r="P74" s="147"/>
      <c r="Q74" s="147"/>
      <c r="R74" s="147"/>
      <c r="S74" s="147"/>
      <c r="T74" s="147"/>
      <c r="U74" s="147"/>
      <c r="V74" s="147"/>
      <c r="W74" s="147"/>
      <c r="X74" s="147"/>
      <c r="Y74" s="147"/>
      <c r="Z74" s="149"/>
      <c r="AA74" s="138"/>
    </row>
    <row r="75" spans="2:27">
      <c r="B75" s="909"/>
      <c r="C75" s="128"/>
      <c r="D75" s="916"/>
      <c r="E75" s="917"/>
      <c r="F75" s="917"/>
      <c r="G75" s="917"/>
      <c r="H75" s="917"/>
      <c r="I75" s="917"/>
      <c r="J75" s="917"/>
      <c r="K75" s="917"/>
      <c r="L75" s="917"/>
      <c r="M75" s="918"/>
      <c r="N75" s="147"/>
      <c r="O75" s="133"/>
      <c r="P75" s="147"/>
      <c r="Q75" s="147"/>
      <c r="R75" s="147"/>
      <c r="S75" s="147"/>
      <c r="T75" s="147"/>
      <c r="U75" s="147"/>
      <c r="V75" s="147"/>
      <c r="W75" s="147"/>
      <c r="X75" s="147"/>
      <c r="Y75" s="147"/>
      <c r="Z75" s="149"/>
      <c r="AA75" s="138"/>
    </row>
    <row r="76" spans="2:27" ht="22.9" customHeight="1">
      <c r="B76" s="931" t="s">
        <v>244</v>
      </c>
      <c r="C76" s="932"/>
      <c r="D76" s="932"/>
      <c r="E76" s="932"/>
      <c r="F76" s="932"/>
      <c r="G76" s="932"/>
      <c r="H76" s="932"/>
      <c r="I76" s="932"/>
      <c r="J76" s="932"/>
      <c r="K76" s="932"/>
      <c r="L76" s="932"/>
      <c r="M76" s="933"/>
      <c r="N76" s="134">
        <f>SUM(N60:N75)</f>
        <v>0</v>
      </c>
      <c r="O76" s="142">
        <f>SUM(O60:O75)</f>
        <v>2740</v>
      </c>
      <c r="P76" s="147"/>
      <c r="Q76" s="147"/>
      <c r="R76" s="147"/>
      <c r="S76" s="147"/>
      <c r="T76" s="147"/>
      <c r="U76" s="147"/>
      <c r="V76" s="147"/>
      <c r="W76" s="147"/>
      <c r="X76" s="147"/>
      <c r="Y76" s="147"/>
      <c r="Z76" s="150">
        <f>SUM(Z60:Z75)</f>
        <v>0</v>
      </c>
      <c r="AA76" s="142">
        <f>SUM(AA60:AA75)</f>
        <v>2740</v>
      </c>
    </row>
    <row r="77" spans="2:27" ht="22.9" customHeight="1">
      <c r="B77" s="151"/>
      <c r="C77" s="151"/>
      <c r="D77" s="151"/>
      <c r="E77" s="151"/>
      <c r="F77" s="151"/>
      <c r="G77" s="151"/>
      <c r="H77" s="151"/>
      <c r="I77" s="151"/>
      <c r="J77" s="151"/>
      <c r="K77" s="151"/>
      <c r="L77" s="151"/>
      <c r="M77" s="151"/>
      <c r="N77" s="144"/>
      <c r="O77" s="144"/>
      <c r="P77" s="144"/>
      <c r="Q77" s="144"/>
      <c r="R77" s="144"/>
      <c r="S77" s="144"/>
      <c r="T77" s="144"/>
      <c r="U77" s="144"/>
      <c r="V77" s="144"/>
      <c r="W77" s="144"/>
      <c r="X77" s="144"/>
      <c r="Y77" s="144"/>
      <c r="Z77" s="144"/>
      <c r="AA77" s="144"/>
    </row>
    <row r="78" spans="2:27" ht="22.9" customHeight="1">
      <c r="B78" s="931" t="s">
        <v>245</v>
      </c>
      <c r="C78" s="932"/>
      <c r="D78" s="932"/>
      <c r="E78" s="932"/>
      <c r="F78" s="932"/>
      <c r="G78" s="932"/>
      <c r="H78" s="932"/>
      <c r="I78" s="932"/>
      <c r="J78" s="932"/>
      <c r="K78" s="932"/>
      <c r="L78" s="932"/>
      <c r="M78" s="933"/>
      <c r="N78" s="152"/>
      <c r="O78" s="133"/>
      <c r="P78" s="152"/>
      <c r="Q78" s="133"/>
      <c r="R78" s="152"/>
      <c r="S78" s="133"/>
      <c r="T78" s="152"/>
      <c r="U78" s="133"/>
      <c r="V78" s="152"/>
      <c r="W78" s="133"/>
      <c r="X78" s="152"/>
      <c r="Y78" s="133"/>
      <c r="Z78" s="150">
        <f>SUM(N78,P78,R78,T78,V78,X78)</f>
        <v>0</v>
      </c>
      <c r="AA78" s="152"/>
    </row>
    <row r="79" spans="2:27" s="42" customFormat="1">
      <c r="B79" s="153"/>
      <c r="C79" s="154"/>
      <c r="D79" s="154"/>
      <c r="E79" s="154"/>
      <c r="F79" s="154"/>
      <c r="G79" s="155"/>
      <c r="H79" s="155"/>
      <c r="I79" s="155"/>
      <c r="J79" s="155"/>
      <c r="K79" s="155"/>
      <c r="L79" s="155"/>
      <c r="M79" s="155"/>
      <c r="N79" s="156"/>
      <c r="O79" s="156"/>
      <c r="P79" s="156"/>
      <c r="Q79" s="156"/>
      <c r="R79" s="156"/>
      <c r="S79" s="156"/>
      <c r="T79" s="156"/>
      <c r="U79" s="156"/>
      <c r="V79" s="156"/>
      <c r="W79" s="156"/>
      <c r="X79" s="156"/>
      <c r="Y79" s="156"/>
      <c r="Z79" s="156"/>
      <c r="AA79" s="156"/>
    </row>
    <row r="80" spans="2:27" ht="24" customHeight="1">
      <c r="B80" s="896" t="s">
        <v>246</v>
      </c>
      <c r="C80" s="897"/>
      <c r="D80" s="897"/>
      <c r="E80" s="897"/>
      <c r="F80" s="897"/>
      <c r="G80" s="897"/>
      <c r="H80" s="897"/>
      <c r="I80" s="897"/>
      <c r="J80" s="897"/>
      <c r="K80" s="897"/>
      <c r="L80" s="897"/>
      <c r="M80" s="898"/>
      <c r="N80" s="134">
        <f>N78+N58+N47</f>
        <v>0</v>
      </c>
      <c r="O80" s="142">
        <f>O78+O76+O47+O58</f>
        <v>2740</v>
      </c>
      <c r="P80" s="134">
        <f>P78+P58+P47</f>
        <v>1716250.7576779523</v>
      </c>
      <c r="Q80" s="142">
        <f>Q78+Q47+Q58</f>
        <v>11465.768091152338</v>
      </c>
      <c r="R80" s="134">
        <f>R78+R58+R47</f>
        <v>1761544.1571149467</v>
      </c>
      <c r="S80" s="142">
        <f>S78+S47+S58</f>
        <v>7034.7093032229059</v>
      </c>
      <c r="T80" s="134">
        <f>T78+T58+T47</f>
        <v>1612990.0959763313</v>
      </c>
      <c r="U80" s="142">
        <f>U78+U47+U58</f>
        <v>4893.6959932229056</v>
      </c>
      <c r="V80" s="134">
        <f>V78+V58+V47</f>
        <v>1718533.8846153847</v>
      </c>
      <c r="W80" s="142">
        <f>W78+W47+W58</f>
        <v>5280.6756232229063</v>
      </c>
      <c r="X80" s="134">
        <f>X78+X58+X47</f>
        <v>1822554.0046153846</v>
      </c>
      <c r="Y80" s="142">
        <f>Y78+Y47+Y58</f>
        <v>5767.655253222907</v>
      </c>
      <c r="Z80" s="134">
        <f>Z78+Z58+Z47</f>
        <v>8631872.8999999985</v>
      </c>
      <c r="AA80" s="142">
        <f>AA78+AA76+AA47+AA58</f>
        <v>37182.504264043971</v>
      </c>
    </row>
    <row r="82" spans="2:25" ht="23.5" customHeight="1">
      <c r="B82" s="896" t="s">
        <v>247</v>
      </c>
      <c r="C82" s="897"/>
      <c r="D82" s="897"/>
      <c r="E82" s="897"/>
      <c r="F82" s="897"/>
      <c r="G82" s="897"/>
      <c r="H82" s="897"/>
      <c r="I82" s="897"/>
      <c r="J82" s="897"/>
      <c r="K82" s="897"/>
      <c r="L82" s="897"/>
      <c r="M82" s="898"/>
      <c r="O82" s="157" t="str">
        <f>IF($AA$80=0,"",IF((O80-O78)/$AA$80&gt;0.083,"True","False"))</f>
        <v>False</v>
      </c>
      <c r="Q82" s="157" t="str">
        <f>IF($AA$80=0,"",IF((Q80-Q78)/$AA$80&gt;0.083,"True","False"))</f>
        <v>True</v>
      </c>
      <c r="S82" s="157" t="str">
        <f>IF($AA$80=0,"",IF((S80-S78)/$AA$80&gt;0.083,"True","False"))</f>
        <v>True</v>
      </c>
      <c r="U82" s="157" t="str">
        <f>IF($AA$80=0,"",IF((U80-U78)/$AA$80&gt;0.083,"True","False"))</f>
        <v>True</v>
      </c>
      <c r="W82" s="157" t="str">
        <f>IF($AA$80=0,"",IF((W80-W78)/$AA$80&gt;0.083,"True","False"))</f>
        <v>True</v>
      </c>
      <c r="Y82" s="157" t="str">
        <f>IF($AA$80=0,"",IF((Y80-Y78)/$AA$80&gt;0.083,"True","False"))</f>
        <v>True</v>
      </c>
    </row>
    <row r="101" spans="2:7">
      <c r="B101" s="52" t="s">
        <v>248</v>
      </c>
      <c r="C101" s="45"/>
      <c r="D101" s="52" t="s">
        <v>249</v>
      </c>
      <c r="E101" s="45"/>
      <c r="F101" s="45"/>
      <c r="G101" s="45"/>
    </row>
    <row r="102" spans="2:7">
      <c r="B102" s="45" t="s">
        <v>231</v>
      </c>
      <c r="C102" s="45"/>
      <c r="D102" s="45" t="s">
        <v>250</v>
      </c>
      <c r="E102" s="45"/>
      <c r="F102" s="45"/>
      <c r="G102" s="45"/>
    </row>
    <row r="103" spans="2:7">
      <c r="B103" s="45" t="s">
        <v>251</v>
      </c>
      <c r="C103" s="45"/>
      <c r="D103" s="45" t="s">
        <v>252</v>
      </c>
      <c r="E103" s="45"/>
      <c r="F103" s="45"/>
      <c r="G103" s="45"/>
    </row>
    <row r="104" spans="2:7">
      <c r="B104" s="45"/>
      <c r="C104" s="45"/>
      <c r="D104" s="45" t="s">
        <v>253</v>
      </c>
      <c r="E104" s="45"/>
      <c r="F104" s="45"/>
      <c r="G104" s="45"/>
    </row>
    <row r="105" spans="2:7">
      <c r="B105" s="52" t="s">
        <v>254</v>
      </c>
      <c r="C105" s="45"/>
      <c r="D105" s="45"/>
      <c r="E105" s="45"/>
      <c r="F105" s="45"/>
      <c r="G105" s="45"/>
    </row>
    <row r="106" spans="2:7">
      <c r="B106" s="158" t="s">
        <v>119</v>
      </c>
      <c r="D106" s="159"/>
    </row>
    <row r="107" spans="2:7">
      <c r="B107" s="158" t="s">
        <v>243</v>
      </c>
      <c r="D107" s="159"/>
    </row>
    <row r="108" spans="2:7">
      <c r="B108" s="158" t="s">
        <v>43</v>
      </c>
      <c r="D108" s="159"/>
    </row>
    <row r="109" spans="2:7">
      <c r="B109" s="158" t="s">
        <v>45</v>
      </c>
      <c r="D109" s="159"/>
    </row>
    <row r="110" spans="2:7">
      <c r="B110" s="158" t="s">
        <v>255</v>
      </c>
      <c r="D110" s="159"/>
    </row>
    <row r="111" spans="2:7">
      <c r="B111" s="158" t="s">
        <v>256</v>
      </c>
      <c r="D111" s="159"/>
    </row>
    <row r="112" spans="2:7">
      <c r="B112" s="158" t="s">
        <v>257</v>
      </c>
      <c r="D112" s="159"/>
    </row>
    <row r="113" spans="2:4">
      <c r="B113" s="158" t="s">
        <v>258</v>
      </c>
      <c r="D113" s="159"/>
    </row>
    <row r="114" spans="2:4">
      <c r="B114" s="158" t="s">
        <v>242</v>
      </c>
      <c r="D114" s="159"/>
    </row>
    <row r="115" spans="2:4">
      <c r="B115" s="158" t="s">
        <v>259</v>
      </c>
      <c r="D115" s="159"/>
    </row>
    <row r="116" spans="2:4">
      <c r="B116" s="158" t="s">
        <v>260</v>
      </c>
      <c r="D116" s="159"/>
    </row>
    <row r="117" spans="2:4">
      <c r="B117" s="158" t="s">
        <v>123</v>
      </c>
      <c r="D117" s="159"/>
    </row>
    <row r="118" spans="2:4">
      <c r="B118" s="158" t="s">
        <v>261</v>
      </c>
      <c r="D118" s="159"/>
    </row>
    <row r="119" spans="2:4">
      <c r="B119" s="158" t="s">
        <v>236</v>
      </c>
      <c r="D119" s="159"/>
    </row>
    <row r="120" spans="2:4">
      <c r="B120" s="158" t="s">
        <v>124</v>
      </c>
      <c r="D120" s="159"/>
    </row>
    <row r="121" spans="2:4">
      <c r="B121" s="158" t="s">
        <v>262</v>
      </c>
      <c r="D121" s="159"/>
    </row>
    <row r="122" spans="2:4">
      <c r="B122" s="158" t="s">
        <v>263</v>
      </c>
      <c r="D122" s="159"/>
    </row>
    <row r="123" spans="2:4">
      <c r="D123" s="145"/>
    </row>
    <row r="124" spans="2:4">
      <c r="D124" s="145"/>
    </row>
    <row r="125" spans="2:4">
      <c r="D125" s="145"/>
    </row>
    <row r="126" spans="2:4">
      <c r="B126" s="160" t="s">
        <v>264</v>
      </c>
      <c r="D126" s="145"/>
    </row>
    <row r="127" spans="2:4">
      <c r="B127" s="161" t="s">
        <v>235</v>
      </c>
      <c r="D127" s="162"/>
    </row>
    <row r="128" spans="2:4">
      <c r="B128" s="161" t="s">
        <v>265</v>
      </c>
      <c r="D128" s="159"/>
    </row>
    <row r="129" spans="2:4">
      <c r="B129" s="161" t="s">
        <v>266</v>
      </c>
      <c r="D129" s="159"/>
    </row>
    <row r="130" spans="2:4">
      <c r="B130" s="161" t="s">
        <v>42</v>
      </c>
      <c r="D130" s="159"/>
    </row>
    <row r="131" spans="2:4">
      <c r="B131" s="161" t="s">
        <v>23</v>
      </c>
      <c r="D131" s="159"/>
    </row>
    <row r="132" spans="2:4">
      <c r="B132" s="161" t="s">
        <v>236</v>
      </c>
      <c r="D132" s="159"/>
    </row>
    <row r="133" spans="2:4">
      <c r="B133" s="161" t="s">
        <v>267</v>
      </c>
      <c r="D133" s="159"/>
    </row>
    <row r="134" spans="2:4">
      <c r="B134" s="161" t="s">
        <v>233</v>
      </c>
      <c r="D134" s="24"/>
    </row>
    <row r="135" spans="2:4">
      <c r="B135" s="161" t="s">
        <v>268</v>
      </c>
      <c r="D135" s="159"/>
    </row>
    <row r="136" spans="2:4">
      <c r="B136" s="161" t="s">
        <v>232</v>
      </c>
      <c r="D136" s="159"/>
    </row>
    <row r="137" spans="2:4">
      <c r="B137" s="161" t="s">
        <v>12</v>
      </c>
      <c r="D137" s="159"/>
    </row>
    <row r="138" spans="2:4">
      <c r="D138" s="159"/>
    </row>
  </sheetData>
  <sheetProtection password="F265" sheet="1" objects="1" scenarios="1" formatCells="0" insertColumns="0" insertRows="0" insertHyperlinks="0" deleteColumns="0" deleteRows="0" sort="0" autoFilter="0"/>
  <dataConsolidate/>
  <mergeCells count="40">
    <mergeCell ref="B2:E2"/>
    <mergeCell ref="B3:L3"/>
    <mergeCell ref="C4:L4"/>
    <mergeCell ref="M4:V4"/>
    <mergeCell ref="C5:L5"/>
    <mergeCell ref="M5:V5"/>
    <mergeCell ref="C6:L6"/>
    <mergeCell ref="M6:V6"/>
    <mergeCell ref="C7:L7"/>
    <mergeCell ref="B11:AA11"/>
    <mergeCell ref="B12:B15"/>
    <mergeCell ref="C12:C15"/>
    <mergeCell ref="D12:D15"/>
    <mergeCell ref="E12:E15"/>
    <mergeCell ref="F12:F15"/>
    <mergeCell ref="G12:M13"/>
    <mergeCell ref="N12:AA12"/>
    <mergeCell ref="N13:O14"/>
    <mergeCell ref="P13:Q14"/>
    <mergeCell ref="R13:S14"/>
    <mergeCell ref="T13:U14"/>
    <mergeCell ref="V13:W14"/>
    <mergeCell ref="X13:Y14"/>
    <mergeCell ref="Z13:AA14"/>
    <mergeCell ref="B76:M76"/>
    <mergeCell ref="B78:M78"/>
    <mergeCell ref="B80:M80"/>
    <mergeCell ref="B82:M82"/>
    <mergeCell ref="M14:M15"/>
    <mergeCell ref="B16:B46"/>
    <mergeCell ref="B49:B57"/>
    <mergeCell ref="B58:M58"/>
    <mergeCell ref="B60:B75"/>
    <mergeCell ref="D60:M75"/>
    <mergeCell ref="G14:G15"/>
    <mergeCell ref="H14:H15"/>
    <mergeCell ref="I14:I15"/>
    <mergeCell ref="J14:J15"/>
    <mergeCell ref="K14:K15"/>
    <mergeCell ref="L14:L15"/>
  </mergeCells>
  <conditionalFormatting sqref="O82 Q82 S82 U82 W82 Y82">
    <cfRule type="containsText" dxfId="1" priority="1" operator="containsText" text="TRUE">
      <formula>NOT(ISERROR(SEARCH("TRUE",O82)))</formula>
    </cfRule>
    <cfRule type="containsText" dxfId="0" priority="2" operator="containsText" text="FALSE">
      <formula>NOT(ISERROR(SEARCH("FALSE",O82)))</formula>
    </cfRule>
  </conditionalFormatting>
  <dataValidations count="26">
    <dataValidation allowBlank="1" showInputMessage="1" showErrorMessage="1" promptTitle="Criteria" prompt="Input total CDM Plan Target Gap" sqref="AA78"/>
    <dataValidation type="list" allowBlank="1" showInputMessage="1" showErrorMessage="1" promptTitle="Criteria" prompt="Select Program Name for each 2011-2014/15 Tier 1 Program for which projects will be completed in 2015." sqref="C60:C75">
      <formula1>$B$106:$B$123</formula1>
    </dataValidation>
    <dataValidation type="list" allowBlank="1" showInputMessage="1" showErrorMessage="1" sqref="C16:C46 C49">
      <formula1>$B$127:$B$139</formula1>
    </dataValidation>
    <dataValidation allowBlank="1" showInputMessage="1" showErrorMessage="1" promptTitle="Criteria" prompt="As per the CDM Plan Submission and Review Criteria Rules, a minimum incremental annual savings of 8.3% of total 2020 savings target is to be achieved in any year." sqref="B82:M82"/>
    <dataValidation allowBlank="1" showInputMessage="1" showErrorMessage="1" promptTitle="Criteria" prompt="For projects to be completed in 2015, yet funded from the 2011-2014 (and 2015 of 2011-2014 Master CDM Agreement) CDM Framework" sqref="B60:B75"/>
    <dataValidation type="list" allowBlank="1" showInputMessage="1" showErrorMessage="1" sqref="E59">
      <formula1>#REF!</formula1>
    </dataValidation>
    <dataValidation type="list" allowBlank="1" showInputMessage="1" showErrorMessage="1" sqref="C59 C50:C57">
      <formula1>$B$106:$B$124</formula1>
    </dataValidation>
    <dataValidation allowBlank="1" showInputMessage="1" showErrorMessage="1" promptTitle="Critera" prompt="Input programs by funding mechanism (Full Cost Recovery and Pay for Performance)" sqref="B12:B15"/>
    <dataValidation allowBlank="1" showInputMessage="1" showErrorMessage="1" promptTitle="Criteria" prompt="Select Program Name for each Approved Province Wide Program." sqref="C12:C15"/>
    <dataValidation allowBlank="1" showInputMessage="1" showErrorMessage="1" promptTitle="Criteria" prompt="Input Local, Regional or Pilot Program for which a business case has been approved by the IESO." sqref="D12:D15"/>
    <dataValidation allowBlank="1" showInputMessage="1" showErrorMessage="1" promptTitle="Criteria" prompt="Input estimated start date of Program (e.g., 01-Jan-2016)" sqref="F12:F15"/>
    <dataValidation allowBlank="1" showInputMessage="1" showErrorMessage="1" promptTitle="Criteria" prompt="Input proposed Program or Pilot name for which a business case has not been approved by the IESO and being considered by the LDC._x000a_" sqref="E12:E15"/>
    <dataValidation allowBlank="1" showInputMessage="1" showErrorMessage="1" promptTitle="Criteria" prompt="Portion of CDM Plan Target that the LDC reasonably expects, based on qualified independant advice as accepted by the OPA, could only be achieved with funding in addition to CDM Plan Budget. Refer to the CDM Plan Submission and Review Criteria Rules." sqref="B78:M78"/>
    <dataValidation allowBlank="1" showInputMessage="1" showErrorMessage="1" promptTitle="Criteria" prompt="Input estimated energy savings (MWh) for projects initiated in_x000a_the 2011-2014/2015 extension CDM framework which may be in-service between January 1, 2015 and January 31, 2015" sqref="O60:O75"/>
    <dataValidation type="list" allowBlank="1" showInputMessage="1" showErrorMessage="1" sqref="G16:M46 G49:M57">
      <formula1>$B$102:$B$102</formula1>
    </dataValidation>
    <dataValidation allowBlank="1" showInputMessage="1" showErrorMessage="1" promptTitle="Criteria:" prompt="Per the ECA and CDM Plan Submission and Criteria Rules, a minimum incremental annual savings of 8.3% of the total savings to be achieved by end December 31, 2020 is to be achieved in every year of the CDM Plan." sqref="S82 U82 W82 Y82 O82 Q82"/>
    <dataValidation type="list" allowBlank="1" showInputMessage="1" showErrorMessage="1" sqref="G59:M59 D59">
      <formula1>$B$102:$B$103</formula1>
    </dataValidation>
    <dataValidation allowBlank="1" showInputMessage="1" showErrorMessage="1" promptTitle="Criteria" prompt="Indicate segment(s) targetted by Program" sqref="G12:M13"/>
    <dataValidation allowBlank="1" showInputMessage="1" showErrorMessage="1" promptTitle="Note" prompt="Represents total savings from 2011-2014/15 CDM Framework which have in service dates after Jan 1, 2015" sqref="O76"/>
    <dataValidation allowBlank="1" showInputMessage="1" showErrorMessage="1" promptTitle="Criteria" prompt="Input total annual budget for Program.  Refer to Table 3 in CDM Cost Effectiveness Tool &quot;CDM Plan Summary&quot; tab." sqref="X15 V15 R15 N15 P15 T15"/>
    <dataValidation allowBlank="1" showInputMessage="1" showErrorMessage="1" promptTitle="Criteria" prompt="Input annual energy savings (MWh) for Program.  Refer to Table 3 in CDM Cost Effectiveness Tool &quot;CDM Plan Summary&quot; tab." sqref="Y15 W15 S15 O15 Q15 U15"/>
    <dataValidation allowBlank="1" showInputMessage="1" showErrorMessage="1" promptTitle="Criteria" prompt="Input annual Target Gap" sqref="X78 V78 R78 N78 P78 T78"/>
    <dataValidation allowBlank="1" showInputMessage="1" showErrorMessage="1" promptTitle="Criteria" prompt="Input additional annual funding requirements to acheive Target Gap" sqref="Y78 W78 S78 O78 Q78 U78"/>
    <dataValidation allowBlank="1" showInputMessage="1" showErrorMessage="1" promptTitle="Note" prompt="All funding should be part of the 2011-2014/2015 CDM Framework and not apply to the new 2015-2020 CDM Framwork" sqref="Z60:Z75 N60:N76"/>
    <dataValidation allowBlank="1" showInputMessage="1" showErrorMessage="1" promptTitle="Criteria" prompt="Input total persisting energy savings in 2020 for Program.  Refer to Table 3 in CDM Cost Effectiveness Tool &quot;CDM Plan Summary&quot; tab." sqref="AA15"/>
    <dataValidation allowBlank="1" showInputMessage="1" showErrorMessage="1" promptTitle="Criteria" prompt="Automatic summation of total 2015-2020 budget by Program." sqref="Z15"/>
  </dataValidations>
  <printOptions horizontalCentered="1" verticalCentered="1"/>
  <pageMargins left="0.70866141732283505" right="0.70866141732283505" top="0.51" bottom="0.54" header="0.25" footer="0.18"/>
  <pageSetup paperSize="5" scale="33" orientation="landscape" r:id="rId1"/>
  <headerFooter>
    <oddHeader>&amp;L&amp;"Times New Roman,Regular"&amp;12Conservation First Framework LDC Tool Kit&amp;R&amp;"Times New Roman,Regular"&amp;12Final v2 - January 30, 2015</oddHeader>
    <oddFooter>&amp;L&amp;G&amp;C&amp;"Times New Roman,Regular"&amp;12CDM Plan Template&amp;R&amp;"Times New Roman,Regular"&amp;12&amp;A
Page &amp;P of &amp;N</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130"/>
  <sheetViews>
    <sheetView zoomScaleNormal="100" workbookViewId="0">
      <selection activeCell="CX2" sqref="CX1:CX1048576"/>
    </sheetView>
  </sheetViews>
  <sheetFormatPr defaultRowHeight="14.5"/>
  <cols>
    <col min="1" max="1" width="12.1796875" customWidth="1"/>
    <col min="2" max="2" width="36.81640625" bestFit="1" customWidth="1"/>
    <col min="3" max="3" width="40.54296875" bestFit="1" customWidth="1"/>
    <col min="7" max="7" width="10.36328125" bestFit="1" customWidth="1"/>
    <col min="39" max="59" width="11.36328125" bestFit="1" customWidth="1"/>
    <col min="60" max="63" width="10.36328125" bestFit="1" customWidth="1"/>
    <col min="64" max="94" width="5.36328125" bestFit="1" customWidth="1"/>
    <col min="102" max="102" width="8.7265625" customWidth="1"/>
  </cols>
  <sheetData>
    <row r="1" spans="1:114" s="388" customFormat="1">
      <c r="F1" s="384"/>
      <c r="G1" s="412"/>
      <c r="I1" s="413"/>
      <c r="J1" s="413"/>
      <c r="O1" s="458" t="s">
        <v>446</v>
      </c>
      <c r="P1" s="459"/>
      <c r="Q1" s="459"/>
      <c r="R1" s="459"/>
      <c r="S1" s="459"/>
      <c r="T1" s="459"/>
      <c r="U1" s="459"/>
      <c r="V1" s="459"/>
      <c r="W1" s="459"/>
      <c r="X1" s="459"/>
      <c r="Y1" s="459"/>
      <c r="Z1" s="459"/>
      <c r="AA1" s="459"/>
      <c r="AB1" s="459"/>
      <c r="AC1" s="459"/>
      <c r="AD1" s="459"/>
      <c r="AE1" s="459"/>
      <c r="AF1" s="459"/>
      <c r="AG1" s="459"/>
      <c r="AH1" s="459"/>
      <c r="AI1" s="459"/>
      <c r="AJ1" s="459"/>
      <c r="AK1" s="459"/>
      <c r="AL1" s="459"/>
      <c r="AM1" s="459"/>
      <c r="AN1" s="967" t="s">
        <v>447</v>
      </c>
      <c r="AO1" s="967"/>
      <c r="AP1" s="967"/>
      <c r="AQ1" s="967"/>
      <c r="AR1" s="967"/>
      <c r="AS1" s="967"/>
      <c r="AT1" s="967"/>
      <c r="AU1" s="967"/>
      <c r="AV1" s="967"/>
      <c r="AW1" s="967"/>
      <c r="AX1" s="967"/>
      <c r="AY1" s="967"/>
      <c r="AZ1" s="967"/>
      <c r="BA1" s="967"/>
      <c r="BB1" s="967"/>
      <c r="BC1" s="967"/>
      <c r="BD1" s="967"/>
      <c r="BE1" s="967"/>
      <c r="BF1" s="967"/>
      <c r="BG1" s="967"/>
      <c r="BH1" s="967"/>
      <c r="BI1" s="967"/>
      <c r="BJ1" s="967"/>
      <c r="BK1" s="967"/>
      <c r="BL1" s="967"/>
      <c r="BM1" s="967" t="s">
        <v>448</v>
      </c>
      <c r="BN1" s="967"/>
      <c r="BO1" s="967"/>
      <c r="BP1" s="967"/>
      <c r="BQ1" s="967"/>
      <c r="BR1" s="967"/>
      <c r="BS1" s="967"/>
      <c r="BT1" s="967"/>
      <c r="BU1" s="967"/>
      <c r="BV1" s="967"/>
      <c r="BW1" s="967"/>
      <c r="BX1" s="967"/>
      <c r="BY1" s="967"/>
      <c r="BZ1" s="967"/>
      <c r="CA1" s="967"/>
      <c r="CB1" s="967"/>
      <c r="CC1" s="967"/>
      <c r="CD1" s="967"/>
      <c r="CE1" s="967"/>
      <c r="CF1" s="967"/>
      <c r="CG1" s="967"/>
      <c r="CH1" s="967"/>
      <c r="CI1" s="967"/>
      <c r="CJ1" s="967"/>
      <c r="CK1" s="967"/>
      <c r="CL1" s="967" t="s">
        <v>449</v>
      </c>
      <c r="CM1" s="967"/>
      <c r="CN1" s="967"/>
      <c r="CO1" s="967"/>
      <c r="CP1" s="967"/>
      <c r="CQ1" s="967"/>
      <c r="CR1" s="967"/>
      <c r="CS1" s="967"/>
      <c r="CT1" s="967"/>
      <c r="CU1" s="967"/>
      <c r="CV1" s="967"/>
      <c r="CW1" s="967"/>
      <c r="CX1" s="967"/>
      <c r="CY1" s="967"/>
      <c r="CZ1" s="967"/>
      <c r="DA1" s="967"/>
      <c r="DB1" s="967"/>
      <c r="DC1" s="967"/>
      <c r="DD1" s="967"/>
      <c r="DE1" s="967"/>
      <c r="DF1" s="967"/>
      <c r="DG1" s="967"/>
      <c r="DH1" s="967"/>
      <c r="DI1" s="967"/>
      <c r="DJ1" s="967"/>
    </row>
    <row r="2" spans="1:114" s="388" customFormat="1" ht="104">
      <c r="A2" s="414" t="s">
        <v>327</v>
      </c>
      <c r="B2" s="414" t="s">
        <v>328</v>
      </c>
      <c r="C2" s="414" t="s">
        <v>331</v>
      </c>
      <c r="D2" s="415" t="s">
        <v>340</v>
      </c>
      <c r="E2" s="414" t="s">
        <v>334</v>
      </c>
      <c r="F2" s="416" t="s">
        <v>450</v>
      </c>
      <c r="G2" s="417" t="s">
        <v>451</v>
      </c>
      <c r="H2" s="414" t="s">
        <v>452</v>
      </c>
      <c r="I2" s="418" t="s">
        <v>341</v>
      </c>
      <c r="J2" s="418" t="s">
        <v>342</v>
      </c>
      <c r="K2" s="419" t="s">
        <v>453</v>
      </c>
      <c r="L2" s="419" t="s">
        <v>454</v>
      </c>
      <c r="M2" s="419" t="s">
        <v>455</v>
      </c>
      <c r="N2" s="419" t="s">
        <v>477</v>
      </c>
      <c r="O2" s="420">
        <v>2015</v>
      </c>
      <c r="P2" s="420">
        <v>2016</v>
      </c>
      <c r="Q2" s="420">
        <v>2017</v>
      </c>
      <c r="R2" s="420">
        <v>2018</v>
      </c>
      <c r="S2" s="420">
        <v>2019</v>
      </c>
      <c r="T2" s="420">
        <v>2020</v>
      </c>
      <c r="U2" s="420">
        <v>2021</v>
      </c>
      <c r="V2" s="420">
        <v>2022</v>
      </c>
      <c r="W2" s="420">
        <v>2023</v>
      </c>
      <c r="X2" s="420">
        <v>2024</v>
      </c>
      <c r="Y2" s="420">
        <v>2025</v>
      </c>
      <c r="Z2" s="420">
        <v>2026</v>
      </c>
      <c r="AA2" s="420">
        <v>2027</v>
      </c>
      <c r="AB2" s="420">
        <v>2028</v>
      </c>
      <c r="AC2" s="420">
        <v>2029</v>
      </c>
      <c r="AD2" s="420">
        <v>2030</v>
      </c>
      <c r="AE2" s="420">
        <v>2031</v>
      </c>
      <c r="AF2" s="420">
        <v>2032</v>
      </c>
      <c r="AG2" s="420">
        <v>2033</v>
      </c>
      <c r="AH2" s="420">
        <v>2034</v>
      </c>
      <c r="AI2" s="420">
        <v>2035</v>
      </c>
      <c r="AJ2" s="420">
        <v>2036</v>
      </c>
      <c r="AK2" s="420">
        <v>2037</v>
      </c>
      <c r="AL2" s="420">
        <v>2038</v>
      </c>
      <c r="AM2" s="420">
        <v>2039</v>
      </c>
      <c r="AN2" s="420">
        <v>2015</v>
      </c>
      <c r="AO2" s="420">
        <v>2016</v>
      </c>
      <c r="AP2" s="420">
        <v>2017</v>
      </c>
      <c r="AQ2" s="420">
        <v>2018</v>
      </c>
      <c r="AR2" s="420">
        <v>2019</v>
      </c>
      <c r="AS2" s="420">
        <v>2020</v>
      </c>
      <c r="AT2" s="420">
        <v>2021</v>
      </c>
      <c r="AU2" s="420">
        <v>2022</v>
      </c>
      <c r="AV2" s="420">
        <v>2023</v>
      </c>
      <c r="AW2" s="420">
        <v>2024</v>
      </c>
      <c r="AX2" s="420">
        <v>2025</v>
      </c>
      <c r="AY2" s="420">
        <v>2026</v>
      </c>
      <c r="AZ2" s="420">
        <v>2027</v>
      </c>
      <c r="BA2" s="420">
        <v>2028</v>
      </c>
      <c r="BB2" s="420">
        <v>2029</v>
      </c>
      <c r="BC2" s="420">
        <v>2030</v>
      </c>
      <c r="BD2" s="420">
        <v>2031</v>
      </c>
      <c r="BE2" s="420">
        <v>2032</v>
      </c>
      <c r="BF2" s="420">
        <v>2033</v>
      </c>
      <c r="BG2" s="420">
        <v>2034</v>
      </c>
      <c r="BH2" s="420">
        <v>2035</v>
      </c>
      <c r="BI2" s="420">
        <v>2036</v>
      </c>
      <c r="BJ2" s="420">
        <v>2037</v>
      </c>
      <c r="BK2" s="420">
        <v>2038</v>
      </c>
      <c r="BL2" s="420">
        <v>2039</v>
      </c>
      <c r="BM2" s="420">
        <v>2015</v>
      </c>
      <c r="BN2" s="420">
        <v>2016</v>
      </c>
      <c r="BO2" s="420">
        <v>2017</v>
      </c>
      <c r="BP2" s="420">
        <v>2018</v>
      </c>
      <c r="BQ2" s="420">
        <v>2019</v>
      </c>
      <c r="BR2" s="420">
        <v>2020</v>
      </c>
      <c r="BS2" s="420">
        <v>2021</v>
      </c>
      <c r="BT2" s="420">
        <v>2022</v>
      </c>
      <c r="BU2" s="420">
        <v>2023</v>
      </c>
      <c r="BV2" s="420">
        <v>2024</v>
      </c>
      <c r="BW2" s="420">
        <v>2025</v>
      </c>
      <c r="BX2" s="420">
        <v>2026</v>
      </c>
      <c r="BY2" s="420">
        <v>2027</v>
      </c>
      <c r="BZ2" s="420">
        <v>2028</v>
      </c>
      <c r="CA2" s="420">
        <v>2029</v>
      </c>
      <c r="CB2" s="420">
        <v>2030</v>
      </c>
      <c r="CC2" s="420">
        <v>2031</v>
      </c>
      <c r="CD2" s="420">
        <v>2032</v>
      </c>
      <c r="CE2" s="420">
        <v>2033</v>
      </c>
      <c r="CF2" s="420">
        <v>2034</v>
      </c>
      <c r="CG2" s="420">
        <v>2035</v>
      </c>
      <c r="CH2" s="420">
        <v>2036</v>
      </c>
      <c r="CI2" s="420">
        <v>2037</v>
      </c>
      <c r="CJ2" s="420">
        <v>2038</v>
      </c>
      <c r="CK2" s="420">
        <v>2039</v>
      </c>
      <c r="CL2" s="420">
        <v>2015</v>
      </c>
      <c r="CM2" s="420">
        <v>2016</v>
      </c>
      <c r="CN2" s="420">
        <v>2017</v>
      </c>
      <c r="CO2" s="420">
        <v>2018</v>
      </c>
      <c r="CP2" s="420">
        <v>2019</v>
      </c>
      <c r="CQ2" s="420">
        <v>2020</v>
      </c>
      <c r="CR2" s="420">
        <v>2021</v>
      </c>
      <c r="CS2" s="420">
        <v>2022</v>
      </c>
      <c r="CT2" s="420">
        <v>2023</v>
      </c>
      <c r="CU2" s="420">
        <v>2024</v>
      </c>
      <c r="CV2" s="420">
        <v>2025</v>
      </c>
      <c r="CW2" s="420">
        <v>2026</v>
      </c>
      <c r="CX2" s="420"/>
      <c r="CY2" s="420"/>
      <c r="CZ2" s="420"/>
      <c r="DA2" s="420"/>
      <c r="DB2" s="420"/>
      <c r="DC2" s="420"/>
      <c r="DD2" s="420"/>
      <c r="DE2" s="420"/>
      <c r="DF2" s="420"/>
      <c r="DG2" s="420"/>
      <c r="DH2" s="420"/>
      <c r="DI2" s="420"/>
      <c r="DJ2" s="420"/>
    </row>
    <row r="3" spans="1:114" s="388" customFormat="1">
      <c r="A3" s="421" t="s">
        <v>370</v>
      </c>
      <c r="B3" s="421" t="s">
        <v>12</v>
      </c>
      <c r="C3" s="421" t="s">
        <v>373</v>
      </c>
      <c r="D3" s="422" t="s">
        <v>376</v>
      </c>
      <c r="E3" s="422">
        <v>2015</v>
      </c>
      <c r="F3" s="423">
        <v>10.976010430247717</v>
      </c>
      <c r="G3" s="424">
        <v>54941.441441441435</v>
      </c>
      <c r="H3" s="422">
        <v>11</v>
      </c>
      <c r="I3" s="425">
        <v>0.77700000000000002</v>
      </c>
      <c r="J3" s="425">
        <v>0.76700000000000002</v>
      </c>
      <c r="K3" s="422">
        <v>0</v>
      </c>
      <c r="L3" s="422">
        <v>0</v>
      </c>
      <c r="M3" s="422">
        <v>0</v>
      </c>
      <c r="N3" s="426">
        <v>52</v>
      </c>
      <c r="O3" s="426">
        <v>469.20385852090033</v>
      </c>
      <c r="P3" s="426">
        <v>469.20385852090033</v>
      </c>
      <c r="Q3" s="426">
        <v>469.20385852090033</v>
      </c>
      <c r="R3" s="426">
        <v>469.20385852090033</v>
      </c>
      <c r="S3" s="426">
        <v>469.20385852090033</v>
      </c>
      <c r="T3" s="426">
        <v>469.20385852090033</v>
      </c>
      <c r="U3" s="426">
        <v>469.20385852090033</v>
      </c>
      <c r="V3" s="426">
        <v>469.20385852090033</v>
      </c>
      <c r="W3" s="426">
        <v>469.20385852090033</v>
      </c>
      <c r="X3" s="426">
        <v>469.20385852090033</v>
      </c>
      <c r="Y3" s="426">
        <v>469.20385852090033</v>
      </c>
      <c r="Z3" s="426">
        <v>0</v>
      </c>
      <c r="AA3" s="426">
        <v>0</v>
      </c>
      <c r="AB3" s="426">
        <v>0</v>
      </c>
      <c r="AC3" s="426">
        <v>0</v>
      </c>
      <c r="AD3" s="426">
        <v>0</v>
      </c>
      <c r="AE3" s="426">
        <v>0</v>
      </c>
      <c r="AF3" s="426">
        <v>0</v>
      </c>
      <c r="AG3" s="426">
        <v>0</v>
      </c>
      <c r="AH3" s="426">
        <v>0</v>
      </c>
      <c r="AI3" s="426">
        <v>0</v>
      </c>
      <c r="AJ3" s="426">
        <v>0</v>
      </c>
      <c r="AK3" s="426">
        <v>0</v>
      </c>
      <c r="AL3" s="426">
        <v>0</v>
      </c>
      <c r="AM3" s="427">
        <v>0</v>
      </c>
      <c r="AN3" s="427">
        <v>2379264.7374062161</v>
      </c>
      <c r="AO3" s="427">
        <v>2379264.7374062161</v>
      </c>
      <c r="AP3" s="427">
        <v>2379264.7374062161</v>
      </c>
      <c r="AQ3" s="427">
        <v>2379264.7374062161</v>
      </c>
      <c r="AR3" s="427">
        <v>2379264.7374062161</v>
      </c>
      <c r="AS3" s="427">
        <v>2379264.7374062161</v>
      </c>
      <c r="AT3" s="427">
        <v>2379264.7374062161</v>
      </c>
      <c r="AU3" s="427">
        <v>2379264.7374062161</v>
      </c>
      <c r="AV3" s="427">
        <v>2379264.7374062161</v>
      </c>
      <c r="AW3" s="427">
        <v>2379264.7374062161</v>
      </c>
      <c r="AX3" s="427">
        <v>2379264.7374062161</v>
      </c>
      <c r="AY3" s="427">
        <v>0</v>
      </c>
      <c r="AZ3" s="427">
        <v>0</v>
      </c>
      <c r="BA3" s="427">
        <v>0</v>
      </c>
      <c r="BB3" s="427">
        <v>0</v>
      </c>
      <c r="BC3" s="427">
        <v>0</v>
      </c>
      <c r="BD3" s="427">
        <v>0</v>
      </c>
      <c r="BE3" s="427">
        <v>0</v>
      </c>
      <c r="BF3" s="427">
        <v>0</v>
      </c>
      <c r="BG3" s="427">
        <v>0</v>
      </c>
      <c r="BH3" s="427">
        <v>0</v>
      </c>
      <c r="BI3" s="427">
        <v>0</v>
      </c>
      <c r="BJ3" s="427">
        <v>0</v>
      </c>
      <c r="BK3" s="427">
        <v>0</v>
      </c>
      <c r="BL3" s="427">
        <v>0</v>
      </c>
      <c r="BM3" s="427">
        <v>0</v>
      </c>
      <c r="BN3" s="427">
        <v>0</v>
      </c>
      <c r="BO3" s="427">
        <v>0</v>
      </c>
      <c r="BP3" s="427">
        <v>0</v>
      </c>
      <c r="BQ3" s="427">
        <v>0</v>
      </c>
      <c r="BR3" s="427">
        <v>0</v>
      </c>
      <c r="BS3" s="427">
        <v>0</v>
      </c>
      <c r="BT3" s="427">
        <v>0</v>
      </c>
      <c r="BU3" s="427">
        <v>0</v>
      </c>
      <c r="BV3" s="427">
        <v>0</v>
      </c>
      <c r="BW3" s="427">
        <v>0</v>
      </c>
      <c r="BX3" s="427">
        <v>0</v>
      </c>
      <c r="BY3" s="427">
        <v>0</v>
      </c>
      <c r="BZ3" s="427">
        <v>0</v>
      </c>
      <c r="CA3" s="427">
        <v>0</v>
      </c>
      <c r="CB3" s="427">
        <v>0</v>
      </c>
      <c r="CC3" s="427">
        <v>0</v>
      </c>
      <c r="CD3" s="427">
        <v>0</v>
      </c>
      <c r="CE3" s="427">
        <v>0</v>
      </c>
      <c r="CF3" s="427">
        <v>0</v>
      </c>
      <c r="CG3" s="427">
        <v>0</v>
      </c>
      <c r="CH3" s="427">
        <v>0</v>
      </c>
      <c r="CI3" s="427">
        <v>0</v>
      </c>
      <c r="CJ3" s="427">
        <v>0</v>
      </c>
      <c r="CK3" s="428">
        <v>0</v>
      </c>
      <c r="CL3" s="428">
        <v>0</v>
      </c>
      <c r="CM3" s="428">
        <v>0</v>
      </c>
      <c r="CN3" s="428">
        <v>0</v>
      </c>
      <c r="CO3" s="428">
        <v>0</v>
      </c>
      <c r="CP3" s="428">
        <v>0</v>
      </c>
      <c r="CQ3" s="428">
        <v>0</v>
      </c>
      <c r="CR3" s="428">
        <v>0</v>
      </c>
      <c r="CS3" s="428">
        <v>0</v>
      </c>
      <c r="CT3" s="428">
        <v>0</v>
      </c>
      <c r="CU3" s="428">
        <v>0</v>
      </c>
      <c r="CV3" s="428">
        <v>0</v>
      </c>
      <c r="CW3" s="428">
        <v>0</v>
      </c>
      <c r="CX3" s="428"/>
      <c r="CY3" s="428"/>
      <c r="CZ3" s="428"/>
      <c r="DA3" s="428"/>
      <c r="DB3" s="428"/>
      <c r="DC3" s="428"/>
      <c r="DD3" s="428"/>
      <c r="DE3" s="428"/>
      <c r="DF3" s="428"/>
      <c r="DG3" s="428"/>
      <c r="DH3" s="428"/>
      <c r="DI3" s="428"/>
    </row>
    <row r="4" spans="1:114" s="388" customFormat="1">
      <c r="A4" s="421" t="s">
        <v>370</v>
      </c>
      <c r="B4" s="421" t="s">
        <v>12</v>
      </c>
      <c r="C4" s="421" t="s">
        <v>373</v>
      </c>
      <c r="D4" s="422" t="s">
        <v>376</v>
      </c>
      <c r="E4" s="422">
        <v>2016</v>
      </c>
      <c r="F4" s="423">
        <v>10.976010430247717</v>
      </c>
      <c r="G4" s="424">
        <v>54941.441441441435</v>
      </c>
      <c r="H4" s="422">
        <v>11</v>
      </c>
      <c r="I4" s="425">
        <v>0.77700000000000002</v>
      </c>
      <c r="J4" s="425">
        <v>0.76700000000000002</v>
      </c>
      <c r="K4" s="422">
        <v>0</v>
      </c>
      <c r="L4" s="422">
        <v>0</v>
      </c>
      <c r="M4" s="422">
        <v>0</v>
      </c>
      <c r="N4" s="426">
        <v>24</v>
      </c>
      <c r="O4" s="426">
        <v>0</v>
      </c>
      <c r="P4" s="426">
        <v>216.55562700964632</v>
      </c>
      <c r="Q4" s="426">
        <v>216.55562700964632</v>
      </c>
      <c r="R4" s="426">
        <v>216.55562700964632</v>
      </c>
      <c r="S4" s="426">
        <v>216.55562700964632</v>
      </c>
      <c r="T4" s="426">
        <v>216.55562700964632</v>
      </c>
      <c r="U4" s="426">
        <v>216.55562700964632</v>
      </c>
      <c r="V4" s="426">
        <v>216.55562700964632</v>
      </c>
      <c r="W4" s="426">
        <v>216.55562700964632</v>
      </c>
      <c r="X4" s="426">
        <v>216.55562700964632</v>
      </c>
      <c r="Y4" s="426">
        <v>216.55562700964632</v>
      </c>
      <c r="Z4" s="426">
        <v>216.55562700964632</v>
      </c>
      <c r="AA4" s="426">
        <v>0</v>
      </c>
      <c r="AB4" s="426">
        <v>0</v>
      </c>
      <c r="AC4" s="426">
        <v>0</v>
      </c>
      <c r="AD4" s="426">
        <v>0</v>
      </c>
      <c r="AE4" s="426">
        <v>0</v>
      </c>
      <c r="AF4" s="426">
        <v>0</v>
      </c>
      <c r="AG4" s="426">
        <v>0</v>
      </c>
      <c r="AH4" s="426">
        <v>0</v>
      </c>
      <c r="AI4" s="426">
        <v>0</v>
      </c>
      <c r="AJ4" s="426">
        <v>0</v>
      </c>
      <c r="AK4" s="426">
        <v>0</v>
      </c>
      <c r="AL4" s="426">
        <v>0</v>
      </c>
      <c r="AM4" s="427">
        <v>0</v>
      </c>
      <c r="AN4" s="427">
        <v>0</v>
      </c>
      <c r="AO4" s="427">
        <v>1098122.1864951765</v>
      </c>
      <c r="AP4" s="427">
        <v>1098122.1864951765</v>
      </c>
      <c r="AQ4" s="427">
        <v>1098122.1864951765</v>
      </c>
      <c r="AR4" s="427">
        <v>1098122.1864951765</v>
      </c>
      <c r="AS4" s="427">
        <v>1098122.1864951765</v>
      </c>
      <c r="AT4" s="427">
        <v>1098122.1864951765</v>
      </c>
      <c r="AU4" s="427">
        <v>1098122.1864951765</v>
      </c>
      <c r="AV4" s="427">
        <v>1098122.1864951765</v>
      </c>
      <c r="AW4" s="427">
        <v>1098122.1864951765</v>
      </c>
      <c r="AX4" s="427">
        <v>1098122.1864951765</v>
      </c>
      <c r="AY4" s="427">
        <v>1098122.1864951765</v>
      </c>
      <c r="AZ4" s="427">
        <v>0</v>
      </c>
      <c r="BA4" s="427">
        <v>0</v>
      </c>
      <c r="BB4" s="427">
        <v>0</v>
      </c>
      <c r="BC4" s="427">
        <v>0</v>
      </c>
      <c r="BD4" s="427">
        <v>0</v>
      </c>
      <c r="BE4" s="427">
        <v>0</v>
      </c>
      <c r="BF4" s="427">
        <v>0</v>
      </c>
      <c r="BG4" s="427">
        <v>0</v>
      </c>
      <c r="BH4" s="427">
        <v>0</v>
      </c>
      <c r="BI4" s="427">
        <v>0</v>
      </c>
      <c r="BJ4" s="427">
        <v>0</v>
      </c>
      <c r="BK4" s="427">
        <v>0</v>
      </c>
      <c r="BL4" s="427">
        <v>0</v>
      </c>
      <c r="BM4" s="427">
        <v>0</v>
      </c>
      <c r="BN4" s="427">
        <v>0</v>
      </c>
      <c r="BO4" s="427">
        <v>0</v>
      </c>
      <c r="BP4" s="427">
        <v>0</v>
      </c>
      <c r="BQ4" s="427">
        <v>0</v>
      </c>
      <c r="BR4" s="427">
        <v>0</v>
      </c>
      <c r="BS4" s="427">
        <v>0</v>
      </c>
      <c r="BT4" s="427">
        <v>0</v>
      </c>
      <c r="BU4" s="427">
        <v>0</v>
      </c>
      <c r="BV4" s="427">
        <v>0</v>
      </c>
      <c r="BW4" s="427">
        <v>0</v>
      </c>
      <c r="BX4" s="427">
        <v>0</v>
      </c>
      <c r="BY4" s="427">
        <v>0</v>
      </c>
      <c r="BZ4" s="427">
        <v>0</v>
      </c>
      <c r="CA4" s="427">
        <v>0</v>
      </c>
      <c r="CB4" s="427">
        <v>0</v>
      </c>
      <c r="CC4" s="427">
        <v>0</v>
      </c>
      <c r="CD4" s="427">
        <v>0</v>
      </c>
      <c r="CE4" s="427">
        <v>0</v>
      </c>
      <c r="CF4" s="427">
        <v>0</v>
      </c>
      <c r="CG4" s="427">
        <v>0</v>
      </c>
      <c r="CH4" s="427">
        <v>0</v>
      </c>
      <c r="CI4" s="427">
        <v>0</v>
      </c>
      <c r="CJ4" s="427">
        <v>0</v>
      </c>
      <c r="CK4" s="428">
        <v>0</v>
      </c>
      <c r="CL4" s="428">
        <v>0</v>
      </c>
      <c r="CM4" s="428">
        <v>0</v>
      </c>
      <c r="CN4" s="428">
        <v>0</v>
      </c>
      <c r="CO4" s="428">
        <v>0</v>
      </c>
      <c r="CP4" s="428">
        <v>0</v>
      </c>
      <c r="CQ4" s="428">
        <v>0</v>
      </c>
      <c r="CR4" s="428">
        <v>0</v>
      </c>
      <c r="CS4" s="428">
        <v>0</v>
      </c>
      <c r="CT4" s="428">
        <v>0</v>
      </c>
      <c r="CU4" s="428">
        <v>0</v>
      </c>
      <c r="CV4" s="428">
        <v>0</v>
      </c>
      <c r="CW4" s="428">
        <v>0</v>
      </c>
      <c r="CX4" s="428"/>
      <c r="CY4" s="428"/>
      <c r="CZ4" s="428"/>
      <c r="DA4" s="428"/>
      <c r="DB4" s="428"/>
      <c r="DC4" s="428"/>
      <c r="DD4" s="428"/>
      <c r="DE4" s="428"/>
      <c r="DF4" s="428"/>
      <c r="DG4" s="428"/>
      <c r="DH4" s="428"/>
      <c r="DI4" s="428"/>
    </row>
    <row r="5" spans="1:114" s="388" customFormat="1">
      <c r="A5" s="421" t="s">
        <v>370</v>
      </c>
      <c r="B5" s="421" t="s">
        <v>12</v>
      </c>
      <c r="C5" s="421" t="s">
        <v>373</v>
      </c>
      <c r="D5" s="422" t="s">
        <v>376</v>
      </c>
      <c r="E5" s="422">
        <v>2017</v>
      </c>
      <c r="F5" s="423">
        <v>10.976010430247717</v>
      </c>
      <c r="G5" s="424">
        <v>54941.441441441435</v>
      </c>
      <c r="H5" s="422">
        <v>11</v>
      </c>
      <c r="I5" s="425">
        <v>0.77700000000000002</v>
      </c>
      <c r="J5" s="425">
        <v>0.76700000000000002</v>
      </c>
      <c r="K5" s="422">
        <v>0</v>
      </c>
      <c r="L5" s="422">
        <v>0</v>
      </c>
      <c r="M5" s="422">
        <v>0</v>
      </c>
      <c r="N5" s="426">
        <v>24</v>
      </c>
      <c r="O5" s="426">
        <v>0</v>
      </c>
      <c r="P5" s="426">
        <v>0</v>
      </c>
      <c r="Q5" s="426">
        <v>216.55562700964632</v>
      </c>
      <c r="R5" s="426">
        <v>216.55562700964632</v>
      </c>
      <c r="S5" s="426">
        <v>216.55562700964632</v>
      </c>
      <c r="T5" s="426">
        <v>216.55562700964632</v>
      </c>
      <c r="U5" s="426">
        <v>216.55562700964632</v>
      </c>
      <c r="V5" s="426">
        <v>216.55562700964632</v>
      </c>
      <c r="W5" s="426">
        <v>216.55562700964632</v>
      </c>
      <c r="X5" s="426">
        <v>216.55562700964632</v>
      </c>
      <c r="Y5" s="426">
        <v>216.55562700964632</v>
      </c>
      <c r="Z5" s="426">
        <v>216.55562700964632</v>
      </c>
      <c r="AA5" s="426">
        <v>216.55562700964632</v>
      </c>
      <c r="AB5" s="426">
        <v>0</v>
      </c>
      <c r="AC5" s="426">
        <v>0</v>
      </c>
      <c r="AD5" s="426">
        <v>0</v>
      </c>
      <c r="AE5" s="426">
        <v>0</v>
      </c>
      <c r="AF5" s="426">
        <v>0</v>
      </c>
      <c r="AG5" s="426">
        <v>0</v>
      </c>
      <c r="AH5" s="426">
        <v>0</v>
      </c>
      <c r="AI5" s="426">
        <v>0</v>
      </c>
      <c r="AJ5" s="426">
        <v>0</v>
      </c>
      <c r="AK5" s="426">
        <v>0</v>
      </c>
      <c r="AL5" s="426">
        <v>0</v>
      </c>
      <c r="AM5" s="427">
        <v>0</v>
      </c>
      <c r="AN5" s="427">
        <v>0</v>
      </c>
      <c r="AO5" s="427">
        <v>0</v>
      </c>
      <c r="AP5" s="427">
        <v>1098122.1864951765</v>
      </c>
      <c r="AQ5" s="427">
        <v>1098122.1864951765</v>
      </c>
      <c r="AR5" s="427">
        <v>1098122.1864951765</v>
      </c>
      <c r="AS5" s="427">
        <v>1098122.1864951765</v>
      </c>
      <c r="AT5" s="427">
        <v>1098122.1864951765</v>
      </c>
      <c r="AU5" s="427">
        <v>1098122.1864951765</v>
      </c>
      <c r="AV5" s="427">
        <v>1098122.1864951765</v>
      </c>
      <c r="AW5" s="427">
        <v>1098122.1864951765</v>
      </c>
      <c r="AX5" s="427">
        <v>1098122.1864951765</v>
      </c>
      <c r="AY5" s="427">
        <v>1098122.1864951765</v>
      </c>
      <c r="AZ5" s="427">
        <v>1098122.1864951765</v>
      </c>
      <c r="BA5" s="427">
        <v>0</v>
      </c>
      <c r="BB5" s="427">
        <v>0</v>
      </c>
      <c r="BC5" s="427">
        <v>0</v>
      </c>
      <c r="BD5" s="427">
        <v>0</v>
      </c>
      <c r="BE5" s="427">
        <v>0</v>
      </c>
      <c r="BF5" s="427">
        <v>0</v>
      </c>
      <c r="BG5" s="427">
        <v>0</v>
      </c>
      <c r="BH5" s="427">
        <v>0</v>
      </c>
      <c r="BI5" s="427">
        <v>0</v>
      </c>
      <c r="BJ5" s="427">
        <v>0</v>
      </c>
      <c r="BK5" s="427">
        <v>0</v>
      </c>
      <c r="BL5" s="427">
        <v>0</v>
      </c>
      <c r="BM5" s="427">
        <v>0</v>
      </c>
      <c r="BN5" s="427">
        <v>0</v>
      </c>
      <c r="BO5" s="427">
        <v>0</v>
      </c>
      <c r="BP5" s="427">
        <v>0</v>
      </c>
      <c r="BQ5" s="427">
        <v>0</v>
      </c>
      <c r="BR5" s="427">
        <v>0</v>
      </c>
      <c r="BS5" s="427">
        <v>0</v>
      </c>
      <c r="BT5" s="427">
        <v>0</v>
      </c>
      <c r="BU5" s="427">
        <v>0</v>
      </c>
      <c r="BV5" s="427">
        <v>0</v>
      </c>
      <c r="BW5" s="427">
        <v>0</v>
      </c>
      <c r="BX5" s="427">
        <v>0</v>
      </c>
      <c r="BY5" s="427">
        <v>0</v>
      </c>
      <c r="BZ5" s="427">
        <v>0</v>
      </c>
      <c r="CA5" s="427">
        <v>0</v>
      </c>
      <c r="CB5" s="427">
        <v>0</v>
      </c>
      <c r="CC5" s="427">
        <v>0</v>
      </c>
      <c r="CD5" s="427">
        <v>0</v>
      </c>
      <c r="CE5" s="427">
        <v>0</v>
      </c>
      <c r="CF5" s="427">
        <v>0</v>
      </c>
      <c r="CG5" s="427">
        <v>0</v>
      </c>
      <c r="CH5" s="427">
        <v>0</v>
      </c>
      <c r="CI5" s="427">
        <v>0</v>
      </c>
      <c r="CJ5" s="427">
        <v>0</v>
      </c>
      <c r="CK5" s="428">
        <v>0</v>
      </c>
      <c r="CL5" s="428">
        <v>0</v>
      </c>
      <c r="CM5" s="428">
        <v>0</v>
      </c>
      <c r="CN5" s="428">
        <v>0</v>
      </c>
      <c r="CO5" s="428">
        <v>0</v>
      </c>
      <c r="CP5" s="428">
        <v>0</v>
      </c>
      <c r="CQ5" s="428">
        <v>0</v>
      </c>
      <c r="CR5" s="428">
        <v>0</v>
      </c>
      <c r="CS5" s="428">
        <v>0</v>
      </c>
      <c r="CT5" s="428">
        <v>0</v>
      </c>
      <c r="CU5" s="428">
        <v>0</v>
      </c>
      <c r="CV5" s="428">
        <v>0</v>
      </c>
      <c r="CW5" s="428">
        <v>0</v>
      </c>
      <c r="CX5" s="428"/>
      <c r="CY5" s="428"/>
      <c r="CZ5" s="428"/>
      <c r="DA5" s="428"/>
      <c r="DB5" s="428"/>
      <c r="DC5" s="428"/>
      <c r="DD5" s="428"/>
      <c r="DE5" s="428"/>
      <c r="DF5" s="428"/>
      <c r="DG5" s="428"/>
      <c r="DH5" s="428"/>
      <c r="DI5" s="428"/>
    </row>
    <row r="6" spans="1:114" s="388" customFormat="1">
      <c r="A6" s="421" t="s">
        <v>370</v>
      </c>
      <c r="B6" s="421" t="s">
        <v>12</v>
      </c>
      <c r="C6" s="421" t="s">
        <v>373</v>
      </c>
      <c r="D6" s="422" t="s">
        <v>376</v>
      </c>
      <c r="E6" s="422">
        <v>2018</v>
      </c>
      <c r="F6" s="423">
        <v>10.976010430247717</v>
      </c>
      <c r="G6" s="424">
        <v>54941.441441441435</v>
      </c>
      <c r="H6" s="422">
        <v>11</v>
      </c>
      <c r="I6" s="425">
        <v>0.77700000000000002</v>
      </c>
      <c r="J6" s="425">
        <v>0.76700000000000002</v>
      </c>
      <c r="K6" s="422">
        <v>0</v>
      </c>
      <c r="L6" s="422">
        <v>0</v>
      </c>
      <c r="M6" s="422">
        <v>0</v>
      </c>
      <c r="N6" s="426">
        <v>26</v>
      </c>
      <c r="O6" s="426">
        <v>0</v>
      </c>
      <c r="P6" s="426">
        <v>0</v>
      </c>
      <c r="Q6" s="426">
        <v>0</v>
      </c>
      <c r="R6" s="426">
        <v>234.60192926045016</v>
      </c>
      <c r="S6" s="426">
        <v>234.60192926045016</v>
      </c>
      <c r="T6" s="426">
        <v>234.60192926045016</v>
      </c>
      <c r="U6" s="426">
        <v>234.60192926045016</v>
      </c>
      <c r="V6" s="426">
        <v>234.60192926045016</v>
      </c>
      <c r="W6" s="426">
        <v>234.60192926045016</v>
      </c>
      <c r="X6" s="426">
        <v>234.60192926045016</v>
      </c>
      <c r="Y6" s="426">
        <v>234.60192926045016</v>
      </c>
      <c r="Z6" s="426">
        <v>234.60192926045016</v>
      </c>
      <c r="AA6" s="426">
        <v>234.60192926045016</v>
      </c>
      <c r="AB6" s="426">
        <v>234.60192926045016</v>
      </c>
      <c r="AC6" s="426">
        <v>0</v>
      </c>
      <c r="AD6" s="426">
        <v>0</v>
      </c>
      <c r="AE6" s="426">
        <v>0</v>
      </c>
      <c r="AF6" s="426">
        <v>0</v>
      </c>
      <c r="AG6" s="426">
        <v>0</v>
      </c>
      <c r="AH6" s="426">
        <v>0</v>
      </c>
      <c r="AI6" s="426">
        <v>0</v>
      </c>
      <c r="AJ6" s="426">
        <v>0</v>
      </c>
      <c r="AK6" s="426">
        <v>0</v>
      </c>
      <c r="AL6" s="426">
        <v>0</v>
      </c>
      <c r="AM6" s="427">
        <v>0</v>
      </c>
      <c r="AN6" s="427">
        <v>0</v>
      </c>
      <c r="AO6" s="427">
        <v>0</v>
      </c>
      <c r="AP6" s="427">
        <v>0</v>
      </c>
      <c r="AQ6" s="427">
        <v>1189632.368703108</v>
      </c>
      <c r="AR6" s="427">
        <v>1189632.368703108</v>
      </c>
      <c r="AS6" s="427">
        <v>1189632.368703108</v>
      </c>
      <c r="AT6" s="427">
        <v>1189632.368703108</v>
      </c>
      <c r="AU6" s="427">
        <v>1189632.368703108</v>
      </c>
      <c r="AV6" s="427">
        <v>1189632.368703108</v>
      </c>
      <c r="AW6" s="427">
        <v>1189632.368703108</v>
      </c>
      <c r="AX6" s="427">
        <v>1189632.368703108</v>
      </c>
      <c r="AY6" s="427">
        <v>1189632.368703108</v>
      </c>
      <c r="AZ6" s="427">
        <v>1189632.368703108</v>
      </c>
      <c r="BA6" s="427">
        <v>1189632.368703108</v>
      </c>
      <c r="BB6" s="427">
        <v>0</v>
      </c>
      <c r="BC6" s="427">
        <v>0</v>
      </c>
      <c r="BD6" s="427">
        <v>0</v>
      </c>
      <c r="BE6" s="427">
        <v>0</v>
      </c>
      <c r="BF6" s="427">
        <v>0</v>
      </c>
      <c r="BG6" s="427">
        <v>0</v>
      </c>
      <c r="BH6" s="427">
        <v>0</v>
      </c>
      <c r="BI6" s="427">
        <v>0</v>
      </c>
      <c r="BJ6" s="427">
        <v>0</v>
      </c>
      <c r="BK6" s="427">
        <v>0</v>
      </c>
      <c r="BL6" s="427">
        <v>0</v>
      </c>
      <c r="BM6" s="427">
        <v>0</v>
      </c>
      <c r="BN6" s="427">
        <v>0</v>
      </c>
      <c r="BO6" s="427">
        <v>0</v>
      </c>
      <c r="BP6" s="427">
        <v>0</v>
      </c>
      <c r="BQ6" s="427">
        <v>0</v>
      </c>
      <c r="BR6" s="427">
        <v>0</v>
      </c>
      <c r="BS6" s="427">
        <v>0</v>
      </c>
      <c r="BT6" s="427">
        <v>0</v>
      </c>
      <c r="BU6" s="427">
        <v>0</v>
      </c>
      <c r="BV6" s="427">
        <v>0</v>
      </c>
      <c r="BW6" s="427">
        <v>0</v>
      </c>
      <c r="BX6" s="427">
        <v>0</v>
      </c>
      <c r="BY6" s="427">
        <v>0</v>
      </c>
      <c r="BZ6" s="427">
        <v>0</v>
      </c>
      <c r="CA6" s="427">
        <v>0</v>
      </c>
      <c r="CB6" s="427">
        <v>0</v>
      </c>
      <c r="CC6" s="427">
        <v>0</v>
      </c>
      <c r="CD6" s="427">
        <v>0</v>
      </c>
      <c r="CE6" s="427">
        <v>0</v>
      </c>
      <c r="CF6" s="427">
        <v>0</v>
      </c>
      <c r="CG6" s="427">
        <v>0</v>
      </c>
      <c r="CH6" s="427">
        <v>0</v>
      </c>
      <c r="CI6" s="427">
        <v>0</v>
      </c>
      <c r="CJ6" s="427">
        <v>0</v>
      </c>
      <c r="CK6" s="428">
        <v>0</v>
      </c>
      <c r="CL6" s="428">
        <v>0</v>
      </c>
      <c r="CM6" s="428">
        <v>0</v>
      </c>
      <c r="CN6" s="428">
        <v>0</v>
      </c>
      <c r="CO6" s="428">
        <v>0</v>
      </c>
      <c r="CP6" s="428">
        <v>0</v>
      </c>
      <c r="CQ6" s="428">
        <v>0</v>
      </c>
      <c r="CR6" s="428">
        <v>0</v>
      </c>
      <c r="CS6" s="428">
        <v>0</v>
      </c>
      <c r="CT6" s="428">
        <v>0</v>
      </c>
      <c r="CU6" s="428">
        <v>0</v>
      </c>
      <c r="CV6" s="428">
        <v>0</v>
      </c>
      <c r="CW6" s="428">
        <v>0</v>
      </c>
      <c r="CX6" s="428"/>
      <c r="CY6" s="428"/>
      <c r="CZ6" s="428"/>
      <c r="DA6" s="428"/>
      <c r="DB6" s="428"/>
      <c r="DC6" s="428"/>
      <c r="DD6" s="428"/>
      <c r="DE6" s="428"/>
      <c r="DF6" s="428"/>
      <c r="DG6" s="428"/>
      <c r="DH6" s="428"/>
      <c r="DI6" s="428"/>
    </row>
    <row r="7" spans="1:114" s="388" customFormat="1">
      <c r="A7" s="421" t="s">
        <v>370</v>
      </c>
      <c r="B7" s="421" t="s">
        <v>12</v>
      </c>
      <c r="C7" s="421" t="s">
        <v>373</v>
      </c>
      <c r="D7" s="422" t="s">
        <v>376</v>
      </c>
      <c r="E7" s="422">
        <v>2019</v>
      </c>
      <c r="F7" s="423">
        <v>10.976010430247717</v>
      </c>
      <c r="G7" s="424">
        <v>54941.441441441435</v>
      </c>
      <c r="H7" s="422">
        <v>11</v>
      </c>
      <c r="I7" s="425">
        <v>0.77700000000000002</v>
      </c>
      <c r="J7" s="425">
        <v>0.76700000000000002</v>
      </c>
      <c r="K7" s="422">
        <v>0</v>
      </c>
      <c r="L7" s="422">
        <v>0</v>
      </c>
      <c r="M7" s="422">
        <v>0</v>
      </c>
      <c r="N7" s="426">
        <v>28</v>
      </c>
      <c r="O7" s="426">
        <v>0</v>
      </c>
      <c r="P7" s="426">
        <v>0</v>
      </c>
      <c r="Q7" s="426">
        <v>0</v>
      </c>
      <c r="R7" s="426">
        <v>0</v>
      </c>
      <c r="S7" s="426">
        <v>252.64823151125401</v>
      </c>
      <c r="T7" s="426">
        <v>252.64823151125401</v>
      </c>
      <c r="U7" s="426">
        <v>252.64823151125401</v>
      </c>
      <c r="V7" s="426">
        <v>252.64823151125401</v>
      </c>
      <c r="W7" s="426">
        <v>252.64823151125401</v>
      </c>
      <c r="X7" s="426">
        <v>252.64823151125401</v>
      </c>
      <c r="Y7" s="426">
        <v>252.64823151125401</v>
      </c>
      <c r="Z7" s="426">
        <v>252.64823151125401</v>
      </c>
      <c r="AA7" s="426">
        <v>252.64823151125401</v>
      </c>
      <c r="AB7" s="426">
        <v>252.64823151125401</v>
      </c>
      <c r="AC7" s="426">
        <v>252.64823151125401</v>
      </c>
      <c r="AD7" s="426">
        <v>0</v>
      </c>
      <c r="AE7" s="426">
        <v>0</v>
      </c>
      <c r="AF7" s="426">
        <v>0</v>
      </c>
      <c r="AG7" s="426">
        <v>0</v>
      </c>
      <c r="AH7" s="426">
        <v>0</v>
      </c>
      <c r="AI7" s="426">
        <v>0</v>
      </c>
      <c r="AJ7" s="426">
        <v>0</v>
      </c>
      <c r="AK7" s="426">
        <v>0</v>
      </c>
      <c r="AL7" s="426">
        <v>0</v>
      </c>
      <c r="AM7" s="427">
        <v>0</v>
      </c>
      <c r="AN7" s="427">
        <v>0</v>
      </c>
      <c r="AO7" s="427">
        <v>0</v>
      </c>
      <c r="AP7" s="427">
        <v>0</v>
      </c>
      <c r="AQ7" s="427">
        <v>0</v>
      </c>
      <c r="AR7" s="427">
        <v>1281142.5509110393</v>
      </c>
      <c r="AS7" s="427">
        <v>1281142.5509110393</v>
      </c>
      <c r="AT7" s="427">
        <v>1281142.5509110393</v>
      </c>
      <c r="AU7" s="427">
        <v>1281142.5509110393</v>
      </c>
      <c r="AV7" s="427">
        <v>1281142.5509110393</v>
      </c>
      <c r="AW7" s="427">
        <v>1281142.5509110393</v>
      </c>
      <c r="AX7" s="427">
        <v>1281142.5509110393</v>
      </c>
      <c r="AY7" s="427">
        <v>1281142.5509110393</v>
      </c>
      <c r="AZ7" s="427">
        <v>1281142.5509110393</v>
      </c>
      <c r="BA7" s="427">
        <v>1281142.5509110393</v>
      </c>
      <c r="BB7" s="427">
        <v>1281142.5509110393</v>
      </c>
      <c r="BC7" s="427">
        <v>0</v>
      </c>
      <c r="BD7" s="427">
        <v>0</v>
      </c>
      <c r="BE7" s="427">
        <v>0</v>
      </c>
      <c r="BF7" s="427">
        <v>0</v>
      </c>
      <c r="BG7" s="427">
        <v>0</v>
      </c>
      <c r="BH7" s="427">
        <v>0</v>
      </c>
      <c r="BI7" s="427">
        <v>0</v>
      </c>
      <c r="BJ7" s="427">
        <v>0</v>
      </c>
      <c r="BK7" s="427">
        <v>0</v>
      </c>
      <c r="BL7" s="427">
        <v>0</v>
      </c>
      <c r="BM7" s="427">
        <v>0</v>
      </c>
      <c r="BN7" s="427">
        <v>0</v>
      </c>
      <c r="BO7" s="427">
        <v>0</v>
      </c>
      <c r="BP7" s="427">
        <v>0</v>
      </c>
      <c r="BQ7" s="427">
        <v>0</v>
      </c>
      <c r="BR7" s="427">
        <v>0</v>
      </c>
      <c r="BS7" s="427">
        <v>0</v>
      </c>
      <c r="BT7" s="427">
        <v>0</v>
      </c>
      <c r="BU7" s="427">
        <v>0</v>
      </c>
      <c r="BV7" s="427">
        <v>0</v>
      </c>
      <c r="BW7" s="427">
        <v>0</v>
      </c>
      <c r="BX7" s="427">
        <v>0</v>
      </c>
      <c r="BY7" s="427">
        <v>0</v>
      </c>
      <c r="BZ7" s="427">
        <v>0</v>
      </c>
      <c r="CA7" s="427">
        <v>0</v>
      </c>
      <c r="CB7" s="427">
        <v>0</v>
      </c>
      <c r="CC7" s="427">
        <v>0</v>
      </c>
      <c r="CD7" s="427">
        <v>0</v>
      </c>
      <c r="CE7" s="427">
        <v>0</v>
      </c>
      <c r="CF7" s="427">
        <v>0</v>
      </c>
      <c r="CG7" s="427">
        <v>0</v>
      </c>
      <c r="CH7" s="427">
        <v>0</v>
      </c>
      <c r="CI7" s="427">
        <v>0</v>
      </c>
      <c r="CJ7" s="427">
        <v>0</v>
      </c>
      <c r="CK7" s="428">
        <v>0</v>
      </c>
      <c r="CL7" s="428">
        <v>0</v>
      </c>
      <c r="CM7" s="428">
        <v>0</v>
      </c>
      <c r="CN7" s="428">
        <v>0</v>
      </c>
      <c r="CO7" s="428">
        <v>0</v>
      </c>
      <c r="CP7" s="428">
        <v>0</v>
      </c>
      <c r="CQ7" s="428">
        <v>0</v>
      </c>
      <c r="CR7" s="428">
        <v>0</v>
      </c>
      <c r="CS7" s="428">
        <v>0</v>
      </c>
      <c r="CT7" s="428">
        <v>0</v>
      </c>
      <c r="CU7" s="428">
        <v>0</v>
      </c>
      <c r="CV7" s="428">
        <v>0</v>
      </c>
      <c r="CW7" s="428">
        <v>0</v>
      </c>
      <c r="CX7" s="428"/>
      <c r="CY7" s="428"/>
      <c r="CZ7" s="428"/>
      <c r="DA7" s="428"/>
      <c r="DB7" s="428"/>
      <c r="DC7" s="428"/>
      <c r="DD7" s="428"/>
      <c r="DE7" s="428"/>
      <c r="DF7" s="428"/>
      <c r="DG7" s="428"/>
      <c r="DH7" s="428"/>
      <c r="DI7" s="428"/>
    </row>
    <row r="8" spans="1:114" s="388" customFormat="1">
      <c r="A8" s="421" t="s">
        <v>370</v>
      </c>
      <c r="B8" s="421" t="s">
        <v>12</v>
      </c>
      <c r="C8" s="421" t="s">
        <v>373</v>
      </c>
      <c r="D8" s="422" t="s">
        <v>376</v>
      </c>
      <c r="E8" s="422">
        <v>2020</v>
      </c>
      <c r="F8" s="423">
        <v>10.976010430247717</v>
      </c>
      <c r="G8" s="424">
        <v>54941.441441441435</v>
      </c>
      <c r="H8" s="422">
        <v>11</v>
      </c>
      <c r="I8" s="425">
        <v>0.77700000000000002</v>
      </c>
      <c r="J8" s="425">
        <v>0.76700000000000002</v>
      </c>
      <c r="K8" s="422">
        <v>0</v>
      </c>
      <c r="L8" s="422">
        <v>0</v>
      </c>
      <c r="M8" s="422">
        <v>0</v>
      </c>
      <c r="N8" s="426">
        <v>30</v>
      </c>
      <c r="O8" s="426">
        <v>0</v>
      </c>
      <c r="P8" s="426">
        <v>0</v>
      </c>
      <c r="Q8" s="426">
        <v>0</v>
      </c>
      <c r="R8" s="426">
        <v>0</v>
      </c>
      <c r="S8" s="426">
        <v>0</v>
      </c>
      <c r="T8" s="426">
        <v>270.69453376205786</v>
      </c>
      <c r="U8" s="426">
        <v>270.69453376205786</v>
      </c>
      <c r="V8" s="426">
        <v>270.69453376205786</v>
      </c>
      <c r="W8" s="426">
        <v>270.69453376205786</v>
      </c>
      <c r="X8" s="426">
        <v>270.69453376205786</v>
      </c>
      <c r="Y8" s="426">
        <v>270.69453376205786</v>
      </c>
      <c r="Z8" s="426">
        <v>270.69453376205786</v>
      </c>
      <c r="AA8" s="426">
        <v>270.69453376205786</v>
      </c>
      <c r="AB8" s="426">
        <v>270.69453376205786</v>
      </c>
      <c r="AC8" s="426">
        <v>270.69453376205786</v>
      </c>
      <c r="AD8" s="426">
        <v>270.69453376205786</v>
      </c>
      <c r="AE8" s="426">
        <v>0</v>
      </c>
      <c r="AF8" s="426">
        <v>0</v>
      </c>
      <c r="AG8" s="426">
        <v>0</v>
      </c>
      <c r="AH8" s="426">
        <v>0</v>
      </c>
      <c r="AI8" s="426">
        <v>0</v>
      </c>
      <c r="AJ8" s="426">
        <v>0</v>
      </c>
      <c r="AK8" s="426">
        <v>0</v>
      </c>
      <c r="AL8" s="426">
        <v>0</v>
      </c>
      <c r="AM8" s="427">
        <v>0</v>
      </c>
      <c r="AN8" s="427">
        <v>0</v>
      </c>
      <c r="AO8" s="427">
        <v>0</v>
      </c>
      <c r="AP8" s="427">
        <v>0</v>
      </c>
      <c r="AQ8" s="427">
        <v>0</v>
      </c>
      <c r="AR8" s="427">
        <v>0</v>
      </c>
      <c r="AS8" s="427">
        <v>1372652.7331189709</v>
      </c>
      <c r="AT8" s="427">
        <v>1372652.7331189709</v>
      </c>
      <c r="AU8" s="427">
        <v>1372652.7331189709</v>
      </c>
      <c r="AV8" s="427">
        <v>1372652.7331189709</v>
      </c>
      <c r="AW8" s="427">
        <v>1372652.7331189709</v>
      </c>
      <c r="AX8" s="427">
        <v>1372652.7331189709</v>
      </c>
      <c r="AY8" s="427">
        <v>1372652.7331189709</v>
      </c>
      <c r="AZ8" s="427">
        <v>1372652.7331189709</v>
      </c>
      <c r="BA8" s="427">
        <v>1372652.7331189709</v>
      </c>
      <c r="BB8" s="427">
        <v>1372652.7331189709</v>
      </c>
      <c r="BC8" s="427">
        <v>1372652.7331189709</v>
      </c>
      <c r="BD8" s="427">
        <v>0</v>
      </c>
      <c r="BE8" s="427">
        <v>0</v>
      </c>
      <c r="BF8" s="427">
        <v>0</v>
      </c>
      <c r="BG8" s="427">
        <v>0</v>
      </c>
      <c r="BH8" s="427">
        <v>0</v>
      </c>
      <c r="BI8" s="427">
        <v>0</v>
      </c>
      <c r="BJ8" s="427">
        <v>0</v>
      </c>
      <c r="BK8" s="427">
        <v>0</v>
      </c>
      <c r="BL8" s="427">
        <v>0</v>
      </c>
      <c r="BM8" s="427">
        <v>0</v>
      </c>
      <c r="BN8" s="427">
        <v>0</v>
      </c>
      <c r="BO8" s="427">
        <v>0</v>
      </c>
      <c r="BP8" s="427">
        <v>0</v>
      </c>
      <c r="BQ8" s="427">
        <v>0</v>
      </c>
      <c r="BR8" s="427">
        <v>0</v>
      </c>
      <c r="BS8" s="427">
        <v>0</v>
      </c>
      <c r="BT8" s="427">
        <v>0</v>
      </c>
      <c r="BU8" s="427">
        <v>0</v>
      </c>
      <c r="BV8" s="427">
        <v>0</v>
      </c>
      <c r="BW8" s="427">
        <v>0</v>
      </c>
      <c r="BX8" s="427">
        <v>0</v>
      </c>
      <c r="BY8" s="427">
        <v>0</v>
      </c>
      <c r="BZ8" s="427">
        <v>0</v>
      </c>
      <c r="CA8" s="427">
        <v>0</v>
      </c>
      <c r="CB8" s="427">
        <v>0</v>
      </c>
      <c r="CC8" s="427">
        <v>0</v>
      </c>
      <c r="CD8" s="427">
        <v>0</v>
      </c>
      <c r="CE8" s="427">
        <v>0</v>
      </c>
      <c r="CF8" s="427">
        <v>0</v>
      </c>
      <c r="CG8" s="427">
        <v>0</v>
      </c>
      <c r="CH8" s="427">
        <v>0</v>
      </c>
      <c r="CI8" s="427">
        <v>0</v>
      </c>
      <c r="CJ8" s="427">
        <v>0</v>
      </c>
      <c r="CK8" s="428">
        <v>0</v>
      </c>
      <c r="CL8" s="428">
        <v>0</v>
      </c>
      <c r="CM8" s="428">
        <v>0</v>
      </c>
      <c r="CN8" s="428">
        <v>0</v>
      </c>
      <c r="CO8" s="428">
        <v>0</v>
      </c>
      <c r="CP8" s="428">
        <v>0</v>
      </c>
      <c r="CQ8" s="428">
        <v>0</v>
      </c>
      <c r="CR8" s="428">
        <v>0</v>
      </c>
      <c r="CS8" s="428">
        <v>0</v>
      </c>
      <c r="CT8" s="428">
        <v>0</v>
      </c>
      <c r="CU8" s="428">
        <v>0</v>
      </c>
      <c r="CV8" s="428">
        <v>0</v>
      </c>
      <c r="CW8" s="428">
        <v>0</v>
      </c>
      <c r="CX8" s="428"/>
      <c r="CY8" s="428"/>
      <c r="CZ8" s="428"/>
      <c r="DA8" s="428"/>
      <c r="DB8" s="428"/>
      <c r="DC8" s="428"/>
      <c r="DD8" s="428"/>
      <c r="DE8" s="428"/>
      <c r="DF8" s="428"/>
      <c r="DG8" s="428"/>
      <c r="DH8" s="428"/>
      <c r="DI8" s="428"/>
    </row>
    <row r="9" spans="1:114" s="388" customFormat="1">
      <c r="A9" s="421" t="s">
        <v>370</v>
      </c>
      <c r="B9" s="421" t="s">
        <v>12</v>
      </c>
      <c r="C9" s="421" t="s">
        <v>379</v>
      </c>
      <c r="D9" s="422" t="s">
        <v>376</v>
      </c>
      <c r="E9" s="422">
        <v>2015</v>
      </c>
      <c r="F9" s="423">
        <v>4.8563583815028899</v>
      </c>
      <c r="G9" s="424">
        <v>11585.973607038122</v>
      </c>
      <c r="H9" s="422">
        <v>16</v>
      </c>
      <c r="I9" s="425">
        <v>0.68200000000000005</v>
      </c>
      <c r="J9" s="425">
        <v>0.69199999999999995</v>
      </c>
      <c r="K9" s="422">
        <v>0</v>
      </c>
      <c r="L9" s="422">
        <v>0</v>
      </c>
      <c r="M9" s="422">
        <v>0</v>
      </c>
      <c r="N9" s="426">
        <v>0</v>
      </c>
      <c r="O9" s="426">
        <v>0</v>
      </c>
      <c r="P9" s="426">
        <v>0</v>
      </c>
      <c r="Q9" s="426">
        <v>0</v>
      </c>
      <c r="R9" s="426">
        <v>0</v>
      </c>
      <c r="S9" s="426">
        <v>0</v>
      </c>
      <c r="T9" s="426">
        <v>0</v>
      </c>
      <c r="U9" s="426">
        <v>0</v>
      </c>
      <c r="V9" s="426">
        <v>0</v>
      </c>
      <c r="W9" s="426">
        <v>0</v>
      </c>
      <c r="X9" s="426">
        <v>0</v>
      </c>
      <c r="Y9" s="426">
        <v>0</v>
      </c>
      <c r="Z9" s="426">
        <v>0</v>
      </c>
      <c r="AA9" s="426">
        <v>0</v>
      </c>
      <c r="AB9" s="426">
        <v>0</v>
      </c>
      <c r="AC9" s="426">
        <v>0</v>
      </c>
      <c r="AD9" s="426">
        <v>0</v>
      </c>
      <c r="AE9" s="426">
        <v>0</v>
      </c>
      <c r="AF9" s="426">
        <v>0</v>
      </c>
      <c r="AG9" s="426">
        <v>0</v>
      </c>
      <c r="AH9" s="426">
        <v>0</v>
      </c>
      <c r="AI9" s="426">
        <v>0</v>
      </c>
      <c r="AJ9" s="426">
        <v>0</v>
      </c>
      <c r="AK9" s="426">
        <v>0</v>
      </c>
      <c r="AL9" s="426">
        <v>0</v>
      </c>
      <c r="AM9" s="427">
        <v>0</v>
      </c>
      <c r="AN9" s="427">
        <v>0</v>
      </c>
      <c r="AO9" s="427">
        <v>0</v>
      </c>
      <c r="AP9" s="427">
        <v>0</v>
      </c>
      <c r="AQ9" s="427">
        <v>0</v>
      </c>
      <c r="AR9" s="427">
        <v>0</v>
      </c>
      <c r="AS9" s="427">
        <v>0</v>
      </c>
      <c r="AT9" s="427">
        <v>0</v>
      </c>
      <c r="AU9" s="427">
        <v>0</v>
      </c>
      <c r="AV9" s="427">
        <v>0</v>
      </c>
      <c r="AW9" s="427">
        <v>0</v>
      </c>
      <c r="AX9" s="427">
        <v>0</v>
      </c>
      <c r="AY9" s="427">
        <v>0</v>
      </c>
      <c r="AZ9" s="427">
        <v>0</v>
      </c>
      <c r="BA9" s="427">
        <v>0</v>
      </c>
      <c r="BB9" s="427">
        <v>0</v>
      </c>
      <c r="BC9" s="427">
        <v>0</v>
      </c>
      <c r="BD9" s="427">
        <v>0</v>
      </c>
      <c r="BE9" s="427">
        <v>0</v>
      </c>
      <c r="BF9" s="427">
        <v>0</v>
      </c>
      <c r="BG9" s="427">
        <v>0</v>
      </c>
      <c r="BH9" s="427">
        <v>0</v>
      </c>
      <c r="BI9" s="427">
        <v>0</v>
      </c>
      <c r="BJ9" s="427">
        <v>0</v>
      </c>
      <c r="BK9" s="427">
        <v>0</v>
      </c>
      <c r="BL9" s="427">
        <v>0</v>
      </c>
      <c r="BM9" s="427">
        <v>0</v>
      </c>
      <c r="BN9" s="427">
        <v>0</v>
      </c>
      <c r="BO9" s="427">
        <v>0</v>
      </c>
      <c r="BP9" s="427">
        <v>0</v>
      </c>
      <c r="BQ9" s="427">
        <v>0</v>
      </c>
      <c r="BR9" s="427">
        <v>0</v>
      </c>
      <c r="BS9" s="427">
        <v>0</v>
      </c>
      <c r="BT9" s="427">
        <v>0</v>
      </c>
      <c r="BU9" s="427">
        <v>0</v>
      </c>
      <c r="BV9" s="427">
        <v>0</v>
      </c>
      <c r="BW9" s="427">
        <v>0</v>
      </c>
      <c r="BX9" s="427">
        <v>0</v>
      </c>
      <c r="BY9" s="427">
        <v>0</v>
      </c>
      <c r="BZ9" s="427">
        <v>0</v>
      </c>
      <c r="CA9" s="427">
        <v>0</v>
      </c>
      <c r="CB9" s="427">
        <v>0</v>
      </c>
      <c r="CC9" s="427">
        <v>0</v>
      </c>
      <c r="CD9" s="427">
        <v>0</v>
      </c>
      <c r="CE9" s="427">
        <v>0</v>
      </c>
      <c r="CF9" s="427">
        <v>0</v>
      </c>
      <c r="CG9" s="427">
        <v>0</v>
      </c>
      <c r="CH9" s="427">
        <v>0</v>
      </c>
      <c r="CI9" s="427">
        <v>0</v>
      </c>
      <c r="CJ9" s="427">
        <v>0</v>
      </c>
      <c r="CK9" s="428">
        <v>0</v>
      </c>
      <c r="CL9" s="428">
        <v>0</v>
      </c>
      <c r="CM9" s="428">
        <v>0</v>
      </c>
      <c r="CN9" s="428">
        <v>0</v>
      </c>
      <c r="CO9" s="428">
        <v>0</v>
      </c>
      <c r="CP9" s="428">
        <v>0</v>
      </c>
      <c r="CQ9" s="428">
        <v>0</v>
      </c>
      <c r="CR9" s="428">
        <v>0</v>
      </c>
      <c r="CS9" s="428">
        <v>0</v>
      </c>
      <c r="CT9" s="428">
        <v>0</v>
      </c>
      <c r="CU9" s="428">
        <v>0</v>
      </c>
      <c r="CV9" s="428">
        <v>0</v>
      </c>
      <c r="CW9" s="428">
        <v>0</v>
      </c>
      <c r="CX9" s="428"/>
      <c r="CY9" s="428"/>
      <c r="CZ9" s="428"/>
      <c r="DA9" s="428"/>
      <c r="DB9" s="428"/>
      <c r="DC9" s="428"/>
      <c r="DD9" s="428"/>
      <c r="DE9" s="428"/>
      <c r="DF9" s="428"/>
      <c r="DG9" s="428"/>
      <c r="DH9" s="428"/>
      <c r="DI9" s="428"/>
    </row>
    <row r="10" spans="1:114" s="388" customFormat="1">
      <c r="A10" s="421" t="s">
        <v>370</v>
      </c>
      <c r="B10" s="421" t="s">
        <v>12</v>
      </c>
      <c r="C10" s="421" t="s">
        <v>379</v>
      </c>
      <c r="D10" s="422" t="s">
        <v>376</v>
      </c>
      <c r="E10" s="422">
        <v>2016</v>
      </c>
      <c r="F10" s="423">
        <v>4.8563583815028899</v>
      </c>
      <c r="G10" s="424">
        <v>11585.973607038122</v>
      </c>
      <c r="H10" s="422">
        <v>16</v>
      </c>
      <c r="I10" s="425">
        <v>0.68200000000000005</v>
      </c>
      <c r="J10" s="425">
        <v>0.69199999999999995</v>
      </c>
      <c r="K10" s="422">
        <v>0</v>
      </c>
      <c r="L10" s="422">
        <v>0</v>
      </c>
      <c r="M10" s="422">
        <v>0</v>
      </c>
      <c r="N10" s="426">
        <v>10</v>
      </c>
      <c r="O10" s="426">
        <v>0</v>
      </c>
      <c r="P10" s="426">
        <v>36.019292604501601</v>
      </c>
      <c r="Q10" s="426">
        <v>36.019292604501601</v>
      </c>
      <c r="R10" s="426">
        <v>36.019292604501601</v>
      </c>
      <c r="S10" s="426">
        <v>36.019292604501601</v>
      </c>
      <c r="T10" s="426">
        <v>36.019292604501601</v>
      </c>
      <c r="U10" s="426">
        <v>36.019292604501601</v>
      </c>
      <c r="V10" s="426">
        <v>36.019292604501601</v>
      </c>
      <c r="W10" s="426">
        <v>36.019292604501601</v>
      </c>
      <c r="X10" s="426">
        <v>36.019292604501601</v>
      </c>
      <c r="Y10" s="426">
        <v>36.019292604501601</v>
      </c>
      <c r="Z10" s="426">
        <v>36.019292604501601</v>
      </c>
      <c r="AA10" s="426">
        <v>36.019292604501601</v>
      </c>
      <c r="AB10" s="426">
        <v>36.019292604501601</v>
      </c>
      <c r="AC10" s="426">
        <v>36.019292604501601</v>
      </c>
      <c r="AD10" s="426">
        <v>36.019292604501601</v>
      </c>
      <c r="AE10" s="426">
        <v>36.019292604501601</v>
      </c>
      <c r="AF10" s="426">
        <v>0</v>
      </c>
      <c r="AG10" s="426">
        <v>0</v>
      </c>
      <c r="AH10" s="426">
        <v>0</v>
      </c>
      <c r="AI10" s="426">
        <v>0</v>
      </c>
      <c r="AJ10" s="426">
        <v>0</v>
      </c>
      <c r="AK10" s="426">
        <v>0</v>
      </c>
      <c r="AL10" s="426">
        <v>0</v>
      </c>
      <c r="AM10" s="427">
        <v>0</v>
      </c>
      <c r="AN10" s="427">
        <v>0</v>
      </c>
      <c r="AO10" s="427">
        <v>84690.610932475887</v>
      </c>
      <c r="AP10" s="427">
        <v>84690.610932475887</v>
      </c>
      <c r="AQ10" s="427">
        <v>84690.610932475887</v>
      </c>
      <c r="AR10" s="427">
        <v>84690.610932475887</v>
      </c>
      <c r="AS10" s="427">
        <v>84690.610932475887</v>
      </c>
      <c r="AT10" s="427">
        <v>84690.610932475887</v>
      </c>
      <c r="AU10" s="427">
        <v>84690.610932475887</v>
      </c>
      <c r="AV10" s="427">
        <v>84690.610932475887</v>
      </c>
      <c r="AW10" s="427">
        <v>84690.610932475887</v>
      </c>
      <c r="AX10" s="427">
        <v>84690.610932475887</v>
      </c>
      <c r="AY10" s="427">
        <v>84690.610932475887</v>
      </c>
      <c r="AZ10" s="427">
        <v>84690.610932475887</v>
      </c>
      <c r="BA10" s="427">
        <v>84690.610932475887</v>
      </c>
      <c r="BB10" s="427">
        <v>84690.610932475887</v>
      </c>
      <c r="BC10" s="427">
        <v>84690.610932475887</v>
      </c>
      <c r="BD10" s="427">
        <v>84690.610932475887</v>
      </c>
      <c r="BE10" s="427">
        <v>0</v>
      </c>
      <c r="BF10" s="427">
        <v>0</v>
      </c>
      <c r="BG10" s="427">
        <v>0</v>
      </c>
      <c r="BH10" s="427">
        <v>0</v>
      </c>
      <c r="BI10" s="427">
        <v>0</v>
      </c>
      <c r="BJ10" s="427">
        <v>0</v>
      </c>
      <c r="BK10" s="427">
        <v>0</v>
      </c>
      <c r="BL10" s="427">
        <v>0</v>
      </c>
      <c r="BM10" s="427">
        <v>0</v>
      </c>
      <c r="BN10" s="427">
        <v>0</v>
      </c>
      <c r="BO10" s="427">
        <v>0</v>
      </c>
      <c r="BP10" s="427">
        <v>0</v>
      </c>
      <c r="BQ10" s="427">
        <v>0</v>
      </c>
      <c r="BR10" s="427">
        <v>0</v>
      </c>
      <c r="BS10" s="427">
        <v>0</v>
      </c>
      <c r="BT10" s="427">
        <v>0</v>
      </c>
      <c r="BU10" s="427">
        <v>0</v>
      </c>
      <c r="BV10" s="427">
        <v>0</v>
      </c>
      <c r="BW10" s="427">
        <v>0</v>
      </c>
      <c r="BX10" s="427">
        <v>0</v>
      </c>
      <c r="BY10" s="427">
        <v>0</v>
      </c>
      <c r="BZ10" s="427">
        <v>0</v>
      </c>
      <c r="CA10" s="427">
        <v>0</v>
      </c>
      <c r="CB10" s="427">
        <v>0</v>
      </c>
      <c r="CC10" s="427">
        <v>0</v>
      </c>
      <c r="CD10" s="427">
        <v>0</v>
      </c>
      <c r="CE10" s="427">
        <v>0</v>
      </c>
      <c r="CF10" s="427">
        <v>0</v>
      </c>
      <c r="CG10" s="427">
        <v>0</v>
      </c>
      <c r="CH10" s="427">
        <v>0</v>
      </c>
      <c r="CI10" s="427">
        <v>0</v>
      </c>
      <c r="CJ10" s="427">
        <v>0</v>
      </c>
      <c r="CK10" s="428">
        <v>0</v>
      </c>
      <c r="CL10" s="428">
        <v>0</v>
      </c>
      <c r="CM10" s="428">
        <v>0</v>
      </c>
      <c r="CN10" s="428">
        <v>0</v>
      </c>
      <c r="CO10" s="428">
        <v>0</v>
      </c>
      <c r="CP10" s="428">
        <v>0</v>
      </c>
      <c r="CQ10" s="428">
        <v>0</v>
      </c>
      <c r="CR10" s="428">
        <v>0</v>
      </c>
      <c r="CS10" s="428">
        <v>0</v>
      </c>
      <c r="CT10" s="428">
        <v>0</v>
      </c>
      <c r="CU10" s="428">
        <v>0</v>
      </c>
      <c r="CV10" s="428">
        <v>0</v>
      </c>
      <c r="CW10" s="428">
        <v>0</v>
      </c>
      <c r="CX10" s="428"/>
      <c r="CY10" s="428"/>
      <c r="CZ10" s="428"/>
      <c r="DA10" s="428"/>
      <c r="DB10" s="428"/>
      <c r="DC10" s="428"/>
      <c r="DD10" s="428"/>
      <c r="DE10" s="428"/>
      <c r="DF10" s="428"/>
      <c r="DG10" s="428"/>
      <c r="DH10" s="428"/>
      <c r="DI10" s="428"/>
    </row>
    <row r="11" spans="1:114" s="388" customFormat="1">
      <c r="A11" s="421" t="s">
        <v>370</v>
      </c>
      <c r="B11" s="421" t="s">
        <v>12</v>
      </c>
      <c r="C11" s="421" t="s">
        <v>379</v>
      </c>
      <c r="D11" s="422" t="s">
        <v>376</v>
      </c>
      <c r="E11" s="422">
        <v>2017</v>
      </c>
      <c r="F11" s="423">
        <v>4.8563583815028899</v>
      </c>
      <c r="G11" s="424">
        <v>11585.973607038122</v>
      </c>
      <c r="H11" s="422">
        <v>16</v>
      </c>
      <c r="I11" s="425">
        <v>0.68200000000000005</v>
      </c>
      <c r="J11" s="425">
        <v>0.69199999999999995</v>
      </c>
      <c r="K11" s="422">
        <v>0</v>
      </c>
      <c r="L11" s="422">
        <v>0</v>
      </c>
      <c r="M11" s="422">
        <v>0</v>
      </c>
      <c r="N11" s="426">
        <v>12</v>
      </c>
      <c r="O11" s="426">
        <v>0</v>
      </c>
      <c r="P11" s="426">
        <v>0</v>
      </c>
      <c r="Q11" s="426">
        <v>43.22315112540192</v>
      </c>
      <c r="R11" s="426">
        <v>43.22315112540192</v>
      </c>
      <c r="S11" s="426">
        <v>43.22315112540192</v>
      </c>
      <c r="T11" s="426">
        <v>43.22315112540192</v>
      </c>
      <c r="U11" s="426">
        <v>43.22315112540192</v>
      </c>
      <c r="V11" s="426">
        <v>43.22315112540192</v>
      </c>
      <c r="W11" s="426">
        <v>43.22315112540192</v>
      </c>
      <c r="X11" s="426">
        <v>43.22315112540192</v>
      </c>
      <c r="Y11" s="426">
        <v>43.22315112540192</v>
      </c>
      <c r="Z11" s="426">
        <v>43.22315112540192</v>
      </c>
      <c r="AA11" s="426">
        <v>43.22315112540192</v>
      </c>
      <c r="AB11" s="426">
        <v>43.22315112540192</v>
      </c>
      <c r="AC11" s="426">
        <v>43.22315112540192</v>
      </c>
      <c r="AD11" s="426">
        <v>43.22315112540192</v>
      </c>
      <c r="AE11" s="426">
        <v>43.22315112540192</v>
      </c>
      <c r="AF11" s="426">
        <v>43.22315112540192</v>
      </c>
      <c r="AG11" s="426">
        <v>0</v>
      </c>
      <c r="AH11" s="426">
        <v>0</v>
      </c>
      <c r="AI11" s="426">
        <v>0</v>
      </c>
      <c r="AJ11" s="426">
        <v>0</v>
      </c>
      <c r="AK11" s="426">
        <v>0</v>
      </c>
      <c r="AL11" s="426">
        <v>0</v>
      </c>
      <c r="AM11" s="427">
        <v>0</v>
      </c>
      <c r="AN11" s="427">
        <v>0</v>
      </c>
      <c r="AO11" s="427">
        <v>0</v>
      </c>
      <c r="AP11" s="427">
        <v>101628.73311897107</v>
      </c>
      <c r="AQ11" s="427">
        <v>101628.73311897107</v>
      </c>
      <c r="AR11" s="427">
        <v>101628.73311897107</v>
      </c>
      <c r="AS11" s="427">
        <v>101628.73311897107</v>
      </c>
      <c r="AT11" s="427">
        <v>101628.73311897107</v>
      </c>
      <c r="AU11" s="427">
        <v>101628.73311897107</v>
      </c>
      <c r="AV11" s="427">
        <v>101628.73311897107</v>
      </c>
      <c r="AW11" s="427">
        <v>101628.73311897107</v>
      </c>
      <c r="AX11" s="427">
        <v>101628.73311897107</v>
      </c>
      <c r="AY11" s="427">
        <v>101628.73311897107</v>
      </c>
      <c r="AZ11" s="427">
        <v>101628.73311897107</v>
      </c>
      <c r="BA11" s="427">
        <v>101628.73311897107</v>
      </c>
      <c r="BB11" s="427">
        <v>101628.73311897107</v>
      </c>
      <c r="BC11" s="427">
        <v>101628.73311897107</v>
      </c>
      <c r="BD11" s="427">
        <v>101628.73311897107</v>
      </c>
      <c r="BE11" s="427">
        <v>101628.73311897107</v>
      </c>
      <c r="BF11" s="427">
        <v>0</v>
      </c>
      <c r="BG11" s="427">
        <v>0</v>
      </c>
      <c r="BH11" s="427">
        <v>0</v>
      </c>
      <c r="BI11" s="427">
        <v>0</v>
      </c>
      <c r="BJ11" s="427">
        <v>0</v>
      </c>
      <c r="BK11" s="427">
        <v>0</v>
      </c>
      <c r="BL11" s="427">
        <v>0</v>
      </c>
      <c r="BM11" s="427">
        <v>0</v>
      </c>
      <c r="BN11" s="427">
        <v>0</v>
      </c>
      <c r="BO11" s="427">
        <v>0</v>
      </c>
      <c r="BP11" s="427">
        <v>0</v>
      </c>
      <c r="BQ11" s="427">
        <v>0</v>
      </c>
      <c r="BR11" s="427">
        <v>0</v>
      </c>
      <c r="BS11" s="427">
        <v>0</v>
      </c>
      <c r="BT11" s="427">
        <v>0</v>
      </c>
      <c r="BU11" s="427">
        <v>0</v>
      </c>
      <c r="BV11" s="427">
        <v>0</v>
      </c>
      <c r="BW11" s="427">
        <v>0</v>
      </c>
      <c r="BX11" s="427">
        <v>0</v>
      </c>
      <c r="BY11" s="427">
        <v>0</v>
      </c>
      <c r="BZ11" s="427">
        <v>0</v>
      </c>
      <c r="CA11" s="427">
        <v>0</v>
      </c>
      <c r="CB11" s="427">
        <v>0</v>
      </c>
      <c r="CC11" s="427">
        <v>0</v>
      </c>
      <c r="CD11" s="427">
        <v>0</v>
      </c>
      <c r="CE11" s="427">
        <v>0</v>
      </c>
      <c r="CF11" s="427">
        <v>0</v>
      </c>
      <c r="CG11" s="427">
        <v>0</v>
      </c>
      <c r="CH11" s="427">
        <v>0</v>
      </c>
      <c r="CI11" s="427">
        <v>0</v>
      </c>
      <c r="CJ11" s="427">
        <v>0</v>
      </c>
      <c r="CK11" s="428">
        <v>0</v>
      </c>
      <c r="CL11" s="428">
        <v>0</v>
      </c>
      <c r="CM11" s="428">
        <v>0</v>
      </c>
      <c r="CN11" s="428">
        <v>0</v>
      </c>
      <c r="CO11" s="428">
        <v>0</v>
      </c>
      <c r="CP11" s="428">
        <v>0</v>
      </c>
      <c r="CQ11" s="428">
        <v>0</v>
      </c>
      <c r="CR11" s="428">
        <v>0</v>
      </c>
      <c r="CS11" s="428">
        <v>0</v>
      </c>
      <c r="CT11" s="428">
        <v>0</v>
      </c>
      <c r="CU11" s="428">
        <v>0</v>
      </c>
      <c r="CV11" s="428">
        <v>0</v>
      </c>
      <c r="CW11" s="428">
        <v>0</v>
      </c>
      <c r="CX11" s="428"/>
      <c r="CY11" s="428"/>
      <c r="CZ11" s="428"/>
      <c r="DA11" s="428"/>
      <c r="DB11" s="428"/>
      <c r="DC11" s="428"/>
      <c r="DD11" s="428"/>
      <c r="DE11" s="428"/>
      <c r="DF11" s="428"/>
      <c r="DG11" s="428"/>
      <c r="DH11" s="428"/>
      <c r="DI11" s="428"/>
    </row>
    <row r="12" spans="1:114" s="388" customFormat="1">
      <c r="A12" s="421" t="s">
        <v>370</v>
      </c>
      <c r="B12" s="421" t="s">
        <v>12</v>
      </c>
      <c r="C12" s="421" t="s">
        <v>379</v>
      </c>
      <c r="D12" s="422" t="s">
        <v>376</v>
      </c>
      <c r="E12" s="422">
        <v>2018</v>
      </c>
      <c r="F12" s="423">
        <v>4.8563583815028899</v>
      </c>
      <c r="G12" s="424">
        <v>11585.973607038122</v>
      </c>
      <c r="H12" s="422">
        <v>16</v>
      </c>
      <c r="I12" s="425">
        <v>0.68200000000000005</v>
      </c>
      <c r="J12" s="425">
        <v>0.69199999999999995</v>
      </c>
      <c r="K12" s="422">
        <v>0</v>
      </c>
      <c r="L12" s="422">
        <v>0</v>
      </c>
      <c r="M12" s="422">
        <v>0</v>
      </c>
      <c r="N12" s="426">
        <v>14</v>
      </c>
      <c r="O12" s="426">
        <v>0</v>
      </c>
      <c r="P12" s="426">
        <v>0</v>
      </c>
      <c r="Q12" s="426">
        <v>0</v>
      </c>
      <c r="R12" s="426">
        <v>50.427009646302245</v>
      </c>
      <c r="S12" s="426">
        <v>50.427009646302245</v>
      </c>
      <c r="T12" s="426">
        <v>50.427009646302245</v>
      </c>
      <c r="U12" s="426">
        <v>50.427009646302245</v>
      </c>
      <c r="V12" s="426">
        <v>50.427009646302245</v>
      </c>
      <c r="W12" s="426">
        <v>50.427009646302245</v>
      </c>
      <c r="X12" s="426">
        <v>50.427009646302245</v>
      </c>
      <c r="Y12" s="426">
        <v>50.427009646302245</v>
      </c>
      <c r="Z12" s="426">
        <v>50.427009646302245</v>
      </c>
      <c r="AA12" s="426">
        <v>50.427009646302245</v>
      </c>
      <c r="AB12" s="426">
        <v>50.427009646302245</v>
      </c>
      <c r="AC12" s="426">
        <v>50.427009646302245</v>
      </c>
      <c r="AD12" s="426">
        <v>50.427009646302245</v>
      </c>
      <c r="AE12" s="426">
        <v>50.427009646302245</v>
      </c>
      <c r="AF12" s="426">
        <v>50.427009646302245</v>
      </c>
      <c r="AG12" s="426">
        <v>50.427009646302245</v>
      </c>
      <c r="AH12" s="426">
        <v>0</v>
      </c>
      <c r="AI12" s="426">
        <v>0</v>
      </c>
      <c r="AJ12" s="426">
        <v>0</v>
      </c>
      <c r="AK12" s="426">
        <v>0</v>
      </c>
      <c r="AL12" s="426">
        <v>0</v>
      </c>
      <c r="AM12" s="427">
        <v>0</v>
      </c>
      <c r="AN12" s="427">
        <v>0</v>
      </c>
      <c r="AO12" s="427">
        <v>0</v>
      </c>
      <c r="AP12" s="427">
        <v>0</v>
      </c>
      <c r="AQ12" s="427">
        <v>118566.85530546625</v>
      </c>
      <c r="AR12" s="427">
        <v>118566.85530546625</v>
      </c>
      <c r="AS12" s="427">
        <v>118566.85530546625</v>
      </c>
      <c r="AT12" s="427">
        <v>118566.85530546625</v>
      </c>
      <c r="AU12" s="427">
        <v>118566.85530546625</v>
      </c>
      <c r="AV12" s="427">
        <v>118566.85530546625</v>
      </c>
      <c r="AW12" s="427">
        <v>118566.85530546625</v>
      </c>
      <c r="AX12" s="427">
        <v>118566.85530546625</v>
      </c>
      <c r="AY12" s="427">
        <v>118566.85530546625</v>
      </c>
      <c r="AZ12" s="427">
        <v>118566.85530546625</v>
      </c>
      <c r="BA12" s="427">
        <v>118566.85530546625</v>
      </c>
      <c r="BB12" s="427">
        <v>118566.85530546625</v>
      </c>
      <c r="BC12" s="427">
        <v>118566.85530546625</v>
      </c>
      <c r="BD12" s="427">
        <v>118566.85530546625</v>
      </c>
      <c r="BE12" s="427">
        <v>118566.85530546625</v>
      </c>
      <c r="BF12" s="427">
        <v>118566.85530546625</v>
      </c>
      <c r="BG12" s="427">
        <v>0</v>
      </c>
      <c r="BH12" s="427">
        <v>0</v>
      </c>
      <c r="BI12" s="427">
        <v>0</v>
      </c>
      <c r="BJ12" s="427">
        <v>0</v>
      </c>
      <c r="BK12" s="427">
        <v>0</v>
      </c>
      <c r="BL12" s="427">
        <v>0</v>
      </c>
      <c r="BM12" s="427">
        <v>0</v>
      </c>
      <c r="BN12" s="427">
        <v>0</v>
      </c>
      <c r="BO12" s="427">
        <v>0</v>
      </c>
      <c r="BP12" s="427">
        <v>0</v>
      </c>
      <c r="BQ12" s="427">
        <v>0</v>
      </c>
      <c r="BR12" s="427">
        <v>0</v>
      </c>
      <c r="BS12" s="427">
        <v>0</v>
      </c>
      <c r="BT12" s="427">
        <v>0</v>
      </c>
      <c r="BU12" s="427">
        <v>0</v>
      </c>
      <c r="BV12" s="427">
        <v>0</v>
      </c>
      <c r="BW12" s="427">
        <v>0</v>
      </c>
      <c r="BX12" s="427">
        <v>0</v>
      </c>
      <c r="BY12" s="427">
        <v>0</v>
      </c>
      <c r="BZ12" s="427">
        <v>0</v>
      </c>
      <c r="CA12" s="427">
        <v>0</v>
      </c>
      <c r="CB12" s="427">
        <v>0</v>
      </c>
      <c r="CC12" s="427">
        <v>0</v>
      </c>
      <c r="CD12" s="427">
        <v>0</v>
      </c>
      <c r="CE12" s="427">
        <v>0</v>
      </c>
      <c r="CF12" s="427">
        <v>0</v>
      </c>
      <c r="CG12" s="427">
        <v>0</v>
      </c>
      <c r="CH12" s="427">
        <v>0</v>
      </c>
      <c r="CI12" s="427">
        <v>0</v>
      </c>
      <c r="CJ12" s="427">
        <v>0</v>
      </c>
      <c r="CK12" s="428">
        <v>0</v>
      </c>
      <c r="CL12" s="428">
        <v>0</v>
      </c>
      <c r="CM12" s="428">
        <v>0</v>
      </c>
      <c r="CN12" s="428">
        <v>0</v>
      </c>
      <c r="CO12" s="428">
        <v>0</v>
      </c>
      <c r="CP12" s="428">
        <v>0</v>
      </c>
      <c r="CQ12" s="428">
        <v>0</v>
      </c>
      <c r="CR12" s="428">
        <v>0</v>
      </c>
      <c r="CS12" s="428">
        <v>0</v>
      </c>
      <c r="CT12" s="428">
        <v>0</v>
      </c>
      <c r="CU12" s="428">
        <v>0</v>
      </c>
      <c r="CV12" s="428">
        <v>0</v>
      </c>
      <c r="CW12" s="428">
        <v>0</v>
      </c>
      <c r="CX12" s="428"/>
      <c r="CY12" s="428"/>
      <c r="CZ12" s="428"/>
      <c r="DA12" s="428"/>
      <c r="DB12" s="428"/>
      <c r="DC12" s="428"/>
      <c r="DD12" s="428"/>
      <c r="DE12" s="428"/>
      <c r="DF12" s="428"/>
      <c r="DG12" s="428"/>
      <c r="DH12" s="428"/>
      <c r="DI12" s="428"/>
    </row>
    <row r="13" spans="1:114" s="388" customFormat="1">
      <c r="A13" s="421" t="s">
        <v>370</v>
      </c>
      <c r="B13" s="421" t="s">
        <v>12</v>
      </c>
      <c r="C13" s="421" t="s">
        <v>379</v>
      </c>
      <c r="D13" s="422" t="s">
        <v>376</v>
      </c>
      <c r="E13" s="422">
        <v>2019</v>
      </c>
      <c r="F13" s="423">
        <v>4.8563583815028899</v>
      </c>
      <c r="G13" s="424">
        <v>11585.973607038122</v>
      </c>
      <c r="H13" s="422">
        <v>16</v>
      </c>
      <c r="I13" s="425">
        <v>0.68200000000000005</v>
      </c>
      <c r="J13" s="425">
        <v>0.69199999999999995</v>
      </c>
      <c r="K13" s="422">
        <v>0</v>
      </c>
      <c r="L13" s="422">
        <v>0</v>
      </c>
      <c r="M13" s="422">
        <v>0</v>
      </c>
      <c r="N13" s="426">
        <v>16</v>
      </c>
      <c r="O13" s="426">
        <v>0</v>
      </c>
      <c r="P13" s="426">
        <v>0</v>
      </c>
      <c r="Q13" s="426">
        <v>0</v>
      </c>
      <c r="R13" s="426">
        <v>0</v>
      </c>
      <c r="S13" s="426">
        <v>57.630868167202564</v>
      </c>
      <c r="T13" s="426">
        <v>57.630868167202564</v>
      </c>
      <c r="U13" s="426">
        <v>57.630868167202564</v>
      </c>
      <c r="V13" s="426">
        <v>57.630868167202564</v>
      </c>
      <c r="W13" s="426">
        <v>57.630868167202564</v>
      </c>
      <c r="X13" s="426">
        <v>57.630868167202564</v>
      </c>
      <c r="Y13" s="426">
        <v>57.630868167202564</v>
      </c>
      <c r="Z13" s="426">
        <v>57.630868167202564</v>
      </c>
      <c r="AA13" s="426">
        <v>57.630868167202564</v>
      </c>
      <c r="AB13" s="426">
        <v>57.630868167202564</v>
      </c>
      <c r="AC13" s="426">
        <v>57.630868167202564</v>
      </c>
      <c r="AD13" s="426">
        <v>57.630868167202564</v>
      </c>
      <c r="AE13" s="426">
        <v>57.630868167202564</v>
      </c>
      <c r="AF13" s="426">
        <v>57.630868167202564</v>
      </c>
      <c r="AG13" s="426">
        <v>57.630868167202564</v>
      </c>
      <c r="AH13" s="426">
        <v>57.630868167202564</v>
      </c>
      <c r="AI13" s="426">
        <v>0</v>
      </c>
      <c r="AJ13" s="426">
        <v>0</v>
      </c>
      <c r="AK13" s="426">
        <v>0</v>
      </c>
      <c r="AL13" s="426">
        <v>0</v>
      </c>
      <c r="AM13" s="427">
        <v>0</v>
      </c>
      <c r="AN13" s="427">
        <v>0</v>
      </c>
      <c r="AO13" s="427">
        <v>0</v>
      </c>
      <c r="AP13" s="427">
        <v>0</v>
      </c>
      <c r="AQ13" s="427">
        <v>0</v>
      </c>
      <c r="AR13" s="427">
        <v>135504.97749196141</v>
      </c>
      <c r="AS13" s="427">
        <v>135504.97749196141</v>
      </c>
      <c r="AT13" s="427">
        <v>135504.97749196141</v>
      </c>
      <c r="AU13" s="427">
        <v>135504.97749196141</v>
      </c>
      <c r="AV13" s="427">
        <v>135504.97749196141</v>
      </c>
      <c r="AW13" s="427">
        <v>135504.97749196141</v>
      </c>
      <c r="AX13" s="427">
        <v>135504.97749196141</v>
      </c>
      <c r="AY13" s="427">
        <v>135504.97749196141</v>
      </c>
      <c r="AZ13" s="427">
        <v>135504.97749196141</v>
      </c>
      <c r="BA13" s="427">
        <v>135504.97749196141</v>
      </c>
      <c r="BB13" s="427">
        <v>135504.97749196141</v>
      </c>
      <c r="BC13" s="427">
        <v>135504.97749196141</v>
      </c>
      <c r="BD13" s="427">
        <v>135504.97749196141</v>
      </c>
      <c r="BE13" s="427">
        <v>135504.97749196141</v>
      </c>
      <c r="BF13" s="427">
        <v>135504.97749196141</v>
      </c>
      <c r="BG13" s="427">
        <v>135504.97749196141</v>
      </c>
      <c r="BH13" s="427">
        <v>0</v>
      </c>
      <c r="BI13" s="427">
        <v>0</v>
      </c>
      <c r="BJ13" s="427">
        <v>0</v>
      </c>
      <c r="BK13" s="427">
        <v>0</v>
      </c>
      <c r="BL13" s="427">
        <v>0</v>
      </c>
      <c r="BM13" s="427">
        <v>0</v>
      </c>
      <c r="BN13" s="427">
        <v>0</v>
      </c>
      <c r="BO13" s="427">
        <v>0</v>
      </c>
      <c r="BP13" s="427">
        <v>0</v>
      </c>
      <c r="BQ13" s="427">
        <v>0</v>
      </c>
      <c r="BR13" s="427">
        <v>0</v>
      </c>
      <c r="BS13" s="427">
        <v>0</v>
      </c>
      <c r="BT13" s="427">
        <v>0</v>
      </c>
      <c r="BU13" s="427">
        <v>0</v>
      </c>
      <c r="BV13" s="427">
        <v>0</v>
      </c>
      <c r="BW13" s="427">
        <v>0</v>
      </c>
      <c r="BX13" s="427">
        <v>0</v>
      </c>
      <c r="BY13" s="427">
        <v>0</v>
      </c>
      <c r="BZ13" s="427">
        <v>0</v>
      </c>
      <c r="CA13" s="427">
        <v>0</v>
      </c>
      <c r="CB13" s="427">
        <v>0</v>
      </c>
      <c r="CC13" s="427">
        <v>0</v>
      </c>
      <c r="CD13" s="427">
        <v>0</v>
      </c>
      <c r="CE13" s="427">
        <v>0</v>
      </c>
      <c r="CF13" s="427">
        <v>0</v>
      </c>
      <c r="CG13" s="427">
        <v>0</v>
      </c>
      <c r="CH13" s="427">
        <v>0</v>
      </c>
      <c r="CI13" s="427">
        <v>0</v>
      </c>
      <c r="CJ13" s="427">
        <v>0</v>
      </c>
      <c r="CK13" s="428">
        <v>0</v>
      </c>
      <c r="CL13" s="428">
        <v>0</v>
      </c>
      <c r="CM13" s="428">
        <v>0</v>
      </c>
      <c r="CN13" s="428">
        <v>0</v>
      </c>
      <c r="CO13" s="428">
        <v>0</v>
      </c>
      <c r="CP13" s="428">
        <v>0</v>
      </c>
      <c r="CQ13" s="428">
        <v>0</v>
      </c>
      <c r="CR13" s="428">
        <v>0</v>
      </c>
      <c r="CS13" s="428">
        <v>0</v>
      </c>
      <c r="CT13" s="428">
        <v>0</v>
      </c>
      <c r="CU13" s="428">
        <v>0</v>
      </c>
      <c r="CV13" s="428">
        <v>0</v>
      </c>
      <c r="CW13" s="428">
        <v>0</v>
      </c>
      <c r="CX13" s="428"/>
      <c r="CY13" s="428"/>
      <c r="CZ13" s="428"/>
      <c r="DA13" s="428"/>
      <c r="DB13" s="428"/>
      <c r="DC13" s="428"/>
      <c r="DD13" s="428"/>
      <c r="DE13" s="428"/>
      <c r="DF13" s="428"/>
      <c r="DG13" s="428"/>
      <c r="DH13" s="428"/>
      <c r="DI13" s="428"/>
    </row>
    <row r="14" spans="1:114" s="388" customFormat="1">
      <c r="A14" s="421" t="s">
        <v>370</v>
      </c>
      <c r="B14" s="421" t="s">
        <v>12</v>
      </c>
      <c r="C14" s="421" t="s">
        <v>379</v>
      </c>
      <c r="D14" s="422" t="s">
        <v>376</v>
      </c>
      <c r="E14" s="422">
        <v>2020</v>
      </c>
      <c r="F14" s="423">
        <v>4.8563583815028899</v>
      </c>
      <c r="G14" s="424">
        <v>11585.973607038122</v>
      </c>
      <c r="H14" s="422">
        <v>16</v>
      </c>
      <c r="I14" s="425">
        <v>0.68200000000000005</v>
      </c>
      <c r="J14" s="425">
        <v>0.69199999999999995</v>
      </c>
      <c r="K14" s="422">
        <v>0</v>
      </c>
      <c r="L14" s="422">
        <v>0</v>
      </c>
      <c r="M14" s="422">
        <v>0</v>
      </c>
      <c r="N14" s="426">
        <v>18</v>
      </c>
      <c r="O14" s="426">
        <v>0</v>
      </c>
      <c r="P14" s="426">
        <v>0</v>
      </c>
      <c r="Q14" s="426">
        <v>0</v>
      </c>
      <c r="R14" s="426">
        <v>0</v>
      </c>
      <c r="S14" s="426">
        <v>0</v>
      </c>
      <c r="T14" s="426">
        <v>64.834726688102876</v>
      </c>
      <c r="U14" s="426">
        <v>64.834726688102876</v>
      </c>
      <c r="V14" s="426">
        <v>64.834726688102876</v>
      </c>
      <c r="W14" s="426">
        <v>64.834726688102876</v>
      </c>
      <c r="X14" s="426">
        <v>64.834726688102876</v>
      </c>
      <c r="Y14" s="426">
        <v>64.834726688102876</v>
      </c>
      <c r="Z14" s="426">
        <v>64.834726688102876</v>
      </c>
      <c r="AA14" s="426">
        <v>64.834726688102876</v>
      </c>
      <c r="AB14" s="426">
        <v>64.834726688102876</v>
      </c>
      <c r="AC14" s="426">
        <v>64.834726688102876</v>
      </c>
      <c r="AD14" s="426">
        <v>64.834726688102876</v>
      </c>
      <c r="AE14" s="426">
        <v>64.834726688102876</v>
      </c>
      <c r="AF14" s="426">
        <v>64.834726688102876</v>
      </c>
      <c r="AG14" s="426">
        <v>64.834726688102876</v>
      </c>
      <c r="AH14" s="426">
        <v>64.834726688102876</v>
      </c>
      <c r="AI14" s="426">
        <v>64.834726688102876</v>
      </c>
      <c r="AJ14" s="426">
        <v>0</v>
      </c>
      <c r="AK14" s="426">
        <v>0</v>
      </c>
      <c r="AL14" s="426">
        <v>0</v>
      </c>
      <c r="AM14" s="427">
        <v>0</v>
      </c>
      <c r="AN14" s="427">
        <v>0</v>
      </c>
      <c r="AO14" s="427">
        <v>0</v>
      </c>
      <c r="AP14" s="427">
        <v>0</v>
      </c>
      <c r="AQ14" s="427">
        <v>0</v>
      </c>
      <c r="AR14" s="427">
        <v>0</v>
      </c>
      <c r="AS14" s="427">
        <v>152443.09967845661</v>
      </c>
      <c r="AT14" s="427">
        <v>152443.09967845661</v>
      </c>
      <c r="AU14" s="427">
        <v>152443.09967845661</v>
      </c>
      <c r="AV14" s="427">
        <v>152443.09967845661</v>
      </c>
      <c r="AW14" s="427">
        <v>152443.09967845661</v>
      </c>
      <c r="AX14" s="427">
        <v>152443.09967845661</v>
      </c>
      <c r="AY14" s="427">
        <v>152443.09967845661</v>
      </c>
      <c r="AZ14" s="427">
        <v>152443.09967845661</v>
      </c>
      <c r="BA14" s="427">
        <v>152443.09967845661</v>
      </c>
      <c r="BB14" s="427">
        <v>152443.09967845661</v>
      </c>
      <c r="BC14" s="427">
        <v>152443.09967845661</v>
      </c>
      <c r="BD14" s="427">
        <v>152443.09967845661</v>
      </c>
      <c r="BE14" s="427">
        <v>152443.09967845661</v>
      </c>
      <c r="BF14" s="427">
        <v>152443.09967845661</v>
      </c>
      <c r="BG14" s="427">
        <v>152443.09967845661</v>
      </c>
      <c r="BH14" s="427">
        <v>152443.09967845661</v>
      </c>
      <c r="BI14" s="427">
        <v>0</v>
      </c>
      <c r="BJ14" s="427">
        <v>0</v>
      </c>
      <c r="BK14" s="427">
        <v>0</v>
      </c>
      <c r="BL14" s="427">
        <v>0</v>
      </c>
      <c r="BM14" s="427">
        <v>0</v>
      </c>
      <c r="BN14" s="427">
        <v>0</v>
      </c>
      <c r="BO14" s="427">
        <v>0</v>
      </c>
      <c r="BP14" s="427">
        <v>0</v>
      </c>
      <c r="BQ14" s="427">
        <v>0</v>
      </c>
      <c r="BR14" s="427">
        <v>0</v>
      </c>
      <c r="BS14" s="427">
        <v>0</v>
      </c>
      <c r="BT14" s="427">
        <v>0</v>
      </c>
      <c r="BU14" s="427">
        <v>0</v>
      </c>
      <c r="BV14" s="427">
        <v>0</v>
      </c>
      <c r="BW14" s="427">
        <v>0</v>
      </c>
      <c r="BX14" s="427">
        <v>0</v>
      </c>
      <c r="BY14" s="427">
        <v>0</v>
      </c>
      <c r="BZ14" s="427">
        <v>0</v>
      </c>
      <c r="CA14" s="427">
        <v>0</v>
      </c>
      <c r="CB14" s="427">
        <v>0</v>
      </c>
      <c r="CC14" s="427">
        <v>0</v>
      </c>
      <c r="CD14" s="427">
        <v>0</v>
      </c>
      <c r="CE14" s="427">
        <v>0</v>
      </c>
      <c r="CF14" s="427">
        <v>0</v>
      </c>
      <c r="CG14" s="427">
        <v>0</v>
      </c>
      <c r="CH14" s="427">
        <v>0</v>
      </c>
      <c r="CI14" s="427">
        <v>0</v>
      </c>
      <c r="CJ14" s="427">
        <v>0</v>
      </c>
      <c r="CK14" s="428">
        <v>0</v>
      </c>
      <c r="CL14" s="428">
        <v>0</v>
      </c>
      <c r="CM14" s="428">
        <v>0</v>
      </c>
      <c r="CN14" s="428">
        <v>0</v>
      </c>
      <c r="CO14" s="428">
        <v>0</v>
      </c>
      <c r="CP14" s="428">
        <v>0</v>
      </c>
      <c r="CQ14" s="428">
        <v>0</v>
      </c>
      <c r="CR14" s="428">
        <v>0</v>
      </c>
      <c r="CS14" s="428">
        <v>0</v>
      </c>
      <c r="CT14" s="428">
        <v>0</v>
      </c>
      <c r="CU14" s="428">
        <v>0</v>
      </c>
      <c r="CV14" s="428">
        <v>0</v>
      </c>
      <c r="CW14" s="428">
        <v>0</v>
      </c>
      <c r="CX14" s="428"/>
      <c r="CY14" s="428"/>
      <c r="CZ14" s="428"/>
      <c r="DA14" s="428"/>
      <c r="DB14" s="428"/>
      <c r="DC14" s="428"/>
      <c r="DD14" s="428"/>
      <c r="DE14" s="428"/>
      <c r="DF14" s="428"/>
      <c r="DG14" s="428"/>
      <c r="DH14" s="428"/>
      <c r="DI14" s="428"/>
    </row>
    <row r="15" spans="1:114" s="388" customFormat="1">
      <c r="A15" s="421" t="s">
        <v>370</v>
      </c>
      <c r="B15" s="421" t="s">
        <v>12</v>
      </c>
      <c r="C15" s="421" t="s">
        <v>382</v>
      </c>
      <c r="D15" s="422" t="s">
        <v>376</v>
      </c>
      <c r="E15" s="422">
        <v>2015</v>
      </c>
      <c r="F15" s="423">
        <v>11.998587570621469</v>
      </c>
      <c r="G15" s="424">
        <v>72377.938440492479</v>
      </c>
      <c r="H15" s="422">
        <v>9</v>
      </c>
      <c r="I15" s="425">
        <v>0.73099999999999998</v>
      </c>
      <c r="J15" s="425">
        <v>0.70799999999999996</v>
      </c>
      <c r="K15" s="422">
        <v>0</v>
      </c>
      <c r="L15" s="422">
        <v>0</v>
      </c>
      <c r="M15" s="422">
        <v>0</v>
      </c>
      <c r="N15" s="426">
        <v>0</v>
      </c>
      <c r="O15" s="426">
        <v>0</v>
      </c>
      <c r="P15" s="426">
        <v>0</v>
      </c>
      <c r="Q15" s="426">
        <v>0</v>
      </c>
      <c r="R15" s="426">
        <v>0</v>
      </c>
      <c r="S15" s="426">
        <v>0</v>
      </c>
      <c r="T15" s="426">
        <v>0</v>
      </c>
      <c r="U15" s="426">
        <v>0</v>
      </c>
      <c r="V15" s="426">
        <v>0</v>
      </c>
      <c r="W15" s="426">
        <v>0</v>
      </c>
      <c r="X15" s="426">
        <v>0</v>
      </c>
      <c r="Y15" s="426">
        <v>0</v>
      </c>
      <c r="Z15" s="426">
        <v>0</v>
      </c>
      <c r="AA15" s="426">
        <v>0</v>
      </c>
      <c r="AB15" s="426">
        <v>0</v>
      </c>
      <c r="AC15" s="426">
        <v>0</v>
      </c>
      <c r="AD15" s="426">
        <v>0</v>
      </c>
      <c r="AE15" s="426">
        <v>0</v>
      </c>
      <c r="AF15" s="426">
        <v>0</v>
      </c>
      <c r="AG15" s="426">
        <v>0</v>
      </c>
      <c r="AH15" s="426">
        <v>0</v>
      </c>
      <c r="AI15" s="426">
        <v>0</v>
      </c>
      <c r="AJ15" s="426">
        <v>0</v>
      </c>
      <c r="AK15" s="426">
        <v>0</v>
      </c>
      <c r="AL15" s="426">
        <v>0</v>
      </c>
      <c r="AM15" s="427">
        <v>0</v>
      </c>
      <c r="AN15" s="427">
        <v>0</v>
      </c>
      <c r="AO15" s="427">
        <v>0</v>
      </c>
      <c r="AP15" s="427">
        <v>0</v>
      </c>
      <c r="AQ15" s="427">
        <v>0</v>
      </c>
      <c r="AR15" s="427">
        <v>0</v>
      </c>
      <c r="AS15" s="427">
        <v>0</v>
      </c>
      <c r="AT15" s="427">
        <v>0</v>
      </c>
      <c r="AU15" s="427">
        <v>0</v>
      </c>
      <c r="AV15" s="427">
        <v>0</v>
      </c>
      <c r="AW15" s="427">
        <v>0</v>
      </c>
      <c r="AX15" s="427">
        <v>0</v>
      </c>
      <c r="AY15" s="427">
        <v>0</v>
      </c>
      <c r="AZ15" s="427">
        <v>0</v>
      </c>
      <c r="BA15" s="427">
        <v>0</v>
      </c>
      <c r="BB15" s="427">
        <v>0</v>
      </c>
      <c r="BC15" s="427">
        <v>0</v>
      </c>
      <c r="BD15" s="427">
        <v>0</v>
      </c>
      <c r="BE15" s="427">
        <v>0</v>
      </c>
      <c r="BF15" s="427">
        <v>0</v>
      </c>
      <c r="BG15" s="427">
        <v>0</v>
      </c>
      <c r="BH15" s="427">
        <v>0</v>
      </c>
      <c r="BI15" s="427">
        <v>0</v>
      </c>
      <c r="BJ15" s="427">
        <v>0</v>
      </c>
      <c r="BK15" s="427">
        <v>0</v>
      </c>
      <c r="BL15" s="427">
        <v>0</v>
      </c>
      <c r="BM15" s="427">
        <v>0</v>
      </c>
      <c r="BN15" s="427">
        <v>0</v>
      </c>
      <c r="BO15" s="427">
        <v>0</v>
      </c>
      <c r="BP15" s="427">
        <v>0</v>
      </c>
      <c r="BQ15" s="427">
        <v>0</v>
      </c>
      <c r="BR15" s="427">
        <v>0</v>
      </c>
      <c r="BS15" s="427">
        <v>0</v>
      </c>
      <c r="BT15" s="427">
        <v>0</v>
      </c>
      <c r="BU15" s="427">
        <v>0</v>
      </c>
      <c r="BV15" s="427">
        <v>0</v>
      </c>
      <c r="BW15" s="427">
        <v>0</v>
      </c>
      <c r="BX15" s="427">
        <v>0</v>
      </c>
      <c r="BY15" s="427">
        <v>0</v>
      </c>
      <c r="BZ15" s="427">
        <v>0</v>
      </c>
      <c r="CA15" s="427">
        <v>0</v>
      </c>
      <c r="CB15" s="427">
        <v>0</v>
      </c>
      <c r="CC15" s="427">
        <v>0</v>
      </c>
      <c r="CD15" s="427">
        <v>0</v>
      </c>
      <c r="CE15" s="427">
        <v>0</v>
      </c>
      <c r="CF15" s="427">
        <v>0</v>
      </c>
      <c r="CG15" s="427">
        <v>0</v>
      </c>
      <c r="CH15" s="427">
        <v>0</v>
      </c>
      <c r="CI15" s="427">
        <v>0</v>
      </c>
      <c r="CJ15" s="427">
        <v>0</v>
      </c>
      <c r="CK15" s="428">
        <v>0</v>
      </c>
      <c r="CL15" s="428">
        <v>0</v>
      </c>
      <c r="CM15" s="428">
        <v>0</v>
      </c>
      <c r="CN15" s="428">
        <v>0</v>
      </c>
      <c r="CO15" s="428">
        <v>0</v>
      </c>
      <c r="CP15" s="428">
        <v>0</v>
      </c>
      <c r="CQ15" s="428">
        <v>0</v>
      </c>
      <c r="CR15" s="428">
        <v>0</v>
      </c>
      <c r="CS15" s="428">
        <v>0</v>
      </c>
      <c r="CT15" s="428">
        <v>0</v>
      </c>
      <c r="CU15" s="428">
        <v>0</v>
      </c>
      <c r="CV15" s="428">
        <v>0</v>
      </c>
      <c r="CW15" s="428">
        <v>0</v>
      </c>
      <c r="CX15" s="428"/>
      <c r="CY15" s="428"/>
      <c r="CZ15" s="428"/>
      <c r="DA15" s="428"/>
      <c r="DB15" s="428"/>
      <c r="DC15" s="428"/>
      <c r="DD15" s="428"/>
      <c r="DE15" s="428"/>
      <c r="DF15" s="428"/>
      <c r="DG15" s="428"/>
      <c r="DH15" s="428"/>
      <c r="DI15" s="428"/>
    </row>
    <row r="16" spans="1:114" s="388" customFormat="1">
      <c r="A16" s="421" t="s">
        <v>370</v>
      </c>
      <c r="B16" s="421" t="s">
        <v>12</v>
      </c>
      <c r="C16" s="421" t="s">
        <v>382</v>
      </c>
      <c r="D16" s="422" t="s">
        <v>376</v>
      </c>
      <c r="E16" s="422">
        <v>2016</v>
      </c>
      <c r="F16" s="423">
        <v>11.998587570621469</v>
      </c>
      <c r="G16" s="424">
        <v>72377.938440492479</v>
      </c>
      <c r="H16" s="422">
        <v>9</v>
      </c>
      <c r="I16" s="425">
        <v>0.73099999999999998</v>
      </c>
      <c r="J16" s="425">
        <v>0.70799999999999996</v>
      </c>
      <c r="K16" s="422">
        <v>0</v>
      </c>
      <c r="L16" s="422">
        <v>0</v>
      </c>
      <c r="M16" s="422">
        <v>0</v>
      </c>
      <c r="N16" s="426">
        <v>6</v>
      </c>
      <c r="O16" s="426">
        <v>0</v>
      </c>
      <c r="P16" s="426">
        <v>54.630225080385856</v>
      </c>
      <c r="Q16" s="426">
        <v>54.630225080385856</v>
      </c>
      <c r="R16" s="426">
        <v>54.630225080385856</v>
      </c>
      <c r="S16" s="426">
        <v>54.630225080385856</v>
      </c>
      <c r="T16" s="426">
        <v>54.630225080385856</v>
      </c>
      <c r="U16" s="426">
        <v>54.630225080385856</v>
      </c>
      <c r="V16" s="426">
        <v>54.630225080385856</v>
      </c>
      <c r="W16" s="426">
        <v>54.630225080385856</v>
      </c>
      <c r="X16" s="426">
        <v>54.630225080385856</v>
      </c>
      <c r="Y16" s="426">
        <v>0</v>
      </c>
      <c r="Z16" s="426">
        <v>0</v>
      </c>
      <c r="AA16" s="426">
        <v>0</v>
      </c>
      <c r="AB16" s="426">
        <v>0</v>
      </c>
      <c r="AC16" s="426">
        <v>0</v>
      </c>
      <c r="AD16" s="426">
        <v>0</v>
      </c>
      <c r="AE16" s="426">
        <v>0</v>
      </c>
      <c r="AF16" s="426">
        <v>0</v>
      </c>
      <c r="AG16" s="426">
        <v>0</v>
      </c>
      <c r="AH16" s="426">
        <v>0</v>
      </c>
      <c r="AI16" s="426">
        <v>0</v>
      </c>
      <c r="AJ16" s="426">
        <v>0</v>
      </c>
      <c r="AK16" s="426">
        <v>0</v>
      </c>
      <c r="AL16" s="426">
        <v>0</v>
      </c>
      <c r="AM16" s="427">
        <v>0</v>
      </c>
      <c r="AN16" s="427">
        <v>0</v>
      </c>
      <c r="AO16" s="427">
        <v>340246.1286173634</v>
      </c>
      <c r="AP16" s="427">
        <v>340246.1286173634</v>
      </c>
      <c r="AQ16" s="427">
        <v>340246.1286173634</v>
      </c>
      <c r="AR16" s="427">
        <v>340246.1286173634</v>
      </c>
      <c r="AS16" s="427">
        <v>340246.1286173634</v>
      </c>
      <c r="AT16" s="427">
        <v>340246.1286173634</v>
      </c>
      <c r="AU16" s="427">
        <v>340246.1286173634</v>
      </c>
      <c r="AV16" s="427">
        <v>340246.1286173634</v>
      </c>
      <c r="AW16" s="427">
        <v>340246.1286173634</v>
      </c>
      <c r="AX16" s="427">
        <v>0</v>
      </c>
      <c r="AY16" s="427">
        <v>0</v>
      </c>
      <c r="AZ16" s="427">
        <v>0</v>
      </c>
      <c r="BA16" s="427">
        <v>0</v>
      </c>
      <c r="BB16" s="427">
        <v>0</v>
      </c>
      <c r="BC16" s="427">
        <v>0</v>
      </c>
      <c r="BD16" s="427">
        <v>0</v>
      </c>
      <c r="BE16" s="427">
        <v>0</v>
      </c>
      <c r="BF16" s="427">
        <v>0</v>
      </c>
      <c r="BG16" s="427">
        <v>0</v>
      </c>
      <c r="BH16" s="427">
        <v>0</v>
      </c>
      <c r="BI16" s="427">
        <v>0</v>
      </c>
      <c r="BJ16" s="427">
        <v>0</v>
      </c>
      <c r="BK16" s="427">
        <v>0</v>
      </c>
      <c r="BL16" s="427">
        <v>0</v>
      </c>
      <c r="BM16" s="427">
        <v>0</v>
      </c>
      <c r="BN16" s="427">
        <v>0</v>
      </c>
      <c r="BO16" s="427">
        <v>0</v>
      </c>
      <c r="BP16" s="427">
        <v>0</v>
      </c>
      <c r="BQ16" s="427">
        <v>0</v>
      </c>
      <c r="BR16" s="427">
        <v>0</v>
      </c>
      <c r="BS16" s="427">
        <v>0</v>
      </c>
      <c r="BT16" s="427">
        <v>0</v>
      </c>
      <c r="BU16" s="427">
        <v>0</v>
      </c>
      <c r="BV16" s="427">
        <v>0</v>
      </c>
      <c r="BW16" s="427">
        <v>0</v>
      </c>
      <c r="BX16" s="427">
        <v>0</v>
      </c>
      <c r="BY16" s="427">
        <v>0</v>
      </c>
      <c r="BZ16" s="427">
        <v>0</v>
      </c>
      <c r="CA16" s="427">
        <v>0</v>
      </c>
      <c r="CB16" s="427">
        <v>0</v>
      </c>
      <c r="CC16" s="427">
        <v>0</v>
      </c>
      <c r="CD16" s="427">
        <v>0</v>
      </c>
      <c r="CE16" s="427">
        <v>0</v>
      </c>
      <c r="CF16" s="427">
        <v>0</v>
      </c>
      <c r="CG16" s="427">
        <v>0</v>
      </c>
      <c r="CH16" s="427">
        <v>0</v>
      </c>
      <c r="CI16" s="427">
        <v>0</v>
      </c>
      <c r="CJ16" s="427">
        <v>0</v>
      </c>
      <c r="CK16" s="428">
        <v>0</v>
      </c>
      <c r="CL16" s="428">
        <v>0</v>
      </c>
      <c r="CM16" s="428">
        <v>0</v>
      </c>
      <c r="CN16" s="428">
        <v>0</v>
      </c>
      <c r="CO16" s="428">
        <v>0</v>
      </c>
      <c r="CP16" s="428">
        <v>0</v>
      </c>
      <c r="CQ16" s="428">
        <v>0</v>
      </c>
      <c r="CR16" s="428">
        <v>0</v>
      </c>
      <c r="CS16" s="428">
        <v>0</v>
      </c>
      <c r="CT16" s="428">
        <v>0</v>
      </c>
      <c r="CU16" s="428">
        <v>0</v>
      </c>
      <c r="CV16" s="428">
        <v>0</v>
      </c>
      <c r="CW16" s="428">
        <v>0</v>
      </c>
      <c r="CX16" s="428"/>
      <c r="CY16" s="428"/>
      <c r="CZ16" s="428"/>
      <c r="DA16" s="428"/>
      <c r="DB16" s="428"/>
      <c r="DC16" s="428"/>
      <c r="DD16" s="428"/>
      <c r="DE16" s="428"/>
      <c r="DF16" s="428"/>
      <c r="DG16" s="428"/>
      <c r="DH16" s="428"/>
      <c r="DI16" s="428"/>
    </row>
    <row r="17" spans="1:113" s="388" customFormat="1">
      <c r="A17" s="421" t="s">
        <v>370</v>
      </c>
      <c r="B17" s="421" t="s">
        <v>12</v>
      </c>
      <c r="C17" s="421" t="s">
        <v>382</v>
      </c>
      <c r="D17" s="422" t="s">
        <v>376</v>
      </c>
      <c r="E17" s="422">
        <v>2017</v>
      </c>
      <c r="F17" s="423">
        <v>11.998587570621469</v>
      </c>
      <c r="G17" s="424">
        <v>72377.938440492479</v>
      </c>
      <c r="H17" s="422">
        <v>9</v>
      </c>
      <c r="I17" s="425">
        <v>0.73099999999999998</v>
      </c>
      <c r="J17" s="425">
        <v>0.70799999999999996</v>
      </c>
      <c r="K17" s="422">
        <v>0</v>
      </c>
      <c r="L17" s="422">
        <v>0</v>
      </c>
      <c r="M17" s="422">
        <v>0</v>
      </c>
      <c r="N17" s="426">
        <v>8</v>
      </c>
      <c r="O17" s="426">
        <v>0</v>
      </c>
      <c r="P17" s="426">
        <v>0</v>
      </c>
      <c r="Q17" s="426">
        <v>72.840300107181136</v>
      </c>
      <c r="R17" s="426">
        <v>72.840300107181136</v>
      </c>
      <c r="S17" s="426">
        <v>72.840300107181136</v>
      </c>
      <c r="T17" s="426">
        <v>72.840300107181136</v>
      </c>
      <c r="U17" s="426">
        <v>72.840300107181136</v>
      </c>
      <c r="V17" s="426">
        <v>72.840300107181136</v>
      </c>
      <c r="W17" s="426">
        <v>72.840300107181136</v>
      </c>
      <c r="X17" s="426">
        <v>72.840300107181136</v>
      </c>
      <c r="Y17" s="426">
        <v>72.840300107181136</v>
      </c>
      <c r="Z17" s="426">
        <v>0</v>
      </c>
      <c r="AA17" s="426">
        <v>0</v>
      </c>
      <c r="AB17" s="426">
        <v>0</v>
      </c>
      <c r="AC17" s="426">
        <v>0</v>
      </c>
      <c r="AD17" s="426">
        <v>0</v>
      </c>
      <c r="AE17" s="426">
        <v>0</v>
      </c>
      <c r="AF17" s="426">
        <v>0</v>
      </c>
      <c r="AG17" s="426">
        <v>0</v>
      </c>
      <c r="AH17" s="426">
        <v>0</v>
      </c>
      <c r="AI17" s="426">
        <v>0</v>
      </c>
      <c r="AJ17" s="426">
        <v>0</v>
      </c>
      <c r="AK17" s="426">
        <v>0</v>
      </c>
      <c r="AL17" s="426">
        <v>0</v>
      </c>
      <c r="AM17" s="427">
        <v>0</v>
      </c>
      <c r="AN17" s="427">
        <v>0</v>
      </c>
      <c r="AO17" s="427">
        <v>0</v>
      </c>
      <c r="AP17" s="427">
        <v>453661.50482315116</v>
      </c>
      <c r="AQ17" s="427">
        <v>453661.50482315116</v>
      </c>
      <c r="AR17" s="427">
        <v>453661.50482315116</v>
      </c>
      <c r="AS17" s="427">
        <v>453661.50482315116</v>
      </c>
      <c r="AT17" s="427">
        <v>453661.50482315116</v>
      </c>
      <c r="AU17" s="427">
        <v>453661.50482315116</v>
      </c>
      <c r="AV17" s="427">
        <v>453661.50482315116</v>
      </c>
      <c r="AW17" s="427">
        <v>453661.50482315116</v>
      </c>
      <c r="AX17" s="427">
        <v>453661.50482315116</v>
      </c>
      <c r="AY17" s="427">
        <v>0</v>
      </c>
      <c r="AZ17" s="427">
        <v>0</v>
      </c>
      <c r="BA17" s="427">
        <v>0</v>
      </c>
      <c r="BB17" s="427">
        <v>0</v>
      </c>
      <c r="BC17" s="427">
        <v>0</v>
      </c>
      <c r="BD17" s="427">
        <v>0</v>
      </c>
      <c r="BE17" s="427">
        <v>0</v>
      </c>
      <c r="BF17" s="427">
        <v>0</v>
      </c>
      <c r="BG17" s="427">
        <v>0</v>
      </c>
      <c r="BH17" s="427">
        <v>0</v>
      </c>
      <c r="BI17" s="427">
        <v>0</v>
      </c>
      <c r="BJ17" s="427">
        <v>0</v>
      </c>
      <c r="BK17" s="427">
        <v>0</v>
      </c>
      <c r="BL17" s="427">
        <v>0</v>
      </c>
      <c r="BM17" s="427">
        <v>0</v>
      </c>
      <c r="BN17" s="427">
        <v>0</v>
      </c>
      <c r="BO17" s="427">
        <v>0</v>
      </c>
      <c r="BP17" s="427">
        <v>0</v>
      </c>
      <c r="BQ17" s="427">
        <v>0</v>
      </c>
      <c r="BR17" s="427">
        <v>0</v>
      </c>
      <c r="BS17" s="427">
        <v>0</v>
      </c>
      <c r="BT17" s="427">
        <v>0</v>
      </c>
      <c r="BU17" s="427">
        <v>0</v>
      </c>
      <c r="BV17" s="427">
        <v>0</v>
      </c>
      <c r="BW17" s="427">
        <v>0</v>
      </c>
      <c r="BX17" s="427">
        <v>0</v>
      </c>
      <c r="BY17" s="427">
        <v>0</v>
      </c>
      <c r="BZ17" s="427">
        <v>0</v>
      </c>
      <c r="CA17" s="427">
        <v>0</v>
      </c>
      <c r="CB17" s="427">
        <v>0</v>
      </c>
      <c r="CC17" s="427">
        <v>0</v>
      </c>
      <c r="CD17" s="427">
        <v>0</v>
      </c>
      <c r="CE17" s="427">
        <v>0</v>
      </c>
      <c r="CF17" s="427">
        <v>0</v>
      </c>
      <c r="CG17" s="427">
        <v>0</v>
      </c>
      <c r="CH17" s="427">
        <v>0</v>
      </c>
      <c r="CI17" s="427">
        <v>0</v>
      </c>
      <c r="CJ17" s="427">
        <v>0</v>
      </c>
      <c r="CK17" s="428">
        <v>0</v>
      </c>
      <c r="CL17" s="428">
        <v>0</v>
      </c>
      <c r="CM17" s="428">
        <v>0</v>
      </c>
      <c r="CN17" s="428">
        <v>0</v>
      </c>
      <c r="CO17" s="428">
        <v>0</v>
      </c>
      <c r="CP17" s="428">
        <v>0</v>
      </c>
      <c r="CQ17" s="428">
        <v>0</v>
      </c>
      <c r="CR17" s="428">
        <v>0</v>
      </c>
      <c r="CS17" s="428">
        <v>0</v>
      </c>
      <c r="CT17" s="428">
        <v>0</v>
      </c>
      <c r="CU17" s="428">
        <v>0</v>
      </c>
      <c r="CV17" s="428">
        <v>0</v>
      </c>
      <c r="CW17" s="428">
        <v>0</v>
      </c>
      <c r="CX17" s="428"/>
      <c r="CY17" s="428"/>
      <c r="CZ17" s="428"/>
      <c r="DA17" s="428"/>
      <c r="DB17" s="428"/>
      <c r="DC17" s="428"/>
      <c r="DD17" s="428"/>
      <c r="DE17" s="428"/>
      <c r="DF17" s="428"/>
      <c r="DG17" s="428"/>
      <c r="DH17" s="428"/>
      <c r="DI17" s="428"/>
    </row>
    <row r="18" spans="1:113" s="388" customFormat="1">
      <c r="A18" s="421" t="s">
        <v>370</v>
      </c>
      <c r="B18" s="421" t="s">
        <v>12</v>
      </c>
      <c r="C18" s="421" t="s">
        <v>382</v>
      </c>
      <c r="D18" s="422" t="s">
        <v>376</v>
      </c>
      <c r="E18" s="422">
        <v>2018</v>
      </c>
      <c r="F18" s="423">
        <v>11.998587570621469</v>
      </c>
      <c r="G18" s="424">
        <v>72377.938440492479</v>
      </c>
      <c r="H18" s="422">
        <v>9</v>
      </c>
      <c r="I18" s="425">
        <v>0.73099999999999998</v>
      </c>
      <c r="J18" s="425">
        <v>0.70799999999999996</v>
      </c>
      <c r="K18" s="422">
        <v>0</v>
      </c>
      <c r="L18" s="422">
        <v>0</v>
      </c>
      <c r="M18" s="422">
        <v>0</v>
      </c>
      <c r="N18" s="426">
        <v>10</v>
      </c>
      <c r="O18" s="426">
        <v>0</v>
      </c>
      <c r="P18" s="426">
        <v>0</v>
      </c>
      <c r="Q18" s="426">
        <v>0</v>
      </c>
      <c r="R18" s="426">
        <v>91.050375133976416</v>
      </c>
      <c r="S18" s="426">
        <v>91.050375133976416</v>
      </c>
      <c r="T18" s="426">
        <v>91.050375133976416</v>
      </c>
      <c r="U18" s="426">
        <v>91.050375133976416</v>
      </c>
      <c r="V18" s="426">
        <v>91.050375133976416</v>
      </c>
      <c r="W18" s="426">
        <v>91.050375133976416</v>
      </c>
      <c r="X18" s="426">
        <v>91.050375133976416</v>
      </c>
      <c r="Y18" s="426">
        <v>91.050375133976416</v>
      </c>
      <c r="Z18" s="426">
        <v>91.050375133976416</v>
      </c>
      <c r="AA18" s="426">
        <v>0</v>
      </c>
      <c r="AB18" s="426">
        <v>0</v>
      </c>
      <c r="AC18" s="426">
        <v>0</v>
      </c>
      <c r="AD18" s="426">
        <v>0</v>
      </c>
      <c r="AE18" s="426">
        <v>0</v>
      </c>
      <c r="AF18" s="426">
        <v>0</v>
      </c>
      <c r="AG18" s="426">
        <v>0</v>
      </c>
      <c r="AH18" s="426">
        <v>0</v>
      </c>
      <c r="AI18" s="426">
        <v>0</v>
      </c>
      <c r="AJ18" s="426">
        <v>0</v>
      </c>
      <c r="AK18" s="426">
        <v>0</v>
      </c>
      <c r="AL18" s="426">
        <v>0</v>
      </c>
      <c r="AM18" s="427">
        <v>0</v>
      </c>
      <c r="AN18" s="427">
        <v>0</v>
      </c>
      <c r="AO18" s="427">
        <v>0</v>
      </c>
      <c r="AP18" s="427">
        <v>0</v>
      </c>
      <c r="AQ18" s="427">
        <v>567076.88102893892</v>
      </c>
      <c r="AR18" s="427">
        <v>567076.88102893892</v>
      </c>
      <c r="AS18" s="427">
        <v>567076.88102893892</v>
      </c>
      <c r="AT18" s="427">
        <v>567076.88102893892</v>
      </c>
      <c r="AU18" s="427">
        <v>567076.88102893892</v>
      </c>
      <c r="AV18" s="427">
        <v>567076.88102893892</v>
      </c>
      <c r="AW18" s="427">
        <v>567076.88102893892</v>
      </c>
      <c r="AX18" s="427">
        <v>567076.88102893892</v>
      </c>
      <c r="AY18" s="427">
        <v>567076.88102893892</v>
      </c>
      <c r="AZ18" s="427">
        <v>0</v>
      </c>
      <c r="BA18" s="427">
        <v>0</v>
      </c>
      <c r="BB18" s="427">
        <v>0</v>
      </c>
      <c r="BC18" s="427">
        <v>0</v>
      </c>
      <c r="BD18" s="427">
        <v>0</v>
      </c>
      <c r="BE18" s="427">
        <v>0</v>
      </c>
      <c r="BF18" s="427">
        <v>0</v>
      </c>
      <c r="BG18" s="427">
        <v>0</v>
      </c>
      <c r="BH18" s="427">
        <v>0</v>
      </c>
      <c r="BI18" s="427">
        <v>0</v>
      </c>
      <c r="BJ18" s="427">
        <v>0</v>
      </c>
      <c r="BK18" s="427">
        <v>0</v>
      </c>
      <c r="BL18" s="427">
        <v>0</v>
      </c>
      <c r="BM18" s="427">
        <v>0</v>
      </c>
      <c r="BN18" s="427">
        <v>0</v>
      </c>
      <c r="BO18" s="427">
        <v>0</v>
      </c>
      <c r="BP18" s="427">
        <v>0</v>
      </c>
      <c r="BQ18" s="427">
        <v>0</v>
      </c>
      <c r="BR18" s="427">
        <v>0</v>
      </c>
      <c r="BS18" s="427">
        <v>0</v>
      </c>
      <c r="BT18" s="427">
        <v>0</v>
      </c>
      <c r="BU18" s="427">
        <v>0</v>
      </c>
      <c r="BV18" s="427">
        <v>0</v>
      </c>
      <c r="BW18" s="427">
        <v>0</v>
      </c>
      <c r="BX18" s="427">
        <v>0</v>
      </c>
      <c r="BY18" s="427">
        <v>0</v>
      </c>
      <c r="BZ18" s="427">
        <v>0</v>
      </c>
      <c r="CA18" s="427">
        <v>0</v>
      </c>
      <c r="CB18" s="427">
        <v>0</v>
      </c>
      <c r="CC18" s="427">
        <v>0</v>
      </c>
      <c r="CD18" s="427">
        <v>0</v>
      </c>
      <c r="CE18" s="427">
        <v>0</v>
      </c>
      <c r="CF18" s="427">
        <v>0</v>
      </c>
      <c r="CG18" s="427">
        <v>0</v>
      </c>
      <c r="CH18" s="427">
        <v>0</v>
      </c>
      <c r="CI18" s="427">
        <v>0</v>
      </c>
      <c r="CJ18" s="427">
        <v>0</v>
      </c>
      <c r="CK18" s="428">
        <v>0</v>
      </c>
      <c r="CL18" s="428">
        <v>0</v>
      </c>
      <c r="CM18" s="428">
        <v>0</v>
      </c>
      <c r="CN18" s="428">
        <v>0</v>
      </c>
      <c r="CO18" s="428">
        <v>0</v>
      </c>
      <c r="CP18" s="428">
        <v>0</v>
      </c>
      <c r="CQ18" s="428">
        <v>0</v>
      </c>
      <c r="CR18" s="428">
        <v>0</v>
      </c>
      <c r="CS18" s="428">
        <v>0</v>
      </c>
      <c r="CT18" s="428">
        <v>0</v>
      </c>
      <c r="CU18" s="428">
        <v>0</v>
      </c>
      <c r="CV18" s="428">
        <v>0</v>
      </c>
      <c r="CW18" s="428">
        <v>0</v>
      </c>
      <c r="CX18" s="428"/>
      <c r="CY18" s="428"/>
      <c r="CZ18" s="428"/>
      <c r="DA18" s="428"/>
      <c r="DB18" s="428"/>
      <c r="DC18" s="428"/>
      <c r="DD18" s="428"/>
      <c r="DE18" s="428"/>
      <c r="DF18" s="428"/>
      <c r="DG18" s="428"/>
      <c r="DH18" s="428"/>
      <c r="DI18" s="428"/>
    </row>
    <row r="19" spans="1:113" s="388" customFormat="1">
      <c r="A19" s="421" t="s">
        <v>370</v>
      </c>
      <c r="B19" s="421" t="s">
        <v>12</v>
      </c>
      <c r="C19" s="421" t="s">
        <v>382</v>
      </c>
      <c r="D19" s="422" t="s">
        <v>376</v>
      </c>
      <c r="E19" s="422">
        <v>2019</v>
      </c>
      <c r="F19" s="423">
        <v>11.998587570621469</v>
      </c>
      <c r="G19" s="424">
        <v>72377.938440492479</v>
      </c>
      <c r="H19" s="422">
        <v>9</v>
      </c>
      <c r="I19" s="425">
        <v>0.73099999999999998</v>
      </c>
      <c r="J19" s="425">
        <v>0.70799999999999996</v>
      </c>
      <c r="K19" s="422">
        <v>0</v>
      </c>
      <c r="L19" s="422">
        <v>0</v>
      </c>
      <c r="M19" s="422">
        <v>0</v>
      </c>
      <c r="N19" s="426">
        <v>12</v>
      </c>
      <c r="O19" s="426">
        <v>0</v>
      </c>
      <c r="P19" s="426">
        <v>0</v>
      </c>
      <c r="Q19" s="426">
        <v>0</v>
      </c>
      <c r="R19" s="426">
        <v>0</v>
      </c>
      <c r="S19" s="426">
        <v>109.26045016077171</v>
      </c>
      <c r="T19" s="426">
        <v>109.26045016077171</v>
      </c>
      <c r="U19" s="426">
        <v>109.26045016077171</v>
      </c>
      <c r="V19" s="426">
        <v>109.26045016077171</v>
      </c>
      <c r="W19" s="426">
        <v>109.26045016077171</v>
      </c>
      <c r="X19" s="426">
        <v>109.26045016077171</v>
      </c>
      <c r="Y19" s="426">
        <v>109.26045016077171</v>
      </c>
      <c r="Z19" s="426">
        <v>109.26045016077171</v>
      </c>
      <c r="AA19" s="426">
        <v>109.26045016077171</v>
      </c>
      <c r="AB19" s="426">
        <v>0</v>
      </c>
      <c r="AC19" s="426">
        <v>0</v>
      </c>
      <c r="AD19" s="426">
        <v>0</v>
      </c>
      <c r="AE19" s="426">
        <v>0</v>
      </c>
      <c r="AF19" s="426">
        <v>0</v>
      </c>
      <c r="AG19" s="426">
        <v>0</v>
      </c>
      <c r="AH19" s="426">
        <v>0</v>
      </c>
      <c r="AI19" s="426">
        <v>0</v>
      </c>
      <c r="AJ19" s="426">
        <v>0</v>
      </c>
      <c r="AK19" s="426">
        <v>0</v>
      </c>
      <c r="AL19" s="426">
        <v>0</v>
      </c>
      <c r="AM19" s="427">
        <v>0</v>
      </c>
      <c r="AN19" s="427">
        <v>0</v>
      </c>
      <c r="AO19" s="427">
        <v>0</v>
      </c>
      <c r="AP19" s="427">
        <v>0</v>
      </c>
      <c r="AQ19" s="427">
        <v>0</v>
      </c>
      <c r="AR19" s="427">
        <v>680492.2572347268</v>
      </c>
      <c r="AS19" s="427">
        <v>680492.2572347268</v>
      </c>
      <c r="AT19" s="427">
        <v>680492.2572347268</v>
      </c>
      <c r="AU19" s="427">
        <v>680492.2572347268</v>
      </c>
      <c r="AV19" s="427">
        <v>680492.2572347268</v>
      </c>
      <c r="AW19" s="427">
        <v>680492.2572347268</v>
      </c>
      <c r="AX19" s="427">
        <v>680492.2572347268</v>
      </c>
      <c r="AY19" s="427">
        <v>680492.2572347268</v>
      </c>
      <c r="AZ19" s="427">
        <v>680492.2572347268</v>
      </c>
      <c r="BA19" s="427">
        <v>0</v>
      </c>
      <c r="BB19" s="427">
        <v>0</v>
      </c>
      <c r="BC19" s="427">
        <v>0</v>
      </c>
      <c r="BD19" s="427">
        <v>0</v>
      </c>
      <c r="BE19" s="427">
        <v>0</v>
      </c>
      <c r="BF19" s="427">
        <v>0</v>
      </c>
      <c r="BG19" s="427">
        <v>0</v>
      </c>
      <c r="BH19" s="427">
        <v>0</v>
      </c>
      <c r="BI19" s="427">
        <v>0</v>
      </c>
      <c r="BJ19" s="427">
        <v>0</v>
      </c>
      <c r="BK19" s="427">
        <v>0</v>
      </c>
      <c r="BL19" s="427">
        <v>0</v>
      </c>
      <c r="BM19" s="427">
        <v>0</v>
      </c>
      <c r="BN19" s="427">
        <v>0</v>
      </c>
      <c r="BO19" s="427">
        <v>0</v>
      </c>
      <c r="BP19" s="427">
        <v>0</v>
      </c>
      <c r="BQ19" s="427">
        <v>0</v>
      </c>
      <c r="BR19" s="427">
        <v>0</v>
      </c>
      <c r="BS19" s="427">
        <v>0</v>
      </c>
      <c r="BT19" s="427">
        <v>0</v>
      </c>
      <c r="BU19" s="427">
        <v>0</v>
      </c>
      <c r="BV19" s="427">
        <v>0</v>
      </c>
      <c r="BW19" s="427">
        <v>0</v>
      </c>
      <c r="BX19" s="427">
        <v>0</v>
      </c>
      <c r="BY19" s="427">
        <v>0</v>
      </c>
      <c r="BZ19" s="427">
        <v>0</v>
      </c>
      <c r="CA19" s="427">
        <v>0</v>
      </c>
      <c r="CB19" s="427">
        <v>0</v>
      </c>
      <c r="CC19" s="427">
        <v>0</v>
      </c>
      <c r="CD19" s="427">
        <v>0</v>
      </c>
      <c r="CE19" s="427">
        <v>0</v>
      </c>
      <c r="CF19" s="427">
        <v>0</v>
      </c>
      <c r="CG19" s="427">
        <v>0</v>
      </c>
      <c r="CH19" s="427">
        <v>0</v>
      </c>
      <c r="CI19" s="427">
        <v>0</v>
      </c>
      <c r="CJ19" s="427">
        <v>0</v>
      </c>
      <c r="CK19" s="428">
        <v>0</v>
      </c>
      <c r="CL19" s="428">
        <v>0</v>
      </c>
      <c r="CM19" s="428">
        <v>0</v>
      </c>
      <c r="CN19" s="428">
        <v>0</v>
      </c>
      <c r="CO19" s="428">
        <v>0</v>
      </c>
      <c r="CP19" s="428">
        <v>0</v>
      </c>
      <c r="CQ19" s="428">
        <v>0</v>
      </c>
      <c r="CR19" s="428">
        <v>0</v>
      </c>
      <c r="CS19" s="428">
        <v>0</v>
      </c>
      <c r="CT19" s="428">
        <v>0</v>
      </c>
      <c r="CU19" s="428">
        <v>0</v>
      </c>
      <c r="CV19" s="428">
        <v>0</v>
      </c>
      <c r="CW19" s="428">
        <v>0</v>
      </c>
      <c r="CX19" s="428"/>
      <c r="CY19" s="428"/>
      <c r="CZ19" s="428"/>
      <c r="DA19" s="428"/>
      <c r="DB19" s="428"/>
      <c r="DC19" s="428"/>
      <c r="DD19" s="428"/>
      <c r="DE19" s="428"/>
      <c r="DF19" s="428"/>
      <c r="DG19" s="428"/>
      <c r="DH19" s="428"/>
      <c r="DI19" s="428"/>
    </row>
    <row r="20" spans="1:113" s="388" customFormat="1">
      <c r="A20" s="421" t="s">
        <v>370</v>
      </c>
      <c r="B20" s="421" t="s">
        <v>12</v>
      </c>
      <c r="C20" s="421" t="s">
        <v>382</v>
      </c>
      <c r="D20" s="422" t="s">
        <v>376</v>
      </c>
      <c r="E20" s="422">
        <v>2020</v>
      </c>
      <c r="F20" s="423">
        <v>11.998587570621469</v>
      </c>
      <c r="G20" s="424">
        <v>72377.938440492479</v>
      </c>
      <c r="H20" s="422">
        <v>9</v>
      </c>
      <c r="I20" s="425">
        <v>0.73099999999999998</v>
      </c>
      <c r="J20" s="425">
        <v>0.70799999999999996</v>
      </c>
      <c r="K20" s="422">
        <v>0</v>
      </c>
      <c r="L20" s="422">
        <v>0</v>
      </c>
      <c r="M20" s="422">
        <v>0</v>
      </c>
      <c r="N20" s="426">
        <v>14</v>
      </c>
      <c r="O20" s="426">
        <v>0</v>
      </c>
      <c r="P20" s="426">
        <v>0</v>
      </c>
      <c r="Q20" s="426">
        <v>0</v>
      </c>
      <c r="R20" s="426">
        <v>0</v>
      </c>
      <c r="S20" s="426">
        <v>0</v>
      </c>
      <c r="T20" s="426">
        <v>127.47052518756698</v>
      </c>
      <c r="U20" s="426">
        <v>127.47052518756698</v>
      </c>
      <c r="V20" s="426">
        <v>127.47052518756698</v>
      </c>
      <c r="W20" s="426">
        <v>127.47052518756698</v>
      </c>
      <c r="X20" s="426">
        <v>127.47052518756698</v>
      </c>
      <c r="Y20" s="426">
        <v>127.47052518756698</v>
      </c>
      <c r="Z20" s="426">
        <v>127.47052518756698</v>
      </c>
      <c r="AA20" s="426">
        <v>127.47052518756698</v>
      </c>
      <c r="AB20" s="426">
        <v>127.47052518756698</v>
      </c>
      <c r="AC20" s="426">
        <v>0</v>
      </c>
      <c r="AD20" s="426">
        <v>0</v>
      </c>
      <c r="AE20" s="426">
        <v>0</v>
      </c>
      <c r="AF20" s="426">
        <v>0</v>
      </c>
      <c r="AG20" s="426">
        <v>0</v>
      </c>
      <c r="AH20" s="426">
        <v>0</v>
      </c>
      <c r="AI20" s="426">
        <v>0</v>
      </c>
      <c r="AJ20" s="426">
        <v>0</v>
      </c>
      <c r="AK20" s="426">
        <v>0</v>
      </c>
      <c r="AL20" s="426">
        <v>0</v>
      </c>
      <c r="AM20" s="427">
        <v>0</v>
      </c>
      <c r="AN20" s="427">
        <v>0</v>
      </c>
      <c r="AO20" s="427">
        <v>0</v>
      </c>
      <c r="AP20" s="427">
        <v>0</v>
      </c>
      <c r="AQ20" s="427">
        <v>0</v>
      </c>
      <c r="AR20" s="427">
        <v>0</v>
      </c>
      <c r="AS20" s="427">
        <v>793907.63344051456</v>
      </c>
      <c r="AT20" s="427">
        <v>793907.63344051456</v>
      </c>
      <c r="AU20" s="427">
        <v>793907.63344051456</v>
      </c>
      <c r="AV20" s="427">
        <v>793907.63344051456</v>
      </c>
      <c r="AW20" s="427">
        <v>793907.63344051456</v>
      </c>
      <c r="AX20" s="427">
        <v>793907.63344051456</v>
      </c>
      <c r="AY20" s="427">
        <v>793907.63344051456</v>
      </c>
      <c r="AZ20" s="427">
        <v>793907.63344051456</v>
      </c>
      <c r="BA20" s="427">
        <v>793907.63344051456</v>
      </c>
      <c r="BB20" s="427">
        <v>0</v>
      </c>
      <c r="BC20" s="427">
        <v>0</v>
      </c>
      <c r="BD20" s="427">
        <v>0</v>
      </c>
      <c r="BE20" s="427">
        <v>0</v>
      </c>
      <c r="BF20" s="427">
        <v>0</v>
      </c>
      <c r="BG20" s="427">
        <v>0</v>
      </c>
      <c r="BH20" s="427">
        <v>0</v>
      </c>
      <c r="BI20" s="427">
        <v>0</v>
      </c>
      <c r="BJ20" s="427">
        <v>0</v>
      </c>
      <c r="BK20" s="427">
        <v>0</v>
      </c>
      <c r="BL20" s="427">
        <v>0</v>
      </c>
      <c r="BM20" s="427">
        <v>0</v>
      </c>
      <c r="BN20" s="427">
        <v>0</v>
      </c>
      <c r="BO20" s="427">
        <v>0</v>
      </c>
      <c r="BP20" s="427">
        <v>0</v>
      </c>
      <c r="BQ20" s="427">
        <v>0</v>
      </c>
      <c r="BR20" s="427">
        <v>0</v>
      </c>
      <c r="BS20" s="427">
        <v>0</v>
      </c>
      <c r="BT20" s="427">
        <v>0</v>
      </c>
      <c r="BU20" s="427">
        <v>0</v>
      </c>
      <c r="BV20" s="427">
        <v>0</v>
      </c>
      <c r="BW20" s="427">
        <v>0</v>
      </c>
      <c r="BX20" s="427">
        <v>0</v>
      </c>
      <c r="BY20" s="427">
        <v>0</v>
      </c>
      <c r="BZ20" s="427">
        <v>0</v>
      </c>
      <c r="CA20" s="427">
        <v>0</v>
      </c>
      <c r="CB20" s="427">
        <v>0</v>
      </c>
      <c r="CC20" s="427">
        <v>0</v>
      </c>
      <c r="CD20" s="427">
        <v>0</v>
      </c>
      <c r="CE20" s="427">
        <v>0</v>
      </c>
      <c r="CF20" s="427">
        <v>0</v>
      </c>
      <c r="CG20" s="427">
        <v>0</v>
      </c>
      <c r="CH20" s="427">
        <v>0</v>
      </c>
      <c r="CI20" s="427">
        <v>0</v>
      </c>
      <c r="CJ20" s="427">
        <v>0</v>
      </c>
      <c r="CK20" s="428">
        <v>0</v>
      </c>
      <c r="CL20" s="428">
        <v>0</v>
      </c>
      <c r="CM20" s="428">
        <v>0</v>
      </c>
      <c r="CN20" s="428">
        <v>0</v>
      </c>
      <c r="CO20" s="428">
        <v>0</v>
      </c>
      <c r="CP20" s="428">
        <v>0</v>
      </c>
      <c r="CQ20" s="428">
        <v>0</v>
      </c>
      <c r="CR20" s="428">
        <v>0</v>
      </c>
      <c r="CS20" s="428">
        <v>0</v>
      </c>
      <c r="CT20" s="428">
        <v>0</v>
      </c>
      <c r="CU20" s="428">
        <v>0</v>
      </c>
      <c r="CV20" s="428">
        <v>0</v>
      </c>
      <c r="CW20" s="428">
        <v>0</v>
      </c>
      <c r="CX20" s="428"/>
      <c r="CY20" s="428"/>
      <c r="CZ20" s="428"/>
      <c r="DA20" s="428"/>
      <c r="DB20" s="428"/>
      <c r="DC20" s="428"/>
      <c r="DD20" s="428"/>
      <c r="DE20" s="428"/>
      <c r="DF20" s="428"/>
      <c r="DG20" s="428"/>
      <c r="DH20" s="428"/>
      <c r="DI20" s="428"/>
    </row>
    <row r="21" spans="1:113" s="388" customFormat="1">
      <c r="A21" s="421" t="s">
        <v>370</v>
      </c>
      <c r="B21" s="421" t="s">
        <v>12</v>
      </c>
      <c r="C21" s="421" t="s">
        <v>384</v>
      </c>
      <c r="D21" s="422" t="s">
        <v>376</v>
      </c>
      <c r="E21" s="422">
        <v>2015</v>
      </c>
      <c r="F21" s="423">
        <v>4.6920821114369504</v>
      </c>
      <c r="G21" s="424">
        <v>18019.101283880173</v>
      </c>
      <c r="H21" s="422">
        <v>16</v>
      </c>
      <c r="I21" s="425">
        <v>0.70099999999999996</v>
      </c>
      <c r="J21" s="425">
        <v>0.68200000000000005</v>
      </c>
      <c r="K21" s="422">
        <v>0</v>
      </c>
      <c r="L21" s="422">
        <v>0</v>
      </c>
      <c r="M21" s="422">
        <v>0</v>
      </c>
      <c r="N21" s="426">
        <v>0</v>
      </c>
      <c r="O21" s="426">
        <v>0</v>
      </c>
      <c r="P21" s="426">
        <v>0</v>
      </c>
      <c r="Q21" s="426">
        <v>0</v>
      </c>
      <c r="R21" s="426">
        <v>0</v>
      </c>
      <c r="S21" s="426">
        <v>0</v>
      </c>
      <c r="T21" s="426">
        <v>0</v>
      </c>
      <c r="U21" s="426">
        <v>0</v>
      </c>
      <c r="V21" s="426">
        <v>0</v>
      </c>
      <c r="W21" s="426">
        <v>0</v>
      </c>
      <c r="X21" s="426">
        <v>0</v>
      </c>
      <c r="Y21" s="426">
        <v>0</v>
      </c>
      <c r="Z21" s="426">
        <v>0</v>
      </c>
      <c r="AA21" s="426">
        <v>0</v>
      </c>
      <c r="AB21" s="426">
        <v>0</v>
      </c>
      <c r="AC21" s="426">
        <v>0</v>
      </c>
      <c r="AD21" s="426">
        <v>0</v>
      </c>
      <c r="AE21" s="426">
        <v>0</v>
      </c>
      <c r="AF21" s="426">
        <v>0</v>
      </c>
      <c r="AG21" s="426">
        <v>0</v>
      </c>
      <c r="AH21" s="426">
        <v>0</v>
      </c>
      <c r="AI21" s="426">
        <v>0</v>
      </c>
      <c r="AJ21" s="426">
        <v>0</v>
      </c>
      <c r="AK21" s="426">
        <v>0</v>
      </c>
      <c r="AL21" s="426">
        <v>0</v>
      </c>
      <c r="AM21" s="427">
        <v>0</v>
      </c>
      <c r="AN21" s="427">
        <v>0</v>
      </c>
      <c r="AO21" s="427">
        <v>0</v>
      </c>
      <c r="AP21" s="427">
        <v>0</v>
      </c>
      <c r="AQ21" s="427">
        <v>0</v>
      </c>
      <c r="AR21" s="427">
        <v>0</v>
      </c>
      <c r="AS21" s="427">
        <v>0</v>
      </c>
      <c r="AT21" s="427">
        <v>0</v>
      </c>
      <c r="AU21" s="427">
        <v>0</v>
      </c>
      <c r="AV21" s="427">
        <v>0</v>
      </c>
      <c r="AW21" s="427">
        <v>0</v>
      </c>
      <c r="AX21" s="427">
        <v>0</v>
      </c>
      <c r="AY21" s="427">
        <v>0</v>
      </c>
      <c r="AZ21" s="427">
        <v>0</v>
      </c>
      <c r="BA21" s="427">
        <v>0</v>
      </c>
      <c r="BB21" s="427">
        <v>0</v>
      </c>
      <c r="BC21" s="427">
        <v>0</v>
      </c>
      <c r="BD21" s="427">
        <v>0</v>
      </c>
      <c r="BE21" s="427">
        <v>0</v>
      </c>
      <c r="BF21" s="427">
        <v>0</v>
      </c>
      <c r="BG21" s="427">
        <v>0</v>
      </c>
      <c r="BH21" s="427">
        <v>0</v>
      </c>
      <c r="BI21" s="427">
        <v>0</v>
      </c>
      <c r="BJ21" s="427">
        <v>0</v>
      </c>
      <c r="BK21" s="427">
        <v>0</v>
      </c>
      <c r="BL21" s="427">
        <v>0</v>
      </c>
      <c r="BM21" s="427">
        <v>0</v>
      </c>
      <c r="BN21" s="427">
        <v>0</v>
      </c>
      <c r="BO21" s="427">
        <v>0</v>
      </c>
      <c r="BP21" s="427">
        <v>0</v>
      </c>
      <c r="BQ21" s="427">
        <v>0</v>
      </c>
      <c r="BR21" s="427">
        <v>0</v>
      </c>
      <c r="BS21" s="427">
        <v>0</v>
      </c>
      <c r="BT21" s="427">
        <v>0</v>
      </c>
      <c r="BU21" s="427">
        <v>0</v>
      </c>
      <c r="BV21" s="427">
        <v>0</v>
      </c>
      <c r="BW21" s="427">
        <v>0</v>
      </c>
      <c r="BX21" s="427">
        <v>0</v>
      </c>
      <c r="BY21" s="427">
        <v>0</v>
      </c>
      <c r="BZ21" s="427">
        <v>0</v>
      </c>
      <c r="CA21" s="427">
        <v>0</v>
      </c>
      <c r="CB21" s="427">
        <v>0</v>
      </c>
      <c r="CC21" s="427">
        <v>0</v>
      </c>
      <c r="CD21" s="427">
        <v>0</v>
      </c>
      <c r="CE21" s="427">
        <v>0</v>
      </c>
      <c r="CF21" s="427">
        <v>0</v>
      </c>
      <c r="CG21" s="427">
        <v>0</v>
      </c>
      <c r="CH21" s="427">
        <v>0</v>
      </c>
      <c r="CI21" s="427">
        <v>0</v>
      </c>
      <c r="CJ21" s="427">
        <v>0</v>
      </c>
      <c r="CK21" s="428">
        <v>0</v>
      </c>
      <c r="CL21" s="428">
        <v>0</v>
      </c>
      <c r="CM21" s="428">
        <v>0</v>
      </c>
      <c r="CN21" s="428">
        <v>0</v>
      </c>
      <c r="CO21" s="428">
        <v>0</v>
      </c>
      <c r="CP21" s="428">
        <v>0</v>
      </c>
      <c r="CQ21" s="428">
        <v>0</v>
      </c>
      <c r="CR21" s="428">
        <v>0</v>
      </c>
      <c r="CS21" s="428">
        <v>0</v>
      </c>
      <c r="CT21" s="428">
        <v>0</v>
      </c>
      <c r="CU21" s="428">
        <v>0</v>
      </c>
      <c r="CV21" s="428">
        <v>0</v>
      </c>
      <c r="CW21" s="428">
        <v>0</v>
      </c>
      <c r="CX21" s="428"/>
      <c r="CY21" s="428"/>
      <c r="CZ21" s="428"/>
      <c r="DA21" s="428"/>
      <c r="DB21" s="428"/>
      <c r="DC21" s="428"/>
      <c r="DD21" s="428"/>
      <c r="DE21" s="428"/>
      <c r="DF21" s="428"/>
      <c r="DG21" s="428"/>
      <c r="DH21" s="428"/>
      <c r="DI21" s="428"/>
    </row>
    <row r="22" spans="1:113" s="388" customFormat="1">
      <c r="A22" s="421" t="s">
        <v>370</v>
      </c>
      <c r="B22" s="421" t="s">
        <v>12</v>
      </c>
      <c r="C22" s="421" t="s">
        <v>384</v>
      </c>
      <c r="D22" s="422" t="s">
        <v>376</v>
      </c>
      <c r="E22" s="422">
        <v>2016</v>
      </c>
      <c r="F22" s="423">
        <v>4.6920821114369504</v>
      </c>
      <c r="G22" s="424">
        <v>18019.101283880173</v>
      </c>
      <c r="H22" s="422">
        <v>16</v>
      </c>
      <c r="I22" s="425">
        <v>0.70099999999999996</v>
      </c>
      <c r="J22" s="425">
        <v>0.68200000000000005</v>
      </c>
      <c r="K22" s="422">
        <v>0</v>
      </c>
      <c r="L22" s="422">
        <v>0</v>
      </c>
      <c r="M22" s="422">
        <v>0</v>
      </c>
      <c r="N22" s="426">
        <v>14</v>
      </c>
      <c r="O22" s="426">
        <v>0</v>
      </c>
      <c r="P22" s="426">
        <v>48.017148981779222</v>
      </c>
      <c r="Q22" s="426">
        <v>48.017148981779222</v>
      </c>
      <c r="R22" s="426">
        <v>48.017148981779222</v>
      </c>
      <c r="S22" s="426">
        <v>48.017148981779222</v>
      </c>
      <c r="T22" s="426">
        <v>48.017148981779222</v>
      </c>
      <c r="U22" s="426">
        <v>48.017148981779222</v>
      </c>
      <c r="V22" s="426">
        <v>48.017148981779222</v>
      </c>
      <c r="W22" s="426">
        <v>48.017148981779222</v>
      </c>
      <c r="X22" s="426">
        <v>48.017148981779222</v>
      </c>
      <c r="Y22" s="426">
        <v>48.017148981779222</v>
      </c>
      <c r="Z22" s="426">
        <v>48.017148981779222</v>
      </c>
      <c r="AA22" s="426">
        <v>48.017148981779222</v>
      </c>
      <c r="AB22" s="426">
        <v>48.017148981779222</v>
      </c>
      <c r="AC22" s="426">
        <v>48.017148981779222</v>
      </c>
      <c r="AD22" s="426">
        <v>48.017148981779222</v>
      </c>
      <c r="AE22" s="426">
        <v>48.017148981779222</v>
      </c>
      <c r="AF22" s="426">
        <v>0</v>
      </c>
      <c r="AG22" s="426">
        <v>0</v>
      </c>
      <c r="AH22" s="426">
        <v>0</v>
      </c>
      <c r="AI22" s="426">
        <v>0</v>
      </c>
      <c r="AJ22" s="426">
        <v>0</v>
      </c>
      <c r="AK22" s="426">
        <v>0</v>
      </c>
      <c r="AL22" s="426">
        <v>0</v>
      </c>
      <c r="AM22" s="427">
        <v>0</v>
      </c>
      <c r="AN22" s="427">
        <v>0</v>
      </c>
      <c r="AO22" s="427">
        <v>189538.54233654877</v>
      </c>
      <c r="AP22" s="427">
        <v>189538.54233654877</v>
      </c>
      <c r="AQ22" s="427">
        <v>189538.54233654877</v>
      </c>
      <c r="AR22" s="427">
        <v>189538.54233654877</v>
      </c>
      <c r="AS22" s="427">
        <v>189538.54233654877</v>
      </c>
      <c r="AT22" s="427">
        <v>189538.54233654877</v>
      </c>
      <c r="AU22" s="427">
        <v>189538.54233654877</v>
      </c>
      <c r="AV22" s="427">
        <v>189538.54233654877</v>
      </c>
      <c r="AW22" s="427">
        <v>189538.54233654877</v>
      </c>
      <c r="AX22" s="427">
        <v>189538.54233654877</v>
      </c>
      <c r="AY22" s="427">
        <v>189538.54233654877</v>
      </c>
      <c r="AZ22" s="427">
        <v>189538.54233654877</v>
      </c>
      <c r="BA22" s="427">
        <v>189538.54233654877</v>
      </c>
      <c r="BB22" s="427">
        <v>189538.54233654877</v>
      </c>
      <c r="BC22" s="427">
        <v>189538.54233654877</v>
      </c>
      <c r="BD22" s="427">
        <v>189538.54233654877</v>
      </c>
      <c r="BE22" s="427">
        <v>0</v>
      </c>
      <c r="BF22" s="427">
        <v>0</v>
      </c>
      <c r="BG22" s="427">
        <v>0</v>
      </c>
      <c r="BH22" s="427">
        <v>0</v>
      </c>
      <c r="BI22" s="427">
        <v>0</v>
      </c>
      <c r="BJ22" s="427">
        <v>0</v>
      </c>
      <c r="BK22" s="427">
        <v>0</v>
      </c>
      <c r="BL22" s="427">
        <v>0</v>
      </c>
      <c r="BM22" s="427">
        <v>0</v>
      </c>
      <c r="BN22" s="427">
        <v>0</v>
      </c>
      <c r="BO22" s="427">
        <v>0</v>
      </c>
      <c r="BP22" s="427">
        <v>0</v>
      </c>
      <c r="BQ22" s="427">
        <v>0</v>
      </c>
      <c r="BR22" s="427">
        <v>0</v>
      </c>
      <c r="BS22" s="427">
        <v>0</v>
      </c>
      <c r="BT22" s="427">
        <v>0</v>
      </c>
      <c r="BU22" s="427">
        <v>0</v>
      </c>
      <c r="BV22" s="427">
        <v>0</v>
      </c>
      <c r="BW22" s="427">
        <v>0</v>
      </c>
      <c r="BX22" s="427">
        <v>0</v>
      </c>
      <c r="BY22" s="427">
        <v>0</v>
      </c>
      <c r="BZ22" s="427">
        <v>0</v>
      </c>
      <c r="CA22" s="427">
        <v>0</v>
      </c>
      <c r="CB22" s="427">
        <v>0</v>
      </c>
      <c r="CC22" s="427">
        <v>0</v>
      </c>
      <c r="CD22" s="427">
        <v>0</v>
      </c>
      <c r="CE22" s="427">
        <v>0</v>
      </c>
      <c r="CF22" s="427">
        <v>0</v>
      </c>
      <c r="CG22" s="427">
        <v>0</v>
      </c>
      <c r="CH22" s="427">
        <v>0</v>
      </c>
      <c r="CI22" s="427">
        <v>0</v>
      </c>
      <c r="CJ22" s="427">
        <v>0</v>
      </c>
      <c r="CK22" s="428">
        <v>0</v>
      </c>
      <c r="CL22" s="428">
        <v>0</v>
      </c>
      <c r="CM22" s="428">
        <v>0</v>
      </c>
      <c r="CN22" s="428">
        <v>0</v>
      </c>
      <c r="CO22" s="428">
        <v>0</v>
      </c>
      <c r="CP22" s="428">
        <v>0</v>
      </c>
      <c r="CQ22" s="428">
        <v>0</v>
      </c>
      <c r="CR22" s="428">
        <v>0</v>
      </c>
      <c r="CS22" s="428">
        <v>0</v>
      </c>
      <c r="CT22" s="428">
        <v>0</v>
      </c>
      <c r="CU22" s="428">
        <v>0</v>
      </c>
      <c r="CV22" s="428">
        <v>0</v>
      </c>
      <c r="CW22" s="428">
        <v>0</v>
      </c>
      <c r="CX22" s="428"/>
      <c r="CY22" s="428"/>
      <c r="CZ22" s="428"/>
      <c r="DA22" s="428"/>
      <c r="DB22" s="428"/>
      <c r="DC22" s="428"/>
      <c r="DD22" s="428"/>
      <c r="DE22" s="428"/>
      <c r="DF22" s="428"/>
      <c r="DG22" s="428"/>
      <c r="DH22" s="428"/>
      <c r="DI22" s="428"/>
    </row>
    <row r="23" spans="1:113" s="388" customFormat="1">
      <c r="A23" s="421" t="s">
        <v>370</v>
      </c>
      <c r="B23" s="421" t="s">
        <v>12</v>
      </c>
      <c r="C23" s="421" t="s">
        <v>384</v>
      </c>
      <c r="D23" s="422" t="s">
        <v>376</v>
      </c>
      <c r="E23" s="422">
        <v>2017</v>
      </c>
      <c r="F23" s="423">
        <v>4.6920821114369504</v>
      </c>
      <c r="G23" s="424">
        <v>18019.101283880173</v>
      </c>
      <c r="H23" s="422">
        <v>16</v>
      </c>
      <c r="I23" s="425">
        <v>0.70099999999999996</v>
      </c>
      <c r="J23" s="425">
        <v>0.68200000000000005</v>
      </c>
      <c r="K23" s="422">
        <v>0</v>
      </c>
      <c r="L23" s="422">
        <v>0</v>
      </c>
      <c r="M23" s="422">
        <v>0</v>
      </c>
      <c r="N23" s="426">
        <v>16</v>
      </c>
      <c r="O23" s="426">
        <v>0</v>
      </c>
      <c r="P23" s="426">
        <v>0</v>
      </c>
      <c r="Q23" s="426">
        <v>54.876741693461966</v>
      </c>
      <c r="R23" s="426">
        <v>54.876741693461966</v>
      </c>
      <c r="S23" s="426">
        <v>54.876741693461966</v>
      </c>
      <c r="T23" s="426">
        <v>54.876741693461966</v>
      </c>
      <c r="U23" s="426">
        <v>54.876741693461966</v>
      </c>
      <c r="V23" s="426">
        <v>54.876741693461966</v>
      </c>
      <c r="W23" s="426">
        <v>54.876741693461966</v>
      </c>
      <c r="X23" s="426">
        <v>54.876741693461966</v>
      </c>
      <c r="Y23" s="426">
        <v>54.876741693461966</v>
      </c>
      <c r="Z23" s="426">
        <v>54.876741693461966</v>
      </c>
      <c r="AA23" s="426">
        <v>54.876741693461966</v>
      </c>
      <c r="AB23" s="426">
        <v>54.876741693461966</v>
      </c>
      <c r="AC23" s="426">
        <v>54.876741693461966</v>
      </c>
      <c r="AD23" s="426">
        <v>54.876741693461966</v>
      </c>
      <c r="AE23" s="426">
        <v>54.876741693461966</v>
      </c>
      <c r="AF23" s="426">
        <v>54.876741693461966</v>
      </c>
      <c r="AG23" s="426">
        <v>0</v>
      </c>
      <c r="AH23" s="426">
        <v>0</v>
      </c>
      <c r="AI23" s="426">
        <v>0</v>
      </c>
      <c r="AJ23" s="426">
        <v>0</v>
      </c>
      <c r="AK23" s="426">
        <v>0</v>
      </c>
      <c r="AL23" s="426">
        <v>0</v>
      </c>
      <c r="AM23" s="427">
        <v>0</v>
      </c>
      <c r="AN23" s="427">
        <v>0</v>
      </c>
      <c r="AO23" s="427">
        <v>0</v>
      </c>
      <c r="AP23" s="427">
        <v>216615.47695605573</v>
      </c>
      <c r="AQ23" s="427">
        <v>216615.47695605573</v>
      </c>
      <c r="AR23" s="427">
        <v>216615.47695605573</v>
      </c>
      <c r="AS23" s="427">
        <v>216615.47695605573</v>
      </c>
      <c r="AT23" s="427">
        <v>216615.47695605573</v>
      </c>
      <c r="AU23" s="427">
        <v>216615.47695605573</v>
      </c>
      <c r="AV23" s="427">
        <v>216615.47695605573</v>
      </c>
      <c r="AW23" s="427">
        <v>216615.47695605573</v>
      </c>
      <c r="AX23" s="427">
        <v>216615.47695605573</v>
      </c>
      <c r="AY23" s="427">
        <v>216615.47695605573</v>
      </c>
      <c r="AZ23" s="427">
        <v>216615.47695605573</v>
      </c>
      <c r="BA23" s="427">
        <v>216615.47695605573</v>
      </c>
      <c r="BB23" s="427">
        <v>216615.47695605573</v>
      </c>
      <c r="BC23" s="427">
        <v>216615.47695605573</v>
      </c>
      <c r="BD23" s="427">
        <v>216615.47695605573</v>
      </c>
      <c r="BE23" s="427">
        <v>216615.47695605573</v>
      </c>
      <c r="BF23" s="427">
        <v>0</v>
      </c>
      <c r="BG23" s="427">
        <v>0</v>
      </c>
      <c r="BH23" s="427">
        <v>0</v>
      </c>
      <c r="BI23" s="427">
        <v>0</v>
      </c>
      <c r="BJ23" s="427">
        <v>0</v>
      </c>
      <c r="BK23" s="427">
        <v>0</v>
      </c>
      <c r="BL23" s="427">
        <v>0</v>
      </c>
      <c r="BM23" s="427">
        <v>0</v>
      </c>
      <c r="BN23" s="427">
        <v>0</v>
      </c>
      <c r="BO23" s="427">
        <v>0</v>
      </c>
      <c r="BP23" s="427">
        <v>0</v>
      </c>
      <c r="BQ23" s="427">
        <v>0</v>
      </c>
      <c r="BR23" s="427">
        <v>0</v>
      </c>
      <c r="BS23" s="427">
        <v>0</v>
      </c>
      <c r="BT23" s="427">
        <v>0</v>
      </c>
      <c r="BU23" s="427">
        <v>0</v>
      </c>
      <c r="BV23" s="427">
        <v>0</v>
      </c>
      <c r="BW23" s="427">
        <v>0</v>
      </c>
      <c r="BX23" s="427">
        <v>0</v>
      </c>
      <c r="BY23" s="427">
        <v>0</v>
      </c>
      <c r="BZ23" s="427">
        <v>0</v>
      </c>
      <c r="CA23" s="427">
        <v>0</v>
      </c>
      <c r="CB23" s="427">
        <v>0</v>
      </c>
      <c r="CC23" s="427">
        <v>0</v>
      </c>
      <c r="CD23" s="427">
        <v>0</v>
      </c>
      <c r="CE23" s="427">
        <v>0</v>
      </c>
      <c r="CF23" s="427">
        <v>0</v>
      </c>
      <c r="CG23" s="427">
        <v>0</v>
      </c>
      <c r="CH23" s="427">
        <v>0</v>
      </c>
      <c r="CI23" s="427">
        <v>0</v>
      </c>
      <c r="CJ23" s="427">
        <v>0</v>
      </c>
      <c r="CK23" s="428">
        <v>0</v>
      </c>
      <c r="CL23" s="428">
        <v>0</v>
      </c>
      <c r="CM23" s="428">
        <v>0</v>
      </c>
      <c r="CN23" s="428">
        <v>0</v>
      </c>
      <c r="CO23" s="428">
        <v>0</v>
      </c>
      <c r="CP23" s="428">
        <v>0</v>
      </c>
      <c r="CQ23" s="428">
        <v>0</v>
      </c>
      <c r="CR23" s="428">
        <v>0</v>
      </c>
      <c r="CS23" s="428">
        <v>0</v>
      </c>
      <c r="CT23" s="428">
        <v>0</v>
      </c>
      <c r="CU23" s="428">
        <v>0</v>
      </c>
      <c r="CV23" s="428">
        <v>0</v>
      </c>
      <c r="CW23" s="428">
        <v>0</v>
      </c>
      <c r="CX23" s="428"/>
      <c r="CY23" s="428"/>
      <c r="CZ23" s="428"/>
      <c r="DA23" s="428"/>
      <c r="DB23" s="428"/>
      <c r="DC23" s="428"/>
      <c r="DD23" s="428"/>
      <c r="DE23" s="428"/>
      <c r="DF23" s="428"/>
      <c r="DG23" s="428"/>
      <c r="DH23" s="428"/>
      <c r="DI23" s="428"/>
    </row>
    <row r="24" spans="1:113" s="388" customFormat="1">
      <c r="A24" s="421" t="s">
        <v>370</v>
      </c>
      <c r="B24" s="421" t="s">
        <v>12</v>
      </c>
      <c r="C24" s="421" t="s">
        <v>384</v>
      </c>
      <c r="D24" s="422" t="s">
        <v>376</v>
      </c>
      <c r="E24" s="422">
        <v>2018</v>
      </c>
      <c r="F24" s="423">
        <v>4.6920821114369504</v>
      </c>
      <c r="G24" s="424">
        <v>18019.101283880173</v>
      </c>
      <c r="H24" s="422">
        <v>16</v>
      </c>
      <c r="I24" s="425">
        <v>0.70099999999999996</v>
      </c>
      <c r="J24" s="425">
        <v>0.68200000000000005</v>
      </c>
      <c r="K24" s="422">
        <v>0</v>
      </c>
      <c r="L24" s="422">
        <v>0</v>
      </c>
      <c r="M24" s="422">
        <v>0</v>
      </c>
      <c r="N24" s="426">
        <v>18</v>
      </c>
      <c r="O24" s="426">
        <v>0</v>
      </c>
      <c r="P24" s="426">
        <v>0</v>
      </c>
      <c r="Q24" s="426">
        <v>0</v>
      </c>
      <c r="R24" s="426">
        <v>61.736334405144703</v>
      </c>
      <c r="S24" s="426">
        <v>61.736334405144703</v>
      </c>
      <c r="T24" s="426">
        <v>61.736334405144703</v>
      </c>
      <c r="U24" s="426">
        <v>61.736334405144703</v>
      </c>
      <c r="V24" s="426">
        <v>61.736334405144703</v>
      </c>
      <c r="W24" s="426">
        <v>61.736334405144703</v>
      </c>
      <c r="X24" s="426">
        <v>61.736334405144703</v>
      </c>
      <c r="Y24" s="426">
        <v>61.736334405144703</v>
      </c>
      <c r="Z24" s="426">
        <v>61.736334405144703</v>
      </c>
      <c r="AA24" s="426">
        <v>61.736334405144703</v>
      </c>
      <c r="AB24" s="426">
        <v>61.736334405144703</v>
      </c>
      <c r="AC24" s="426">
        <v>61.736334405144703</v>
      </c>
      <c r="AD24" s="426">
        <v>61.736334405144703</v>
      </c>
      <c r="AE24" s="426">
        <v>61.736334405144703</v>
      </c>
      <c r="AF24" s="426">
        <v>61.736334405144703</v>
      </c>
      <c r="AG24" s="426">
        <v>61.736334405144703</v>
      </c>
      <c r="AH24" s="426">
        <v>0</v>
      </c>
      <c r="AI24" s="426">
        <v>0</v>
      </c>
      <c r="AJ24" s="426">
        <v>0</v>
      </c>
      <c r="AK24" s="426">
        <v>0</v>
      </c>
      <c r="AL24" s="426">
        <v>0</v>
      </c>
      <c r="AM24" s="427">
        <v>0</v>
      </c>
      <c r="AN24" s="427">
        <v>0</v>
      </c>
      <c r="AO24" s="427">
        <v>0</v>
      </c>
      <c r="AP24" s="427">
        <v>0</v>
      </c>
      <c r="AQ24" s="427">
        <v>243692.4115755627</v>
      </c>
      <c r="AR24" s="427">
        <v>243692.4115755627</v>
      </c>
      <c r="AS24" s="427">
        <v>243692.4115755627</v>
      </c>
      <c r="AT24" s="427">
        <v>243692.4115755627</v>
      </c>
      <c r="AU24" s="427">
        <v>243692.4115755627</v>
      </c>
      <c r="AV24" s="427">
        <v>243692.4115755627</v>
      </c>
      <c r="AW24" s="427">
        <v>243692.4115755627</v>
      </c>
      <c r="AX24" s="427">
        <v>243692.4115755627</v>
      </c>
      <c r="AY24" s="427">
        <v>243692.4115755627</v>
      </c>
      <c r="AZ24" s="427">
        <v>243692.4115755627</v>
      </c>
      <c r="BA24" s="427">
        <v>243692.4115755627</v>
      </c>
      <c r="BB24" s="427">
        <v>243692.4115755627</v>
      </c>
      <c r="BC24" s="427">
        <v>243692.4115755627</v>
      </c>
      <c r="BD24" s="427">
        <v>243692.4115755627</v>
      </c>
      <c r="BE24" s="427">
        <v>243692.4115755627</v>
      </c>
      <c r="BF24" s="427">
        <v>243692.4115755627</v>
      </c>
      <c r="BG24" s="427">
        <v>0</v>
      </c>
      <c r="BH24" s="427">
        <v>0</v>
      </c>
      <c r="BI24" s="427">
        <v>0</v>
      </c>
      <c r="BJ24" s="427">
        <v>0</v>
      </c>
      <c r="BK24" s="427">
        <v>0</v>
      </c>
      <c r="BL24" s="427">
        <v>0</v>
      </c>
      <c r="BM24" s="427">
        <v>0</v>
      </c>
      <c r="BN24" s="427">
        <v>0</v>
      </c>
      <c r="BO24" s="427">
        <v>0</v>
      </c>
      <c r="BP24" s="427">
        <v>0</v>
      </c>
      <c r="BQ24" s="427">
        <v>0</v>
      </c>
      <c r="BR24" s="427">
        <v>0</v>
      </c>
      <c r="BS24" s="427">
        <v>0</v>
      </c>
      <c r="BT24" s="427">
        <v>0</v>
      </c>
      <c r="BU24" s="427">
        <v>0</v>
      </c>
      <c r="BV24" s="427">
        <v>0</v>
      </c>
      <c r="BW24" s="427">
        <v>0</v>
      </c>
      <c r="BX24" s="427">
        <v>0</v>
      </c>
      <c r="BY24" s="427">
        <v>0</v>
      </c>
      <c r="BZ24" s="427">
        <v>0</v>
      </c>
      <c r="CA24" s="427">
        <v>0</v>
      </c>
      <c r="CB24" s="427">
        <v>0</v>
      </c>
      <c r="CC24" s="427">
        <v>0</v>
      </c>
      <c r="CD24" s="427">
        <v>0</v>
      </c>
      <c r="CE24" s="427">
        <v>0</v>
      </c>
      <c r="CF24" s="427">
        <v>0</v>
      </c>
      <c r="CG24" s="427">
        <v>0</v>
      </c>
      <c r="CH24" s="427">
        <v>0</v>
      </c>
      <c r="CI24" s="427">
        <v>0</v>
      </c>
      <c r="CJ24" s="427">
        <v>0</v>
      </c>
      <c r="CK24" s="428">
        <v>0</v>
      </c>
      <c r="CL24" s="428">
        <v>0</v>
      </c>
      <c r="CM24" s="428">
        <v>0</v>
      </c>
      <c r="CN24" s="428">
        <v>0</v>
      </c>
      <c r="CO24" s="428">
        <v>0</v>
      </c>
      <c r="CP24" s="428">
        <v>0</v>
      </c>
      <c r="CQ24" s="428">
        <v>0</v>
      </c>
      <c r="CR24" s="428">
        <v>0</v>
      </c>
      <c r="CS24" s="428">
        <v>0</v>
      </c>
      <c r="CT24" s="428">
        <v>0</v>
      </c>
      <c r="CU24" s="428">
        <v>0</v>
      </c>
      <c r="CV24" s="428">
        <v>0</v>
      </c>
      <c r="CW24" s="428">
        <v>0</v>
      </c>
      <c r="CX24" s="428"/>
      <c r="CY24" s="428"/>
      <c r="CZ24" s="428"/>
      <c r="DA24" s="428"/>
      <c r="DB24" s="428"/>
      <c r="DC24" s="428"/>
      <c r="DD24" s="428"/>
      <c r="DE24" s="428"/>
      <c r="DF24" s="428"/>
      <c r="DG24" s="428"/>
      <c r="DH24" s="428"/>
      <c r="DI24" s="428"/>
    </row>
    <row r="25" spans="1:113" s="388" customFormat="1">
      <c r="A25" s="421" t="s">
        <v>370</v>
      </c>
      <c r="B25" s="421" t="s">
        <v>12</v>
      </c>
      <c r="C25" s="421" t="s">
        <v>384</v>
      </c>
      <c r="D25" s="422" t="s">
        <v>376</v>
      </c>
      <c r="E25" s="422">
        <v>2019</v>
      </c>
      <c r="F25" s="423">
        <v>4.6920821114369504</v>
      </c>
      <c r="G25" s="424">
        <v>18019.101283880173</v>
      </c>
      <c r="H25" s="422">
        <v>16</v>
      </c>
      <c r="I25" s="425">
        <v>0.70099999999999996</v>
      </c>
      <c r="J25" s="425">
        <v>0.68200000000000005</v>
      </c>
      <c r="K25" s="422">
        <v>0</v>
      </c>
      <c r="L25" s="422">
        <v>0</v>
      </c>
      <c r="M25" s="422">
        <v>0</v>
      </c>
      <c r="N25" s="426">
        <v>20</v>
      </c>
      <c r="O25" s="426">
        <v>0</v>
      </c>
      <c r="P25" s="426">
        <v>0</v>
      </c>
      <c r="Q25" s="426">
        <v>0</v>
      </c>
      <c r="R25" s="426">
        <v>0</v>
      </c>
      <c r="S25" s="426">
        <v>68.595927116827454</v>
      </c>
      <c r="T25" s="426">
        <v>68.595927116827454</v>
      </c>
      <c r="U25" s="426">
        <v>68.595927116827454</v>
      </c>
      <c r="V25" s="426">
        <v>68.595927116827454</v>
      </c>
      <c r="W25" s="426">
        <v>68.595927116827454</v>
      </c>
      <c r="X25" s="426">
        <v>68.595927116827454</v>
      </c>
      <c r="Y25" s="426">
        <v>68.595927116827454</v>
      </c>
      <c r="Z25" s="426">
        <v>68.595927116827454</v>
      </c>
      <c r="AA25" s="426">
        <v>68.595927116827454</v>
      </c>
      <c r="AB25" s="426">
        <v>68.595927116827454</v>
      </c>
      <c r="AC25" s="426">
        <v>68.595927116827454</v>
      </c>
      <c r="AD25" s="426">
        <v>68.595927116827454</v>
      </c>
      <c r="AE25" s="426">
        <v>68.595927116827454</v>
      </c>
      <c r="AF25" s="426">
        <v>68.595927116827454</v>
      </c>
      <c r="AG25" s="426">
        <v>68.595927116827454</v>
      </c>
      <c r="AH25" s="426">
        <v>68.595927116827454</v>
      </c>
      <c r="AI25" s="426">
        <v>0</v>
      </c>
      <c r="AJ25" s="426">
        <v>0</v>
      </c>
      <c r="AK25" s="426">
        <v>0</v>
      </c>
      <c r="AL25" s="426">
        <v>0</v>
      </c>
      <c r="AM25" s="427">
        <v>0</v>
      </c>
      <c r="AN25" s="427">
        <v>0</v>
      </c>
      <c r="AO25" s="427">
        <v>0</v>
      </c>
      <c r="AP25" s="427">
        <v>0</v>
      </c>
      <c r="AQ25" s="427">
        <v>0</v>
      </c>
      <c r="AR25" s="427">
        <v>270769.34619506967</v>
      </c>
      <c r="AS25" s="427">
        <v>270769.34619506967</v>
      </c>
      <c r="AT25" s="427">
        <v>270769.34619506967</v>
      </c>
      <c r="AU25" s="427">
        <v>270769.34619506967</v>
      </c>
      <c r="AV25" s="427">
        <v>270769.34619506967</v>
      </c>
      <c r="AW25" s="427">
        <v>270769.34619506967</v>
      </c>
      <c r="AX25" s="427">
        <v>270769.34619506967</v>
      </c>
      <c r="AY25" s="427">
        <v>270769.34619506967</v>
      </c>
      <c r="AZ25" s="427">
        <v>270769.34619506967</v>
      </c>
      <c r="BA25" s="427">
        <v>270769.34619506967</v>
      </c>
      <c r="BB25" s="427">
        <v>270769.34619506967</v>
      </c>
      <c r="BC25" s="427">
        <v>270769.34619506967</v>
      </c>
      <c r="BD25" s="427">
        <v>270769.34619506967</v>
      </c>
      <c r="BE25" s="427">
        <v>270769.34619506967</v>
      </c>
      <c r="BF25" s="427">
        <v>270769.34619506967</v>
      </c>
      <c r="BG25" s="427">
        <v>270769.34619506967</v>
      </c>
      <c r="BH25" s="427">
        <v>0</v>
      </c>
      <c r="BI25" s="427">
        <v>0</v>
      </c>
      <c r="BJ25" s="427">
        <v>0</v>
      </c>
      <c r="BK25" s="427">
        <v>0</v>
      </c>
      <c r="BL25" s="427">
        <v>0</v>
      </c>
      <c r="BM25" s="427">
        <v>0</v>
      </c>
      <c r="BN25" s="427">
        <v>0</v>
      </c>
      <c r="BO25" s="427">
        <v>0</v>
      </c>
      <c r="BP25" s="427">
        <v>0</v>
      </c>
      <c r="BQ25" s="427">
        <v>0</v>
      </c>
      <c r="BR25" s="427">
        <v>0</v>
      </c>
      <c r="BS25" s="427">
        <v>0</v>
      </c>
      <c r="BT25" s="427">
        <v>0</v>
      </c>
      <c r="BU25" s="427">
        <v>0</v>
      </c>
      <c r="BV25" s="427">
        <v>0</v>
      </c>
      <c r="BW25" s="427">
        <v>0</v>
      </c>
      <c r="BX25" s="427">
        <v>0</v>
      </c>
      <c r="BY25" s="427">
        <v>0</v>
      </c>
      <c r="BZ25" s="427">
        <v>0</v>
      </c>
      <c r="CA25" s="427">
        <v>0</v>
      </c>
      <c r="CB25" s="427">
        <v>0</v>
      </c>
      <c r="CC25" s="427">
        <v>0</v>
      </c>
      <c r="CD25" s="427">
        <v>0</v>
      </c>
      <c r="CE25" s="427">
        <v>0</v>
      </c>
      <c r="CF25" s="427">
        <v>0</v>
      </c>
      <c r="CG25" s="427">
        <v>0</v>
      </c>
      <c r="CH25" s="427">
        <v>0</v>
      </c>
      <c r="CI25" s="427">
        <v>0</v>
      </c>
      <c r="CJ25" s="427">
        <v>0</v>
      </c>
      <c r="CK25" s="428">
        <v>0</v>
      </c>
      <c r="CL25" s="428">
        <v>0</v>
      </c>
      <c r="CM25" s="428">
        <v>0</v>
      </c>
      <c r="CN25" s="428">
        <v>0</v>
      </c>
      <c r="CO25" s="428">
        <v>0</v>
      </c>
      <c r="CP25" s="428">
        <v>0</v>
      </c>
      <c r="CQ25" s="428">
        <v>0</v>
      </c>
      <c r="CR25" s="428">
        <v>0</v>
      </c>
      <c r="CS25" s="428">
        <v>0</v>
      </c>
      <c r="CT25" s="428">
        <v>0</v>
      </c>
      <c r="CU25" s="428">
        <v>0</v>
      </c>
      <c r="CV25" s="428">
        <v>0</v>
      </c>
      <c r="CW25" s="428">
        <v>0</v>
      </c>
      <c r="CX25" s="428"/>
      <c r="CY25" s="428"/>
      <c r="CZ25" s="428"/>
      <c r="DA25" s="428"/>
      <c r="DB25" s="428"/>
      <c r="DC25" s="428"/>
      <c r="DD25" s="428"/>
      <c r="DE25" s="428"/>
      <c r="DF25" s="428"/>
      <c r="DG25" s="428"/>
      <c r="DH25" s="428"/>
      <c r="DI25" s="428"/>
    </row>
    <row r="26" spans="1:113" s="388" customFormat="1">
      <c r="A26" s="421" t="s">
        <v>370</v>
      </c>
      <c r="B26" s="421" t="s">
        <v>12</v>
      </c>
      <c r="C26" s="421" t="s">
        <v>384</v>
      </c>
      <c r="D26" s="422" t="s">
        <v>376</v>
      </c>
      <c r="E26" s="422">
        <v>2020</v>
      </c>
      <c r="F26" s="423">
        <v>4.6920821114369504</v>
      </c>
      <c r="G26" s="424">
        <v>18019.101283880173</v>
      </c>
      <c r="H26" s="422">
        <v>16</v>
      </c>
      <c r="I26" s="425">
        <v>0.70099999999999996</v>
      </c>
      <c r="J26" s="425">
        <v>0.68200000000000005</v>
      </c>
      <c r="K26" s="422">
        <v>0</v>
      </c>
      <c r="L26" s="422">
        <v>0</v>
      </c>
      <c r="M26" s="422">
        <v>0</v>
      </c>
      <c r="N26" s="426">
        <v>22</v>
      </c>
      <c r="O26" s="426">
        <v>0</v>
      </c>
      <c r="P26" s="426">
        <v>0</v>
      </c>
      <c r="Q26" s="426">
        <v>0</v>
      </c>
      <c r="R26" s="426">
        <v>0</v>
      </c>
      <c r="S26" s="426">
        <v>0</v>
      </c>
      <c r="T26" s="426">
        <v>75.455519828510205</v>
      </c>
      <c r="U26" s="426">
        <v>75.455519828510205</v>
      </c>
      <c r="V26" s="426">
        <v>75.455519828510205</v>
      </c>
      <c r="W26" s="426">
        <v>75.455519828510205</v>
      </c>
      <c r="X26" s="426">
        <v>75.455519828510205</v>
      </c>
      <c r="Y26" s="426">
        <v>75.455519828510205</v>
      </c>
      <c r="Z26" s="426">
        <v>75.455519828510205</v>
      </c>
      <c r="AA26" s="426">
        <v>75.455519828510205</v>
      </c>
      <c r="AB26" s="426">
        <v>75.455519828510205</v>
      </c>
      <c r="AC26" s="426">
        <v>75.455519828510205</v>
      </c>
      <c r="AD26" s="426">
        <v>75.455519828510205</v>
      </c>
      <c r="AE26" s="426">
        <v>75.455519828510205</v>
      </c>
      <c r="AF26" s="426">
        <v>75.455519828510205</v>
      </c>
      <c r="AG26" s="426">
        <v>75.455519828510205</v>
      </c>
      <c r="AH26" s="426">
        <v>75.455519828510205</v>
      </c>
      <c r="AI26" s="426">
        <v>75.455519828510205</v>
      </c>
      <c r="AJ26" s="426">
        <v>0</v>
      </c>
      <c r="AK26" s="426">
        <v>0</v>
      </c>
      <c r="AL26" s="426">
        <v>0</v>
      </c>
      <c r="AM26" s="427">
        <v>0</v>
      </c>
      <c r="AN26" s="427">
        <v>0</v>
      </c>
      <c r="AO26" s="427">
        <v>0</v>
      </c>
      <c r="AP26" s="427">
        <v>0</v>
      </c>
      <c r="AQ26" s="427">
        <v>0</v>
      </c>
      <c r="AR26" s="427">
        <v>0</v>
      </c>
      <c r="AS26" s="427">
        <v>297846.2808145766</v>
      </c>
      <c r="AT26" s="427">
        <v>297846.2808145766</v>
      </c>
      <c r="AU26" s="427">
        <v>297846.2808145766</v>
      </c>
      <c r="AV26" s="427">
        <v>297846.2808145766</v>
      </c>
      <c r="AW26" s="427">
        <v>297846.2808145766</v>
      </c>
      <c r="AX26" s="427">
        <v>297846.2808145766</v>
      </c>
      <c r="AY26" s="427">
        <v>297846.2808145766</v>
      </c>
      <c r="AZ26" s="427">
        <v>297846.2808145766</v>
      </c>
      <c r="BA26" s="427">
        <v>297846.2808145766</v>
      </c>
      <c r="BB26" s="427">
        <v>297846.2808145766</v>
      </c>
      <c r="BC26" s="427">
        <v>297846.2808145766</v>
      </c>
      <c r="BD26" s="427">
        <v>297846.2808145766</v>
      </c>
      <c r="BE26" s="427">
        <v>297846.2808145766</v>
      </c>
      <c r="BF26" s="427">
        <v>297846.2808145766</v>
      </c>
      <c r="BG26" s="427">
        <v>297846.2808145766</v>
      </c>
      <c r="BH26" s="427">
        <v>297846.2808145766</v>
      </c>
      <c r="BI26" s="427">
        <v>0</v>
      </c>
      <c r="BJ26" s="427">
        <v>0</v>
      </c>
      <c r="BK26" s="427">
        <v>0</v>
      </c>
      <c r="BL26" s="427">
        <v>0</v>
      </c>
      <c r="BM26" s="427">
        <v>0</v>
      </c>
      <c r="BN26" s="427">
        <v>0</v>
      </c>
      <c r="BO26" s="427">
        <v>0</v>
      </c>
      <c r="BP26" s="427">
        <v>0</v>
      </c>
      <c r="BQ26" s="427">
        <v>0</v>
      </c>
      <c r="BR26" s="427">
        <v>0</v>
      </c>
      <c r="BS26" s="427">
        <v>0</v>
      </c>
      <c r="BT26" s="427">
        <v>0</v>
      </c>
      <c r="BU26" s="427">
        <v>0</v>
      </c>
      <c r="BV26" s="427">
        <v>0</v>
      </c>
      <c r="BW26" s="427">
        <v>0</v>
      </c>
      <c r="BX26" s="427">
        <v>0</v>
      </c>
      <c r="BY26" s="427">
        <v>0</v>
      </c>
      <c r="BZ26" s="427">
        <v>0</v>
      </c>
      <c r="CA26" s="427">
        <v>0</v>
      </c>
      <c r="CB26" s="427">
        <v>0</v>
      </c>
      <c r="CC26" s="427">
        <v>0</v>
      </c>
      <c r="CD26" s="427">
        <v>0</v>
      </c>
      <c r="CE26" s="427">
        <v>0</v>
      </c>
      <c r="CF26" s="427">
        <v>0</v>
      </c>
      <c r="CG26" s="427">
        <v>0</v>
      </c>
      <c r="CH26" s="427">
        <v>0</v>
      </c>
      <c r="CI26" s="427">
        <v>0</v>
      </c>
      <c r="CJ26" s="427">
        <v>0</v>
      </c>
      <c r="CK26" s="428">
        <v>0</v>
      </c>
      <c r="CL26" s="428">
        <v>0</v>
      </c>
      <c r="CM26" s="428">
        <v>0</v>
      </c>
      <c r="CN26" s="428">
        <v>0</v>
      </c>
      <c r="CO26" s="428">
        <v>0</v>
      </c>
      <c r="CP26" s="428">
        <v>0</v>
      </c>
      <c r="CQ26" s="428">
        <v>0</v>
      </c>
      <c r="CR26" s="428">
        <v>0</v>
      </c>
      <c r="CS26" s="428">
        <v>0</v>
      </c>
      <c r="CT26" s="428">
        <v>0</v>
      </c>
      <c r="CU26" s="428">
        <v>0</v>
      </c>
      <c r="CV26" s="428">
        <v>0</v>
      </c>
      <c r="CW26" s="428">
        <v>0</v>
      </c>
      <c r="CX26" s="428"/>
      <c r="CY26" s="428"/>
      <c r="CZ26" s="428"/>
      <c r="DA26" s="428"/>
      <c r="DB26" s="428"/>
      <c r="DC26" s="428"/>
      <c r="DD26" s="428"/>
      <c r="DE26" s="428"/>
      <c r="DF26" s="428"/>
      <c r="DG26" s="428"/>
      <c r="DH26" s="428"/>
      <c r="DI26" s="428"/>
    </row>
    <row r="27" spans="1:113" s="388" customFormat="1">
      <c r="A27" s="421" t="s">
        <v>370</v>
      </c>
      <c r="B27" s="421" t="s">
        <v>12</v>
      </c>
      <c r="C27" s="421" t="s">
        <v>386</v>
      </c>
      <c r="D27" s="422" t="s">
        <v>376</v>
      </c>
      <c r="E27" s="422">
        <v>2015</v>
      </c>
      <c r="F27" s="423">
        <v>4.2352941176470589</v>
      </c>
      <c r="G27" s="424">
        <v>44006.117647058818</v>
      </c>
      <c r="H27" s="422">
        <v>10</v>
      </c>
      <c r="I27" s="425">
        <v>0.68</v>
      </c>
      <c r="J27" s="425">
        <v>0.73099999999999998</v>
      </c>
      <c r="K27" s="422">
        <v>0</v>
      </c>
      <c r="L27" s="422">
        <v>0</v>
      </c>
      <c r="M27" s="422">
        <v>0</v>
      </c>
      <c r="N27" s="426">
        <v>0</v>
      </c>
      <c r="O27" s="426">
        <v>0</v>
      </c>
      <c r="P27" s="426">
        <v>0</v>
      </c>
      <c r="Q27" s="426">
        <v>0</v>
      </c>
      <c r="R27" s="426">
        <v>0</v>
      </c>
      <c r="S27" s="426">
        <v>0</v>
      </c>
      <c r="T27" s="426">
        <v>0</v>
      </c>
      <c r="U27" s="426">
        <v>0</v>
      </c>
      <c r="V27" s="426">
        <v>0</v>
      </c>
      <c r="W27" s="426">
        <v>0</v>
      </c>
      <c r="X27" s="426">
        <v>0</v>
      </c>
      <c r="Y27" s="426">
        <v>0</v>
      </c>
      <c r="Z27" s="426">
        <v>0</v>
      </c>
      <c r="AA27" s="426">
        <v>0</v>
      </c>
      <c r="AB27" s="426">
        <v>0</v>
      </c>
      <c r="AC27" s="426">
        <v>0</v>
      </c>
      <c r="AD27" s="426">
        <v>0</v>
      </c>
      <c r="AE27" s="426">
        <v>0</v>
      </c>
      <c r="AF27" s="426">
        <v>0</v>
      </c>
      <c r="AG27" s="426">
        <v>0</v>
      </c>
      <c r="AH27" s="426">
        <v>0</v>
      </c>
      <c r="AI27" s="426">
        <v>0</v>
      </c>
      <c r="AJ27" s="426">
        <v>0</v>
      </c>
      <c r="AK27" s="426">
        <v>0</v>
      </c>
      <c r="AL27" s="426">
        <v>0</v>
      </c>
      <c r="AM27" s="427">
        <v>0</v>
      </c>
      <c r="AN27" s="427">
        <v>0</v>
      </c>
      <c r="AO27" s="427">
        <v>0</v>
      </c>
      <c r="AP27" s="427">
        <v>0</v>
      </c>
      <c r="AQ27" s="427">
        <v>0</v>
      </c>
      <c r="AR27" s="427">
        <v>0</v>
      </c>
      <c r="AS27" s="427">
        <v>0</v>
      </c>
      <c r="AT27" s="427">
        <v>0</v>
      </c>
      <c r="AU27" s="427">
        <v>0</v>
      </c>
      <c r="AV27" s="427">
        <v>0</v>
      </c>
      <c r="AW27" s="427">
        <v>0</v>
      </c>
      <c r="AX27" s="427">
        <v>0</v>
      </c>
      <c r="AY27" s="427">
        <v>0</v>
      </c>
      <c r="AZ27" s="427">
        <v>0</v>
      </c>
      <c r="BA27" s="427">
        <v>0</v>
      </c>
      <c r="BB27" s="427">
        <v>0</v>
      </c>
      <c r="BC27" s="427">
        <v>0</v>
      </c>
      <c r="BD27" s="427">
        <v>0</v>
      </c>
      <c r="BE27" s="427">
        <v>0</v>
      </c>
      <c r="BF27" s="427">
        <v>0</v>
      </c>
      <c r="BG27" s="427">
        <v>0</v>
      </c>
      <c r="BH27" s="427">
        <v>0</v>
      </c>
      <c r="BI27" s="427">
        <v>0</v>
      </c>
      <c r="BJ27" s="427">
        <v>0</v>
      </c>
      <c r="BK27" s="427">
        <v>0</v>
      </c>
      <c r="BL27" s="427">
        <v>0</v>
      </c>
      <c r="BM27" s="427">
        <v>0</v>
      </c>
      <c r="BN27" s="427">
        <v>0</v>
      </c>
      <c r="BO27" s="427">
        <v>0</v>
      </c>
      <c r="BP27" s="427">
        <v>0</v>
      </c>
      <c r="BQ27" s="427">
        <v>0</v>
      </c>
      <c r="BR27" s="427">
        <v>0</v>
      </c>
      <c r="BS27" s="427">
        <v>0</v>
      </c>
      <c r="BT27" s="427">
        <v>0</v>
      </c>
      <c r="BU27" s="427">
        <v>0</v>
      </c>
      <c r="BV27" s="427">
        <v>0</v>
      </c>
      <c r="BW27" s="427">
        <v>0</v>
      </c>
      <c r="BX27" s="427">
        <v>0</v>
      </c>
      <c r="BY27" s="427">
        <v>0</v>
      </c>
      <c r="BZ27" s="427">
        <v>0</v>
      </c>
      <c r="CA27" s="427">
        <v>0</v>
      </c>
      <c r="CB27" s="427">
        <v>0</v>
      </c>
      <c r="CC27" s="427">
        <v>0</v>
      </c>
      <c r="CD27" s="427">
        <v>0</v>
      </c>
      <c r="CE27" s="427">
        <v>0</v>
      </c>
      <c r="CF27" s="427">
        <v>0</v>
      </c>
      <c r="CG27" s="427">
        <v>0</v>
      </c>
      <c r="CH27" s="427">
        <v>0</v>
      </c>
      <c r="CI27" s="427">
        <v>0</v>
      </c>
      <c r="CJ27" s="427">
        <v>0</v>
      </c>
      <c r="CK27" s="428">
        <v>0</v>
      </c>
      <c r="CL27" s="428">
        <v>0</v>
      </c>
      <c r="CM27" s="428">
        <v>0</v>
      </c>
      <c r="CN27" s="428">
        <v>0</v>
      </c>
      <c r="CO27" s="428">
        <v>0</v>
      </c>
      <c r="CP27" s="428">
        <v>0</v>
      </c>
      <c r="CQ27" s="428">
        <v>0</v>
      </c>
      <c r="CR27" s="428">
        <v>0</v>
      </c>
      <c r="CS27" s="428">
        <v>0</v>
      </c>
      <c r="CT27" s="428">
        <v>0</v>
      </c>
      <c r="CU27" s="428">
        <v>0</v>
      </c>
      <c r="CV27" s="428">
        <v>0</v>
      </c>
      <c r="CW27" s="428">
        <v>0</v>
      </c>
      <c r="CX27" s="428"/>
      <c r="CY27" s="428"/>
      <c r="CZ27" s="428"/>
      <c r="DA27" s="428"/>
      <c r="DB27" s="428"/>
      <c r="DC27" s="428"/>
      <c r="DD27" s="428"/>
      <c r="DE27" s="428"/>
      <c r="DF27" s="428"/>
      <c r="DG27" s="428"/>
      <c r="DH27" s="428"/>
      <c r="DI27" s="428"/>
    </row>
    <row r="28" spans="1:113" s="388" customFormat="1">
      <c r="A28" s="421" t="s">
        <v>370</v>
      </c>
      <c r="B28" s="421" t="s">
        <v>12</v>
      </c>
      <c r="C28" s="421" t="s">
        <v>386</v>
      </c>
      <c r="D28" s="422" t="s">
        <v>376</v>
      </c>
      <c r="E28" s="422">
        <v>2016</v>
      </c>
      <c r="F28" s="423">
        <v>4.2352941176470589</v>
      </c>
      <c r="G28" s="424">
        <v>44006.117647058818</v>
      </c>
      <c r="H28" s="422">
        <v>10</v>
      </c>
      <c r="I28" s="425">
        <v>0.68</v>
      </c>
      <c r="J28" s="425">
        <v>0.73099999999999998</v>
      </c>
      <c r="K28" s="422">
        <v>0</v>
      </c>
      <c r="L28" s="422">
        <v>0</v>
      </c>
      <c r="M28" s="422">
        <v>0</v>
      </c>
      <c r="N28" s="426">
        <v>22</v>
      </c>
      <c r="O28" s="426">
        <v>0</v>
      </c>
      <c r="P28" s="426">
        <v>73.0032154340836</v>
      </c>
      <c r="Q28" s="426">
        <v>73.0032154340836</v>
      </c>
      <c r="R28" s="426">
        <v>73.0032154340836</v>
      </c>
      <c r="S28" s="426">
        <v>73.0032154340836</v>
      </c>
      <c r="T28" s="426">
        <v>73.0032154340836</v>
      </c>
      <c r="U28" s="426">
        <v>73.0032154340836</v>
      </c>
      <c r="V28" s="426">
        <v>73.0032154340836</v>
      </c>
      <c r="W28" s="426">
        <v>73.0032154340836</v>
      </c>
      <c r="X28" s="426">
        <v>73.0032154340836</v>
      </c>
      <c r="Y28" s="426">
        <v>73.0032154340836</v>
      </c>
      <c r="Z28" s="426">
        <v>0</v>
      </c>
      <c r="AA28" s="426">
        <v>0</v>
      </c>
      <c r="AB28" s="426">
        <v>0</v>
      </c>
      <c r="AC28" s="426">
        <v>0</v>
      </c>
      <c r="AD28" s="426">
        <v>0</v>
      </c>
      <c r="AE28" s="426">
        <v>0</v>
      </c>
      <c r="AF28" s="426">
        <v>0</v>
      </c>
      <c r="AG28" s="426">
        <v>0</v>
      </c>
      <c r="AH28" s="426">
        <v>0</v>
      </c>
      <c r="AI28" s="426">
        <v>0</v>
      </c>
      <c r="AJ28" s="426">
        <v>0</v>
      </c>
      <c r="AK28" s="426">
        <v>0</v>
      </c>
      <c r="AL28" s="426">
        <v>0</v>
      </c>
      <c r="AM28" s="427">
        <v>0</v>
      </c>
      <c r="AN28" s="427">
        <v>0</v>
      </c>
      <c r="AO28" s="427">
        <v>705607.20257234725</v>
      </c>
      <c r="AP28" s="427">
        <v>705607.20257234725</v>
      </c>
      <c r="AQ28" s="427">
        <v>705607.20257234725</v>
      </c>
      <c r="AR28" s="427">
        <v>705607.20257234725</v>
      </c>
      <c r="AS28" s="427">
        <v>705607.20257234725</v>
      </c>
      <c r="AT28" s="427">
        <v>705607.20257234725</v>
      </c>
      <c r="AU28" s="427">
        <v>705607.20257234725</v>
      </c>
      <c r="AV28" s="427">
        <v>705607.20257234725</v>
      </c>
      <c r="AW28" s="427">
        <v>705607.20257234725</v>
      </c>
      <c r="AX28" s="427">
        <v>705607.20257234725</v>
      </c>
      <c r="AY28" s="427">
        <v>0</v>
      </c>
      <c r="AZ28" s="427">
        <v>0</v>
      </c>
      <c r="BA28" s="427">
        <v>0</v>
      </c>
      <c r="BB28" s="427">
        <v>0</v>
      </c>
      <c r="BC28" s="427">
        <v>0</v>
      </c>
      <c r="BD28" s="427">
        <v>0</v>
      </c>
      <c r="BE28" s="427">
        <v>0</v>
      </c>
      <c r="BF28" s="427">
        <v>0</v>
      </c>
      <c r="BG28" s="427">
        <v>0</v>
      </c>
      <c r="BH28" s="427">
        <v>0</v>
      </c>
      <c r="BI28" s="427">
        <v>0</v>
      </c>
      <c r="BJ28" s="427">
        <v>0</v>
      </c>
      <c r="BK28" s="427">
        <v>0</v>
      </c>
      <c r="BL28" s="427">
        <v>0</v>
      </c>
      <c r="BM28" s="427">
        <v>0</v>
      </c>
      <c r="BN28" s="427">
        <v>0</v>
      </c>
      <c r="BO28" s="427">
        <v>0</v>
      </c>
      <c r="BP28" s="427">
        <v>0</v>
      </c>
      <c r="BQ28" s="427">
        <v>0</v>
      </c>
      <c r="BR28" s="427">
        <v>0</v>
      </c>
      <c r="BS28" s="427">
        <v>0</v>
      </c>
      <c r="BT28" s="427">
        <v>0</v>
      </c>
      <c r="BU28" s="427">
        <v>0</v>
      </c>
      <c r="BV28" s="427">
        <v>0</v>
      </c>
      <c r="BW28" s="427">
        <v>0</v>
      </c>
      <c r="BX28" s="427">
        <v>0</v>
      </c>
      <c r="BY28" s="427">
        <v>0</v>
      </c>
      <c r="BZ28" s="427">
        <v>0</v>
      </c>
      <c r="CA28" s="427">
        <v>0</v>
      </c>
      <c r="CB28" s="427">
        <v>0</v>
      </c>
      <c r="CC28" s="427">
        <v>0</v>
      </c>
      <c r="CD28" s="427">
        <v>0</v>
      </c>
      <c r="CE28" s="427">
        <v>0</v>
      </c>
      <c r="CF28" s="427">
        <v>0</v>
      </c>
      <c r="CG28" s="427">
        <v>0</v>
      </c>
      <c r="CH28" s="427">
        <v>0</v>
      </c>
      <c r="CI28" s="427">
        <v>0</v>
      </c>
      <c r="CJ28" s="427">
        <v>0</v>
      </c>
      <c r="CK28" s="428">
        <v>0</v>
      </c>
      <c r="CL28" s="428">
        <v>0</v>
      </c>
      <c r="CM28" s="428">
        <v>0</v>
      </c>
      <c r="CN28" s="428">
        <v>0</v>
      </c>
      <c r="CO28" s="428">
        <v>0</v>
      </c>
      <c r="CP28" s="428">
        <v>0</v>
      </c>
      <c r="CQ28" s="428">
        <v>0</v>
      </c>
      <c r="CR28" s="428">
        <v>0</v>
      </c>
      <c r="CS28" s="428">
        <v>0</v>
      </c>
      <c r="CT28" s="428">
        <v>0</v>
      </c>
      <c r="CU28" s="428">
        <v>0</v>
      </c>
      <c r="CV28" s="428">
        <v>0</v>
      </c>
      <c r="CW28" s="428">
        <v>0</v>
      </c>
      <c r="CX28" s="428"/>
      <c r="CY28" s="428"/>
      <c r="CZ28" s="428"/>
      <c r="DA28" s="428"/>
      <c r="DB28" s="428"/>
      <c r="DC28" s="428"/>
      <c r="DD28" s="428"/>
      <c r="DE28" s="428"/>
      <c r="DF28" s="428"/>
      <c r="DG28" s="428"/>
      <c r="DH28" s="428"/>
      <c r="DI28" s="428"/>
    </row>
    <row r="29" spans="1:113" s="388" customFormat="1">
      <c r="A29" s="421" t="s">
        <v>370</v>
      </c>
      <c r="B29" s="421" t="s">
        <v>12</v>
      </c>
      <c r="C29" s="421" t="s">
        <v>386</v>
      </c>
      <c r="D29" s="422" t="s">
        <v>376</v>
      </c>
      <c r="E29" s="422">
        <v>2017</v>
      </c>
      <c r="F29" s="423">
        <v>4.2352941176470589</v>
      </c>
      <c r="G29" s="424">
        <v>44006.117647058818</v>
      </c>
      <c r="H29" s="422">
        <v>10</v>
      </c>
      <c r="I29" s="425">
        <v>0.68</v>
      </c>
      <c r="J29" s="425">
        <v>0.73099999999999998</v>
      </c>
      <c r="K29" s="422">
        <v>0</v>
      </c>
      <c r="L29" s="422">
        <v>0</v>
      </c>
      <c r="M29" s="422">
        <v>0</v>
      </c>
      <c r="N29" s="426">
        <v>24</v>
      </c>
      <c r="O29" s="426">
        <v>0</v>
      </c>
      <c r="P29" s="426">
        <v>0</v>
      </c>
      <c r="Q29" s="426">
        <v>79.639871382636656</v>
      </c>
      <c r="R29" s="426">
        <v>79.639871382636656</v>
      </c>
      <c r="S29" s="426">
        <v>79.639871382636656</v>
      </c>
      <c r="T29" s="426">
        <v>79.639871382636656</v>
      </c>
      <c r="U29" s="426">
        <v>79.639871382636656</v>
      </c>
      <c r="V29" s="426">
        <v>79.639871382636656</v>
      </c>
      <c r="W29" s="426">
        <v>79.639871382636656</v>
      </c>
      <c r="X29" s="426">
        <v>79.639871382636656</v>
      </c>
      <c r="Y29" s="426">
        <v>79.639871382636656</v>
      </c>
      <c r="Z29" s="426">
        <v>79.639871382636656</v>
      </c>
      <c r="AA29" s="426">
        <v>0</v>
      </c>
      <c r="AB29" s="426">
        <v>0</v>
      </c>
      <c r="AC29" s="426">
        <v>0</v>
      </c>
      <c r="AD29" s="426">
        <v>0</v>
      </c>
      <c r="AE29" s="426">
        <v>0</v>
      </c>
      <c r="AF29" s="426">
        <v>0</v>
      </c>
      <c r="AG29" s="426">
        <v>0</v>
      </c>
      <c r="AH29" s="426">
        <v>0</v>
      </c>
      <c r="AI29" s="426">
        <v>0</v>
      </c>
      <c r="AJ29" s="426">
        <v>0</v>
      </c>
      <c r="AK29" s="426">
        <v>0</v>
      </c>
      <c r="AL29" s="426">
        <v>0</v>
      </c>
      <c r="AM29" s="427">
        <v>0</v>
      </c>
      <c r="AN29" s="427">
        <v>0</v>
      </c>
      <c r="AO29" s="427">
        <v>0</v>
      </c>
      <c r="AP29" s="427">
        <v>769753.31189710612</v>
      </c>
      <c r="AQ29" s="427">
        <v>769753.31189710612</v>
      </c>
      <c r="AR29" s="427">
        <v>769753.31189710612</v>
      </c>
      <c r="AS29" s="427">
        <v>769753.31189710612</v>
      </c>
      <c r="AT29" s="427">
        <v>769753.31189710612</v>
      </c>
      <c r="AU29" s="427">
        <v>769753.31189710612</v>
      </c>
      <c r="AV29" s="427">
        <v>769753.31189710612</v>
      </c>
      <c r="AW29" s="427">
        <v>769753.31189710612</v>
      </c>
      <c r="AX29" s="427">
        <v>769753.31189710612</v>
      </c>
      <c r="AY29" s="427">
        <v>769753.31189710612</v>
      </c>
      <c r="AZ29" s="427">
        <v>0</v>
      </c>
      <c r="BA29" s="427">
        <v>0</v>
      </c>
      <c r="BB29" s="427">
        <v>0</v>
      </c>
      <c r="BC29" s="427">
        <v>0</v>
      </c>
      <c r="BD29" s="427">
        <v>0</v>
      </c>
      <c r="BE29" s="427">
        <v>0</v>
      </c>
      <c r="BF29" s="427">
        <v>0</v>
      </c>
      <c r="BG29" s="427">
        <v>0</v>
      </c>
      <c r="BH29" s="427">
        <v>0</v>
      </c>
      <c r="BI29" s="427">
        <v>0</v>
      </c>
      <c r="BJ29" s="427">
        <v>0</v>
      </c>
      <c r="BK29" s="427">
        <v>0</v>
      </c>
      <c r="BL29" s="427">
        <v>0</v>
      </c>
      <c r="BM29" s="427">
        <v>0</v>
      </c>
      <c r="BN29" s="427">
        <v>0</v>
      </c>
      <c r="BO29" s="427">
        <v>0</v>
      </c>
      <c r="BP29" s="427">
        <v>0</v>
      </c>
      <c r="BQ29" s="427">
        <v>0</v>
      </c>
      <c r="BR29" s="427">
        <v>0</v>
      </c>
      <c r="BS29" s="427">
        <v>0</v>
      </c>
      <c r="BT29" s="427">
        <v>0</v>
      </c>
      <c r="BU29" s="427">
        <v>0</v>
      </c>
      <c r="BV29" s="427">
        <v>0</v>
      </c>
      <c r="BW29" s="427">
        <v>0</v>
      </c>
      <c r="BX29" s="427">
        <v>0</v>
      </c>
      <c r="BY29" s="427">
        <v>0</v>
      </c>
      <c r="BZ29" s="427">
        <v>0</v>
      </c>
      <c r="CA29" s="427">
        <v>0</v>
      </c>
      <c r="CB29" s="427">
        <v>0</v>
      </c>
      <c r="CC29" s="427">
        <v>0</v>
      </c>
      <c r="CD29" s="427">
        <v>0</v>
      </c>
      <c r="CE29" s="427">
        <v>0</v>
      </c>
      <c r="CF29" s="427">
        <v>0</v>
      </c>
      <c r="CG29" s="427">
        <v>0</v>
      </c>
      <c r="CH29" s="427">
        <v>0</v>
      </c>
      <c r="CI29" s="427">
        <v>0</v>
      </c>
      <c r="CJ29" s="427">
        <v>0</v>
      </c>
      <c r="CK29" s="428">
        <v>0</v>
      </c>
      <c r="CL29" s="428">
        <v>0</v>
      </c>
      <c r="CM29" s="428">
        <v>0</v>
      </c>
      <c r="CN29" s="428">
        <v>0</v>
      </c>
      <c r="CO29" s="428">
        <v>0</v>
      </c>
      <c r="CP29" s="428">
        <v>0</v>
      </c>
      <c r="CQ29" s="428">
        <v>0</v>
      </c>
      <c r="CR29" s="428">
        <v>0</v>
      </c>
      <c r="CS29" s="428">
        <v>0</v>
      </c>
      <c r="CT29" s="428">
        <v>0</v>
      </c>
      <c r="CU29" s="428">
        <v>0</v>
      </c>
      <c r="CV29" s="428">
        <v>0</v>
      </c>
      <c r="CW29" s="428">
        <v>0</v>
      </c>
      <c r="CX29" s="428"/>
      <c r="CY29" s="428"/>
      <c r="CZ29" s="428"/>
      <c r="DA29" s="428"/>
      <c r="DB29" s="428"/>
      <c r="DC29" s="428"/>
      <c r="DD29" s="428"/>
      <c r="DE29" s="428"/>
      <c r="DF29" s="428"/>
      <c r="DG29" s="428"/>
      <c r="DH29" s="428"/>
      <c r="DI29" s="428"/>
    </row>
    <row r="30" spans="1:113" s="388" customFormat="1">
      <c r="A30" s="421" t="s">
        <v>370</v>
      </c>
      <c r="B30" s="421" t="s">
        <v>12</v>
      </c>
      <c r="C30" s="421" t="s">
        <v>386</v>
      </c>
      <c r="D30" s="422" t="s">
        <v>376</v>
      </c>
      <c r="E30" s="422">
        <v>2018</v>
      </c>
      <c r="F30" s="423">
        <v>4.2352941176470589</v>
      </c>
      <c r="G30" s="424">
        <v>44006.117647058818</v>
      </c>
      <c r="H30" s="422">
        <v>10</v>
      </c>
      <c r="I30" s="425">
        <v>0.68</v>
      </c>
      <c r="J30" s="425">
        <v>0.73099999999999998</v>
      </c>
      <c r="K30" s="422">
        <v>0</v>
      </c>
      <c r="L30" s="422">
        <v>0</v>
      </c>
      <c r="M30" s="422">
        <v>0</v>
      </c>
      <c r="N30" s="426">
        <v>26</v>
      </c>
      <c r="O30" s="426">
        <v>0</v>
      </c>
      <c r="P30" s="426">
        <v>0</v>
      </c>
      <c r="Q30" s="426">
        <v>0</v>
      </c>
      <c r="R30" s="426">
        <v>86.276527331189726</v>
      </c>
      <c r="S30" s="426">
        <v>86.276527331189726</v>
      </c>
      <c r="T30" s="426">
        <v>86.276527331189726</v>
      </c>
      <c r="U30" s="426">
        <v>86.276527331189726</v>
      </c>
      <c r="V30" s="426">
        <v>86.276527331189726</v>
      </c>
      <c r="W30" s="426">
        <v>86.276527331189726</v>
      </c>
      <c r="X30" s="426">
        <v>86.276527331189726</v>
      </c>
      <c r="Y30" s="426">
        <v>86.276527331189726</v>
      </c>
      <c r="Z30" s="426">
        <v>86.276527331189726</v>
      </c>
      <c r="AA30" s="426">
        <v>86.276527331189726</v>
      </c>
      <c r="AB30" s="426">
        <v>0</v>
      </c>
      <c r="AC30" s="426">
        <v>0</v>
      </c>
      <c r="AD30" s="426">
        <v>0</v>
      </c>
      <c r="AE30" s="426">
        <v>0</v>
      </c>
      <c r="AF30" s="426">
        <v>0</v>
      </c>
      <c r="AG30" s="426">
        <v>0</v>
      </c>
      <c r="AH30" s="426">
        <v>0</v>
      </c>
      <c r="AI30" s="426">
        <v>0</v>
      </c>
      <c r="AJ30" s="426">
        <v>0</v>
      </c>
      <c r="AK30" s="426">
        <v>0</v>
      </c>
      <c r="AL30" s="426">
        <v>0</v>
      </c>
      <c r="AM30" s="427">
        <v>0</v>
      </c>
      <c r="AN30" s="427">
        <v>0</v>
      </c>
      <c r="AO30" s="427">
        <v>0</v>
      </c>
      <c r="AP30" s="427">
        <v>0</v>
      </c>
      <c r="AQ30" s="427">
        <v>833899.42122186499</v>
      </c>
      <c r="AR30" s="427">
        <v>833899.42122186499</v>
      </c>
      <c r="AS30" s="427">
        <v>833899.42122186499</v>
      </c>
      <c r="AT30" s="427">
        <v>833899.42122186499</v>
      </c>
      <c r="AU30" s="427">
        <v>833899.42122186499</v>
      </c>
      <c r="AV30" s="427">
        <v>833899.42122186499</v>
      </c>
      <c r="AW30" s="427">
        <v>833899.42122186499</v>
      </c>
      <c r="AX30" s="427">
        <v>833899.42122186499</v>
      </c>
      <c r="AY30" s="427">
        <v>833899.42122186499</v>
      </c>
      <c r="AZ30" s="427">
        <v>833899.42122186499</v>
      </c>
      <c r="BA30" s="427">
        <v>0</v>
      </c>
      <c r="BB30" s="427">
        <v>0</v>
      </c>
      <c r="BC30" s="427">
        <v>0</v>
      </c>
      <c r="BD30" s="427">
        <v>0</v>
      </c>
      <c r="BE30" s="427">
        <v>0</v>
      </c>
      <c r="BF30" s="427">
        <v>0</v>
      </c>
      <c r="BG30" s="427">
        <v>0</v>
      </c>
      <c r="BH30" s="427">
        <v>0</v>
      </c>
      <c r="BI30" s="427">
        <v>0</v>
      </c>
      <c r="BJ30" s="427">
        <v>0</v>
      </c>
      <c r="BK30" s="427">
        <v>0</v>
      </c>
      <c r="BL30" s="427">
        <v>0</v>
      </c>
      <c r="BM30" s="427">
        <v>0</v>
      </c>
      <c r="BN30" s="427">
        <v>0</v>
      </c>
      <c r="BO30" s="427">
        <v>0</v>
      </c>
      <c r="BP30" s="427">
        <v>0</v>
      </c>
      <c r="BQ30" s="427">
        <v>0</v>
      </c>
      <c r="BR30" s="427">
        <v>0</v>
      </c>
      <c r="BS30" s="427">
        <v>0</v>
      </c>
      <c r="BT30" s="427">
        <v>0</v>
      </c>
      <c r="BU30" s="427">
        <v>0</v>
      </c>
      <c r="BV30" s="427">
        <v>0</v>
      </c>
      <c r="BW30" s="427">
        <v>0</v>
      </c>
      <c r="BX30" s="427">
        <v>0</v>
      </c>
      <c r="BY30" s="427">
        <v>0</v>
      </c>
      <c r="BZ30" s="427">
        <v>0</v>
      </c>
      <c r="CA30" s="427">
        <v>0</v>
      </c>
      <c r="CB30" s="427">
        <v>0</v>
      </c>
      <c r="CC30" s="427">
        <v>0</v>
      </c>
      <c r="CD30" s="427">
        <v>0</v>
      </c>
      <c r="CE30" s="427">
        <v>0</v>
      </c>
      <c r="CF30" s="427">
        <v>0</v>
      </c>
      <c r="CG30" s="427">
        <v>0</v>
      </c>
      <c r="CH30" s="427">
        <v>0</v>
      </c>
      <c r="CI30" s="427">
        <v>0</v>
      </c>
      <c r="CJ30" s="427">
        <v>0</v>
      </c>
      <c r="CK30" s="428">
        <v>0</v>
      </c>
      <c r="CL30" s="428">
        <v>0</v>
      </c>
      <c r="CM30" s="428">
        <v>0</v>
      </c>
      <c r="CN30" s="428">
        <v>0</v>
      </c>
      <c r="CO30" s="428">
        <v>0</v>
      </c>
      <c r="CP30" s="428">
        <v>0</v>
      </c>
      <c r="CQ30" s="428">
        <v>0</v>
      </c>
      <c r="CR30" s="428">
        <v>0</v>
      </c>
      <c r="CS30" s="428">
        <v>0</v>
      </c>
      <c r="CT30" s="428">
        <v>0</v>
      </c>
      <c r="CU30" s="428">
        <v>0</v>
      </c>
      <c r="CV30" s="428">
        <v>0</v>
      </c>
      <c r="CW30" s="428">
        <v>0</v>
      </c>
      <c r="CX30" s="428"/>
      <c r="CY30" s="428"/>
      <c r="CZ30" s="428"/>
      <c r="DA30" s="428"/>
      <c r="DB30" s="428"/>
      <c r="DC30" s="428"/>
      <c r="DD30" s="428"/>
      <c r="DE30" s="428"/>
      <c r="DF30" s="428"/>
      <c r="DG30" s="428"/>
      <c r="DH30" s="428"/>
      <c r="DI30" s="428"/>
    </row>
    <row r="31" spans="1:113" s="388" customFormat="1">
      <c r="A31" s="421" t="s">
        <v>370</v>
      </c>
      <c r="B31" s="421" t="s">
        <v>12</v>
      </c>
      <c r="C31" s="421" t="s">
        <v>386</v>
      </c>
      <c r="D31" s="422" t="s">
        <v>376</v>
      </c>
      <c r="E31" s="422">
        <v>2019</v>
      </c>
      <c r="F31" s="423">
        <v>4.2352941176470589</v>
      </c>
      <c r="G31" s="424">
        <v>44006.117647058818</v>
      </c>
      <c r="H31" s="422">
        <v>10</v>
      </c>
      <c r="I31" s="425">
        <v>0.68</v>
      </c>
      <c r="J31" s="425">
        <v>0.73099999999999998</v>
      </c>
      <c r="K31" s="422">
        <v>0</v>
      </c>
      <c r="L31" s="422">
        <v>0</v>
      </c>
      <c r="M31" s="422">
        <v>0</v>
      </c>
      <c r="N31" s="426">
        <v>28</v>
      </c>
      <c r="O31" s="426">
        <v>0</v>
      </c>
      <c r="P31" s="426">
        <v>0</v>
      </c>
      <c r="Q31" s="426">
        <v>0</v>
      </c>
      <c r="R31" s="426">
        <v>0</v>
      </c>
      <c r="S31" s="426">
        <v>92.913183279742768</v>
      </c>
      <c r="T31" s="426">
        <v>92.913183279742768</v>
      </c>
      <c r="U31" s="426">
        <v>92.913183279742768</v>
      </c>
      <c r="V31" s="426">
        <v>92.913183279742768</v>
      </c>
      <c r="W31" s="426">
        <v>92.913183279742768</v>
      </c>
      <c r="X31" s="426">
        <v>92.913183279742768</v>
      </c>
      <c r="Y31" s="426">
        <v>92.913183279742768</v>
      </c>
      <c r="Z31" s="426">
        <v>92.913183279742768</v>
      </c>
      <c r="AA31" s="426">
        <v>92.913183279742768</v>
      </c>
      <c r="AB31" s="426">
        <v>92.913183279742768</v>
      </c>
      <c r="AC31" s="426">
        <v>0</v>
      </c>
      <c r="AD31" s="426">
        <v>0</v>
      </c>
      <c r="AE31" s="426">
        <v>0</v>
      </c>
      <c r="AF31" s="426">
        <v>0</v>
      </c>
      <c r="AG31" s="426">
        <v>0</v>
      </c>
      <c r="AH31" s="426">
        <v>0</v>
      </c>
      <c r="AI31" s="426">
        <v>0</v>
      </c>
      <c r="AJ31" s="426">
        <v>0</v>
      </c>
      <c r="AK31" s="426">
        <v>0</v>
      </c>
      <c r="AL31" s="426">
        <v>0</v>
      </c>
      <c r="AM31" s="427">
        <v>0</v>
      </c>
      <c r="AN31" s="427">
        <v>0</v>
      </c>
      <c r="AO31" s="427">
        <v>0</v>
      </c>
      <c r="AP31" s="427">
        <v>0</v>
      </c>
      <c r="AQ31" s="427">
        <v>0</v>
      </c>
      <c r="AR31" s="427">
        <v>898045.53054662375</v>
      </c>
      <c r="AS31" s="427">
        <v>898045.53054662375</v>
      </c>
      <c r="AT31" s="427">
        <v>898045.53054662375</v>
      </c>
      <c r="AU31" s="427">
        <v>898045.53054662375</v>
      </c>
      <c r="AV31" s="427">
        <v>898045.53054662375</v>
      </c>
      <c r="AW31" s="427">
        <v>898045.53054662375</v>
      </c>
      <c r="AX31" s="427">
        <v>898045.53054662375</v>
      </c>
      <c r="AY31" s="427">
        <v>898045.53054662375</v>
      </c>
      <c r="AZ31" s="427">
        <v>898045.53054662375</v>
      </c>
      <c r="BA31" s="427">
        <v>898045.53054662375</v>
      </c>
      <c r="BB31" s="427">
        <v>0</v>
      </c>
      <c r="BC31" s="427">
        <v>0</v>
      </c>
      <c r="BD31" s="427">
        <v>0</v>
      </c>
      <c r="BE31" s="427">
        <v>0</v>
      </c>
      <c r="BF31" s="427">
        <v>0</v>
      </c>
      <c r="BG31" s="427">
        <v>0</v>
      </c>
      <c r="BH31" s="427">
        <v>0</v>
      </c>
      <c r="BI31" s="427">
        <v>0</v>
      </c>
      <c r="BJ31" s="427">
        <v>0</v>
      </c>
      <c r="BK31" s="427">
        <v>0</v>
      </c>
      <c r="BL31" s="427">
        <v>0</v>
      </c>
      <c r="BM31" s="427">
        <v>0</v>
      </c>
      <c r="BN31" s="427">
        <v>0</v>
      </c>
      <c r="BO31" s="427">
        <v>0</v>
      </c>
      <c r="BP31" s="427">
        <v>0</v>
      </c>
      <c r="BQ31" s="427">
        <v>0</v>
      </c>
      <c r="BR31" s="427">
        <v>0</v>
      </c>
      <c r="BS31" s="427">
        <v>0</v>
      </c>
      <c r="BT31" s="427">
        <v>0</v>
      </c>
      <c r="BU31" s="427">
        <v>0</v>
      </c>
      <c r="BV31" s="427">
        <v>0</v>
      </c>
      <c r="BW31" s="427">
        <v>0</v>
      </c>
      <c r="BX31" s="427">
        <v>0</v>
      </c>
      <c r="BY31" s="427">
        <v>0</v>
      </c>
      <c r="BZ31" s="427">
        <v>0</v>
      </c>
      <c r="CA31" s="427">
        <v>0</v>
      </c>
      <c r="CB31" s="427">
        <v>0</v>
      </c>
      <c r="CC31" s="427">
        <v>0</v>
      </c>
      <c r="CD31" s="427">
        <v>0</v>
      </c>
      <c r="CE31" s="427">
        <v>0</v>
      </c>
      <c r="CF31" s="427">
        <v>0</v>
      </c>
      <c r="CG31" s="427">
        <v>0</v>
      </c>
      <c r="CH31" s="427">
        <v>0</v>
      </c>
      <c r="CI31" s="427">
        <v>0</v>
      </c>
      <c r="CJ31" s="427">
        <v>0</v>
      </c>
      <c r="CK31" s="428">
        <v>0</v>
      </c>
      <c r="CL31" s="428">
        <v>0</v>
      </c>
      <c r="CM31" s="428">
        <v>0</v>
      </c>
      <c r="CN31" s="428">
        <v>0</v>
      </c>
      <c r="CO31" s="428">
        <v>0</v>
      </c>
      <c r="CP31" s="428">
        <v>0</v>
      </c>
      <c r="CQ31" s="428">
        <v>0</v>
      </c>
      <c r="CR31" s="428">
        <v>0</v>
      </c>
      <c r="CS31" s="428">
        <v>0</v>
      </c>
      <c r="CT31" s="428">
        <v>0</v>
      </c>
      <c r="CU31" s="428">
        <v>0</v>
      </c>
      <c r="CV31" s="428">
        <v>0</v>
      </c>
      <c r="CW31" s="428">
        <v>0</v>
      </c>
      <c r="CX31" s="428"/>
      <c r="CY31" s="428"/>
      <c r="CZ31" s="428"/>
      <c r="DA31" s="428"/>
      <c r="DB31" s="428"/>
      <c r="DC31" s="428"/>
      <c r="DD31" s="428"/>
      <c r="DE31" s="428"/>
      <c r="DF31" s="428"/>
      <c r="DG31" s="428"/>
      <c r="DH31" s="428"/>
      <c r="DI31" s="428"/>
    </row>
    <row r="32" spans="1:113" s="388" customFormat="1">
      <c r="A32" s="421" t="s">
        <v>370</v>
      </c>
      <c r="B32" s="421" t="s">
        <v>12</v>
      </c>
      <c r="C32" s="421" t="s">
        <v>386</v>
      </c>
      <c r="D32" s="422" t="s">
        <v>376</v>
      </c>
      <c r="E32" s="422">
        <v>2020</v>
      </c>
      <c r="F32" s="423">
        <v>4.2352941176470589</v>
      </c>
      <c r="G32" s="424">
        <v>44006.117647058818</v>
      </c>
      <c r="H32" s="422">
        <v>10</v>
      </c>
      <c r="I32" s="425">
        <v>0.68</v>
      </c>
      <c r="J32" s="425">
        <v>0.73099999999999998</v>
      </c>
      <c r="K32" s="422">
        <v>0</v>
      </c>
      <c r="L32" s="422">
        <v>0</v>
      </c>
      <c r="M32" s="422">
        <v>0</v>
      </c>
      <c r="N32" s="426">
        <v>30</v>
      </c>
      <c r="O32" s="426">
        <v>0</v>
      </c>
      <c r="P32" s="426">
        <v>0</v>
      </c>
      <c r="Q32" s="426">
        <v>0</v>
      </c>
      <c r="R32" s="426">
        <v>0</v>
      </c>
      <c r="S32" s="426">
        <v>0</v>
      </c>
      <c r="T32" s="426">
        <v>99.549839228295824</v>
      </c>
      <c r="U32" s="426">
        <v>99.549839228295824</v>
      </c>
      <c r="V32" s="426">
        <v>99.549839228295824</v>
      </c>
      <c r="W32" s="426">
        <v>99.549839228295824</v>
      </c>
      <c r="X32" s="426">
        <v>99.549839228295824</v>
      </c>
      <c r="Y32" s="426">
        <v>99.549839228295824</v>
      </c>
      <c r="Z32" s="426">
        <v>99.549839228295824</v>
      </c>
      <c r="AA32" s="426">
        <v>99.549839228295824</v>
      </c>
      <c r="AB32" s="426">
        <v>99.549839228295824</v>
      </c>
      <c r="AC32" s="426">
        <v>99.549839228295824</v>
      </c>
      <c r="AD32" s="426">
        <v>0</v>
      </c>
      <c r="AE32" s="426">
        <v>0</v>
      </c>
      <c r="AF32" s="426">
        <v>0</v>
      </c>
      <c r="AG32" s="426">
        <v>0</v>
      </c>
      <c r="AH32" s="426">
        <v>0</v>
      </c>
      <c r="AI32" s="426">
        <v>0</v>
      </c>
      <c r="AJ32" s="426">
        <v>0</v>
      </c>
      <c r="AK32" s="426">
        <v>0</v>
      </c>
      <c r="AL32" s="426">
        <v>0</v>
      </c>
      <c r="AM32" s="427">
        <v>0</v>
      </c>
      <c r="AN32" s="427">
        <v>0</v>
      </c>
      <c r="AO32" s="427">
        <v>0</v>
      </c>
      <c r="AP32" s="427">
        <v>0</v>
      </c>
      <c r="AQ32" s="427">
        <v>0</v>
      </c>
      <c r="AR32" s="427">
        <v>0</v>
      </c>
      <c r="AS32" s="427">
        <v>962191.63987138274</v>
      </c>
      <c r="AT32" s="427">
        <v>962191.63987138274</v>
      </c>
      <c r="AU32" s="427">
        <v>962191.63987138274</v>
      </c>
      <c r="AV32" s="427">
        <v>962191.63987138274</v>
      </c>
      <c r="AW32" s="427">
        <v>962191.63987138274</v>
      </c>
      <c r="AX32" s="427">
        <v>962191.63987138274</v>
      </c>
      <c r="AY32" s="427">
        <v>962191.63987138274</v>
      </c>
      <c r="AZ32" s="427">
        <v>962191.63987138274</v>
      </c>
      <c r="BA32" s="427">
        <v>962191.63987138274</v>
      </c>
      <c r="BB32" s="427">
        <v>962191.63987138274</v>
      </c>
      <c r="BC32" s="427">
        <v>0</v>
      </c>
      <c r="BD32" s="427">
        <v>0</v>
      </c>
      <c r="BE32" s="427">
        <v>0</v>
      </c>
      <c r="BF32" s="427">
        <v>0</v>
      </c>
      <c r="BG32" s="427">
        <v>0</v>
      </c>
      <c r="BH32" s="427">
        <v>0</v>
      </c>
      <c r="BI32" s="427">
        <v>0</v>
      </c>
      <c r="BJ32" s="427">
        <v>0</v>
      </c>
      <c r="BK32" s="427">
        <v>0</v>
      </c>
      <c r="BL32" s="427">
        <v>0</v>
      </c>
      <c r="BM32" s="427">
        <v>0</v>
      </c>
      <c r="BN32" s="427">
        <v>0</v>
      </c>
      <c r="BO32" s="427">
        <v>0</v>
      </c>
      <c r="BP32" s="427">
        <v>0</v>
      </c>
      <c r="BQ32" s="427">
        <v>0</v>
      </c>
      <c r="BR32" s="427">
        <v>0</v>
      </c>
      <c r="BS32" s="427">
        <v>0</v>
      </c>
      <c r="BT32" s="427">
        <v>0</v>
      </c>
      <c r="BU32" s="427">
        <v>0</v>
      </c>
      <c r="BV32" s="427">
        <v>0</v>
      </c>
      <c r="BW32" s="427">
        <v>0</v>
      </c>
      <c r="BX32" s="427">
        <v>0</v>
      </c>
      <c r="BY32" s="427">
        <v>0</v>
      </c>
      <c r="BZ32" s="427">
        <v>0</v>
      </c>
      <c r="CA32" s="427">
        <v>0</v>
      </c>
      <c r="CB32" s="427">
        <v>0</v>
      </c>
      <c r="CC32" s="427">
        <v>0</v>
      </c>
      <c r="CD32" s="427">
        <v>0</v>
      </c>
      <c r="CE32" s="427">
        <v>0</v>
      </c>
      <c r="CF32" s="427">
        <v>0</v>
      </c>
      <c r="CG32" s="427">
        <v>0</v>
      </c>
      <c r="CH32" s="427">
        <v>0</v>
      </c>
      <c r="CI32" s="427">
        <v>0</v>
      </c>
      <c r="CJ32" s="427">
        <v>0</v>
      </c>
      <c r="CK32" s="428">
        <v>0</v>
      </c>
      <c r="CL32" s="428">
        <v>0</v>
      </c>
      <c r="CM32" s="428">
        <v>0</v>
      </c>
      <c r="CN32" s="428">
        <v>0</v>
      </c>
      <c r="CO32" s="428">
        <v>0</v>
      </c>
      <c r="CP32" s="428">
        <v>0</v>
      </c>
      <c r="CQ32" s="428">
        <v>0</v>
      </c>
      <c r="CR32" s="428">
        <v>0</v>
      </c>
      <c r="CS32" s="428">
        <v>0</v>
      </c>
      <c r="CT32" s="428">
        <v>0</v>
      </c>
      <c r="CU32" s="428">
        <v>0</v>
      </c>
      <c r="CV32" s="428">
        <v>0</v>
      </c>
      <c r="CW32" s="428">
        <v>0</v>
      </c>
      <c r="CX32" s="428"/>
      <c r="CY32" s="428"/>
      <c r="CZ32" s="428"/>
      <c r="DA32" s="428"/>
      <c r="DB32" s="428"/>
      <c r="DC32" s="428"/>
      <c r="DD32" s="428"/>
      <c r="DE32" s="428"/>
      <c r="DF32" s="428"/>
      <c r="DG32" s="428"/>
      <c r="DH32" s="428"/>
      <c r="DI32" s="428"/>
    </row>
    <row r="33" spans="1:113" s="388" customFormat="1">
      <c r="A33" s="421" t="s">
        <v>370</v>
      </c>
      <c r="B33" s="421" t="s">
        <v>12</v>
      </c>
      <c r="C33" s="421" t="s">
        <v>388</v>
      </c>
      <c r="D33" s="422" t="s">
        <v>376</v>
      </c>
      <c r="E33" s="422">
        <v>2015</v>
      </c>
      <c r="F33" s="423">
        <v>20.941999999999997</v>
      </c>
      <c r="G33" s="424">
        <v>121075.15853658537</v>
      </c>
      <c r="H33" s="422">
        <v>16</v>
      </c>
      <c r="I33" s="425">
        <v>0.65600000000000003</v>
      </c>
      <c r="J33" s="425">
        <v>0.65</v>
      </c>
      <c r="K33" s="422">
        <v>0</v>
      </c>
      <c r="L33" s="422">
        <v>0</v>
      </c>
      <c r="M33" s="422">
        <v>0</v>
      </c>
      <c r="N33" s="426">
        <v>0</v>
      </c>
      <c r="O33" s="426">
        <v>0</v>
      </c>
      <c r="P33" s="426">
        <v>0</v>
      </c>
      <c r="Q33" s="426">
        <v>0</v>
      </c>
      <c r="R33" s="426">
        <v>0</v>
      </c>
      <c r="S33" s="426">
        <v>0</v>
      </c>
      <c r="T33" s="426">
        <v>0</v>
      </c>
      <c r="U33" s="426">
        <v>0</v>
      </c>
      <c r="V33" s="426">
        <v>0</v>
      </c>
      <c r="W33" s="426">
        <v>0</v>
      </c>
      <c r="X33" s="426">
        <v>0</v>
      </c>
      <c r="Y33" s="426">
        <v>0</v>
      </c>
      <c r="Z33" s="426">
        <v>0</v>
      </c>
      <c r="AA33" s="426">
        <v>0</v>
      </c>
      <c r="AB33" s="426">
        <v>0</v>
      </c>
      <c r="AC33" s="426">
        <v>0</v>
      </c>
      <c r="AD33" s="426">
        <v>0</v>
      </c>
      <c r="AE33" s="426">
        <v>0</v>
      </c>
      <c r="AF33" s="426">
        <v>0</v>
      </c>
      <c r="AG33" s="426">
        <v>0</v>
      </c>
      <c r="AH33" s="426">
        <v>0</v>
      </c>
      <c r="AI33" s="426">
        <v>0</v>
      </c>
      <c r="AJ33" s="426">
        <v>0</v>
      </c>
      <c r="AK33" s="426">
        <v>0</v>
      </c>
      <c r="AL33" s="426">
        <v>0</v>
      </c>
      <c r="AM33" s="427">
        <v>0</v>
      </c>
      <c r="AN33" s="427">
        <v>0</v>
      </c>
      <c r="AO33" s="427">
        <v>0</v>
      </c>
      <c r="AP33" s="427">
        <v>0</v>
      </c>
      <c r="AQ33" s="427">
        <v>0</v>
      </c>
      <c r="AR33" s="427">
        <v>0</v>
      </c>
      <c r="AS33" s="427">
        <v>0</v>
      </c>
      <c r="AT33" s="427">
        <v>0</v>
      </c>
      <c r="AU33" s="427">
        <v>0</v>
      </c>
      <c r="AV33" s="427">
        <v>0</v>
      </c>
      <c r="AW33" s="427">
        <v>0</v>
      </c>
      <c r="AX33" s="427">
        <v>0</v>
      </c>
      <c r="AY33" s="427">
        <v>0</v>
      </c>
      <c r="AZ33" s="427">
        <v>0</v>
      </c>
      <c r="BA33" s="427">
        <v>0</v>
      </c>
      <c r="BB33" s="427">
        <v>0</v>
      </c>
      <c r="BC33" s="427">
        <v>0</v>
      </c>
      <c r="BD33" s="427">
        <v>0</v>
      </c>
      <c r="BE33" s="427">
        <v>0</v>
      </c>
      <c r="BF33" s="427">
        <v>0</v>
      </c>
      <c r="BG33" s="427">
        <v>0</v>
      </c>
      <c r="BH33" s="427">
        <v>0</v>
      </c>
      <c r="BI33" s="427">
        <v>0</v>
      </c>
      <c r="BJ33" s="427">
        <v>0</v>
      </c>
      <c r="BK33" s="427">
        <v>0</v>
      </c>
      <c r="BL33" s="427">
        <v>0</v>
      </c>
      <c r="BM33" s="427">
        <v>0</v>
      </c>
      <c r="BN33" s="427">
        <v>0</v>
      </c>
      <c r="BO33" s="427">
        <v>0</v>
      </c>
      <c r="BP33" s="427">
        <v>0</v>
      </c>
      <c r="BQ33" s="427">
        <v>0</v>
      </c>
      <c r="BR33" s="427">
        <v>0</v>
      </c>
      <c r="BS33" s="427">
        <v>0</v>
      </c>
      <c r="BT33" s="427">
        <v>0</v>
      </c>
      <c r="BU33" s="427">
        <v>0</v>
      </c>
      <c r="BV33" s="427">
        <v>0</v>
      </c>
      <c r="BW33" s="427">
        <v>0</v>
      </c>
      <c r="BX33" s="427">
        <v>0</v>
      </c>
      <c r="BY33" s="427">
        <v>0</v>
      </c>
      <c r="BZ33" s="427">
        <v>0</v>
      </c>
      <c r="CA33" s="427">
        <v>0</v>
      </c>
      <c r="CB33" s="427">
        <v>0</v>
      </c>
      <c r="CC33" s="427">
        <v>0</v>
      </c>
      <c r="CD33" s="427">
        <v>0</v>
      </c>
      <c r="CE33" s="427">
        <v>0</v>
      </c>
      <c r="CF33" s="427">
        <v>0</v>
      </c>
      <c r="CG33" s="427">
        <v>0</v>
      </c>
      <c r="CH33" s="427">
        <v>0</v>
      </c>
      <c r="CI33" s="427">
        <v>0</v>
      </c>
      <c r="CJ33" s="427">
        <v>0</v>
      </c>
      <c r="CK33" s="428">
        <v>0</v>
      </c>
      <c r="CL33" s="428">
        <v>0</v>
      </c>
      <c r="CM33" s="428">
        <v>0</v>
      </c>
      <c r="CN33" s="428">
        <v>0</v>
      </c>
      <c r="CO33" s="428">
        <v>0</v>
      </c>
      <c r="CP33" s="428">
        <v>0</v>
      </c>
      <c r="CQ33" s="428">
        <v>0</v>
      </c>
      <c r="CR33" s="428">
        <v>0</v>
      </c>
      <c r="CS33" s="428">
        <v>0</v>
      </c>
      <c r="CT33" s="428">
        <v>0</v>
      </c>
      <c r="CU33" s="428">
        <v>0</v>
      </c>
      <c r="CV33" s="428">
        <v>0</v>
      </c>
      <c r="CW33" s="428">
        <v>0</v>
      </c>
      <c r="CX33" s="428"/>
      <c r="CY33" s="428"/>
      <c r="CZ33" s="428"/>
      <c r="DA33" s="428"/>
      <c r="DB33" s="428"/>
      <c r="DC33" s="428"/>
      <c r="DD33" s="428"/>
      <c r="DE33" s="428"/>
      <c r="DF33" s="428"/>
      <c r="DG33" s="428"/>
      <c r="DH33" s="428"/>
      <c r="DI33" s="428"/>
    </row>
    <row r="34" spans="1:113" s="388" customFormat="1">
      <c r="A34" s="421" t="s">
        <v>370</v>
      </c>
      <c r="B34" s="421" t="s">
        <v>12</v>
      </c>
      <c r="C34" s="421" t="s">
        <v>388</v>
      </c>
      <c r="D34" s="422" t="s">
        <v>376</v>
      </c>
      <c r="E34" s="422">
        <v>2016</v>
      </c>
      <c r="F34" s="423">
        <v>20.941999999999997</v>
      </c>
      <c r="G34" s="424">
        <v>121075.15853658537</v>
      </c>
      <c r="H34" s="422">
        <v>16</v>
      </c>
      <c r="I34" s="425">
        <v>0.65600000000000003</v>
      </c>
      <c r="J34" s="425">
        <v>0.65</v>
      </c>
      <c r="K34" s="422">
        <v>0</v>
      </c>
      <c r="L34" s="422">
        <v>0</v>
      </c>
      <c r="M34" s="422">
        <v>0</v>
      </c>
      <c r="N34" s="426">
        <v>8</v>
      </c>
      <c r="O34" s="426">
        <v>0</v>
      </c>
      <c r="P34" s="426">
        <v>116.71854233654875</v>
      </c>
      <c r="Q34" s="426">
        <v>116.71854233654875</v>
      </c>
      <c r="R34" s="426">
        <v>116.71854233654875</v>
      </c>
      <c r="S34" s="426">
        <v>116.71854233654875</v>
      </c>
      <c r="T34" s="426">
        <v>116.71854233654875</v>
      </c>
      <c r="U34" s="426">
        <v>116.71854233654875</v>
      </c>
      <c r="V34" s="426">
        <v>116.71854233654875</v>
      </c>
      <c r="W34" s="426">
        <v>116.71854233654875</v>
      </c>
      <c r="X34" s="426">
        <v>116.71854233654875</v>
      </c>
      <c r="Y34" s="426">
        <v>116.71854233654875</v>
      </c>
      <c r="Z34" s="426">
        <v>116.71854233654875</v>
      </c>
      <c r="AA34" s="426">
        <v>116.71854233654875</v>
      </c>
      <c r="AB34" s="426">
        <v>116.71854233654875</v>
      </c>
      <c r="AC34" s="426">
        <v>116.71854233654875</v>
      </c>
      <c r="AD34" s="426">
        <v>116.71854233654875</v>
      </c>
      <c r="AE34" s="426">
        <v>116.71854233654875</v>
      </c>
      <c r="AF34" s="426">
        <v>0</v>
      </c>
      <c r="AG34" s="426">
        <v>0</v>
      </c>
      <c r="AH34" s="426">
        <v>0</v>
      </c>
      <c r="AI34" s="426">
        <v>0</v>
      </c>
      <c r="AJ34" s="426">
        <v>0</v>
      </c>
      <c r="AK34" s="426">
        <v>0</v>
      </c>
      <c r="AL34" s="426">
        <v>0</v>
      </c>
      <c r="AM34" s="427">
        <v>0</v>
      </c>
      <c r="AN34" s="427">
        <v>0</v>
      </c>
      <c r="AO34" s="427">
        <v>681031.54555198294</v>
      </c>
      <c r="AP34" s="427">
        <v>681031.54555198294</v>
      </c>
      <c r="AQ34" s="427">
        <v>681031.54555198294</v>
      </c>
      <c r="AR34" s="427">
        <v>681031.54555198294</v>
      </c>
      <c r="AS34" s="427">
        <v>681031.54555198294</v>
      </c>
      <c r="AT34" s="427">
        <v>681031.54555198294</v>
      </c>
      <c r="AU34" s="427">
        <v>681031.54555198294</v>
      </c>
      <c r="AV34" s="427">
        <v>681031.54555198294</v>
      </c>
      <c r="AW34" s="427">
        <v>681031.54555198294</v>
      </c>
      <c r="AX34" s="427">
        <v>681031.54555198294</v>
      </c>
      <c r="AY34" s="427">
        <v>681031.54555198294</v>
      </c>
      <c r="AZ34" s="427">
        <v>681031.54555198294</v>
      </c>
      <c r="BA34" s="427">
        <v>681031.54555198294</v>
      </c>
      <c r="BB34" s="427">
        <v>681031.54555198294</v>
      </c>
      <c r="BC34" s="427">
        <v>681031.54555198294</v>
      </c>
      <c r="BD34" s="427">
        <v>681031.54555198294</v>
      </c>
      <c r="BE34" s="427">
        <v>0</v>
      </c>
      <c r="BF34" s="427">
        <v>0</v>
      </c>
      <c r="BG34" s="427">
        <v>0</v>
      </c>
      <c r="BH34" s="427">
        <v>0</v>
      </c>
      <c r="BI34" s="427">
        <v>0</v>
      </c>
      <c r="BJ34" s="427">
        <v>0</v>
      </c>
      <c r="BK34" s="427">
        <v>0</v>
      </c>
      <c r="BL34" s="427">
        <v>0</v>
      </c>
      <c r="BM34" s="427">
        <v>0</v>
      </c>
      <c r="BN34" s="427">
        <v>0</v>
      </c>
      <c r="BO34" s="427">
        <v>0</v>
      </c>
      <c r="BP34" s="427">
        <v>0</v>
      </c>
      <c r="BQ34" s="427">
        <v>0</v>
      </c>
      <c r="BR34" s="427">
        <v>0</v>
      </c>
      <c r="BS34" s="427">
        <v>0</v>
      </c>
      <c r="BT34" s="427">
        <v>0</v>
      </c>
      <c r="BU34" s="427">
        <v>0</v>
      </c>
      <c r="BV34" s="427">
        <v>0</v>
      </c>
      <c r="BW34" s="427">
        <v>0</v>
      </c>
      <c r="BX34" s="427">
        <v>0</v>
      </c>
      <c r="BY34" s="427">
        <v>0</v>
      </c>
      <c r="BZ34" s="427">
        <v>0</v>
      </c>
      <c r="CA34" s="427">
        <v>0</v>
      </c>
      <c r="CB34" s="427">
        <v>0</v>
      </c>
      <c r="CC34" s="427">
        <v>0</v>
      </c>
      <c r="CD34" s="427">
        <v>0</v>
      </c>
      <c r="CE34" s="427">
        <v>0</v>
      </c>
      <c r="CF34" s="427">
        <v>0</v>
      </c>
      <c r="CG34" s="427">
        <v>0</v>
      </c>
      <c r="CH34" s="427">
        <v>0</v>
      </c>
      <c r="CI34" s="427">
        <v>0</v>
      </c>
      <c r="CJ34" s="427">
        <v>0</v>
      </c>
      <c r="CK34" s="428">
        <v>0</v>
      </c>
      <c r="CL34" s="428">
        <v>0</v>
      </c>
      <c r="CM34" s="428">
        <v>0</v>
      </c>
      <c r="CN34" s="428">
        <v>0</v>
      </c>
      <c r="CO34" s="428">
        <v>0</v>
      </c>
      <c r="CP34" s="428">
        <v>0</v>
      </c>
      <c r="CQ34" s="428">
        <v>0</v>
      </c>
      <c r="CR34" s="428">
        <v>0</v>
      </c>
      <c r="CS34" s="428">
        <v>0</v>
      </c>
      <c r="CT34" s="428">
        <v>0</v>
      </c>
      <c r="CU34" s="428">
        <v>0</v>
      </c>
      <c r="CV34" s="428">
        <v>0</v>
      </c>
      <c r="CW34" s="428">
        <v>0</v>
      </c>
      <c r="CX34" s="428"/>
      <c r="CY34" s="428"/>
      <c r="CZ34" s="428"/>
      <c r="DA34" s="428"/>
      <c r="DB34" s="428"/>
      <c r="DC34" s="428"/>
      <c r="DD34" s="428"/>
      <c r="DE34" s="428"/>
      <c r="DF34" s="428"/>
      <c r="DG34" s="428"/>
      <c r="DH34" s="428"/>
      <c r="DI34" s="428"/>
    </row>
    <row r="35" spans="1:113" s="388" customFormat="1">
      <c r="A35" s="421" t="s">
        <v>370</v>
      </c>
      <c r="B35" s="421" t="s">
        <v>12</v>
      </c>
      <c r="C35" s="421" t="s">
        <v>388</v>
      </c>
      <c r="D35" s="422" t="s">
        <v>376</v>
      </c>
      <c r="E35" s="422">
        <v>2017</v>
      </c>
      <c r="F35" s="423">
        <v>20.941999999999997</v>
      </c>
      <c r="G35" s="424">
        <v>121075.15853658537</v>
      </c>
      <c r="H35" s="422">
        <v>16</v>
      </c>
      <c r="I35" s="425">
        <v>0.65600000000000003</v>
      </c>
      <c r="J35" s="425">
        <v>0.65</v>
      </c>
      <c r="K35" s="422">
        <v>0</v>
      </c>
      <c r="L35" s="422">
        <v>0</v>
      </c>
      <c r="M35" s="422">
        <v>0</v>
      </c>
      <c r="N35" s="426">
        <v>10</v>
      </c>
      <c r="O35" s="426">
        <v>0</v>
      </c>
      <c r="P35" s="426">
        <v>0</v>
      </c>
      <c r="Q35" s="426">
        <v>145.89817792068595</v>
      </c>
      <c r="R35" s="426">
        <v>145.89817792068595</v>
      </c>
      <c r="S35" s="426">
        <v>145.89817792068595</v>
      </c>
      <c r="T35" s="426">
        <v>145.89817792068595</v>
      </c>
      <c r="U35" s="426">
        <v>145.89817792068595</v>
      </c>
      <c r="V35" s="426">
        <v>145.89817792068595</v>
      </c>
      <c r="W35" s="426">
        <v>145.89817792068595</v>
      </c>
      <c r="X35" s="426">
        <v>145.89817792068595</v>
      </c>
      <c r="Y35" s="426">
        <v>145.89817792068595</v>
      </c>
      <c r="Z35" s="426">
        <v>145.89817792068595</v>
      </c>
      <c r="AA35" s="426">
        <v>145.89817792068595</v>
      </c>
      <c r="AB35" s="426">
        <v>145.89817792068595</v>
      </c>
      <c r="AC35" s="426">
        <v>145.89817792068595</v>
      </c>
      <c r="AD35" s="426">
        <v>145.89817792068595</v>
      </c>
      <c r="AE35" s="426">
        <v>145.89817792068595</v>
      </c>
      <c r="AF35" s="426">
        <v>145.89817792068595</v>
      </c>
      <c r="AG35" s="426">
        <v>0</v>
      </c>
      <c r="AH35" s="426">
        <v>0</v>
      </c>
      <c r="AI35" s="426">
        <v>0</v>
      </c>
      <c r="AJ35" s="426">
        <v>0</v>
      </c>
      <c r="AK35" s="426">
        <v>0</v>
      </c>
      <c r="AL35" s="426">
        <v>0</v>
      </c>
      <c r="AM35" s="427">
        <v>0</v>
      </c>
      <c r="AN35" s="427">
        <v>0</v>
      </c>
      <c r="AO35" s="427">
        <v>0</v>
      </c>
      <c r="AP35" s="427">
        <v>851289.43193997862</v>
      </c>
      <c r="AQ35" s="427">
        <v>851289.43193997862</v>
      </c>
      <c r="AR35" s="427">
        <v>851289.43193997862</v>
      </c>
      <c r="AS35" s="427">
        <v>851289.43193997862</v>
      </c>
      <c r="AT35" s="427">
        <v>851289.43193997862</v>
      </c>
      <c r="AU35" s="427">
        <v>851289.43193997862</v>
      </c>
      <c r="AV35" s="427">
        <v>851289.43193997862</v>
      </c>
      <c r="AW35" s="427">
        <v>851289.43193997862</v>
      </c>
      <c r="AX35" s="427">
        <v>851289.43193997862</v>
      </c>
      <c r="AY35" s="427">
        <v>851289.43193997862</v>
      </c>
      <c r="AZ35" s="427">
        <v>851289.43193997862</v>
      </c>
      <c r="BA35" s="427">
        <v>851289.43193997862</v>
      </c>
      <c r="BB35" s="427">
        <v>851289.43193997862</v>
      </c>
      <c r="BC35" s="427">
        <v>851289.43193997862</v>
      </c>
      <c r="BD35" s="427">
        <v>851289.43193997862</v>
      </c>
      <c r="BE35" s="427">
        <v>851289.43193997862</v>
      </c>
      <c r="BF35" s="427">
        <v>0</v>
      </c>
      <c r="BG35" s="427">
        <v>0</v>
      </c>
      <c r="BH35" s="427">
        <v>0</v>
      </c>
      <c r="BI35" s="427">
        <v>0</v>
      </c>
      <c r="BJ35" s="427">
        <v>0</v>
      </c>
      <c r="BK35" s="427">
        <v>0</v>
      </c>
      <c r="BL35" s="427">
        <v>0</v>
      </c>
      <c r="BM35" s="427">
        <v>0</v>
      </c>
      <c r="BN35" s="427">
        <v>0</v>
      </c>
      <c r="BO35" s="427">
        <v>0</v>
      </c>
      <c r="BP35" s="427">
        <v>0</v>
      </c>
      <c r="BQ35" s="427">
        <v>0</v>
      </c>
      <c r="BR35" s="427">
        <v>0</v>
      </c>
      <c r="BS35" s="427">
        <v>0</v>
      </c>
      <c r="BT35" s="427">
        <v>0</v>
      </c>
      <c r="BU35" s="427">
        <v>0</v>
      </c>
      <c r="BV35" s="427">
        <v>0</v>
      </c>
      <c r="BW35" s="427">
        <v>0</v>
      </c>
      <c r="BX35" s="427">
        <v>0</v>
      </c>
      <c r="BY35" s="427">
        <v>0</v>
      </c>
      <c r="BZ35" s="427">
        <v>0</v>
      </c>
      <c r="CA35" s="427">
        <v>0</v>
      </c>
      <c r="CB35" s="427">
        <v>0</v>
      </c>
      <c r="CC35" s="427">
        <v>0</v>
      </c>
      <c r="CD35" s="427">
        <v>0</v>
      </c>
      <c r="CE35" s="427">
        <v>0</v>
      </c>
      <c r="CF35" s="427">
        <v>0</v>
      </c>
      <c r="CG35" s="427">
        <v>0</v>
      </c>
      <c r="CH35" s="427">
        <v>0</v>
      </c>
      <c r="CI35" s="427">
        <v>0</v>
      </c>
      <c r="CJ35" s="427">
        <v>0</v>
      </c>
      <c r="CK35" s="428">
        <v>0</v>
      </c>
      <c r="CL35" s="428">
        <v>0</v>
      </c>
      <c r="CM35" s="428">
        <v>0</v>
      </c>
      <c r="CN35" s="428">
        <v>0</v>
      </c>
      <c r="CO35" s="428">
        <v>0</v>
      </c>
      <c r="CP35" s="428">
        <v>0</v>
      </c>
      <c r="CQ35" s="428">
        <v>0</v>
      </c>
      <c r="CR35" s="428">
        <v>0</v>
      </c>
      <c r="CS35" s="428">
        <v>0</v>
      </c>
      <c r="CT35" s="428">
        <v>0</v>
      </c>
      <c r="CU35" s="428">
        <v>0</v>
      </c>
      <c r="CV35" s="428">
        <v>0</v>
      </c>
      <c r="CW35" s="428">
        <v>0</v>
      </c>
      <c r="CX35" s="428"/>
      <c r="CY35" s="428"/>
      <c r="CZ35" s="428"/>
      <c r="DA35" s="428"/>
      <c r="DB35" s="428"/>
      <c r="DC35" s="428"/>
      <c r="DD35" s="428"/>
      <c r="DE35" s="428"/>
      <c r="DF35" s="428"/>
      <c r="DG35" s="428"/>
      <c r="DH35" s="428"/>
      <c r="DI35" s="428"/>
    </row>
    <row r="36" spans="1:113" s="388" customFormat="1">
      <c r="A36" s="421" t="s">
        <v>370</v>
      </c>
      <c r="B36" s="421" t="s">
        <v>12</v>
      </c>
      <c r="C36" s="421" t="s">
        <v>388</v>
      </c>
      <c r="D36" s="422" t="s">
        <v>376</v>
      </c>
      <c r="E36" s="422">
        <v>2018</v>
      </c>
      <c r="F36" s="423">
        <v>20.941999999999997</v>
      </c>
      <c r="G36" s="424">
        <v>121075.15853658537</v>
      </c>
      <c r="H36" s="422">
        <v>16</v>
      </c>
      <c r="I36" s="425">
        <v>0.65600000000000003</v>
      </c>
      <c r="J36" s="425">
        <v>0.65</v>
      </c>
      <c r="K36" s="422">
        <v>0</v>
      </c>
      <c r="L36" s="422">
        <v>0</v>
      </c>
      <c r="M36" s="422">
        <v>0</v>
      </c>
      <c r="N36" s="426">
        <v>12</v>
      </c>
      <c r="O36" s="426">
        <v>0</v>
      </c>
      <c r="P36" s="426">
        <v>0</v>
      </c>
      <c r="Q36" s="426">
        <v>0</v>
      </c>
      <c r="R36" s="426">
        <v>175.07781350482313</v>
      </c>
      <c r="S36" s="426">
        <v>175.07781350482313</v>
      </c>
      <c r="T36" s="426">
        <v>175.07781350482313</v>
      </c>
      <c r="U36" s="426">
        <v>175.07781350482313</v>
      </c>
      <c r="V36" s="426">
        <v>175.07781350482313</v>
      </c>
      <c r="W36" s="426">
        <v>175.07781350482313</v>
      </c>
      <c r="X36" s="426">
        <v>175.07781350482313</v>
      </c>
      <c r="Y36" s="426">
        <v>175.07781350482313</v>
      </c>
      <c r="Z36" s="426">
        <v>175.07781350482313</v>
      </c>
      <c r="AA36" s="426">
        <v>175.07781350482313</v>
      </c>
      <c r="AB36" s="426">
        <v>175.07781350482313</v>
      </c>
      <c r="AC36" s="426">
        <v>175.07781350482313</v>
      </c>
      <c r="AD36" s="426">
        <v>175.07781350482313</v>
      </c>
      <c r="AE36" s="426">
        <v>175.07781350482313</v>
      </c>
      <c r="AF36" s="426">
        <v>175.07781350482313</v>
      </c>
      <c r="AG36" s="426">
        <v>175.07781350482313</v>
      </c>
      <c r="AH36" s="426">
        <v>0</v>
      </c>
      <c r="AI36" s="426">
        <v>0</v>
      </c>
      <c r="AJ36" s="426">
        <v>0</v>
      </c>
      <c r="AK36" s="426">
        <v>0</v>
      </c>
      <c r="AL36" s="426">
        <v>0</v>
      </c>
      <c r="AM36" s="427">
        <v>0</v>
      </c>
      <c r="AN36" s="427">
        <v>0</v>
      </c>
      <c r="AO36" s="427">
        <v>0</v>
      </c>
      <c r="AP36" s="427">
        <v>0</v>
      </c>
      <c r="AQ36" s="427">
        <v>1021547.3183279743</v>
      </c>
      <c r="AR36" s="427">
        <v>1021547.3183279743</v>
      </c>
      <c r="AS36" s="427">
        <v>1021547.3183279743</v>
      </c>
      <c r="AT36" s="427">
        <v>1021547.3183279743</v>
      </c>
      <c r="AU36" s="427">
        <v>1021547.3183279743</v>
      </c>
      <c r="AV36" s="427">
        <v>1021547.3183279743</v>
      </c>
      <c r="AW36" s="427">
        <v>1021547.3183279743</v>
      </c>
      <c r="AX36" s="427">
        <v>1021547.3183279743</v>
      </c>
      <c r="AY36" s="427">
        <v>1021547.3183279743</v>
      </c>
      <c r="AZ36" s="427">
        <v>1021547.3183279743</v>
      </c>
      <c r="BA36" s="427">
        <v>1021547.3183279743</v>
      </c>
      <c r="BB36" s="427">
        <v>1021547.3183279743</v>
      </c>
      <c r="BC36" s="427">
        <v>1021547.3183279743</v>
      </c>
      <c r="BD36" s="427">
        <v>1021547.3183279743</v>
      </c>
      <c r="BE36" s="427">
        <v>1021547.3183279743</v>
      </c>
      <c r="BF36" s="427">
        <v>1021547.3183279743</v>
      </c>
      <c r="BG36" s="427">
        <v>0</v>
      </c>
      <c r="BH36" s="427">
        <v>0</v>
      </c>
      <c r="BI36" s="427">
        <v>0</v>
      </c>
      <c r="BJ36" s="427">
        <v>0</v>
      </c>
      <c r="BK36" s="427">
        <v>0</v>
      </c>
      <c r="BL36" s="427">
        <v>0</v>
      </c>
      <c r="BM36" s="427">
        <v>0</v>
      </c>
      <c r="BN36" s="427">
        <v>0</v>
      </c>
      <c r="BO36" s="427">
        <v>0</v>
      </c>
      <c r="BP36" s="427">
        <v>0</v>
      </c>
      <c r="BQ36" s="427">
        <v>0</v>
      </c>
      <c r="BR36" s="427">
        <v>0</v>
      </c>
      <c r="BS36" s="427">
        <v>0</v>
      </c>
      <c r="BT36" s="427">
        <v>0</v>
      </c>
      <c r="BU36" s="427">
        <v>0</v>
      </c>
      <c r="BV36" s="427">
        <v>0</v>
      </c>
      <c r="BW36" s="427">
        <v>0</v>
      </c>
      <c r="BX36" s="427">
        <v>0</v>
      </c>
      <c r="BY36" s="427">
        <v>0</v>
      </c>
      <c r="BZ36" s="427">
        <v>0</v>
      </c>
      <c r="CA36" s="427">
        <v>0</v>
      </c>
      <c r="CB36" s="427">
        <v>0</v>
      </c>
      <c r="CC36" s="427">
        <v>0</v>
      </c>
      <c r="CD36" s="427">
        <v>0</v>
      </c>
      <c r="CE36" s="427">
        <v>0</v>
      </c>
      <c r="CF36" s="427">
        <v>0</v>
      </c>
      <c r="CG36" s="427">
        <v>0</v>
      </c>
      <c r="CH36" s="427">
        <v>0</v>
      </c>
      <c r="CI36" s="427">
        <v>0</v>
      </c>
      <c r="CJ36" s="427">
        <v>0</v>
      </c>
      <c r="CK36" s="428">
        <v>0</v>
      </c>
      <c r="CL36" s="428">
        <v>0</v>
      </c>
      <c r="CM36" s="428">
        <v>0</v>
      </c>
      <c r="CN36" s="428">
        <v>0</v>
      </c>
      <c r="CO36" s="428">
        <v>0</v>
      </c>
      <c r="CP36" s="428">
        <v>0</v>
      </c>
      <c r="CQ36" s="428">
        <v>0</v>
      </c>
      <c r="CR36" s="428">
        <v>0</v>
      </c>
      <c r="CS36" s="428">
        <v>0</v>
      </c>
      <c r="CT36" s="428">
        <v>0</v>
      </c>
      <c r="CU36" s="428">
        <v>0</v>
      </c>
      <c r="CV36" s="428">
        <v>0</v>
      </c>
      <c r="CW36" s="428">
        <v>0</v>
      </c>
      <c r="CX36" s="428"/>
      <c r="CY36" s="428"/>
      <c r="CZ36" s="428"/>
      <c r="DA36" s="428"/>
      <c r="DB36" s="428"/>
      <c r="DC36" s="428"/>
      <c r="DD36" s="428"/>
      <c r="DE36" s="428"/>
      <c r="DF36" s="428"/>
      <c r="DG36" s="428"/>
      <c r="DH36" s="428"/>
      <c r="DI36" s="428"/>
    </row>
    <row r="37" spans="1:113" s="388" customFormat="1">
      <c r="A37" s="421" t="s">
        <v>370</v>
      </c>
      <c r="B37" s="421" t="s">
        <v>12</v>
      </c>
      <c r="C37" s="421" t="s">
        <v>388</v>
      </c>
      <c r="D37" s="422" t="s">
        <v>376</v>
      </c>
      <c r="E37" s="422">
        <v>2019</v>
      </c>
      <c r="F37" s="423">
        <v>20.941999999999997</v>
      </c>
      <c r="G37" s="424">
        <v>121075.15853658537</v>
      </c>
      <c r="H37" s="422">
        <v>16</v>
      </c>
      <c r="I37" s="425">
        <v>0.65600000000000003</v>
      </c>
      <c r="J37" s="425">
        <v>0.65</v>
      </c>
      <c r="K37" s="422">
        <v>0</v>
      </c>
      <c r="L37" s="422">
        <v>0</v>
      </c>
      <c r="M37" s="422">
        <v>0</v>
      </c>
      <c r="N37" s="426">
        <v>14</v>
      </c>
      <c r="O37" s="426">
        <v>0</v>
      </c>
      <c r="P37" s="426">
        <v>0</v>
      </c>
      <c r="Q37" s="426">
        <v>0</v>
      </c>
      <c r="R37" s="426">
        <v>0</v>
      </c>
      <c r="S37" s="426">
        <v>204.2574490889603</v>
      </c>
      <c r="T37" s="426">
        <v>204.2574490889603</v>
      </c>
      <c r="U37" s="426">
        <v>204.2574490889603</v>
      </c>
      <c r="V37" s="426">
        <v>204.2574490889603</v>
      </c>
      <c r="W37" s="426">
        <v>204.2574490889603</v>
      </c>
      <c r="X37" s="426">
        <v>204.2574490889603</v>
      </c>
      <c r="Y37" s="426">
        <v>204.2574490889603</v>
      </c>
      <c r="Z37" s="426">
        <v>204.2574490889603</v>
      </c>
      <c r="AA37" s="426">
        <v>204.2574490889603</v>
      </c>
      <c r="AB37" s="426">
        <v>204.2574490889603</v>
      </c>
      <c r="AC37" s="426">
        <v>204.2574490889603</v>
      </c>
      <c r="AD37" s="426">
        <v>204.2574490889603</v>
      </c>
      <c r="AE37" s="426">
        <v>204.2574490889603</v>
      </c>
      <c r="AF37" s="426">
        <v>204.2574490889603</v>
      </c>
      <c r="AG37" s="426">
        <v>204.2574490889603</v>
      </c>
      <c r="AH37" s="426">
        <v>204.2574490889603</v>
      </c>
      <c r="AI37" s="426">
        <v>0</v>
      </c>
      <c r="AJ37" s="426">
        <v>0</v>
      </c>
      <c r="AK37" s="426">
        <v>0</v>
      </c>
      <c r="AL37" s="426">
        <v>0</v>
      </c>
      <c r="AM37" s="427">
        <v>0</v>
      </c>
      <c r="AN37" s="427">
        <v>0</v>
      </c>
      <c r="AO37" s="427">
        <v>0</v>
      </c>
      <c r="AP37" s="427">
        <v>0</v>
      </c>
      <c r="AQ37" s="427">
        <v>0</v>
      </c>
      <c r="AR37" s="427">
        <v>1191805.20471597</v>
      </c>
      <c r="AS37" s="427">
        <v>1191805.20471597</v>
      </c>
      <c r="AT37" s="427">
        <v>1191805.20471597</v>
      </c>
      <c r="AU37" s="427">
        <v>1191805.20471597</v>
      </c>
      <c r="AV37" s="427">
        <v>1191805.20471597</v>
      </c>
      <c r="AW37" s="427">
        <v>1191805.20471597</v>
      </c>
      <c r="AX37" s="427">
        <v>1191805.20471597</v>
      </c>
      <c r="AY37" s="427">
        <v>1191805.20471597</v>
      </c>
      <c r="AZ37" s="427">
        <v>1191805.20471597</v>
      </c>
      <c r="BA37" s="427">
        <v>1191805.20471597</v>
      </c>
      <c r="BB37" s="427">
        <v>1191805.20471597</v>
      </c>
      <c r="BC37" s="427">
        <v>1191805.20471597</v>
      </c>
      <c r="BD37" s="427">
        <v>1191805.20471597</v>
      </c>
      <c r="BE37" s="427">
        <v>1191805.20471597</v>
      </c>
      <c r="BF37" s="427">
        <v>1191805.20471597</v>
      </c>
      <c r="BG37" s="427">
        <v>1191805.20471597</v>
      </c>
      <c r="BH37" s="427">
        <v>0</v>
      </c>
      <c r="BI37" s="427">
        <v>0</v>
      </c>
      <c r="BJ37" s="427">
        <v>0</v>
      </c>
      <c r="BK37" s="427">
        <v>0</v>
      </c>
      <c r="BL37" s="427">
        <v>0</v>
      </c>
      <c r="BM37" s="427">
        <v>0</v>
      </c>
      <c r="BN37" s="427">
        <v>0</v>
      </c>
      <c r="BO37" s="427">
        <v>0</v>
      </c>
      <c r="BP37" s="427">
        <v>0</v>
      </c>
      <c r="BQ37" s="427">
        <v>0</v>
      </c>
      <c r="BR37" s="427">
        <v>0</v>
      </c>
      <c r="BS37" s="427">
        <v>0</v>
      </c>
      <c r="BT37" s="427">
        <v>0</v>
      </c>
      <c r="BU37" s="427">
        <v>0</v>
      </c>
      <c r="BV37" s="427">
        <v>0</v>
      </c>
      <c r="BW37" s="427">
        <v>0</v>
      </c>
      <c r="BX37" s="427">
        <v>0</v>
      </c>
      <c r="BY37" s="427">
        <v>0</v>
      </c>
      <c r="BZ37" s="427">
        <v>0</v>
      </c>
      <c r="CA37" s="427">
        <v>0</v>
      </c>
      <c r="CB37" s="427">
        <v>0</v>
      </c>
      <c r="CC37" s="427">
        <v>0</v>
      </c>
      <c r="CD37" s="427">
        <v>0</v>
      </c>
      <c r="CE37" s="427">
        <v>0</v>
      </c>
      <c r="CF37" s="427">
        <v>0</v>
      </c>
      <c r="CG37" s="427">
        <v>0</v>
      </c>
      <c r="CH37" s="427">
        <v>0</v>
      </c>
      <c r="CI37" s="427">
        <v>0</v>
      </c>
      <c r="CJ37" s="427">
        <v>0</v>
      </c>
      <c r="CK37" s="428">
        <v>0</v>
      </c>
      <c r="CL37" s="428">
        <v>0</v>
      </c>
      <c r="CM37" s="428">
        <v>0</v>
      </c>
      <c r="CN37" s="428">
        <v>0</v>
      </c>
      <c r="CO37" s="428">
        <v>0</v>
      </c>
      <c r="CP37" s="428">
        <v>0</v>
      </c>
      <c r="CQ37" s="428">
        <v>0</v>
      </c>
      <c r="CR37" s="428">
        <v>0</v>
      </c>
      <c r="CS37" s="428">
        <v>0</v>
      </c>
      <c r="CT37" s="428">
        <v>0</v>
      </c>
      <c r="CU37" s="428">
        <v>0</v>
      </c>
      <c r="CV37" s="428">
        <v>0</v>
      </c>
      <c r="CW37" s="428">
        <v>0</v>
      </c>
      <c r="CX37" s="428"/>
      <c r="CY37" s="428"/>
      <c r="CZ37" s="428"/>
      <c r="DA37" s="428"/>
      <c r="DB37" s="428"/>
      <c r="DC37" s="428"/>
      <c r="DD37" s="428"/>
      <c r="DE37" s="428"/>
      <c r="DF37" s="428"/>
      <c r="DG37" s="428"/>
      <c r="DH37" s="428"/>
      <c r="DI37" s="428"/>
    </row>
    <row r="38" spans="1:113" s="388" customFormat="1">
      <c r="A38" s="421" t="s">
        <v>370</v>
      </c>
      <c r="B38" s="421" t="s">
        <v>12</v>
      </c>
      <c r="C38" s="421" t="s">
        <v>388</v>
      </c>
      <c r="D38" s="422" t="s">
        <v>376</v>
      </c>
      <c r="E38" s="422">
        <v>2020</v>
      </c>
      <c r="F38" s="423">
        <v>20.941999999999997</v>
      </c>
      <c r="G38" s="424">
        <v>121075.15853658537</v>
      </c>
      <c r="H38" s="422">
        <v>16</v>
      </c>
      <c r="I38" s="425">
        <v>0.65600000000000003</v>
      </c>
      <c r="J38" s="425">
        <v>0.65</v>
      </c>
      <c r="K38" s="422">
        <v>0</v>
      </c>
      <c r="L38" s="422">
        <v>0</v>
      </c>
      <c r="M38" s="422">
        <v>0</v>
      </c>
      <c r="N38" s="426">
        <v>16</v>
      </c>
      <c r="O38" s="426">
        <v>0</v>
      </c>
      <c r="P38" s="426">
        <v>0</v>
      </c>
      <c r="Q38" s="426">
        <v>0</v>
      </c>
      <c r="R38" s="426">
        <v>0</v>
      </c>
      <c r="S38" s="426">
        <v>0</v>
      </c>
      <c r="T38" s="426">
        <v>233.4370846730975</v>
      </c>
      <c r="U38" s="426">
        <v>233.4370846730975</v>
      </c>
      <c r="V38" s="426">
        <v>233.4370846730975</v>
      </c>
      <c r="W38" s="426">
        <v>233.4370846730975</v>
      </c>
      <c r="X38" s="426">
        <v>233.4370846730975</v>
      </c>
      <c r="Y38" s="426">
        <v>233.4370846730975</v>
      </c>
      <c r="Z38" s="426">
        <v>233.4370846730975</v>
      </c>
      <c r="AA38" s="426">
        <v>233.4370846730975</v>
      </c>
      <c r="AB38" s="426">
        <v>233.4370846730975</v>
      </c>
      <c r="AC38" s="426">
        <v>233.4370846730975</v>
      </c>
      <c r="AD38" s="426">
        <v>233.4370846730975</v>
      </c>
      <c r="AE38" s="426">
        <v>233.4370846730975</v>
      </c>
      <c r="AF38" s="426">
        <v>233.4370846730975</v>
      </c>
      <c r="AG38" s="426">
        <v>233.4370846730975</v>
      </c>
      <c r="AH38" s="426">
        <v>233.4370846730975</v>
      </c>
      <c r="AI38" s="426">
        <v>233.4370846730975</v>
      </c>
      <c r="AJ38" s="426">
        <v>0</v>
      </c>
      <c r="AK38" s="426">
        <v>0</v>
      </c>
      <c r="AL38" s="426">
        <v>0</v>
      </c>
      <c r="AM38" s="427">
        <v>0</v>
      </c>
      <c r="AN38" s="427">
        <v>0</v>
      </c>
      <c r="AO38" s="427">
        <v>0</v>
      </c>
      <c r="AP38" s="427">
        <v>0</v>
      </c>
      <c r="AQ38" s="427">
        <v>0</v>
      </c>
      <c r="AR38" s="427">
        <v>0</v>
      </c>
      <c r="AS38" s="427">
        <v>1362063.0911039659</v>
      </c>
      <c r="AT38" s="427">
        <v>1362063.0911039659</v>
      </c>
      <c r="AU38" s="427">
        <v>1362063.0911039659</v>
      </c>
      <c r="AV38" s="427">
        <v>1362063.0911039659</v>
      </c>
      <c r="AW38" s="427">
        <v>1362063.0911039659</v>
      </c>
      <c r="AX38" s="427">
        <v>1362063.0911039659</v>
      </c>
      <c r="AY38" s="427">
        <v>1362063.0911039659</v>
      </c>
      <c r="AZ38" s="427">
        <v>1362063.0911039659</v>
      </c>
      <c r="BA38" s="427">
        <v>1362063.0911039659</v>
      </c>
      <c r="BB38" s="427">
        <v>1362063.0911039659</v>
      </c>
      <c r="BC38" s="427">
        <v>1362063.0911039659</v>
      </c>
      <c r="BD38" s="427">
        <v>1362063.0911039659</v>
      </c>
      <c r="BE38" s="427">
        <v>1362063.0911039659</v>
      </c>
      <c r="BF38" s="427">
        <v>1362063.0911039659</v>
      </c>
      <c r="BG38" s="427">
        <v>1362063.0911039659</v>
      </c>
      <c r="BH38" s="427">
        <v>1362063.0911039659</v>
      </c>
      <c r="BI38" s="427">
        <v>0</v>
      </c>
      <c r="BJ38" s="427">
        <v>0</v>
      </c>
      <c r="BK38" s="427">
        <v>0</v>
      </c>
      <c r="BL38" s="427">
        <v>0</v>
      </c>
      <c r="BM38" s="427">
        <v>0</v>
      </c>
      <c r="BN38" s="427">
        <v>0</v>
      </c>
      <c r="BO38" s="427">
        <v>0</v>
      </c>
      <c r="BP38" s="427">
        <v>0</v>
      </c>
      <c r="BQ38" s="427">
        <v>0</v>
      </c>
      <c r="BR38" s="427">
        <v>0</v>
      </c>
      <c r="BS38" s="427">
        <v>0</v>
      </c>
      <c r="BT38" s="427">
        <v>0</v>
      </c>
      <c r="BU38" s="427">
        <v>0</v>
      </c>
      <c r="BV38" s="427">
        <v>0</v>
      </c>
      <c r="BW38" s="427">
        <v>0</v>
      </c>
      <c r="BX38" s="427">
        <v>0</v>
      </c>
      <c r="BY38" s="427">
        <v>0</v>
      </c>
      <c r="BZ38" s="427">
        <v>0</v>
      </c>
      <c r="CA38" s="427">
        <v>0</v>
      </c>
      <c r="CB38" s="427">
        <v>0</v>
      </c>
      <c r="CC38" s="427">
        <v>0</v>
      </c>
      <c r="CD38" s="427">
        <v>0</v>
      </c>
      <c r="CE38" s="427">
        <v>0</v>
      </c>
      <c r="CF38" s="427">
        <v>0</v>
      </c>
      <c r="CG38" s="427">
        <v>0</v>
      </c>
      <c r="CH38" s="427">
        <v>0</v>
      </c>
      <c r="CI38" s="427">
        <v>0</v>
      </c>
      <c r="CJ38" s="427">
        <v>0</v>
      </c>
      <c r="CK38" s="428">
        <v>0</v>
      </c>
      <c r="CL38" s="428">
        <v>0</v>
      </c>
      <c r="CM38" s="428">
        <v>0</v>
      </c>
      <c r="CN38" s="428">
        <v>0</v>
      </c>
      <c r="CO38" s="428">
        <v>0</v>
      </c>
      <c r="CP38" s="428">
        <v>0</v>
      </c>
      <c r="CQ38" s="428">
        <v>0</v>
      </c>
      <c r="CR38" s="428">
        <v>0</v>
      </c>
      <c r="CS38" s="428">
        <v>0</v>
      </c>
      <c r="CT38" s="428">
        <v>0</v>
      </c>
      <c r="CU38" s="428">
        <v>0</v>
      </c>
      <c r="CV38" s="428">
        <v>0</v>
      </c>
      <c r="CW38" s="428">
        <v>0</v>
      </c>
      <c r="CX38" s="428"/>
      <c r="CY38" s="428"/>
      <c r="CZ38" s="428"/>
      <c r="DA38" s="428"/>
      <c r="DB38" s="428"/>
      <c r="DC38" s="428"/>
      <c r="DD38" s="428"/>
      <c r="DE38" s="428"/>
      <c r="DF38" s="428"/>
      <c r="DG38" s="428"/>
      <c r="DH38" s="428"/>
      <c r="DI38" s="428"/>
    </row>
    <row r="39" spans="1:113" s="388" customFormat="1">
      <c r="A39" s="421" t="s">
        <v>370</v>
      </c>
      <c r="B39" s="421" t="s">
        <v>241</v>
      </c>
      <c r="C39" s="421" t="s">
        <v>391</v>
      </c>
      <c r="D39" s="422" t="s">
        <v>376</v>
      </c>
      <c r="E39" s="422">
        <v>2015</v>
      </c>
      <c r="F39" s="423">
        <v>0.83528513065971444</v>
      </c>
      <c r="G39" s="424">
        <v>147.29700000001503</v>
      </c>
      <c r="H39" s="422">
        <v>18</v>
      </c>
      <c r="I39" s="425">
        <v>0.51364279715878636</v>
      </c>
      <c r="J39" s="425">
        <v>0.51364279715878636</v>
      </c>
      <c r="K39" s="422">
        <v>0</v>
      </c>
      <c r="L39" s="422">
        <v>0</v>
      </c>
      <c r="M39" s="422">
        <v>0</v>
      </c>
      <c r="N39" s="426">
        <v>50</v>
      </c>
      <c r="O39" s="426">
        <v>22.992400371768387</v>
      </c>
      <c r="P39" s="426">
        <v>22.992400371768387</v>
      </c>
      <c r="Q39" s="426">
        <v>22.992400371768387</v>
      </c>
      <c r="R39" s="426">
        <v>22.992400371768387</v>
      </c>
      <c r="S39" s="426">
        <v>22.992400371768387</v>
      </c>
      <c r="T39" s="426">
        <v>22.992400371768387</v>
      </c>
      <c r="U39" s="426">
        <v>22.992400371768387</v>
      </c>
      <c r="V39" s="426">
        <v>22.992400371768387</v>
      </c>
      <c r="W39" s="426">
        <v>22.992400371768387</v>
      </c>
      <c r="X39" s="426">
        <v>22.992400371768387</v>
      </c>
      <c r="Y39" s="426">
        <v>22.992400371768387</v>
      </c>
      <c r="Z39" s="426">
        <v>22.992400371768387</v>
      </c>
      <c r="AA39" s="426">
        <v>22.992400371768387</v>
      </c>
      <c r="AB39" s="426">
        <v>22.992400371768387</v>
      </c>
      <c r="AC39" s="426">
        <v>22.992400371768387</v>
      </c>
      <c r="AD39" s="426">
        <v>22.992400371768387</v>
      </c>
      <c r="AE39" s="426">
        <v>22.992400371768387</v>
      </c>
      <c r="AF39" s="426">
        <v>22.992400371768387</v>
      </c>
      <c r="AG39" s="426">
        <v>0</v>
      </c>
      <c r="AH39" s="426">
        <v>0</v>
      </c>
      <c r="AI39" s="426">
        <v>0</v>
      </c>
      <c r="AJ39" s="426">
        <v>0</v>
      </c>
      <c r="AK39" s="426">
        <v>0</v>
      </c>
      <c r="AL39" s="426">
        <v>0</v>
      </c>
      <c r="AM39" s="427">
        <v>0</v>
      </c>
      <c r="AN39" s="427">
        <v>4054.5575076691039</v>
      </c>
      <c r="AO39" s="427">
        <v>4054.5575076691039</v>
      </c>
      <c r="AP39" s="427">
        <v>4054.5575076691039</v>
      </c>
      <c r="AQ39" s="427">
        <v>4054.5575076691039</v>
      </c>
      <c r="AR39" s="427">
        <v>4054.5575076691039</v>
      </c>
      <c r="AS39" s="427">
        <v>4054.5575076691039</v>
      </c>
      <c r="AT39" s="427">
        <v>4054.5575076691039</v>
      </c>
      <c r="AU39" s="427">
        <v>4054.5575076691039</v>
      </c>
      <c r="AV39" s="427">
        <v>4054.5575076691039</v>
      </c>
      <c r="AW39" s="427">
        <v>4054.5575076691039</v>
      </c>
      <c r="AX39" s="427">
        <v>4054.5575076691039</v>
      </c>
      <c r="AY39" s="427">
        <v>4054.5575076691039</v>
      </c>
      <c r="AZ39" s="427">
        <v>4054.5575076691039</v>
      </c>
      <c r="BA39" s="427">
        <v>4054.5575076691039</v>
      </c>
      <c r="BB39" s="427">
        <v>4054.5575076691039</v>
      </c>
      <c r="BC39" s="427">
        <v>4054.5575076691039</v>
      </c>
      <c r="BD39" s="427">
        <v>4054.5575076691039</v>
      </c>
      <c r="BE39" s="427">
        <v>4054.5575076691039</v>
      </c>
      <c r="BF39" s="427">
        <v>0</v>
      </c>
      <c r="BG39" s="427">
        <v>0</v>
      </c>
      <c r="BH39" s="427">
        <v>0</v>
      </c>
      <c r="BI39" s="427">
        <v>0</v>
      </c>
      <c r="BJ39" s="427">
        <v>0</v>
      </c>
      <c r="BK39" s="427">
        <v>0</v>
      </c>
      <c r="BL39" s="427">
        <v>0</v>
      </c>
      <c r="BM39" s="427">
        <v>0</v>
      </c>
      <c r="BN39" s="427">
        <v>0</v>
      </c>
      <c r="BO39" s="427">
        <v>0</v>
      </c>
      <c r="BP39" s="427">
        <v>0</v>
      </c>
      <c r="BQ39" s="427">
        <v>0</v>
      </c>
      <c r="BR39" s="427">
        <v>0</v>
      </c>
      <c r="BS39" s="427">
        <v>0</v>
      </c>
      <c r="BT39" s="427">
        <v>0</v>
      </c>
      <c r="BU39" s="427">
        <v>0</v>
      </c>
      <c r="BV39" s="427">
        <v>0</v>
      </c>
      <c r="BW39" s="427">
        <v>0</v>
      </c>
      <c r="BX39" s="427">
        <v>0</v>
      </c>
      <c r="BY39" s="427">
        <v>0</v>
      </c>
      <c r="BZ39" s="427">
        <v>0</v>
      </c>
      <c r="CA39" s="427">
        <v>0</v>
      </c>
      <c r="CB39" s="427">
        <v>0</v>
      </c>
      <c r="CC39" s="427">
        <v>0</v>
      </c>
      <c r="CD39" s="427">
        <v>0</v>
      </c>
      <c r="CE39" s="427">
        <v>0</v>
      </c>
      <c r="CF39" s="427">
        <v>0</v>
      </c>
      <c r="CG39" s="427">
        <v>0</v>
      </c>
      <c r="CH39" s="427">
        <v>0</v>
      </c>
      <c r="CI39" s="427">
        <v>0</v>
      </c>
      <c r="CJ39" s="427">
        <v>0</v>
      </c>
      <c r="CK39" s="428">
        <v>0</v>
      </c>
      <c r="CL39" s="428">
        <v>0</v>
      </c>
      <c r="CM39" s="428">
        <v>0</v>
      </c>
      <c r="CN39" s="428">
        <v>0</v>
      </c>
      <c r="CO39" s="428">
        <v>0</v>
      </c>
      <c r="CP39" s="428">
        <v>0</v>
      </c>
      <c r="CQ39" s="428">
        <v>0</v>
      </c>
      <c r="CR39" s="428">
        <v>0</v>
      </c>
      <c r="CS39" s="428">
        <v>0</v>
      </c>
      <c r="CT39" s="428">
        <v>0</v>
      </c>
      <c r="CU39" s="428">
        <v>0</v>
      </c>
      <c r="CV39" s="428">
        <v>0</v>
      </c>
      <c r="CW39" s="428">
        <v>0</v>
      </c>
      <c r="CX39" s="428"/>
      <c r="CY39" s="428"/>
      <c r="CZ39" s="428"/>
      <c r="DA39" s="428"/>
      <c r="DB39" s="428"/>
      <c r="DC39" s="428"/>
      <c r="DD39" s="428"/>
      <c r="DE39" s="428"/>
      <c r="DF39" s="428"/>
      <c r="DG39" s="428"/>
      <c r="DH39" s="428"/>
      <c r="DI39" s="428"/>
    </row>
    <row r="40" spans="1:113" s="388" customFormat="1">
      <c r="A40" s="421" t="s">
        <v>370</v>
      </c>
      <c r="B40" s="421" t="s">
        <v>241</v>
      </c>
      <c r="C40" s="421" t="s">
        <v>391</v>
      </c>
      <c r="D40" s="422" t="s">
        <v>376</v>
      </c>
      <c r="E40" s="422">
        <v>2016</v>
      </c>
      <c r="F40" s="423">
        <v>0.83528513065971444</v>
      </c>
      <c r="G40" s="424">
        <v>147.29700000001503</v>
      </c>
      <c r="H40" s="422">
        <v>18</v>
      </c>
      <c r="I40" s="425">
        <v>0.51364279715878636</v>
      </c>
      <c r="J40" s="425">
        <v>0.51364279715878636</v>
      </c>
      <c r="K40" s="422">
        <v>0</v>
      </c>
      <c r="L40" s="422">
        <v>0</v>
      </c>
      <c r="M40" s="422">
        <v>0</v>
      </c>
      <c r="N40" s="426">
        <v>10</v>
      </c>
      <c r="O40" s="426">
        <v>0</v>
      </c>
      <c r="P40" s="426">
        <v>4.5984800743536765</v>
      </c>
      <c r="Q40" s="426">
        <v>4.5984800743536765</v>
      </c>
      <c r="R40" s="426">
        <v>4.5984800743536765</v>
      </c>
      <c r="S40" s="426">
        <v>4.5984800743536765</v>
      </c>
      <c r="T40" s="426">
        <v>4.5984800743536765</v>
      </c>
      <c r="U40" s="426">
        <v>4.5984800743536765</v>
      </c>
      <c r="V40" s="426">
        <v>4.5984800743536765</v>
      </c>
      <c r="W40" s="426">
        <v>4.5984800743536765</v>
      </c>
      <c r="X40" s="426">
        <v>4.5984800743536765</v>
      </c>
      <c r="Y40" s="426">
        <v>4.5984800743536765</v>
      </c>
      <c r="Z40" s="426">
        <v>4.5984800743536765</v>
      </c>
      <c r="AA40" s="426">
        <v>4.5984800743536765</v>
      </c>
      <c r="AB40" s="426">
        <v>4.5984800743536765</v>
      </c>
      <c r="AC40" s="426">
        <v>4.5984800743536765</v>
      </c>
      <c r="AD40" s="426">
        <v>4.5984800743536765</v>
      </c>
      <c r="AE40" s="426">
        <v>4.5984800743536765</v>
      </c>
      <c r="AF40" s="426">
        <v>4.5984800743536765</v>
      </c>
      <c r="AG40" s="426">
        <v>4.5984800743536765</v>
      </c>
      <c r="AH40" s="426">
        <v>0</v>
      </c>
      <c r="AI40" s="426">
        <v>0</v>
      </c>
      <c r="AJ40" s="426">
        <v>0</v>
      </c>
      <c r="AK40" s="426">
        <v>0</v>
      </c>
      <c r="AL40" s="426">
        <v>0</v>
      </c>
      <c r="AM40" s="427">
        <v>0</v>
      </c>
      <c r="AN40" s="427">
        <v>0</v>
      </c>
      <c r="AO40" s="427">
        <v>810.91150153382068</v>
      </c>
      <c r="AP40" s="427">
        <v>810.91150153382068</v>
      </c>
      <c r="AQ40" s="427">
        <v>810.91150153382068</v>
      </c>
      <c r="AR40" s="427">
        <v>810.91150153382068</v>
      </c>
      <c r="AS40" s="427">
        <v>810.91150153382068</v>
      </c>
      <c r="AT40" s="427">
        <v>810.91150153382068</v>
      </c>
      <c r="AU40" s="427">
        <v>810.91150153382068</v>
      </c>
      <c r="AV40" s="427">
        <v>810.91150153382068</v>
      </c>
      <c r="AW40" s="427">
        <v>810.91150153382068</v>
      </c>
      <c r="AX40" s="427">
        <v>810.91150153382068</v>
      </c>
      <c r="AY40" s="427">
        <v>810.91150153382068</v>
      </c>
      <c r="AZ40" s="427">
        <v>810.91150153382068</v>
      </c>
      <c r="BA40" s="427">
        <v>810.91150153382068</v>
      </c>
      <c r="BB40" s="427">
        <v>810.91150153382068</v>
      </c>
      <c r="BC40" s="427">
        <v>810.91150153382068</v>
      </c>
      <c r="BD40" s="427">
        <v>810.91150153382068</v>
      </c>
      <c r="BE40" s="427">
        <v>810.91150153382068</v>
      </c>
      <c r="BF40" s="427">
        <v>810.91150153382068</v>
      </c>
      <c r="BG40" s="427">
        <v>0</v>
      </c>
      <c r="BH40" s="427">
        <v>0</v>
      </c>
      <c r="BI40" s="427">
        <v>0</v>
      </c>
      <c r="BJ40" s="427">
        <v>0</v>
      </c>
      <c r="BK40" s="427">
        <v>0</v>
      </c>
      <c r="BL40" s="427">
        <v>0</v>
      </c>
      <c r="BM40" s="427">
        <v>0</v>
      </c>
      <c r="BN40" s="427">
        <v>0</v>
      </c>
      <c r="BO40" s="427">
        <v>0</v>
      </c>
      <c r="BP40" s="427">
        <v>0</v>
      </c>
      <c r="BQ40" s="427">
        <v>0</v>
      </c>
      <c r="BR40" s="427">
        <v>0</v>
      </c>
      <c r="BS40" s="427">
        <v>0</v>
      </c>
      <c r="BT40" s="427">
        <v>0</v>
      </c>
      <c r="BU40" s="427">
        <v>0</v>
      </c>
      <c r="BV40" s="427">
        <v>0</v>
      </c>
      <c r="BW40" s="427">
        <v>0</v>
      </c>
      <c r="BX40" s="427">
        <v>0</v>
      </c>
      <c r="BY40" s="427">
        <v>0</v>
      </c>
      <c r="BZ40" s="427">
        <v>0</v>
      </c>
      <c r="CA40" s="427">
        <v>0</v>
      </c>
      <c r="CB40" s="427">
        <v>0</v>
      </c>
      <c r="CC40" s="427">
        <v>0</v>
      </c>
      <c r="CD40" s="427">
        <v>0</v>
      </c>
      <c r="CE40" s="427">
        <v>0</v>
      </c>
      <c r="CF40" s="427">
        <v>0</v>
      </c>
      <c r="CG40" s="427">
        <v>0</v>
      </c>
      <c r="CH40" s="427">
        <v>0</v>
      </c>
      <c r="CI40" s="427">
        <v>0</v>
      </c>
      <c r="CJ40" s="427">
        <v>0</v>
      </c>
      <c r="CK40" s="428">
        <v>0</v>
      </c>
      <c r="CL40" s="428">
        <v>0</v>
      </c>
      <c r="CM40" s="428">
        <v>0</v>
      </c>
      <c r="CN40" s="428">
        <v>0</v>
      </c>
      <c r="CO40" s="428">
        <v>0</v>
      </c>
      <c r="CP40" s="428">
        <v>0</v>
      </c>
      <c r="CQ40" s="428">
        <v>0</v>
      </c>
      <c r="CR40" s="428">
        <v>0</v>
      </c>
      <c r="CS40" s="428">
        <v>0</v>
      </c>
      <c r="CT40" s="428">
        <v>0</v>
      </c>
      <c r="CU40" s="428">
        <v>0</v>
      </c>
      <c r="CV40" s="428">
        <v>0</v>
      </c>
      <c r="CW40" s="428">
        <v>0</v>
      </c>
      <c r="CX40" s="428"/>
      <c r="CY40" s="428"/>
      <c r="CZ40" s="428"/>
      <c r="DA40" s="428"/>
      <c r="DB40" s="428"/>
      <c r="DC40" s="428"/>
      <c r="DD40" s="428"/>
      <c r="DE40" s="428"/>
      <c r="DF40" s="428"/>
      <c r="DG40" s="428"/>
      <c r="DH40" s="428"/>
      <c r="DI40" s="428"/>
    </row>
    <row r="41" spans="1:113" s="388" customFormat="1">
      <c r="A41" s="421" t="s">
        <v>370</v>
      </c>
      <c r="B41" s="421" t="s">
        <v>241</v>
      </c>
      <c r="C41" s="421" t="s">
        <v>391</v>
      </c>
      <c r="D41" s="422" t="s">
        <v>376</v>
      </c>
      <c r="E41" s="422">
        <v>2017</v>
      </c>
      <c r="F41" s="423">
        <v>0.83528513065971444</v>
      </c>
      <c r="G41" s="424">
        <v>147.29700000001503</v>
      </c>
      <c r="H41" s="422">
        <v>18</v>
      </c>
      <c r="I41" s="425">
        <v>0.51364279715878636</v>
      </c>
      <c r="J41" s="425">
        <v>0.51364279715878636</v>
      </c>
      <c r="K41" s="422">
        <v>0</v>
      </c>
      <c r="L41" s="422">
        <v>0</v>
      </c>
      <c r="M41" s="422">
        <v>0</v>
      </c>
      <c r="N41" s="426">
        <v>10</v>
      </c>
      <c r="O41" s="426">
        <v>0</v>
      </c>
      <c r="P41" s="426">
        <v>0</v>
      </c>
      <c r="Q41" s="426">
        <v>4.5984800743536765</v>
      </c>
      <c r="R41" s="426">
        <v>4.5984800743536765</v>
      </c>
      <c r="S41" s="426">
        <v>4.5984800743536765</v>
      </c>
      <c r="T41" s="426">
        <v>4.5984800743536765</v>
      </c>
      <c r="U41" s="426">
        <v>4.5984800743536765</v>
      </c>
      <c r="V41" s="426">
        <v>4.5984800743536765</v>
      </c>
      <c r="W41" s="426">
        <v>4.5984800743536765</v>
      </c>
      <c r="X41" s="426">
        <v>4.5984800743536765</v>
      </c>
      <c r="Y41" s="426">
        <v>4.5984800743536765</v>
      </c>
      <c r="Z41" s="426">
        <v>4.5984800743536765</v>
      </c>
      <c r="AA41" s="426">
        <v>4.5984800743536765</v>
      </c>
      <c r="AB41" s="426">
        <v>4.5984800743536765</v>
      </c>
      <c r="AC41" s="426">
        <v>4.5984800743536765</v>
      </c>
      <c r="AD41" s="426">
        <v>4.5984800743536765</v>
      </c>
      <c r="AE41" s="426">
        <v>4.5984800743536765</v>
      </c>
      <c r="AF41" s="426">
        <v>4.5984800743536765</v>
      </c>
      <c r="AG41" s="426">
        <v>4.5984800743536765</v>
      </c>
      <c r="AH41" s="426">
        <v>4.5984800743536765</v>
      </c>
      <c r="AI41" s="426">
        <v>0</v>
      </c>
      <c r="AJ41" s="426">
        <v>0</v>
      </c>
      <c r="AK41" s="426">
        <v>0</v>
      </c>
      <c r="AL41" s="426">
        <v>0</v>
      </c>
      <c r="AM41" s="427">
        <v>0</v>
      </c>
      <c r="AN41" s="427">
        <v>0</v>
      </c>
      <c r="AO41" s="427">
        <v>0</v>
      </c>
      <c r="AP41" s="427">
        <v>810.91150153382068</v>
      </c>
      <c r="AQ41" s="427">
        <v>810.91150153382068</v>
      </c>
      <c r="AR41" s="427">
        <v>810.91150153382068</v>
      </c>
      <c r="AS41" s="427">
        <v>810.91150153382068</v>
      </c>
      <c r="AT41" s="427">
        <v>810.91150153382068</v>
      </c>
      <c r="AU41" s="427">
        <v>810.91150153382068</v>
      </c>
      <c r="AV41" s="427">
        <v>810.91150153382068</v>
      </c>
      <c r="AW41" s="427">
        <v>810.91150153382068</v>
      </c>
      <c r="AX41" s="427">
        <v>810.91150153382068</v>
      </c>
      <c r="AY41" s="427">
        <v>810.91150153382068</v>
      </c>
      <c r="AZ41" s="427">
        <v>810.91150153382068</v>
      </c>
      <c r="BA41" s="427">
        <v>810.91150153382068</v>
      </c>
      <c r="BB41" s="427">
        <v>810.91150153382068</v>
      </c>
      <c r="BC41" s="427">
        <v>810.91150153382068</v>
      </c>
      <c r="BD41" s="427">
        <v>810.91150153382068</v>
      </c>
      <c r="BE41" s="427">
        <v>810.91150153382068</v>
      </c>
      <c r="BF41" s="427">
        <v>810.91150153382068</v>
      </c>
      <c r="BG41" s="427">
        <v>810.91150153382068</v>
      </c>
      <c r="BH41" s="427">
        <v>0</v>
      </c>
      <c r="BI41" s="427">
        <v>0</v>
      </c>
      <c r="BJ41" s="427">
        <v>0</v>
      </c>
      <c r="BK41" s="427">
        <v>0</v>
      </c>
      <c r="BL41" s="427">
        <v>0</v>
      </c>
      <c r="BM41" s="427">
        <v>0</v>
      </c>
      <c r="BN41" s="427">
        <v>0</v>
      </c>
      <c r="BO41" s="427">
        <v>0</v>
      </c>
      <c r="BP41" s="427">
        <v>0</v>
      </c>
      <c r="BQ41" s="427">
        <v>0</v>
      </c>
      <c r="BR41" s="427">
        <v>0</v>
      </c>
      <c r="BS41" s="427">
        <v>0</v>
      </c>
      <c r="BT41" s="427">
        <v>0</v>
      </c>
      <c r="BU41" s="427">
        <v>0</v>
      </c>
      <c r="BV41" s="427">
        <v>0</v>
      </c>
      <c r="BW41" s="427">
        <v>0</v>
      </c>
      <c r="BX41" s="427">
        <v>0</v>
      </c>
      <c r="BY41" s="427">
        <v>0</v>
      </c>
      <c r="BZ41" s="427">
        <v>0</v>
      </c>
      <c r="CA41" s="427">
        <v>0</v>
      </c>
      <c r="CB41" s="427">
        <v>0</v>
      </c>
      <c r="CC41" s="427">
        <v>0</v>
      </c>
      <c r="CD41" s="427">
        <v>0</v>
      </c>
      <c r="CE41" s="427">
        <v>0</v>
      </c>
      <c r="CF41" s="427">
        <v>0</v>
      </c>
      <c r="CG41" s="427">
        <v>0</v>
      </c>
      <c r="CH41" s="427">
        <v>0</v>
      </c>
      <c r="CI41" s="427">
        <v>0</v>
      </c>
      <c r="CJ41" s="427">
        <v>0</v>
      </c>
      <c r="CK41" s="428">
        <v>0</v>
      </c>
      <c r="CL41" s="428">
        <v>0</v>
      </c>
      <c r="CM41" s="428">
        <v>0</v>
      </c>
      <c r="CN41" s="428">
        <v>0</v>
      </c>
      <c r="CO41" s="428">
        <v>0</v>
      </c>
      <c r="CP41" s="428">
        <v>0</v>
      </c>
      <c r="CQ41" s="428">
        <v>0</v>
      </c>
      <c r="CR41" s="428">
        <v>0</v>
      </c>
      <c r="CS41" s="428">
        <v>0</v>
      </c>
      <c r="CT41" s="428">
        <v>0</v>
      </c>
      <c r="CU41" s="428">
        <v>0</v>
      </c>
      <c r="CV41" s="428">
        <v>0</v>
      </c>
      <c r="CW41" s="428">
        <v>0</v>
      </c>
      <c r="CX41" s="428"/>
      <c r="CY41" s="428"/>
      <c r="CZ41" s="428"/>
      <c r="DA41" s="428"/>
      <c r="DB41" s="428"/>
      <c r="DC41" s="428"/>
      <c r="DD41" s="428"/>
      <c r="DE41" s="428"/>
      <c r="DF41" s="428"/>
      <c r="DG41" s="428"/>
      <c r="DH41" s="428"/>
      <c r="DI41" s="428"/>
    </row>
    <row r="42" spans="1:113" s="388" customFormat="1">
      <c r="A42" s="421" t="s">
        <v>370</v>
      </c>
      <c r="B42" s="421" t="s">
        <v>241</v>
      </c>
      <c r="C42" s="421" t="s">
        <v>391</v>
      </c>
      <c r="D42" s="422" t="s">
        <v>376</v>
      </c>
      <c r="E42" s="422">
        <v>2018</v>
      </c>
      <c r="F42" s="423">
        <v>0.83528513065971444</v>
      </c>
      <c r="G42" s="424">
        <v>147.29700000001503</v>
      </c>
      <c r="H42" s="422">
        <v>18</v>
      </c>
      <c r="I42" s="425">
        <v>0.51364279715878636</v>
      </c>
      <c r="J42" s="425">
        <v>0.51364279715878636</v>
      </c>
      <c r="K42" s="422">
        <v>0</v>
      </c>
      <c r="L42" s="422">
        <v>0</v>
      </c>
      <c r="M42" s="422">
        <v>0</v>
      </c>
      <c r="N42" s="426">
        <v>10</v>
      </c>
      <c r="O42" s="426">
        <v>0</v>
      </c>
      <c r="P42" s="426">
        <v>0</v>
      </c>
      <c r="Q42" s="426">
        <v>0</v>
      </c>
      <c r="R42" s="426">
        <v>4.5984800743536765</v>
      </c>
      <c r="S42" s="426">
        <v>4.5984800743536765</v>
      </c>
      <c r="T42" s="426">
        <v>4.5984800743536765</v>
      </c>
      <c r="U42" s="426">
        <v>4.5984800743536765</v>
      </c>
      <c r="V42" s="426">
        <v>4.5984800743536765</v>
      </c>
      <c r="W42" s="426">
        <v>4.5984800743536765</v>
      </c>
      <c r="X42" s="426">
        <v>4.5984800743536765</v>
      </c>
      <c r="Y42" s="426">
        <v>4.5984800743536765</v>
      </c>
      <c r="Z42" s="426">
        <v>4.5984800743536765</v>
      </c>
      <c r="AA42" s="426">
        <v>4.5984800743536765</v>
      </c>
      <c r="AB42" s="426">
        <v>4.5984800743536765</v>
      </c>
      <c r="AC42" s="426">
        <v>4.5984800743536765</v>
      </c>
      <c r="AD42" s="426">
        <v>4.5984800743536765</v>
      </c>
      <c r="AE42" s="426">
        <v>4.5984800743536765</v>
      </c>
      <c r="AF42" s="426">
        <v>4.5984800743536765</v>
      </c>
      <c r="AG42" s="426">
        <v>4.5984800743536765</v>
      </c>
      <c r="AH42" s="426">
        <v>4.5984800743536765</v>
      </c>
      <c r="AI42" s="426">
        <v>4.5984800743536765</v>
      </c>
      <c r="AJ42" s="426">
        <v>0</v>
      </c>
      <c r="AK42" s="426">
        <v>0</v>
      </c>
      <c r="AL42" s="426">
        <v>0</v>
      </c>
      <c r="AM42" s="427">
        <v>0</v>
      </c>
      <c r="AN42" s="427">
        <v>0</v>
      </c>
      <c r="AO42" s="427">
        <v>0</v>
      </c>
      <c r="AP42" s="427">
        <v>0</v>
      </c>
      <c r="AQ42" s="427">
        <v>810.91150153382068</v>
      </c>
      <c r="AR42" s="427">
        <v>810.91150153382068</v>
      </c>
      <c r="AS42" s="427">
        <v>810.91150153382068</v>
      </c>
      <c r="AT42" s="427">
        <v>810.91150153382068</v>
      </c>
      <c r="AU42" s="427">
        <v>810.91150153382068</v>
      </c>
      <c r="AV42" s="427">
        <v>810.91150153382068</v>
      </c>
      <c r="AW42" s="427">
        <v>810.91150153382068</v>
      </c>
      <c r="AX42" s="427">
        <v>810.91150153382068</v>
      </c>
      <c r="AY42" s="427">
        <v>810.91150153382068</v>
      </c>
      <c r="AZ42" s="427">
        <v>810.91150153382068</v>
      </c>
      <c r="BA42" s="427">
        <v>810.91150153382068</v>
      </c>
      <c r="BB42" s="427">
        <v>810.91150153382068</v>
      </c>
      <c r="BC42" s="427">
        <v>810.91150153382068</v>
      </c>
      <c r="BD42" s="427">
        <v>810.91150153382068</v>
      </c>
      <c r="BE42" s="427">
        <v>810.91150153382068</v>
      </c>
      <c r="BF42" s="427">
        <v>810.91150153382068</v>
      </c>
      <c r="BG42" s="427">
        <v>810.91150153382068</v>
      </c>
      <c r="BH42" s="427">
        <v>810.91150153382068</v>
      </c>
      <c r="BI42" s="427">
        <v>0</v>
      </c>
      <c r="BJ42" s="427">
        <v>0</v>
      </c>
      <c r="BK42" s="427">
        <v>0</v>
      </c>
      <c r="BL42" s="427">
        <v>0</v>
      </c>
      <c r="BM42" s="427">
        <v>0</v>
      </c>
      <c r="BN42" s="427">
        <v>0</v>
      </c>
      <c r="BO42" s="427">
        <v>0</v>
      </c>
      <c r="BP42" s="427">
        <v>0</v>
      </c>
      <c r="BQ42" s="427">
        <v>0</v>
      </c>
      <c r="BR42" s="427">
        <v>0</v>
      </c>
      <c r="BS42" s="427">
        <v>0</v>
      </c>
      <c r="BT42" s="427">
        <v>0</v>
      </c>
      <c r="BU42" s="427">
        <v>0</v>
      </c>
      <c r="BV42" s="427">
        <v>0</v>
      </c>
      <c r="BW42" s="427">
        <v>0</v>
      </c>
      <c r="BX42" s="427">
        <v>0</v>
      </c>
      <c r="BY42" s="427">
        <v>0</v>
      </c>
      <c r="BZ42" s="427">
        <v>0</v>
      </c>
      <c r="CA42" s="427">
        <v>0</v>
      </c>
      <c r="CB42" s="427">
        <v>0</v>
      </c>
      <c r="CC42" s="427">
        <v>0</v>
      </c>
      <c r="CD42" s="427">
        <v>0</v>
      </c>
      <c r="CE42" s="427">
        <v>0</v>
      </c>
      <c r="CF42" s="427">
        <v>0</v>
      </c>
      <c r="CG42" s="427">
        <v>0</v>
      </c>
      <c r="CH42" s="427">
        <v>0</v>
      </c>
      <c r="CI42" s="427">
        <v>0</v>
      </c>
      <c r="CJ42" s="427">
        <v>0</v>
      </c>
      <c r="CK42" s="428">
        <v>0</v>
      </c>
      <c r="CL42" s="428">
        <v>0</v>
      </c>
      <c r="CM42" s="428">
        <v>0</v>
      </c>
      <c r="CN42" s="428">
        <v>0</v>
      </c>
      <c r="CO42" s="428">
        <v>0</v>
      </c>
      <c r="CP42" s="428">
        <v>0</v>
      </c>
      <c r="CQ42" s="428">
        <v>0</v>
      </c>
      <c r="CR42" s="428">
        <v>0</v>
      </c>
      <c r="CS42" s="428">
        <v>0</v>
      </c>
      <c r="CT42" s="428">
        <v>0</v>
      </c>
      <c r="CU42" s="428">
        <v>0</v>
      </c>
      <c r="CV42" s="428">
        <v>0</v>
      </c>
      <c r="CW42" s="428">
        <v>0</v>
      </c>
      <c r="CX42" s="428"/>
      <c r="CY42" s="428"/>
      <c r="CZ42" s="428"/>
      <c r="DA42" s="428"/>
      <c r="DB42" s="428"/>
      <c r="DC42" s="428"/>
      <c r="DD42" s="428"/>
      <c r="DE42" s="428"/>
      <c r="DF42" s="428"/>
      <c r="DG42" s="428"/>
      <c r="DH42" s="428"/>
      <c r="DI42" s="428"/>
    </row>
    <row r="43" spans="1:113" s="388" customFormat="1">
      <c r="A43" s="421" t="s">
        <v>370</v>
      </c>
      <c r="B43" s="421" t="s">
        <v>241</v>
      </c>
      <c r="C43" s="421" t="s">
        <v>391</v>
      </c>
      <c r="D43" s="422" t="s">
        <v>376</v>
      </c>
      <c r="E43" s="422">
        <v>2019</v>
      </c>
      <c r="F43" s="423">
        <v>0.83528513065971444</v>
      </c>
      <c r="G43" s="424">
        <v>147.29700000001503</v>
      </c>
      <c r="H43" s="422">
        <v>18</v>
      </c>
      <c r="I43" s="425">
        <v>0.51364279715878636</v>
      </c>
      <c r="J43" s="425">
        <v>0.51364279715878636</v>
      </c>
      <c r="K43" s="422">
        <v>0</v>
      </c>
      <c r="L43" s="422">
        <v>0</v>
      </c>
      <c r="M43" s="422">
        <v>0</v>
      </c>
      <c r="N43" s="426">
        <v>10</v>
      </c>
      <c r="O43" s="426">
        <v>0</v>
      </c>
      <c r="P43" s="426">
        <v>0</v>
      </c>
      <c r="Q43" s="426">
        <v>0</v>
      </c>
      <c r="R43" s="426">
        <v>0</v>
      </c>
      <c r="S43" s="426">
        <v>4.5984800743536765</v>
      </c>
      <c r="T43" s="426">
        <v>4.5984800743536765</v>
      </c>
      <c r="U43" s="426">
        <v>4.5984800743536765</v>
      </c>
      <c r="V43" s="426">
        <v>4.5984800743536765</v>
      </c>
      <c r="W43" s="426">
        <v>4.5984800743536765</v>
      </c>
      <c r="X43" s="426">
        <v>4.5984800743536765</v>
      </c>
      <c r="Y43" s="426">
        <v>4.5984800743536765</v>
      </c>
      <c r="Z43" s="426">
        <v>4.5984800743536765</v>
      </c>
      <c r="AA43" s="426">
        <v>4.5984800743536765</v>
      </c>
      <c r="AB43" s="426">
        <v>4.5984800743536765</v>
      </c>
      <c r="AC43" s="426">
        <v>4.5984800743536765</v>
      </c>
      <c r="AD43" s="426">
        <v>4.5984800743536765</v>
      </c>
      <c r="AE43" s="426">
        <v>4.5984800743536765</v>
      </c>
      <c r="AF43" s="426">
        <v>4.5984800743536765</v>
      </c>
      <c r="AG43" s="426">
        <v>4.5984800743536765</v>
      </c>
      <c r="AH43" s="426">
        <v>4.5984800743536765</v>
      </c>
      <c r="AI43" s="426">
        <v>4.5984800743536765</v>
      </c>
      <c r="AJ43" s="426">
        <v>4.5984800743536765</v>
      </c>
      <c r="AK43" s="426">
        <v>0</v>
      </c>
      <c r="AL43" s="426">
        <v>0</v>
      </c>
      <c r="AM43" s="427">
        <v>0</v>
      </c>
      <c r="AN43" s="427">
        <v>0</v>
      </c>
      <c r="AO43" s="427">
        <v>0</v>
      </c>
      <c r="AP43" s="427">
        <v>0</v>
      </c>
      <c r="AQ43" s="427">
        <v>0</v>
      </c>
      <c r="AR43" s="427">
        <v>810.91150153382068</v>
      </c>
      <c r="AS43" s="427">
        <v>810.91150153382068</v>
      </c>
      <c r="AT43" s="427">
        <v>810.91150153382068</v>
      </c>
      <c r="AU43" s="427">
        <v>810.91150153382068</v>
      </c>
      <c r="AV43" s="427">
        <v>810.91150153382068</v>
      </c>
      <c r="AW43" s="427">
        <v>810.91150153382068</v>
      </c>
      <c r="AX43" s="427">
        <v>810.91150153382068</v>
      </c>
      <c r="AY43" s="427">
        <v>810.91150153382068</v>
      </c>
      <c r="AZ43" s="427">
        <v>810.91150153382068</v>
      </c>
      <c r="BA43" s="427">
        <v>810.91150153382068</v>
      </c>
      <c r="BB43" s="427">
        <v>810.91150153382068</v>
      </c>
      <c r="BC43" s="427">
        <v>810.91150153382068</v>
      </c>
      <c r="BD43" s="427">
        <v>810.91150153382068</v>
      </c>
      <c r="BE43" s="427">
        <v>810.91150153382068</v>
      </c>
      <c r="BF43" s="427">
        <v>810.91150153382068</v>
      </c>
      <c r="BG43" s="427">
        <v>810.91150153382068</v>
      </c>
      <c r="BH43" s="427">
        <v>810.91150153382068</v>
      </c>
      <c r="BI43" s="427">
        <v>810.91150153382068</v>
      </c>
      <c r="BJ43" s="427">
        <v>0</v>
      </c>
      <c r="BK43" s="427">
        <v>0</v>
      </c>
      <c r="BL43" s="427">
        <v>0</v>
      </c>
      <c r="BM43" s="427">
        <v>0</v>
      </c>
      <c r="BN43" s="427">
        <v>0</v>
      </c>
      <c r="BO43" s="427">
        <v>0</v>
      </c>
      <c r="BP43" s="427">
        <v>0</v>
      </c>
      <c r="BQ43" s="427">
        <v>0</v>
      </c>
      <c r="BR43" s="427">
        <v>0</v>
      </c>
      <c r="BS43" s="427">
        <v>0</v>
      </c>
      <c r="BT43" s="427">
        <v>0</v>
      </c>
      <c r="BU43" s="427">
        <v>0</v>
      </c>
      <c r="BV43" s="427">
        <v>0</v>
      </c>
      <c r="BW43" s="427">
        <v>0</v>
      </c>
      <c r="BX43" s="427">
        <v>0</v>
      </c>
      <c r="BY43" s="427">
        <v>0</v>
      </c>
      <c r="BZ43" s="427">
        <v>0</v>
      </c>
      <c r="CA43" s="427">
        <v>0</v>
      </c>
      <c r="CB43" s="427">
        <v>0</v>
      </c>
      <c r="CC43" s="427">
        <v>0</v>
      </c>
      <c r="CD43" s="427">
        <v>0</v>
      </c>
      <c r="CE43" s="427">
        <v>0</v>
      </c>
      <c r="CF43" s="427">
        <v>0</v>
      </c>
      <c r="CG43" s="427">
        <v>0</v>
      </c>
      <c r="CH43" s="427">
        <v>0</v>
      </c>
      <c r="CI43" s="427">
        <v>0</v>
      </c>
      <c r="CJ43" s="427">
        <v>0</v>
      </c>
      <c r="CK43" s="428">
        <v>0</v>
      </c>
      <c r="CL43" s="428">
        <v>0</v>
      </c>
      <c r="CM43" s="428">
        <v>0</v>
      </c>
      <c r="CN43" s="428">
        <v>0</v>
      </c>
      <c r="CO43" s="428">
        <v>0</v>
      </c>
      <c r="CP43" s="428">
        <v>0</v>
      </c>
      <c r="CQ43" s="428">
        <v>0</v>
      </c>
      <c r="CR43" s="428">
        <v>0</v>
      </c>
      <c r="CS43" s="428">
        <v>0</v>
      </c>
      <c r="CT43" s="428">
        <v>0</v>
      </c>
      <c r="CU43" s="428">
        <v>0</v>
      </c>
      <c r="CV43" s="428">
        <v>0</v>
      </c>
      <c r="CW43" s="428">
        <v>0</v>
      </c>
      <c r="CX43" s="428"/>
      <c r="CY43" s="428"/>
      <c r="CZ43" s="428"/>
      <c r="DA43" s="428"/>
      <c r="DB43" s="428"/>
      <c r="DC43" s="428"/>
      <c r="DD43" s="428"/>
      <c r="DE43" s="428"/>
      <c r="DF43" s="428"/>
      <c r="DG43" s="428"/>
      <c r="DH43" s="428"/>
      <c r="DI43" s="428"/>
    </row>
    <row r="44" spans="1:113" s="388" customFormat="1">
      <c r="A44" s="421" t="s">
        <v>370</v>
      </c>
      <c r="B44" s="421" t="s">
        <v>241</v>
      </c>
      <c r="C44" s="421" t="s">
        <v>391</v>
      </c>
      <c r="D44" s="422" t="s">
        <v>376</v>
      </c>
      <c r="E44" s="422">
        <v>2020</v>
      </c>
      <c r="F44" s="423">
        <v>0.83528513065971444</v>
      </c>
      <c r="G44" s="424">
        <v>147.29700000001503</v>
      </c>
      <c r="H44" s="422">
        <v>18</v>
      </c>
      <c r="I44" s="425">
        <v>0.51364279715878636</v>
      </c>
      <c r="J44" s="425">
        <v>0.51364279715878636</v>
      </c>
      <c r="K44" s="422">
        <v>0</v>
      </c>
      <c r="L44" s="422">
        <v>0</v>
      </c>
      <c r="M44" s="422">
        <v>0</v>
      </c>
      <c r="N44" s="426">
        <v>10</v>
      </c>
      <c r="O44" s="426">
        <v>0</v>
      </c>
      <c r="P44" s="426">
        <v>0</v>
      </c>
      <c r="Q44" s="426">
        <v>0</v>
      </c>
      <c r="R44" s="426">
        <v>0</v>
      </c>
      <c r="S44" s="426">
        <v>0</v>
      </c>
      <c r="T44" s="426">
        <v>4.5984800743536765</v>
      </c>
      <c r="U44" s="426">
        <v>4.5984800743536765</v>
      </c>
      <c r="V44" s="426">
        <v>4.5984800743536765</v>
      </c>
      <c r="W44" s="426">
        <v>4.5984800743536765</v>
      </c>
      <c r="X44" s="426">
        <v>4.5984800743536765</v>
      </c>
      <c r="Y44" s="426">
        <v>4.5984800743536765</v>
      </c>
      <c r="Z44" s="426">
        <v>4.5984800743536765</v>
      </c>
      <c r="AA44" s="426">
        <v>4.5984800743536765</v>
      </c>
      <c r="AB44" s="426">
        <v>4.5984800743536765</v>
      </c>
      <c r="AC44" s="426">
        <v>4.5984800743536765</v>
      </c>
      <c r="AD44" s="426">
        <v>4.5984800743536765</v>
      </c>
      <c r="AE44" s="426">
        <v>4.5984800743536765</v>
      </c>
      <c r="AF44" s="426">
        <v>4.5984800743536765</v>
      </c>
      <c r="AG44" s="426">
        <v>4.5984800743536765</v>
      </c>
      <c r="AH44" s="426">
        <v>4.5984800743536765</v>
      </c>
      <c r="AI44" s="426">
        <v>4.5984800743536765</v>
      </c>
      <c r="AJ44" s="426">
        <v>4.5984800743536765</v>
      </c>
      <c r="AK44" s="426">
        <v>4.5984800743536765</v>
      </c>
      <c r="AL44" s="426">
        <v>0</v>
      </c>
      <c r="AM44" s="427">
        <v>0</v>
      </c>
      <c r="AN44" s="427">
        <v>0</v>
      </c>
      <c r="AO44" s="427">
        <v>0</v>
      </c>
      <c r="AP44" s="427">
        <v>0</v>
      </c>
      <c r="AQ44" s="427">
        <v>0</v>
      </c>
      <c r="AR44" s="427">
        <v>0</v>
      </c>
      <c r="AS44" s="427">
        <v>810.91150153382068</v>
      </c>
      <c r="AT44" s="427">
        <v>810.91150153382068</v>
      </c>
      <c r="AU44" s="427">
        <v>810.91150153382068</v>
      </c>
      <c r="AV44" s="427">
        <v>810.91150153382068</v>
      </c>
      <c r="AW44" s="427">
        <v>810.91150153382068</v>
      </c>
      <c r="AX44" s="427">
        <v>810.91150153382068</v>
      </c>
      <c r="AY44" s="427">
        <v>810.91150153382068</v>
      </c>
      <c r="AZ44" s="427">
        <v>810.91150153382068</v>
      </c>
      <c r="BA44" s="427">
        <v>810.91150153382068</v>
      </c>
      <c r="BB44" s="427">
        <v>810.91150153382068</v>
      </c>
      <c r="BC44" s="427">
        <v>810.91150153382068</v>
      </c>
      <c r="BD44" s="427">
        <v>810.91150153382068</v>
      </c>
      <c r="BE44" s="427">
        <v>810.91150153382068</v>
      </c>
      <c r="BF44" s="427">
        <v>810.91150153382068</v>
      </c>
      <c r="BG44" s="427">
        <v>810.91150153382068</v>
      </c>
      <c r="BH44" s="427">
        <v>810.91150153382068</v>
      </c>
      <c r="BI44" s="427">
        <v>810.91150153382068</v>
      </c>
      <c r="BJ44" s="427">
        <v>810.91150153382068</v>
      </c>
      <c r="BK44" s="427">
        <v>0</v>
      </c>
      <c r="BL44" s="427">
        <v>0</v>
      </c>
      <c r="BM44" s="427">
        <v>0</v>
      </c>
      <c r="BN44" s="427">
        <v>0</v>
      </c>
      <c r="BO44" s="427">
        <v>0</v>
      </c>
      <c r="BP44" s="427">
        <v>0</v>
      </c>
      <c r="BQ44" s="427">
        <v>0</v>
      </c>
      <c r="BR44" s="427">
        <v>0</v>
      </c>
      <c r="BS44" s="427">
        <v>0</v>
      </c>
      <c r="BT44" s="427">
        <v>0</v>
      </c>
      <c r="BU44" s="427">
        <v>0</v>
      </c>
      <c r="BV44" s="427">
        <v>0</v>
      </c>
      <c r="BW44" s="427">
        <v>0</v>
      </c>
      <c r="BX44" s="427">
        <v>0</v>
      </c>
      <c r="BY44" s="427">
        <v>0</v>
      </c>
      <c r="BZ44" s="427">
        <v>0</v>
      </c>
      <c r="CA44" s="427">
        <v>0</v>
      </c>
      <c r="CB44" s="427">
        <v>0</v>
      </c>
      <c r="CC44" s="427">
        <v>0</v>
      </c>
      <c r="CD44" s="427">
        <v>0</v>
      </c>
      <c r="CE44" s="427">
        <v>0</v>
      </c>
      <c r="CF44" s="427">
        <v>0</v>
      </c>
      <c r="CG44" s="427">
        <v>0</v>
      </c>
      <c r="CH44" s="427">
        <v>0</v>
      </c>
      <c r="CI44" s="427">
        <v>0</v>
      </c>
      <c r="CJ44" s="427">
        <v>0</v>
      </c>
      <c r="CK44" s="428">
        <v>0</v>
      </c>
      <c r="CL44" s="428">
        <v>0</v>
      </c>
      <c r="CM44" s="428">
        <v>0</v>
      </c>
      <c r="CN44" s="428">
        <v>0</v>
      </c>
      <c r="CO44" s="428">
        <v>0</v>
      </c>
      <c r="CP44" s="428">
        <v>0</v>
      </c>
      <c r="CQ44" s="428">
        <v>0</v>
      </c>
      <c r="CR44" s="428">
        <v>0</v>
      </c>
      <c r="CS44" s="428">
        <v>0</v>
      </c>
      <c r="CT44" s="428">
        <v>0</v>
      </c>
      <c r="CU44" s="428">
        <v>0</v>
      </c>
      <c r="CV44" s="428">
        <v>0</v>
      </c>
      <c r="CW44" s="428">
        <v>0</v>
      </c>
      <c r="CX44" s="428"/>
      <c r="CY44" s="428"/>
      <c r="CZ44" s="428"/>
      <c r="DA44" s="428"/>
      <c r="DB44" s="428"/>
      <c r="DC44" s="428"/>
      <c r="DD44" s="428"/>
      <c r="DE44" s="428"/>
      <c r="DF44" s="428"/>
      <c r="DG44" s="428"/>
      <c r="DH44" s="428"/>
      <c r="DI44" s="428"/>
    </row>
    <row r="45" spans="1:113" s="388" customFormat="1">
      <c r="A45" s="421" t="s">
        <v>370</v>
      </c>
      <c r="B45" s="421" t="s">
        <v>241</v>
      </c>
      <c r="C45" s="421" t="s">
        <v>394</v>
      </c>
      <c r="D45" s="422" t="s">
        <v>376</v>
      </c>
      <c r="E45" s="422">
        <v>2015</v>
      </c>
      <c r="F45" s="423">
        <v>0.76639981279010416</v>
      </c>
      <c r="G45" s="424">
        <v>208.89800000003913</v>
      </c>
      <c r="H45" s="422">
        <v>18</v>
      </c>
      <c r="I45" s="425">
        <v>0.56653086399822961</v>
      </c>
      <c r="J45" s="425">
        <v>0.56653086399822961</v>
      </c>
      <c r="K45" s="422">
        <v>0</v>
      </c>
      <c r="L45" s="422">
        <v>0</v>
      </c>
      <c r="M45" s="422">
        <v>0</v>
      </c>
      <c r="N45" s="426">
        <v>40</v>
      </c>
      <c r="O45" s="426">
        <v>18.614754474086137</v>
      </c>
      <c r="P45" s="426">
        <v>18.614754474086137</v>
      </c>
      <c r="Q45" s="426">
        <v>18.614754474086137</v>
      </c>
      <c r="R45" s="426">
        <v>18.614754474086137</v>
      </c>
      <c r="S45" s="426">
        <v>18.614754474086137</v>
      </c>
      <c r="T45" s="426">
        <v>18.614754474086137</v>
      </c>
      <c r="U45" s="426">
        <v>18.614754474086137</v>
      </c>
      <c r="V45" s="426">
        <v>18.614754474086137</v>
      </c>
      <c r="W45" s="426">
        <v>18.614754474086137</v>
      </c>
      <c r="X45" s="426">
        <v>18.614754474086137</v>
      </c>
      <c r="Y45" s="426">
        <v>18.614754474086137</v>
      </c>
      <c r="Z45" s="426">
        <v>18.614754474086137</v>
      </c>
      <c r="AA45" s="426">
        <v>18.614754474086137</v>
      </c>
      <c r="AB45" s="426">
        <v>18.614754474086137</v>
      </c>
      <c r="AC45" s="426">
        <v>18.614754474086137</v>
      </c>
      <c r="AD45" s="426">
        <v>18.614754474086137</v>
      </c>
      <c r="AE45" s="426">
        <v>18.614754474086137</v>
      </c>
      <c r="AF45" s="426">
        <v>18.614754474086137</v>
      </c>
      <c r="AG45" s="426">
        <v>0</v>
      </c>
      <c r="AH45" s="426">
        <v>0</v>
      </c>
      <c r="AI45" s="426">
        <v>0</v>
      </c>
      <c r="AJ45" s="426">
        <v>0</v>
      </c>
      <c r="AK45" s="426">
        <v>0</v>
      </c>
      <c r="AL45" s="426">
        <v>0</v>
      </c>
      <c r="AM45" s="427">
        <v>0</v>
      </c>
      <c r="AN45" s="427">
        <v>5073.8334159710321</v>
      </c>
      <c r="AO45" s="427">
        <v>5073.8334159710321</v>
      </c>
      <c r="AP45" s="427">
        <v>5073.8334159710321</v>
      </c>
      <c r="AQ45" s="427">
        <v>5073.8334159710321</v>
      </c>
      <c r="AR45" s="427">
        <v>5073.8334159710321</v>
      </c>
      <c r="AS45" s="427">
        <v>5073.8334159710321</v>
      </c>
      <c r="AT45" s="427">
        <v>5073.8334159710321</v>
      </c>
      <c r="AU45" s="427">
        <v>5073.8334159710321</v>
      </c>
      <c r="AV45" s="427">
        <v>5073.8334159710321</v>
      </c>
      <c r="AW45" s="427">
        <v>5073.8334159710321</v>
      </c>
      <c r="AX45" s="427">
        <v>5073.8334159710321</v>
      </c>
      <c r="AY45" s="427">
        <v>5073.8334159710321</v>
      </c>
      <c r="AZ45" s="427">
        <v>5073.8334159710321</v>
      </c>
      <c r="BA45" s="427">
        <v>5073.8334159710321</v>
      </c>
      <c r="BB45" s="427">
        <v>5073.8334159710321</v>
      </c>
      <c r="BC45" s="427">
        <v>5073.8334159710321</v>
      </c>
      <c r="BD45" s="427">
        <v>5073.8334159710321</v>
      </c>
      <c r="BE45" s="427">
        <v>5073.8334159710321</v>
      </c>
      <c r="BF45" s="427">
        <v>0</v>
      </c>
      <c r="BG45" s="427">
        <v>0</v>
      </c>
      <c r="BH45" s="427">
        <v>0</v>
      </c>
      <c r="BI45" s="427">
        <v>0</v>
      </c>
      <c r="BJ45" s="427">
        <v>0</v>
      </c>
      <c r="BK45" s="427">
        <v>0</v>
      </c>
      <c r="BL45" s="427">
        <v>0</v>
      </c>
      <c r="BM45" s="427">
        <v>0</v>
      </c>
      <c r="BN45" s="427">
        <v>0</v>
      </c>
      <c r="BO45" s="427">
        <v>0</v>
      </c>
      <c r="BP45" s="427">
        <v>0</v>
      </c>
      <c r="BQ45" s="427">
        <v>0</v>
      </c>
      <c r="BR45" s="427">
        <v>0</v>
      </c>
      <c r="BS45" s="427">
        <v>0</v>
      </c>
      <c r="BT45" s="427">
        <v>0</v>
      </c>
      <c r="BU45" s="427">
        <v>0</v>
      </c>
      <c r="BV45" s="427">
        <v>0</v>
      </c>
      <c r="BW45" s="427">
        <v>0</v>
      </c>
      <c r="BX45" s="427">
        <v>0</v>
      </c>
      <c r="BY45" s="427">
        <v>0</v>
      </c>
      <c r="BZ45" s="427">
        <v>0</v>
      </c>
      <c r="CA45" s="427">
        <v>0</v>
      </c>
      <c r="CB45" s="427">
        <v>0</v>
      </c>
      <c r="CC45" s="427">
        <v>0</v>
      </c>
      <c r="CD45" s="427">
        <v>0</v>
      </c>
      <c r="CE45" s="427">
        <v>0</v>
      </c>
      <c r="CF45" s="427">
        <v>0</v>
      </c>
      <c r="CG45" s="427">
        <v>0</v>
      </c>
      <c r="CH45" s="427">
        <v>0</v>
      </c>
      <c r="CI45" s="427">
        <v>0</v>
      </c>
      <c r="CJ45" s="427">
        <v>0</v>
      </c>
      <c r="CK45" s="428">
        <v>0</v>
      </c>
      <c r="CL45" s="428">
        <v>0</v>
      </c>
      <c r="CM45" s="428">
        <v>0</v>
      </c>
      <c r="CN45" s="428">
        <v>0</v>
      </c>
      <c r="CO45" s="428">
        <v>0</v>
      </c>
      <c r="CP45" s="428">
        <v>0</v>
      </c>
      <c r="CQ45" s="428">
        <v>0</v>
      </c>
      <c r="CR45" s="428">
        <v>0</v>
      </c>
      <c r="CS45" s="428">
        <v>0</v>
      </c>
      <c r="CT45" s="428">
        <v>0</v>
      </c>
      <c r="CU45" s="428">
        <v>0</v>
      </c>
      <c r="CV45" s="428">
        <v>0</v>
      </c>
      <c r="CW45" s="428">
        <v>0</v>
      </c>
      <c r="CX45" s="428"/>
      <c r="CY45" s="428"/>
      <c r="CZ45" s="428"/>
      <c r="DA45" s="428"/>
      <c r="DB45" s="428"/>
      <c r="DC45" s="428"/>
      <c r="DD45" s="428"/>
      <c r="DE45" s="428"/>
      <c r="DF45" s="428"/>
      <c r="DG45" s="428"/>
      <c r="DH45" s="428"/>
      <c r="DI45" s="428"/>
    </row>
    <row r="46" spans="1:113" s="388" customFormat="1">
      <c r="A46" s="421" t="s">
        <v>370</v>
      </c>
      <c r="B46" s="421" t="s">
        <v>241</v>
      </c>
      <c r="C46" s="421" t="s">
        <v>394</v>
      </c>
      <c r="D46" s="422" t="s">
        <v>376</v>
      </c>
      <c r="E46" s="422">
        <v>2016</v>
      </c>
      <c r="F46" s="423">
        <v>0.76639981279010416</v>
      </c>
      <c r="G46" s="424">
        <v>208.89800000003913</v>
      </c>
      <c r="H46" s="422">
        <v>18</v>
      </c>
      <c r="I46" s="425">
        <v>0.56653086399822961</v>
      </c>
      <c r="J46" s="425">
        <v>0.56653086399822961</v>
      </c>
      <c r="K46" s="422">
        <v>0</v>
      </c>
      <c r="L46" s="422">
        <v>0</v>
      </c>
      <c r="M46" s="422">
        <v>0</v>
      </c>
      <c r="N46" s="426">
        <v>5</v>
      </c>
      <c r="O46" s="426">
        <v>0</v>
      </c>
      <c r="P46" s="426">
        <v>2.3268443092607671</v>
      </c>
      <c r="Q46" s="426">
        <v>2.3268443092607671</v>
      </c>
      <c r="R46" s="426">
        <v>2.3268443092607671</v>
      </c>
      <c r="S46" s="426">
        <v>2.3268443092607671</v>
      </c>
      <c r="T46" s="426">
        <v>2.3268443092607671</v>
      </c>
      <c r="U46" s="426">
        <v>2.3268443092607671</v>
      </c>
      <c r="V46" s="426">
        <v>2.3268443092607671</v>
      </c>
      <c r="W46" s="426">
        <v>2.3268443092607671</v>
      </c>
      <c r="X46" s="426">
        <v>2.3268443092607671</v>
      </c>
      <c r="Y46" s="426">
        <v>2.3268443092607671</v>
      </c>
      <c r="Z46" s="426">
        <v>2.3268443092607671</v>
      </c>
      <c r="AA46" s="426">
        <v>2.3268443092607671</v>
      </c>
      <c r="AB46" s="426">
        <v>2.3268443092607671</v>
      </c>
      <c r="AC46" s="426">
        <v>2.3268443092607671</v>
      </c>
      <c r="AD46" s="426">
        <v>2.3268443092607671</v>
      </c>
      <c r="AE46" s="426">
        <v>2.3268443092607671</v>
      </c>
      <c r="AF46" s="426">
        <v>2.3268443092607671</v>
      </c>
      <c r="AG46" s="426">
        <v>2.3268443092607671</v>
      </c>
      <c r="AH46" s="426">
        <v>0</v>
      </c>
      <c r="AI46" s="426">
        <v>0</v>
      </c>
      <c r="AJ46" s="426">
        <v>0</v>
      </c>
      <c r="AK46" s="426">
        <v>0</v>
      </c>
      <c r="AL46" s="426">
        <v>0</v>
      </c>
      <c r="AM46" s="427">
        <v>0</v>
      </c>
      <c r="AN46" s="427">
        <v>0</v>
      </c>
      <c r="AO46" s="427">
        <v>634.22917699637901</v>
      </c>
      <c r="AP46" s="427">
        <v>634.22917699637901</v>
      </c>
      <c r="AQ46" s="427">
        <v>634.22917699637901</v>
      </c>
      <c r="AR46" s="427">
        <v>634.22917699637901</v>
      </c>
      <c r="AS46" s="427">
        <v>634.22917699637901</v>
      </c>
      <c r="AT46" s="427">
        <v>634.22917699637901</v>
      </c>
      <c r="AU46" s="427">
        <v>634.22917699637901</v>
      </c>
      <c r="AV46" s="427">
        <v>634.22917699637901</v>
      </c>
      <c r="AW46" s="427">
        <v>634.22917699637901</v>
      </c>
      <c r="AX46" s="427">
        <v>634.22917699637901</v>
      </c>
      <c r="AY46" s="427">
        <v>634.22917699637901</v>
      </c>
      <c r="AZ46" s="427">
        <v>634.22917699637901</v>
      </c>
      <c r="BA46" s="427">
        <v>634.22917699637901</v>
      </c>
      <c r="BB46" s="427">
        <v>634.22917699637901</v>
      </c>
      <c r="BC46" s="427">
        <v>634.22917699637901</v>
      </c>
      <c r="BD46" s="427">
        <v>634.22917699637901</v>
      </c>
      <c r="BE46" s="427">
        <v>634.22917699637901</v>
      </c>
      <c r="BF46" s="427">
        <v>634.22917699637901</v>
      </c>
      <c r="BG46" s="427">
        <v>0</v>
      </c>
      <c r="BH46" s="427">
        <v>0</v>
      </c>
      <c r="BI46" s="427">
        <v>0</v>
      </c>
      <c r="BJ46" s="427">
        <v>0</v>
      </c>
      <c r="BK46" s="427">
        <v>0</v>
      </c>
      <c r="BL46" s="427">
        <v>0</v>
      </c>
      <c r="BM46" s="427">
        <v>0</v>
      </c>
      <c r="BN46" s="427">
        <v>0</v>
      </c>
      <c r="BO46" s="427">
        <v>0</v>
      </c>
      <c r="BP46" s="427">
        <v>0</v>
      </c>
      <c r="BQ46" s="427">
        <v>0</v>
      </c>
      <c r="BR46" s="427">
        <v>0</v>
      </c>
      <c r="BS46" s="427">
        <v>0</v>
      </c>
      <c r="BT46" s="427">
        <v>0</v>
      </c>
      <c r="BU46" s="427">
        <v>0</v>
      </c>
      <c r="BV46" s="427">
        <v>0</v>
      </c>
      <c r="BW46" s="427">
        <v>0</v>
      </c>
      <c r="BX46" s="427">
        <v>0</v>
      </c>
      <c r="BY46" s="427">
        <v>0</v>
      </c>
      <c r="BZ46" s="427">
        <v>0</v>
      </c>
      <c r="CA46" s="427">
        <v>0</v>
      </c>
      <c r="CB46" s="427">
        <v>0</v>
      </c>
      <c r="CC46" s="427">
        <v>0</v>
      </c>
      <c r="CD46" s="427">
        <v>0</v>
      </c>
      <c r="CE46" s="427">
        <v>0</v>
      </c>
      <c r="CF46" s="427">
        <v>0</v>
      </c>
      <c r="CG46" s="427">
        <v>0</v>
      </c>
      <c r="CH46" s="427">
        <v>0</v>
      </c>
      <c r="CI46" s="427">
        <v>0</v>
      </c>
      <c r="CJ46" s="427">
        <v>0</v>
      </c>
      <c r="CK46" s="428">
        <v>0</v>
      </c>
      <c r="CL46" s="428">
        <v>0</v>
      </c>
      <c r="CM46" s="428">
        <v>0</v>
      </c>
      <c r="CN46" s="428">
        <v>0</v>
      </c>
      <c r="CO46" s="428">
        <v>0</v>
      </c>
      <c r="CP46" s="428">
        <v>0</v>
      </c>
      <c r="CQ46" s="428">
        <v>0</v>
      </c>
      <c r="CR46" s="428">
        <v>0</v>
      </c>
      <c r="CS46" s="428">
        <v>0</v>
      </c>
      <c r="CT46" s="428">
        <v>0</v>
      </c>
      <c r="CU46" s="428">
        <v>0</v>
      </c>
      <c r="CV46" s="428">
        <v>0</v>
      </c>
      <c r="CW46" s="428">
        <v>0</v>
      </c>
      <c r="CX46" s="428"/>
      <c r="CY46" s="428"/>
      <c r="CZ46" s="428"/>
      <c r="DA46" s="428"/>
      <c r="DB46" s="428"/>
      <c r="DC46" s="428"/>
      <c r="DD46" s="428"/>
      <c r="DE46" s="428"/>
      <c r="DF46" s="428"/>
      <c r="DG46" s="428"/>
      <c r="DH46" s="428"/>
      <c r="DI46" s="428"/>
    </row>
    <row r="47" spans="1:113" s="388" customFormat="1">
      <c r="A47" s="421" t="s">
        <v>370</v>
      </c>
      <c r="B47" s="421" t="s">
        <v>241</v>
      </c>
      <c r="C47" s="421" t="s">
        <v>394</v>
      </c>
      <c r="D47" s="422" t="s">
        <v>376</v>
      </c>
      <c r="E47" s="422">
        <v>2017</v>
      </c>
      <c r="F47" s="423">
        <v>0.76639981279010416</v>
      </c>
      <c r="G47" s="424">
        <v>208.89800000003913</v>
      </c>
      <c r="H47" s="422">
        <v>18</v>
      </c>
      <c r="I47" s="425">
        <v>0.56653086399822961</v>
      </c>
      <c r="J47" s="425">
        <v>0.56653086399822961</v>
      </c>
      <c r="K47" s="422">
        <v>0</v>
      </c>
      <c r="L47" s="422">
        <v>0</v>
      </c>
      <c r="M47" s="422">
        <v>0</v>
      </c>
      <c r="N47" s="426">
        <v>5</v>
      </c>
      <c r="O47" s="426">
        <v>0</v>
      </c>
      <c r="P47" s="426">
        <v>0</v>
      </c>
      <c r="Q47" s="426">
        <v>2.3268443092607671</v>
      </c>
      <c r="R47" s="426">
        <v>2.3268443092607671</v>
      </c>
      <c r="S47" s="426">
        <v>2.3268443092607671</v>
      </c>
      <c r="T47" s="426">
        <v>2.3268443092607671</v>
      </c>
      <c r="U47" s="426">
        <v>2.3268443092607671</v>
      </c>
      <c r="V47" s="426">
        <v>2.3268443092607671</v>
      </c>
      <c r="W47" s="426">
        <v>2.3268443092607671</v>
      </c>
      <c r="X47" s="426">
        <v>2.3268443092607671</v>
      </c>
      <c r="Y47" s="426">
        <v>2.3268443092607671</v>
      </c>
      <c r="Z47" s="426">
        <v>2.3268443092607671</v>
      </c>
      <c r="AA47" s="426">
        <v>2.3268443092607671</v>
      </c>
      <c r="AB47" s="426">
        <v>2.3268443092607671</v>
      </c>
      <c r="AC47" s="426">
        <v>2.3268443092607671</v>
      </c>
      <c r="AD47" s="426">
        <v>2.3268443092607671</v>
      </c>
      <c r="AE47" s="426">
        <v>2.3268443092607671</v>
      </c>
      <c r="AF47" s="426">
        <v>2.3268443092607671</v>
      </c>
      <c r="AG47" s="426">
        <v>2.3268443092607671</v>
      </c>
      <c r="AH47" s="426">
        <v>2.3268443092607671</v>
      </c>
      <c r="AI47" s="426">
        <v>0</v>
      </c>
      <c r="AJ47" s="426">
        <v>0</v>
      </c>
      <c r="AK47" s="426">
        <v>0</v>
      </c>
      <c r="AL47" s="426">
        <v>0</v>
      </c>
      <c r="AM47" s="427">
        <v>0</v>
      </c>
      <c r="AN47" s="427">
        <v>0</v>
      </c>
      <c r="AO47" s="427">
        <v>0</v>
      </c>
      <c r="AP47" s="427">
        <v>634.22917699637901</v>
      </c>
      <c r="AQ47" s="427">
        <v>634.22917699637901</v>
      </c>
      <c r="AR47" s="427">
        <v>634.22917699637901</v>
      </c>
      <c r="AS47" s="427">
        <v>634.22917699637901</v>
      </c>
      <c r="AT47" s="427">
        <v>634.22917699637901</v>
      </c>
      <c r="AU47" s="427">
        <v>634.22917699637901</v>
      </c>
      <c r="AV47" s="427">
        <v>634.22917699637901</v>
      </c>
      <c r="AW47" s="427">
        <v>634.22917699637901</v>
      </c>
      <c r="AX47" s="427">
        <v>634.22917699637901</v>
      </c>
      <c r="AY47" s="427">
        <v>634.22917699637901</v>
      </c>
      <c r="AZ47" s="427">
        <v>634.22917699637901</v>
      </c>
      <c r="BA47" s="427">
        <v>634.22917699637901</v>
      </c>
      <c r="BB47" s="427">
        <v>634.22917699637901</v>
      </c>
      <c r="BC47" s="427">
        <v>634.22917699637901</v>
      </c>
      <c r="BD47" s="427">
        <v>634.22917699637901</v>
      </c>
      <c r="BE47" s="427">
        <v>634.22917699637901</v>
      </c>
      <c r="BF47" s="427">
        <v>634.22917699637901</v>
      </c>
      <c r="BG47" s="427">
        <v>634.22917699637901</v>
      </c>
      <c r="BH47" s="427">
        <v>0</v>
      </c>
      <c r="BI47" s="427">
        <v>0</v>
      </c>
      <c r="BJ47" s="427">
        <v>0</v>
      </c>
      <c r="BK47" s="427">
        <v>0</v>
      </c>
      <c r="BL47" s="427">
        <v>0</v>
      </c>
      <c r="BM47" s="427">
        <v>0</v>
      </c>
      <c r="BN47" s="427">
        <v>0</v>
      </c>
      <c r="BO47" s="427">
        <v>0</v>
      </c>
      <c r="BP47" s="427">
        <v>0</v>
      </c>
      <c r="BQ47" s="427">
        <v>0</v>
      </c>
      <c r="BR47" s="427">
        <v>0</v>
      </c>
      <c r="BS47" s="427">
        <v>0</v>
      </c>
      <c r="BT47" s="427">
        <v>0</v>
      </c>
      <c r="BU47" s="427">
        <v>0</v>
      </c>
      <c r="BV47" s="427">
        <v>0</v>
      </c>
      <c r="BW47" s="427">
        <v>0</v>
      </c>
      <c r="BX47" s="427">
        <v>0</v>
      </c>
      <c r="BY47" s="427">
        <v>0</v>
      </c>
      <c r="BZ47" s="427">
        <v>0</v>
      </c>
      <c r="CA47" s="427">
        <v>0</v>
      </c>
      <c r="CB47" s="427">
        <v>0</v>
      </c>
      <c r="CC47" s="427">
        <v>0</v>
      </c>
      <c r="CD47" s="427">
        <v>0</v>
      </c>
      <c r="CE47" s="427">
        <v>0</v>
      </c>
      <c r="CF47" s="427">
        <v>0</v>
      </c>
      <c r="CG47" s="427">
        <v>0</v>
      </c>
      <c r="CH47" s="427">
        <v>0</v>
      </c>
      <c r="CI47" s="427">
        <v>0</v>
      </c>
      <c r="CJ47" s="427">
        <v>0</v>
      </c>
      <c r="CK47" s="428">
        <v>0</v>
      </c>
      <c r="CL47" s="428">
        <v>0</v>
      </c>
      <c r="CM47" s="428">
        <v>0</v>
      </c>
      <c r="CN47" s="428">
        <v>0</v>
      </c>
      <c r="CO47" s="428">
        <v>0</v>
      </c>
      <c r="CP47" s="428">
        <v>0</v>
      </c>
      <c r="CQ47" s="428">
        <v>0</v>
      </c>
      <c r="CR47" s="428">
        <v>0</v>
      </c>
      <c r="CS47" s="428">
        <v>0</v>
      </c>
      <c r="CT47" s="428">
        <v>0</v>
      </c>
      <c r="CU47" s="428">
        <v>0</v>
      </c>
      <c r="CV47" s="428">
        <v>0</v>
      </c>
      <c r="CW47" s="428">
        <v>0</v>
      </c>
      <c r="CX47" s="428"/>
      <c r="CY47" s="428"/>
      <c r="CZ47" s="428"/>
      <c r="DA47" s="428"/>
      <c r="DB47" s="428"/>
      <c r="DC47" s="428"/>
      <c r="DD47" s="428"/>
      <c r="DE47" s="428"/>
      <c r="DF47" s="428"/>
      <c r="DG47" s="428"/>
      <c r="DH47" s="428"/>
      <c r="DI47" s="428"/>
    </row>
    <row r="48" spans="1:113" s="388" customFormat="1">
      <c r="A48" s="421" t="s">
        <v>370</v>
      </c>
      <c r="B48" s="421" t="s">
        <v>241</v>
      </c>
      <c r="C48" s="421" t="s">
        <v>394</v>
      </c>
      <c r="D48" s="422" t="s">
        <v>376</v>
      </c>
      <c r="E48" s="422">
        <v>2018</v>
      </c>
      <c r="F48" s="423">
        <v>0.76639981279010416</v>
      </c>
      <c r="G48" s="424">
        <v>208.89800000003913</v>
      </c>
      <c r="H48" s="422">
        <v>18</v>
      </c>
      <c r="I48" s="425">
        <v>0.56653086399822961</v>
      </c>
      <c r="J48" s="425">
        <v>0.56653086399822961</v>
      </c>
      <c r="K48" s="422">
        <v>0</v>
      </c>
      <c r="L48" s="422">
        <v>0</v>
      </c>
      <c r="M48" s="422">
        <v>0</v>
      </c>
      <c r="N48" s="426">
        <v>5</v>
      </c>
      <c r="O48" s="426">
        <v>0</v>
      </c>
      <c r="P48" s="426">
        <v>0</v>
      </c>
      <c r="Q48" s="426">
        <v>0</v>
      </c>
      <c r="R48" s="426">
        <v>2.3268443092607671</v>
      </c>
      <c r="S48" s="426">
        <v>2.3268443092607671</v>
      </c>
      <c r="T48" s="426">
        <v>2.3268443092607671</v>
      </c>
      <c r="U48" s="426">
        <v>2.3268443092607671</v>
      </c>
      <c r="V48" s="426">
        <v>2.3268443092607671</v>
      </c>
      <c r="W48" s="426">
        <v>2.3268443092607671</v>
      </c>
      <c r="X48" s="426">
        <v>2.3268443092607671</v>
      </c>
      <c r="Y48" s="426">
        <v>2.3268443092607671</v>
      </c>
      <c r="Z48" s="426">
        <v>2.3268443092607671</v>
      </c>
      <c r="AA48" s="426">
        <v>2.3268443092607671</v>
      </c>
      <c r="AB48" s="426">
        <v>2.3268443092607671</v>
      </c>
      <c r="AC48" s="426">
        <v>2.3268443092607671</v>
      </c>
      <c r="AD48" s="426">
        <v>2.3268443092607671</v>
      </c>
      <c r="AE48" s="426">
        <v>2.3268443092607671</v>
      </c>
      <c r="AF48" s="426">
        <v>2.3268443092607671</v>
      </c>
      <c r="AG48" s="426">
        <v>2.3268443092607671</v>
      </c>
      <c r="AH48" s="426">
        <v>2.3268443092607671</v>
      </c>
      <c r="AI48" s="426">
        <v>2.3268443092607671</v>
      </c>
      <c r="AJ48" s="426">
        <v>0</v>
      </c>
      <c r="AK48" s="426">
        <v>0</v>
      </c>
      <c r="AL48" s="426">
        <v>0</v>
      </c>
      <c r="AM48" s="427">
        <v>0</v>
      </c>
      <c r="AN48" s="427">
        <v>0</v>
      </c>
      <c r="AO48" s="427">
        <v>0</v>
      </c>
      <c r="AP48" s="427">
        <v>0</v>
      </c>
      <c r="AQ48" s="427">
        <v>634.22917699637901</v>
      </c>
      <c r="AR48" s="427">
        <v>634.22917699637901</v>
      </c>
      <c r="AS48" s="427">
        <v>634.22917699637901</v>
      </c>
      <c r="AT48" s="427">
        <v>634.22917699637901</v>
      </c>
      <c r="AU48" s="427">
        <v>634.22917699637901</v>
      </c>
      <c r="AV48" s="427">
        <v>634.22917699637901</v>
      </c>
      <c r="AW48" s="427">
        <v>634.22917699637901</v>
      </c>
      <c r="AX48" s="427">
        <v>634.22917699637901</v>
      </c>
      <c r="AY48" s="427">
        <v>634.22917699637901</v>
      </c>
      <c r="AZ48" s="427">
        <v>634.22917699637901</v>
      </c>
      <c r="BA48" s="427">
        <v>634.22917699637901</v>
      </c>
      <c r="BB48" s="427">
        <v>634.22917699637901</v>
      </c>
      <c r="BC48" s="427">
        <v>634.22917699637901</v>
      </c>
      <c r="BD48" s="427">
        <v>634.22917699637901</v>
      </c>
      <c r="BE48" s="427">
        <v>634.22917699637901</v>
      </c>
      <c r="BF48" s="427">
        <v>634.22917699637901</v>
      </c>
      <c r="BG48" s="427">
        <v>634.22917699637901</v>
      </c>
      <c r="BH48" s="427">
        <v>634.22917699637901</v>
      </c>
      <c r="BI48" s="427">
        <v>0</v>
      </c>
      <c r="BJ48" s="427">
        <v>0</v>
      </c>
      <c r="BK48" s="427">
        <v>0</v>
      </c>
      <c r="BL48" s="427">
        <v>0</v>
      </c>
      <c r="BM48" s="427">
        <v>0</v>
      </c>
      <c r="BN48" s="427">
        <v>0</v>
      </c>
      <c r="BO48" s="427">
        <v>0</v>
      </c>
      <c r="BP48" s="427">
        <v>0</v>
      </c>
      <c r="BQ48" s="427">
        <v>0</v>
      </c>
      <c r="BR48" s="427">
        <v>0</v>
      </c>
      <c r="BS48" s="427">
        <v>0</v>
      </c>
      <c r="BT48" s="427">
        <v>0</v>
      </c>
      <c r="BU48" s="427">
        <v>0</v>
      </c>
      <c r="BV48" s="427">
        <v>0</v>
      </c>
      <c r="BW48" s="427">
        <v>0</v>
      </c>
      <c r="BX48" s="427">
        <v>0</v>
      </c>
      <c r="BY48" s="427">
        <v>0</v>
      </c>
      <c r="BZ48" s="427">
        <v>0</v>
      </c>
      <c r="CA48" s="427">
        <v>0</v>
      </c>
      <c r="CB48" s="427">
        <v>0</v>
      </c>
      <c r="CC48" s="427">
        <v>0</v>
      </c>
      <c r="CD48" s="427">
        <v>0</v>
      </c>
      <c r="CE48" s="427">
        <v>0</v>
      </c>
      <c r="CF48" s="427">
        <v>0</v>
      </c>
      <c r="CG48" s="427">
        <v>0</v>
      </c>
      <c r="CH48" s="427">
        <v>0</v>
      </c>
      <c r="CI48" s="427">
        <v>0</v>
      </c>
      <c r="CJ48" s="427">
        <v>0</v>
      </c>
      <c r="CK48" s="428">
        <v>0</v>
      </c>
      <c r="CL48" s="428">
        <v>0</v>
      </c>
      <c r="CM48" s="428">
        <v>0</v>
      </c>
      <c r="CN48" s="428">
        <v>0</v>
      </c>
      <c r="CO48" s="428">
        <v>0</v>
      </c>
      <c r="CP48" s="428">
        <v>0</v>
      </c>
      <c r="CQ48" s="428">
        <v>0</v>
      </c>
      <c r="CR48" s="428">
        <v>0</v>
      </c>
      <c r="CS48" s="428">
        <v>0</v>
      </c>
      <c r="CT48" s="428">
        <v>0</v>
      </c>
      <c r="CU48" s="428">
        <v>0</v>
      </c>
      <c r="CV48" s="428">
        <v>0</v>
      </c>
      <c r="CW48" s="428">
        <v>0</v>
      </c>
      <c r="CX48" s="428"/>
      <c r="CY48" s="428"/>
      <c r="CZ48" s="428"/>
      <c r="DA48" s="428"/>
      <c r="DB48" s="428"/>
      <c r="DC48" s="428"/>
      <c r="DD48" s="428"/>
      <c r="DE48" s="428"/>
      <c r="DF48" s="428"/>
      <c r="DG48" s="428"/>
      <c r="DH48" s="428"/>
      <c r="DI48" s="428"/>
    </row>
    <row r="49" spans="1:113" s="388" customFormat="1">
      <c r="A49" s="421" t="s">
        <v>370</v>
      </c>
      <c r="B49" s="421" t="s">
        <v>241</v>
      </c>
      <c r="C49" s="421" t="s">
        <v>394</v>
      </c>
      <c r="D49" s="422" t="s">
        <v>376</v>
      </c>
      <c r="E49" s="422">
        <v>2019</v>
      </c>
      <c r="F49" s="423">
        <v>0.76639981279010416</v>
      </c>
      <c r="G49" s="424">
        <v>208.89800000003913</v>
      </c>
      <c r="H49" s="422">
        <v>18</v>
      </c>
      <c r="I49" s="425">
        <v>0.56653086399822961</v>
      </c>
      <c r="J49" s="425">
        <v>0.56653086399822961</v>
      </c>
      <c r="K49" s="422">
        <v>0</v>
      </c>
      <c r="L49" s="422">
        <v>0</v>
      </c>
      <c r="M49" s="422">
        <v>0</v>
      </c>
      <c r="N49" s="426">
        <v>5</v>
      </c>
      <c r="O49" s="426">
        <v>0</v>
      </c>
      <c r="P49" s="426">
        <v>0</v>
      </c>
      <c r="Q49" s="426">
        <v>0</v>
      </c>
      <c r="R49" s="426">
        <v>0</v>
      </c>
      <c r="S49" s="426">
        <v>2.3268443092607671</v>
      </c>
      <c r="T49" s="426">
        <v>2.3268443092607671</v>
      </c>
      <c r="U49" s="426">
        <v>2.3268443092607671</v>
      </c>
      <c r="V49" s="426">
        <v>2.3268443092607671</v>
      </c>
      <c r="W49" s="426">
        <v>2.3268443092607671</v>
      </c>
      <c r="X49" s="426">
        <v>2.3268443092607671</v>
      </c>
      <c r="Y49" s="426">
        <v>2.3268443092607671</v>
      </c>
      <c r="Z49" s="426">
        <v>2.3268443092607671</v>
      </c>
      <c r="AA49" s="426">
        <v>2.3268443092607671</v>
      </c>
      <c r="AB49" s="426">
        <v>2.3268443092607671</v>
      </c>
      <c r="AC49" s="426">
        <v>2.3268443092607671</v>
      </c>
      <c r="AD49" s="426">
        <v>2.3268443092607671</v>
      </c>
      <c r="AE49" s="426">
        <v>2.3268443092607671</v>
      </c>
      <c r="AF49" s="426">
        <v>2.3268443092607671</v>
      </c>
      <c r="AG49" s="426">
        <v>2.3268443092607671</v>
      </c>
      <c r="AH49" s="426">
        <v>2.3268443092607671</v>
      </c>
      <c r="AI49" s="426">
        <v>2.3268443092607671</v>
      </c>
      <c r="AJ49" s="426">
        <v>2.3268443092607671</v>
      </c>
      <c r="AK49" s="426">
        <v>0</v>
      </c>
      <c r="AL49" s="426">
        <v>0</v>
      </c>
      <c r="AM49" s="427">
        <v>0</v>
      </c>
      <c r="AN49" s="427">
        <v>0</v>
      </c>
      <c r="AO49" s="427">
        <v>0</v>
      </c>
      <c r="AP49" s="427">
        <v>0</v>
      </c>
      <c r="AQ49" s="427">
        <v>0</v>
      </c>
      <c r="AR49" s="427">
        <v>634.22917699637901</v>
      </c>
      <c r="AS49" s="427">
        <v>634.22917699637901</v>
      </c>
      <c r="AT49" s="427">
        <v>634.22917699637901</v>
      </c>
      <c r="AU49" s="427">
        <v>634.22917699637901</v>
      </c>
      <c r="AV49" s="427">
        <v>634.22917699637901</v>
      </c>
      <c r="AW49" s="427">
        <v>634.22917699637901</v>
      </c>
      <c r="AX49" s="427">
        <v>634.22917699637901</v>
      </c>
      <c r="AY49" s="427">
        <v>634.22917699637901</v>
      </c>
      <c r="AZ49" s="427">
        <v>634.22917699637901</v>
      </c>
      <c r="BA49" s="427">
        <v>634.22917699637901</v>
      </c>
      <c r="BB49" s="427">
        <v>634.22917699637901</v>
      </c>
      <c r="BC49" s="427">
        <v>634.22917699637901</v>
      </c>
      <c r="BD49" s="427">
        <v>634.22917699637901</v>
      </c>
      <c r="BE49" s="427">
        <v>634.22917699637901</v>
      </c>
      <c r="BF49" s="427">
        <v>634.22917699637901</v>
      </c>
      <c r="BG49" s="427">
        <v>634.22917699637901</v>
      </c>
      <c r="BH49" s="427">
        <v>634.22917699637901</v>
      </c>
      <c r="BI49" s="427">
        <v>634.22917699637901</v>
      </c>
      <c r="BJ49" s="427">
        <v>0</v>
      </c>
      <c r="BK49" s="427">
        <v>0</v>
      </c>
      <c r="BL49" s="427">
        <v>0</v>
      </c>
      <c r="BM49" s="427">
        <v>0</v>
      </c>
      <c r="BN49" s="427">
        <v>0</v>
      </c>
      <c r="BO49" s="427">
        <v>0</v>
      </c>
      <c r="BP49" s="427">
        <v>0</v>
      </c>
      <c r="BQ49" s="427">
        <v>0</v>
      </c>
      <c r="BR49" s="427">
        <v>0</v>
      </c>
      <c r="BS49" s="427">
        <v>0</v>
      </c>
      <c r="BT49" s="427">
        <v>0</v>
      </c>
      <c r="BU49" s="427">
        <v>0</v>
      </c>
      <c r="BV49" s="427">
        <v>0</v>
      </c>
      <c r="BW49" s="427">
        <v>0</v>
      </c>
      <c r="BX49" s="427">
        <v>0</v>
      </c>
      <c r="BY49" s="427">
        <v>0</v>
      </c>
      <c r="BZ49" s="427">
        <v>0</v>
      </c>
      <c r="CA49" s="427">
        <v>0</v>
      </c>
      <c r="CB49" s="427">
        <v>0</v>
      </c>
      <c r="CC49" s="427">
        <v>0</v>
      </c>
      <c r="CD49" s="427">
        <v>0</v>
      </c>
      <c r="CE49" s="427">
        <v>0</v>
      </c>
      <c r="CF49" s="427">
        <v>0</v>
      </c>
      <c r="CG49" s="427">
        <v>0</v>
      </c>
      <c r="CH49" s="427">
        <v>0</v>
      </c>
      <c r="CI49" s="427">
        <v>0</v>
      </c>
      <c r="CJ49" s="427">
        <v>0</v>
      </c>
      <c r="CK49" s="428">
        <v>0</v>
      </c>
      <c r="CL49" s="428">
        <v>0</v>
      </c>
      <c r="CM49" s="428">
        <v>0</v>
      </c>
      <c r="CN49" s="428">
        <v>0</v>
      </c>
      <c r="CO49" s="428">
        <v>0</v>
      </c>
      <c r="CP49" s="428">
        <v>0</v>
      </c>
      <c r="CQ49" s="428">
        <v>0</v>
      </c>
      <c r="CR49" s="428">
        <v>0</v>
      </c>
      <c r="CS49" s="428">
        <v>0</v>
      </c>
      <c r="CT49" s="428">
        <v>0</v>
      </c>
      <c r="CU49" s="428">
        <v>0</v>
      </c>
      <c r="CV49" s="428">
        <v>0</v>
      </c>
      <c r="CW49" s="428">
        <v>0</v>
      </c>
      <c r="CX49" s="428"/>
      <c r="CY49" s="428"/>
      <c r="CZ49" s="428"/>
      <c r="DA49" s="428"/>
      <c r="DB49" s="428"/>
      <c r="DC49" s="428"/>
      <c r="DD49" s="428"/>
      <c r="DE49" s="428"/>
      <c r="DF49" s="428"/>
      <c r="DG49" s="428"/>
      <c r="DH49" s="428"/>
      <c r="DI49" s="428"/>
    </row>
    <row r="50" spans="1:113" s="388" customFormat="1">
      <c r="A50" s="421" t="s">
        <v>370</v>
      </c>
      <c r="B50" s="421" t="s">
        <v>241</v>
      </c>
      <c r="C50" s="421" t="s">
        <v>394</v>
      </c>
      <c r="D50" s="422" t="s">
        <v>376</v>
      </c>
      <c r="E50" s="422">
        <v>2020</v>
      </c>
      <c r="F50" s="423">
        <v>0.76639981279010416</v>
      </c>
      <c r="G50" s="424">
        <v>208.89800000003913</v>
      </c>
      <c r="H50" s="422">
        <v>18</v>
      </c>
      <c r="I50" s="425">
        <v>0.56653086399822961</v>
      </c>
      <c r="J50" s="425">
        <v>0.56653086399822961</v>
      </c>
      <c r="K50" s="422">
        <v>0</v>
      </c>
      <c r="L50" s="422">
        <v>0</v>
      </c>
      <c r="M50" s="422">
        <v>0</v>
      </c>
      <c r="N50" s="426">
        <v>5</v>
      </c>
      <c r="O50" s="426">
        <v>0</v>
      </c>
      <c r="P50" s="426">
        <v>0</v>
      </c>
      <c r="Q50" s="426">
        <v>0</v>
      </c>
      <c r="R50" s="426">
        <v>0</v>
      </c>
      <c r="S50" s="426">
        <v>0</v>
      </c>
      <c r="T50" s="426">
        <v>2.3268443092607671</v>
      </c>
      <c r="U50" s="426">
        <v>2.3268443092607671</v>
      </c>
      <c r="V50" s="426">
        <v>2.3268443092607671</v>
      </c>
      <c r="W50" s="426">
        <v>2.3268443092607671</v>
      </c>
      <c r="X50" s="426">
        <v>2.3268443092607671</v>
      </c>
      <c r="Y50" s="426">
        <v>2.3268443092607671</v>
      </c>
      <c r="Z50" s="426">
        <v>2.3268443092607671</v>
      </c>
      <c r="AA50" s="426">
        <v>2.3268443092607671</v>
      </c>
      <c r="AB50" s="426">
        <v>2.3268443092607671</v>
      </c>
      <c r="AC50" s="426">
        <v>2.3268443092607671</v>
      </c>
      <c r="AD50" s="426">
        <v>2.3268443092607671</v>
      </c>
      <c r="AE50" s="426">
        <v>2.3268443092607671</v>
      </c>
      <c r="AF50" s="426">
        <v>2.3268443092607671</v>
      </c>
      <c r="AG50" s="426">
        <v>2.3268443092607671</v>
      </c>
      <c r="AH50" s="426">
        <v>2.3268443092607671</v>
      </c>
      <c r="AI50" s="426">
        <v>2.3268443092607671</v>
      </c>
      <c r="AJ50" s="426">
        <v>2.3268443092607671</v>
      </c>
      <c r="AK50" s="426">
        <v>2.3268443092607671</v>
      </c>
      <c r="AL50" s="426">
        <v>0</v>
      </c>
      <c r="AM50" s="427">
        <v>0</v>
      </c>
      <c r="AN50" s="427">
        <v>0</v>
      </c>
      <c r="AO50" s="427">
        <v>0</v>
      </c>
      <c r="AP50" s="427">
        <v>0</v>
      </c>
      <c r="AQ50" s="427">
        <v>0</v>
      </c>
      <c r="AR50" s="427">
        <v>0</v>
      </c>
      <c r="AS50" s="427">
        <v>634.22917699637901</v>
      </c>
      <c r="AT50" s="427">
        <v>634.22917699637901</v>
      </c>
      <c r="AU50" s="427">
        <v>634.22917699637901</v>
      </c>
      <c r="AV50" s="427">
        <v>634.22917699637901</v>
      </c>
      <c r="AW50" s="427">
        <v>634.22917699637901</v>
      </c>
      <c r="AX50" s="427">
        <v>634.22917699637901</v>
      </c>
      <c r="AY50" s="427">
        <v>634.22917699637901</v>
      </c>
      <c r="AZ50" s="427">
        <v>634.22917699637901</v>
      </c>
      <c r="BA50" s="427">
        <v>634.22917699637901</v>
      </c>
      <c r="BB50" s="427">
        <v>634.22917699637901</v>
      </c>
      <c r="BC50" s="427">
        <v>634.22917699637901</v>
      </c>
      <c r="BD50" s="427">
        <v>634.22917699637901</v>
      </c>
      <c r="BE50" s="427">
        <v>634.22917699637901</v>
      </c>
      <c r="BF50" s="427">
        <v>634.22917699637901</v>
      </c>
      <c r="BG50" s="427">
        <v>634.22917699637901</v>
      </c>
      <c r="BH50" s="427">
        <v>634.22917699637901</v>
      </c>
      <c r="BI50" s="427">
        <v>634.22917699637901</v>
      </c>
      <c r="BJ50" s="427">
        <v>634.22917699637901</v>
      </c>
      <c r="BK50" s="427">
        <v>0</v>
      </c>
      <c r="BL50" s="427">
        <v>0</v>
      </c>
      <c r="BM50" s="427">
        <v>0</v>
      </c>
      <c r="BN50" s="427">
        <v>0</v>
      </c>
      <c r="BO50" s="427">
        <v>0</v>
      </c>
      <c r="BP50" s="427">
        <v>0</v>
      </c>
      <c r="BQ50" s="427">
        <v>0</v>
      </c>
      <c r="BR50" s="427">
        <v>0</v>
      </c>
      <c r="BS50" s="427">
        <v>0</v>
      </c>
      <c r="BT50" s="427">
        <v>0</v>
      </c>
      <c r="BU50" s="427">
        <v>0</v>
      </c>
      <c r="BV50" s="427">
        <v>0</v>
      </c>
      <c r="BW50" s="427">
        <v>0</v>
      </c>
      <c r="BX50" s="427">
        <v>0</v>
      </c>
      <c r="BY50" s="427">
        <v>0</v>
      </c>
      <c r="BZ50" s="427">
        <v>0</v>
      </c>
      <c r="CA50" s="427">
        <v>0</v>
      </c>
      <c r="CB50" s="427">
        <v>0</v>
      </c>
      <c r="CC50" s="427">
        <v>0</v>
      </c>
      <c r="CD50" s="427">
        <v>0</v>
      </c>
      <c r="CE50" s="427">
        <v>0</v>
      </c>
      <c r="CF50" s="427">
        <v>0</v>
      </c>
      <c r="CG50" s="427">
        <v>0</v>
      </c>
      <c r="CH50" s="427">
        <v>0</v>
      </c>
      <c r="CI50" s="427">
        <v>0</v>
      </c>
      <c r="CJ50" s="427">
        <v>0</v>
      </c>
      <c r="CK50" s="428">
        <v>0</v>
      </c>
      <c r="CL50" s="428">
        <v>0</v>
      </c>
      <c r="CM50" s="428">
        <v>0</v>
      </c>
      <c r="CN50" s="428">
        <v>0</v>
      </c>
      <c r="CO50" s="428">
        <v>0</v>
      </c>
      <c r="CP50" s="428">
        <v>0</v>
      </c>
      <c r="CQ50" s="428">
        <v>0</v>
      </c>
      <c r="CR50" s="428">
        <v>0</v>
      </c>
      <c r="CS50" s="428">
        <v>0</v>
      </c>
      <c r="CT50" s="428">
        <v>0</v>
      </c>
      <c r="CU50" s="428">
        <v>0</v>
      </c>
      <c r="CV50" s="428">
        <v>0</v>
      </c>
      <c r="CW50" s="428">
        <v>0</v>
      </c>
      <c r="CX50" s="428"/>
      <c r="CY50" s="428"/>
      <c r="CZ50" s="428"/>
      <c r="DA50" s="428"/>
      <c r="DB50" s="428"/>
      <c r="DC50" s="428"/>
      <c r="DD50" s="428"/>
      <c r="DE50" s="428"/>
      <c r="DF50" s="428"/>
      <c r="DG50" s="428"/>
      <c r="DH50" s="428"/>
      <c r="DI50" s="428"/>
    </row>
    <row r="51" spans="1:113" s="388" customFormat="1">
      <c r="A51" s="421" t="s">
        <v>370</v>
      </c>
      <c r="B51" s="421" t="s">
        <v>241</v>
      </c>
      <c r="C51" s="421" t="s">
        <v>397</v>
      </c>
      <c r="D51" s="422" t="s">
        <v>376</v>
      </c>
      <c r="E51" s="422">
        <v>2015</v>
      </c>
      <c r="F51" s="423">
        <v>0.43888966323343315</v>
      </c>
      <c r="G51" s="424">
        <v>1089.5241408498014</v>
      </c>
      <c r="H51" s="422">
        <v>19</v>
      </c>
      <c r="I51" s="425">
        <v>0.46860120183473908</v>
      </c>
      <c r="J51" s="425">
        <v>0.46860120183473908</v>
      </c>
      <c r="K51" s="422">
        <v>0</v>
      </c>
      <c r="L51" s="422">
        <v>0</v>
      </c>
      <c r="M51" s="422">
        <v>0</v>
      </c>
      <c r="N51" s="426">
        <v>180</v>
      </c>
      <c r="O51" s="426">
        <v>39.677985272803348</v>
      </c>
      <c r="P51" s="426">
        <v>39.677985272803348</v>
      </c>
      <c r="Q51" s="426">
        <v>39.677985272803348</v>
      </c>
      <c r="R51" s="426">
        <v>39.677985272803348</v>
      </c>
      <c r="S51" s="426">
        <v>39.677985272803348</v>
      </c>
      <c r="T51" s="426">
        <v>39.677985272803348</v>
      </c>
      <c r="U51" s="426">
        <v>39.677985272803348</v>
      </c>
      <c r="V51" s="426">
        <v>39.677985272803348</v>
      </c>
      <c r="W51" s="426">
        <v>39.677985272803348</v>
      </c>
      <c r="X51" s="426">
        <v>39.677985272803348</v>
      </c>
      <c r="Y51" s="426">
        <v>39.677985272803348</v>
      </c>
      <c r="Z51" s="426">
        <v>39.677985272803348</v>
      </c>
      <c r="AA51" s="426">
        <v>39.677985272803348</v>
      </c>
      <c r="AB51" s="426">
        <v>39.677985272803348</v>
      </c>
      <c r="AC51" s="426">
        <v>39.677985272803348</v>
      </c>
      <c r="AD51" s="426">
        <v>39.677985272803348</v>
      </c>
      <c r="AE51" s="426">
        <v>39.677985272803348</v>
      </c>
      <c r="AF51" s="426">
        <v>39.677985272803348</v>
      </c>
      <c r="AG51" s="426">
        <v>39.677985272803348</v>
      </c>
      <c r="AH51" s="426">
        <v>0</v>
      </c>
      <c r="AI51" s="426">
        <v>0</v>
      </c>
      <c r="AJ51" s="426">
        <v>0</v>
      </c>
      <c r="AK51" s="426">
        <v>0</v>
      </c>
      <c r="AL51" s="426">
        <v>0</v>
      </c>
      <c r="AM51" s="427">
        <v>0</v>
      </c>
      <c r="AN51" s="427">
        <v>98498.840224471729</v>
      </c>
      <c r="AO51" s="427">
        <v>98498.840224471729</v>
      </c>
      <c r="AP51" s="427">
        <v>98498.840224471729</v>
      </c>
      <c r="AQ51" s="427">
        <v>98498.840224471729</v>
      </c>
      <c r="AR51" s="427">
        <v>98498.840224471729</v>
      </c>
      <c r="AS51" s="427">
        <v>98498.840224471729</v>
      </c>
      <c r="AT51" s="427">
        <v>98498.840224471729</v>
      </c>
      <c r="AU51" s="427">
        <v>98498.840224471729</v>
      </c>
      <c r="AV51" s="427">
        <v>98498.840224471729</v>
      </c>
      <c r="AW51" s="427">
        <v>98498.840224471729</v>
      </c>
      <c r="AX51" s="427">
        <v>98498.840224471729</v>
      </c>
      <c r="AY51" s="427">
        <v>98498.840224471729</v>
      </c>
      <c r="AZ51" s="427">
        <v>98498.840224471729</v>
      </c>
      <c r="BA51" s="427">
        <v>98498.840224471729</v>
      </c>
      <c r="BB51" s="427">
        <v>98498.840224471729</v>
      </c>
      <c r="BC51" s="427">
        <v>98498.840224471729</v>
      </c>
      <c r="BD51" s="427">
        <v>98498.840224471729</v>
      </c>
      <c r="BE51" s="427">
        <v>98498.840224471729</v>
      </c>
      <c r="BF51" s="427">
        <v>98498.840224471729</v>
      </c>
      <c r="BG51" s="427">
        <v>0</v>
      </c>
      <c r="BH51" s="427">
        <v>0</v>
      </c>
      <c r="BI51" s="427">
        <v>0</v>
      </c>
      <c r="BJ51" s="427">
        <v>0</v>
      </c>
      <c r="BK51" s="427">
        <v>0</v>
      </c>
      <c r="BL51" s="427">
        <v>0</v>
      </c>
      <c r="BM51" s="427">
        <v>0</v>
      </c>
      <c r="BN51" s="427">
        <v>0</v>
      </c>
      <c r="BO51" s="427">
        <v>0</v>
      </c>
      <c r="BP51" s="427">
        <v>0</v>
      </c>
      <c r="BQ51" s="427">
        <v>0</v>
      </c>
      <c r="BR51" s="427">
        <v>0</v>
      </c>
      <c r="BS51" s="427">
        <v>0</v>
      </c>
      <c r="BT51" s="427">
        <v>0</v>
      </c>
      <c r="BU51" s="427">
        <v>0</v>
      </c>
      <c r="BV51" s="427">
        <v>0</v>
      </c>
      <c r="BW51" s="427">
        <v>0</v>
      </c>
      <c r="BX51" s="427">
        <v>0</v>
      </c>
      <c r="BY51" s="427">
        <v>0</v>
      </c>
      <c r="BZ51" s="427">
        <v>0</v>
      </c>
      <c r="CA51" s="427">
        <v>0</v>
      </c>
      <c r="CB51" s="427">
        <v>0</v>
      </c>
      <c r="CC51" s="427">
        <v>0</v>
      </c>
      <c r="CD51" s="427">
        <v>0</v>
      </c>
      <c r="CE51" s="427">
        <v>0</v>
      </c>
      <c r="CF51" s="427">
        <v>0</v>
      </c>
      <c r="CG51" s="427">
        <v>0</v>
      </c>
      <c r="CH51" s="427">
        <v>0</v>
      </c>
      <c r="CI51" s="427">
        <v>0</v>
      </c>
      <c r="CJ51" s="427">
        <v>0</v>
      </c>
      <c r="CK51" s="428">
        <v>0</v>
      </c>
      <c r="CL51" s="428">
        <v>0</v>
      </c>
      <c r="CM51" s="428">
        <v>0</v>
      </c>
      <c r="CN51" s="428">
        <v>0</v>
      </c>
      <c r="CO51" s="428">
        <v>0</v>
      </c>
      <c r="CP51" s="428">
        <v>0</v>
      </c>
      <c r="CQ51" s="428">
        <v>0</v>
      </c>
      <c r="CR51" s="428">
        <v>0</v>
      </c>
      <c r="CS51" s="428">
        <v>0</v>
      </c>
      <c r="CT51" s="428">
        <v>0</v>
      </c>
      <c r="CU51" s="428">
        <v>0</v>
      </c>
      <c r="CV51" s="428">
        <v>0</v>
      </c>
      <c r="CW51" s="428">
        <v>0</v>
      </c>
      <c r="CX51" s="428"/>
      <c r="CY51" s="428"/>
      <c r="CZ51" s="428"/>
      <c r="DA51" s="428"/>
      <c r="DB51" s="428"/>
      <c r="DC51" s="428"/>
      <c r="DD51" s="428"/>
      <c r="DE51" s="428"/>
      <c r="DF51" s="428"/>
      <c r="DG51" s="428"/>
      <c r="DH51" s="428"/>
      <c r="DI51" s="428"/>
    </row>
    <row r="52" spans="1:113" s="388" customFormat="1">
      <c r="A52" s="421" t="s">
        <v>370</v>
      </c>
      <c r="B52" s="421" t="s">
        <v>241</v>
      </c>
      <c r="C52" s="421" t="s">
        <v>397</v>
      </c>
      <c r="D52" s="422" t="s">
        <v>376</v>
      </c>
      <c r="E52" s="422">
        <v>2016</v>
      </c>
      <c r="F52" s="423">
        <v>0.43888966323343315</v>
      </c>
      <c r="G52" s="424">
        <v>1089.5241408498014</v>
      </c>
      <c r="H52" s="422">
        <v>19</v>
      </c>
      <c r="I52" s="425">
        <v>0.46860120183473908</v>
      </c>
      <c r="J52" s="425">
        <v>0.46860120183473908</v>
      </c>
      <c r="K52" s="422">
        <v>0</v>
      </c>
      <c r="L52" s="422">
        <v>0</v>
      </c>
      <c r="M52" s="422">
        <v>0</v>
      </c>
      <c r="N52" s="426">
        <v>200</v>
      </c>
      <c r="O52" s="426">
        <v>0</v>
      </c>
      <c r="P52" s="426">
        <v>44.08665030311483</v>
      </c>
      <c r="Q52" s="426">
        <v>44.08665030311483</v>
      </c>
      <c r="R52" s="426">
        <v>44.08665030311483</v>
      </c>
      <c r="S52" s="426">
        <v>44.08665030311483</v>
      </c>
      <c r="T52" s="426">
        <v>44.08665030311483</v>
      </c>
      <c r="U52" s="426">
        <v>44.08665030311483</v>
      </c>
      <c r="V52" s="426">
        <v>44.08665030311483</v>
      </c>
      <c r="W52" s="426">
        <v>44.08665030311483</v>
      </c>
      <c r="X52" s="426">
        <v>44.08665030311483</v>
      </c>
      <c r="Y52" s="426">
        <v>44.08665030311483</v>
      </c>
      <c r="Z52" s="426">
        <v>44.08665030311483</v>
      </c>
      <c r="AA52" s="426">
        <v>44.08665030311483</v>
      </c>
      <c r="AB52" s="426">
        <v>44.08665030311483</v>
      </c>
      <c r="AC52" s="426">
        <v>44.08665030311483</v>
      </c>
      <c r="AD52" s="426">
        <v>44.08665030311483</v>
      </c>
      <c r="AE52" s="426">
        <v>44.08665030311483</v>
      </c>
      <c r="AF52" s="426">
        <v>44.08665030311483</v>
      </c>
      <c r="AG52" s="426">
        <v>44.08665030311483</v>
      </c>
      <c r="AH52" s="426">
        <v>44.08665030311483</v>
      </c>
      <c r="AI52" s="426">
        <v>0</v>
      </c>
      <c r="AJ52" s="426">
        <v>0</v>
      </c>
      <c r="AK52" s="426">
        <v>0</v>
      </c>
      <c r="AL52" s="426">
        <v>0</v>
      </c>
      <c r="AM52" s="427">
        <v>0</v>
      </c>
      <c r="AN52" s="427">
        <v>0</v>
      </c>
      <c r="AO52" s="427">
        <v>109443.1558049686</v>
      </c>
      <c r="AP52" s="427">
        <v>109443.1558049686</v>
      </c>
      <c r="AQ52" s="427">
        <v>109443.1558049686</v>
      </c>
      <c r="AR52" s="427">
        <v>109443.1558049686</v>
      </c>
      <c r="AS52" s="427">
        <v>109443.1558049686</v>
      </c>
      <c r="AT52" s="427">
        <v>109443.1558049686</v>
      </c>
      <c r="AU52" s="427">
        <v>109443.1558049686</v>
      </c>
      <c r="AV52" s="427">
        <v>109443.1558049686</v>
      </c>
      <c r="AW52" s="427">
        <v>109443.1558049686</v>
      </c>
      <c r="AX52" s="427">
        <v>109443.1558049686</v>
      </c>
      <c r="AY52" s="427">
        <v>109443.1558049686</v>
      </c>
      <c r="AZ52" s="427">
        <v>109443.1558049686</v>
      </c>
      <c r="BA52" s="427">
        <v>109443.1558049686</v>
      </c>
      <c r="BB52" s="427">
        <v>109443.1558049686</v>
      </c>
      <c r="BC52" s="427">
        <v>109443.1558049686</v>
      </c>
      <c r="BD52" s="427">
        <v>109443.1558049686</v>
      </c>
      <c r="BE52" s="427">
        <v>109443.1558049686</v>
      </c>
      <c r="BF52" s="427">
        <v>109443.1558049686</v>
      </c>
      <c r="BG52" s="427">
        <v>109443.1558049686</v>
      </c>
      <c r="BH52" s="427">
        <v>0</v>
      </c>
      <c r="BI52" s="427">
        <v>0</v>
      </c>
      <c r="BJ52" s="427">
        <v>0</v>
      </c>
      <c r="BK52" s="427">
        <v>0</v>
      </c>
      <c r="BL52" s="427">
        <v>0</v>
      </c>
      <c r="BM52" s="427">
        <v>0</v>
      </c>
      <c r="BN52" s="427">
        <v>0</v>
      </c>
      <c r="BO52" s="427">
        <v>0</v>
      </c>
      <c r="BP52" s="427">
        <v>0</v>
      </c>
      <c r="BQ52" s="427">
        <v>0</v>
      </c>
      <c r="BR52" s="427">
        <v>0</v>
      </c>
      <c r="BS52" s="427">
        <v>0</v>
      </c>
      <c r="BT52" s="427">
        <v>0</v>
      </c>
      <c r="BU52" s="427">
        <v>0</v>
      </c>
      <c r="BV52" s="427">
        <v>0</v>
      </c>
      <c r="BW52" s="427">
        <v>0</v>
      </c>
      <c r="BX52" s="427">
        <v>0</v>
      </c>
      <c r="BY52" s="427">
        <v>0</v>
      </c>
      <c r="BZ52" s="427">
        <v>0</v>
      </c>
      <c r="CA52" s="427">
        <v>0</v>
      </c>
      <c r="CB52" s="427">
        <v>0</v>
      </c>
      <c r="CC52" s="427">
        <v>0</v>
      </c>
      <c r="CD52" s="427">
        <v>0</v>
      </c>
      <c r="CE52" s="427">
        <v>0</v>
      </c>
      <c r="CF52" s="427">
        <v>0</v>
      </c>
      <c r="CG52" s="427">
        <v>0</v>
      </c>
      <c r="CH52" s="427">
        <v>0</v>
      </c>
      <c r="CI52" s="427">
        <v>0</v>
      </c>
      <c r="CJ52" s="427">
        <v>0</v>
      </c>
      <c r="CK52" s="428">
        <v>0</v>
      </c>
      <c r="CL52" s="428">
        <v>0</v>
      </c>
      <c r="CM52" s="428">
        <v>0</v>
      </c>
      <c r="CN52" s="428">
        <v>0</v>
      </c>
      <c r="CO52" s="428">
        <v>0</v>
      </c>
      <c r="CP52" s="428">
        <v>0</v>
      </c>
      <c r="CQ52" s="428">
        <v>0</v>
      </c>
      <c r="CR52" s="428">
        <v>0</v>
      </c>
      <c r="CS52" s="428">
        <v>0</v>
      </c>
      <c r="CT52" s="428">
        <v>0</v>
      </c>
      <c r="CU52" s="428">
        <v>0</v>
      </c>
      <c r="CV52" s="428">
        <v>0</v>
      </c>
      <c r="CW52" s="428">
        <v>0</v>
      </c>
      <c r="CX52" s="428"/>
      <c r="CY52" s="428"/>
      <c r="CZ52" s="428"/>
      <c r="DA52" s="428"/>
      <c r="DB52" s="428"/>
      <c r="DC52" s="428"/>
      <c r="DD52" s="428"/>
      <c r="DE52" s="428"/>
      <c r="DF52" s="428"/>
      <c r="DG52" s="428"/>
      <c r="DH52" s="428"/>
      <c r="DI52" s="428"/>
    </row>
    <row r="53" spans="1:113" s="388" customFormat="1">
      <c r="A53" s="421" t="s">
        <v>370</v>
      </c>
      <c r="B53" s="421" t="s">
        <v>241</v>
      </c>
      <c r="C53" s="421" t="s">
        <v>397</v>
      </c>
      <c r="D53" s="422" t="s">
        <v>376</v>
      </c>
      <c r="E53" s="422">
        <v>2017</v>
      </c>
      <c r="F53" s="423">
        <v>0.43888966323343315</v>
      </c>
      <c r="G53" s="424">
        <v>1089.5241408498014</v>
      </c>
      <c r="H53" s="422">
        <v>19</v>
      </c>
      <c r="I53" s="425">
        <v>0.46860120183473908</v>
      </c>
      <c r="J53" s="425">
        <v>0.46860120183473908</v>
      </c>
      <c r="K53" s="422">
        <v>0</v>
      </c>
      <c r="L53" s="422">
        <v>0</v>
      </c>
      <c r="M53" s="422">
        <v>0</v>
      </c>
      <c r="N53" s="426">
        <v>20</v>
      </c>
      <c r="O53" s="426">
        <v>0</v>
      </c>
      <c r="P53" s="426">
        <v>0</v>
      </c>
      <c r="Q53" s="426">
        <v>4.4086650303114823</v>
      </c>
      <c r="R53" s="426">
        <v>4.4086650303114823</v>
      </c>
      <c r="S53" s="426">
        <v>4.4086650303114823</v>
      </c>
      <c r="T53" s="426">
        <v>4.4086650303114823</v>
      </c>
      <c r="U53" s="426">
        <v>4.4086650303114823</v>
      </c>
      <c r="V53" s="426">
        <v>4.4086650303114823</v>
      </c>
      <c r="W53" s="426">
        <v>4.4086650303114823</v>
      </c>
      <c r="X53" s="426">
        <v>4.4086650303114823</v>
      </c>
      <c r="Y53" s="426">
        <v>4.4086650303114823</v>
      </c>
      <c r="Z53" s="426">
        <v>4.4086650303114823</v>
      </c>
      <c r="AA53" s="426">
        <v>4.4086650303114823</v>
      </c>
      <c r="AB53" s="426">
        <v>4.4086650303114823</v>
      </c>
      <c r="AC53" s="426">
        <v>4.4086650303114823</v>
      </c>
      <c r="AD53" s="426">
        <v>4.4086650303114823</v>
      </c>
      <c r="AE53" s="426">
        <v>4.4086650303114823</v>
      </c>
      <c r="AF53" s="426">
        <v>4.4086650303114823</v>
      </c>
      <c r="AG53" s="426">
        <v>4.4086650303114823</v>
      </c>
      <c r="AH53" s="426">
        <v>4.4086650303114823</v>
      </c>
      <c r="AI53" s="426">
        <v>4.4086650303114823</v>
      </c>
      <c r="AJ53" s="426">
        <v>0</v>
      </c>
      <c r="AK53" s="426">
        <v>0</v>
      </c>
      <c r="AL53" s="426">
        <v>0</v>
      </c>
      <c r="AM53" s="427">
        <v>0</v>
      </c>
      <c r="AN53" s="427">
        <v>0</v>
      </c>
      <c r="AO53" s="427">
        <v>0</v>
      </c>
      <c r="AP53" s="427">
        <v>10944.315580496861</v>
      </c>
      <c r="AQ53" s="427">
        <v>10944.315580496861</v>
      </c>
      <c r="AR53" s="427">
        <v>10944.315580496861</v>
      </c>
      <c r="AS53" s="427">
        <v>10944.315580496861</v>
      </c>
      <c r="AT53" s="427">
        <v>10944.315580496861</v>
      </c>
      <c r="AU53" s="427">
        <v>10944.315580496861</v>
      </c>
      <c r="AV53" s="427">
        <v>10944.315580496861</v>
      </c>
      <c r="AW53" s="427">
        <v>10944.315580496861</v>
      </c>
      <c r="AX53" s="427">
        <v>10944.315580496861</v>
      </c>
      <c r="AY53" s="427">
        <v>10944.315580496861</v>
      </c>
      <c r="AZ53" s="427">
        <v>10944.315580496861</v>
      </c>
      <c r="BA53" s="427">
        <v>10944.315580496861</v>
      </c>
      <c r="BB53" s="427">
        <v>10944.315580496861</v>
      </c>
      <c r="BC53" s="427">
        <v>10944.315580496861</v>
      </c>
      <c r="BD53" s="427">
        <v>10944.315580496861</v>
      </c>
      <c r="BE53" s="427">
        <v>10944.315580496861</v>
      </c>
      <c r="BF53" s="427">
        <v>10944.315580496861</v>
      </c>
      <c r="BG53" s="427">
        <v>10944.315580496861</v>
      </c>
      <c r="BH53" s="427">
        <v>10944.315580496861</v>
      </c>
      <c r="BI53" s="427">
        <v>0</v>
      </c>
      <c r="BJ53" s="427">
        <v>0</v>
      </c>
      <c r="BK53" s="427">
        <v>0</v>
      </c>
      <c r="BL53" s="427">
        <v>0</v>
      </c>
      <c r="BM53" s="427">
        <v>0</v>
      </c>
      <c r="BN53" s="427">
        <v>0</v>
      </c>
      <c r="BO53" s="427">
        <v>0</v>
      </c>
      <c r="BP53" s="427">
        <v>0</v>
      </c>
      <c r="BQ53" s="427">
        <v>0</v>
      </c>
      <c r="BR53" s="427">
        <v>0</v>
      </c>
      <c r="BS53" s="427">
        <v>0</v>
      </c>
      <c r="BT53" s="427">
        <v>0</v>
      </c>
      <c r="BU53" s="427">
        <v>0</v>
      </c>
      <c r="BV53" s="427">
        <v>0</v>
      </c>
      <c r="BW53" s="427">
        <v>0</v>
      </c>
      <c r="BX53" s="427">
        <v>0</v>
      </c>
      <c r="BY53" s="427">
        <v>0</v>
      </c>
      <c r="BZ53" s="427">
        <v>0</v>
      </c>
      <c r="CA53" s="427">
        <v>0</v>
      </c>
      <c r="CB53" s="427">
        <v>0</v>
      </c>
      <c r="CC53" s="427">
        <v>0</v>
      </c>
      <c r="CD53" s="427">
        <v>0</v>
      </c>
      <c r="CE53" s="427">
        <v>0</v>
      </c>
      <c r="CF53" s="427">
        <v>0</v>
      </c>
      <c r="CG53" s="427">
        <v>0</v>
      </c>
      <c r="CH53" s="427">
        <v>0</v>
      </c>
      <c r="CI53" s="427">
        <v>0</v>
      </c>
      <c r="CJ53" s="427">
        <v>0</v>
      </c>
      <c r="CK53" s="428">
        <v>0</v>
      </c>
      <c r="CL53" s="428">
        <v>0</v>
      </c>
      <c r="CM53" s="428">
        <v>0</v>
      </c>
      <c r="CN53" s="428">
        <v>0</v>
      </c>
      <c r="CO53" s="428">
        <v>0</v>
      </c>
      <c r="CP53" s="428">
        <v>0</v>
      </c>
      <c r="CQ53" s="428">
        <v>0</v>
      </c>
      <c r="CR53" s="428">
        <v>0</v>
      </c>
      <c r="CS53" s="428">
        <v>0</v>
      </c>
      <c r="CT53" s="428">
        <v>0</v>
      </c>
      <c r="CU53" s="428">
        <v>0</v>
      </c>
      <c r="CV53" s="428">
        <v>0</v>
      </c>
      <c r="CW53" s="428">
        <v>0</v>
      </c>
      <c r="CX53" s="428"/>
      <c r="CY53" s="428"/>
      <c r="CZ53" s="428"/>
      <c r="DA53" s="428"/>
      <c r="DB53" s="428"/>
      <c r="DC53" s="428"/>
      <c r="DD53" s="428"/>
      <c r="DE53" s="428"/>
      <c r="DF53" s="428"/>
      <c r="DG53" s="428"/>
      <c r="DH53" s="428"/>
      <c r="DI53" s="428"/>
    </row>
    <row r="54" spans="1:113" s="388" customFormat="1">
      <c r="A54" s="421" t="s">
        <v>370</v>
      </c>
      <c r="B54" s="421" t="s">
        <v>241</v>
      </c>
      <c r="C54" s="421" t="s">
        <v>397</v>
      </c>
      <c r="D54" s="422" t="s">
        <v>376</v>
      </c>
      <c r="E54" s="422">
        <v>2018</v>
      </c>
      <c r="F54" s="423">
        <v>0.43888966323343315</v>
      </c>
      <c r="G54" s="424">
        <v>1089.5241408498014</v>
      </c>
      <c r="H54" s="422">
        <v>19</v>
      </c>
      <c r="I54" s="425">
        <v>0.46860120183473908</v>
      </c>
      <c r="J54" s="425">
        <v>0.46860120183473908</v>
      </c>
      <c r="K54" s="422">
        <v>0</v>
      </c>
      <c r="L54" s="422">
        <v>0</v>
      </c>
      <c r="M54" s="422">
        <v>0</v>
      </c>
      <c r="N54" s="426">
        <v>20</v>
      </c>
      <c r="O54" s="426">
        <v>0</v>
      </c>
      <c r="P54" s="426">
        <v>0</v>
      </c>
      <c r="Q54" s="426">
        <v>0</v>
      </c>
      <c r="R54" s="426">
        <v>4.4086650303114823</v>
      </c>
      <c r="S54" s="426">
        <v>4.4086650303114823</v>
      </c>
      <c r="T54" s="426">
        <v>4.4086650303114823</v>
      </c>
      <c r="U54" s="426">
        <v>4.4086650303114823</v>
      </c>
      <c r="V54" s="426">
        <v>4.4086650303114823</v>
      </c>
      <c r="W54" s="426">
        <v>4.4086650303114823</v>
      </c>
      <c r="X54" s="426">
        <v>4.4086650303114823</v>
      </c>
      <c r="Y54" s="426">
        <v>4.4086650303114823</v>
      </c>
      <c r="Z54" s="426">
        <v>4.4086650303114823</v>
      </c>
      <c r="AA54" s="426">
        <v>4.4086650303114823</v>
      </c>
      <c r="AB54" s="426">
        <v>4.4086650303114823</v>
      </c>
      <c r="AC54" s="426">
        <v>4.4086650303114823</v>
      </c>
      <c r="AD54" s="426">
        <v>4.4086650303114823</v>
      </c>
      <c r="AE54" s="426">
        <v>4.4086650303114823</v>
      </c>
      <c r="AF54" s="426">
        <v>4.4086650303114823</v>
      </c>
      <c r="AG54" s="426">
        <v>4.4086650303114823</v>
      </c>
      <c r="AH54" s="426">
        <v>4.4086650303114823</v>
      </c>
      <c r="AI54" s="426">
        <v>4.4086650303114823</v>
      </c>
      <c r="AJ54" s="426">
        <v>4.4086650303114823</v>
      </c>
      <c r="AK54" s="426">
        <v>0</v>
      </c>
      <c r="AL54" s="426">
        <v>0</v>
      </c>
      <c r="AM54" s="427">
        <v>0</v>
      </c>
      <c r="AN54" s="427">
        <v>0</v>
      </c>
      <c r="AO54" s="427">
        <v>0</v>
      </c>
      <c r="AP54" s="427">
        <v>0</v>
      </c>
      <c r="AQ54" s="427">
        <v>10944.315580496861</v>
      </c>
      <c r="AR54" s="427">
        <v>10944.315580496861</v>
      </c>
      <c r="AS54" s="427">
        <v>10944.315580496861</v>
      </c>
      <c r="AT54" s="427">
        <v>10944.315580496861</v>
      </c>
      <c r="AU54" s="427">
        <v>10944.315580496861</v>
      </c>
      <c r="AV54" s="427">
        <v>10944.315580496861</v>
      </c>
      <c r="AW54" s="427">
        <v>10944.315580496861</v>
      </c>
      <c r="AX54" s="427">
        <v>10944.315580496861</v>
      </c>
      <c r="AY54" s="427">
        <v>10944.315580496861</v>
      </c>
      <c r="AZ54" s="427">
        <v>10944.315580496861</v>
      </c>
      <c r="BA54" s="427">
        <v>10944.315580496861</v>
      </c>
      <c r="BB54" s="427">
        <v>10944.315580496861</v>
      </c>
      <c r="BC54" s="427">
        <v>10944.315580496861</v>
      </c>
      <c r="BD54" s="427">
        <v>10944.315580496861</v>
      </c>
      <c r="BE54" s="427">
        <v>10944.315580496861</v>
      </c>
      <c r="BF54" s="427">
        <v>10944.315580496861</v>
      </c>
      <c r="BG54" s="427">
        <v>10944.315580496861</v>
      </c>
      <c r="BH54" s="427">
        <v>10944.315580496861</v>
      </c>
      <c r="BI54" s="427">
        <v>10944.315580496861</v>
      </c>
      <c r="BJ54" s="427">
        <v>0</v>
      </c>
      <c r="BK54" s="427">
        <v>0</v>
      </c>
      <c r="BL54" s="427">
        <v>0</v>
      </c>
      <c r="BM54" s="427">
        <v>0</v>
      </c>
      <c r="BN54" s="427">
        <v>0</v>
      </c>
      <c r="BO54" s="427">
        <v>0</v>
      </c>
      <c r="BP54" s="427">
        <v>0</v>
      </c>
      <c r="BQ54" s="427">
        <v>0</v>
      </c>
      <c r="BR54" s="427">
        <v>0</v>
      </c>
      <c r="BS54" s="427">
        <v>0</v>
      </c>
      <c r="BT54" s="427">
        <v>0</v>
      </c>
      <c r="BU54" s="427">
        <v>0</v>
      </c>
      <c r="BV54" s="427">
        <v>0</v>
      </c>
      <c r="BW54" s="427">
        <v>0</v>
      </c>
      <c r="BX54" s="427">
        <v>0</v>
      </c>
      <c r="BY54" s="427">
        <v>0</v>
      </c>
      <c r="BZ54" s="427">
        <v>0</v>
      </c>
      <c r="CA54" s="427">
        <v>0</v>
      </c>
      <c r="CB54" s="427">
        <v>0</v>
      </c>
      <c r="CC54" s="427">
        <v>0</v>
      </c>
      <c r="CD54" s="427">
        <v>0</v>
      </c>
      <c r="CE54" s="427">
        <v>0</v>
      </c>
      <c r="CF54" s="427">
        <v>0</v>
      </c>
      <c r="CG54" s="427">
        <v>0</v>
      </c>
      <c r="CH54" s="427">
        <v>0</v>
      </c>
      <c r="CI54" s="427">
        <v>0</v>
      </c>
      <c r="CJ54" s="427">
        <v>0</v>
      </c>
      <c r="CK54" s="428">
        <v>0</v>
      </c>
      <c r="CL54" s="428">
        <v>0</v>
      </c>
      <c r="CM54" s="428">
        <v>0</v>
      </c>
      <c r="CN54" s="428">
        <v>0</v>
      </c>
      <c r="CO54" s="428">
        <v>0</v>
      </c>
      <c r="CP54" s="428">
        <v>0</v>
      </c>
      <c r="CQ54" s="428">
        <v>0</v>
      </c>
      <c r="CR54" s="428">
        <v>0</v>
      </c>
      <c r="CS54" s="428">
        <v>0</v>
      </c>
      <c r="CT54" s="428">
        <v>0</v>
      </c>
      <c r="CU54" s="428">
        <v>0</v>
      </c>
      <c r="CV54" s="428">
        <v>0</v>
      </c>
      <c r="CW54" s="428">
        <v>0</v>
      </c>
      <c r="CX54" s="428"/>
      <c r="CY54" s="428"/>
      <c r="CZ54" s="428"/>
      <c r="DA54" s="428"/>
      <c r="DB54" s="428"/>
      <c r="DC54" s="428"/>
      <c r="DD54" s="428"/>
      <c r="DE54" s="428"/>
      <c r="DF54" s="428"/>
      <c r="DG54" s="428"/>
      <c r="DH54" s="428"/>
      <c r="DI54" s="428"/>
    </row>
    <row r="55" spans="1:113" s="388" customFormat="1">
      <c r="A55" s="421" t="s">
        <v>370</v>
      </c>
      <c r="B55" s="421" t="s">
        <v>241</v>
      </c>
      <c r="C55" s="421" t="s">
        <v>397</v>
      </c>
      <c r="D55" s="422" t="s">
        <v>376</v>
      </c>
      <c r="E55" s="422">
        <v>2019</v>
      </c>
      <c r="F55" s="423">
        <v>0.43888966323343315</v>
      </c>
      <c r="G55" s="424">
        <v>1089.5241408498014</v>
      </c>
      <c r="H55" s="422">
        <v>19</v>
      </c>
      <c r="I55" s="425">
        <v>0.46860120183473908</v>
      </c>
      <c r="J55" s="425">
        <v>0.46860120183473908</v>
      </c>
      <c r="K55" s="422">
        <v>0</v>
      </c>
      <c r="L55" s="422">
        <v>0</v>
      </c>
      <c r="M55" s="422">
        <v>0</v>
      </c>
      <c r="N55" s="426">
        <v>20</v>
      </c>
      <c r="O55" s="426">
        <v>0</v>
      </c>
      <c r="P55" s="426">
        <v>0</v>
      </c>
      <c r="Q55" s="426">
        <v>0</v>
      </c>
      <c r="R55" s="426">
        <v>0</v>
      </c>
      <c r="S55" s="426">
        <v>4.4086650303114823</v>
      </c>
      <c r="T55" s="426">
        <v>4.4086650303114823</v>
      </c>
      <c r="U55" s="426">
        <v>4.4086650303114823</v>
      </c>
      <c r="V55" s="426">
        <v>4.4086650303114823</v>
      </c>
      <c r="W55" s="426">
        <v>4.4086650303114823</v>
      </c>
      <c r="X55" s="426">
        <v>4.4086650303114823</v>
      </c>
      <c r="Y55" s="426">
        <v>4.4086650303114823</v>
      </c>
      <c r="Z55" s="426">
        <v>4.4086650303114823</v>
      </c>
      <c r="AA55" s="426">
        <v>4.4086650303114823</v>
      </c>
      <c r="AB55" s="426">
        <v>4.4086650303114823</v>
      </c>
      <c r="AC55" s="426">
        <v>4.4086650303114823</v>
      </c>
      <c r="AD55" s="426">
        <v>4.4086650303114823</v>
      </c>
      <c r="AE55" s="426">
        <v>4.4086650303114823</v>
      </c>
      <c r="AF55" s="426">
        <v>4.4086650303114823</v>
      </c>
      <c r="AG55" s="426">
        <v>4.4086650303114823</v>
      </c>
      <c r="AH55" s="426">
        <v>4.4086650303114823</v>
      </c>
      <c r="AI55" s="426">
        <v>4.4086650303114823</v>
      </c>
      <c r="AJ55" s="426">
        <v>4.4086650303114823</v>
      </c>
      <c r="AK55" s="426">
        <v>4.4086650303114823</v>
      </c>
      <c r="AL55" s="426">
        <v>0</v>
      </c>
      <c r="AM55" s="427">
        <v>0</v>
      </c>
      <c r="AN55" s="427">
        <v>0</v>
      </c>
      <c r="AO55" s="427">
        <v>0</v>
      </c>
      <c r="AP55" s="427">
        <v>0</v>
      </c>
      <c r="AQ55" s="427">
        <v>0</v>
      </c>
      <c r="AR55" s="427">
        <v>10944.315580496861</v>
      </c>
      <c r="AS55" s="427">
        <v>10944.315580496861</v>
      </c>
      <c r="AT55" s="427">
        <v>10944.315580496861</v>
      </c>
      <c r="AU55" s="427">
        <v>10944.315580496861</v>
      </c>
      <c r="AV55" s="427">
        <v>10944.315580496861</v>
      </c>
      <c r="AW55" s="427">
        <v>10944.315580496861</v>
      </c>
      <c r="AX55" s="427">
        <v>10944.315580496861</v>
      </c>
      <c r="AY55" s="427">
        <v>10944.315580496861</v>
      </c>
      <c r="AZ55" s="427">
        <v>10944.315580496861</v>
      </c>
      <c r="BA55" s="427">
        <v>10944.315580496861</v>
      </c>
      <c r="BB55" s="427">
        <v>10944.315580496861</v>
      </c>
      <c r="BC55" s="427">
        <v>10944.315580496861</v>
      </c>
      <c r="BD55" s="427">
        <v>10944.315580496861</v>
      </c>
      <c r="BE55" s="427">
        <v>10944.315580496861</v>
      </c>
      <c r="BF55" s="427">
        <v>10944.315580496861</v>
      </c>
      <c r="BG55" s="427">
        <v>10944.315580496861</v>
      </c>
      <c r="BH55" s="427">
        <v>10944.315580496861</v>
      </c>
      <c r="BI55" s="427">
        <v>10944.315580496861</v>
      </c>
      <c r="BJ55" s="427">
        <v>10944.315580496861</v>
      </c>
      <c r="BK55" s="427">
        <v>0</v>
      </c>
      <c r="BL55" s="427">
        <v>0</v>
      </c>
      <c r="BM55" s="427">
        <v>0</v>
      </c>
      <c r="BN55" s="427">
        <v>0</v>
      </c>
      <c r="BO55" s="427">
        <v>0</v>
      </c>
      <c r="BP55" s="427">
        <v>0</v>
      </c>
      <c r="BQ55" s="427">
        <v>0</v>
      </c>
      <c r="BR55" s="427">
        <v>0</v>
      </c>
      <c r="BS55" s="427">
        <v>0</v>
      </c>
      <c r="BT55" s="427">
        <v>0</v>
      </c>
      <c r="BU55" s="427">
        <v>0</v>
      </c>
      <c r="BV55" s="427">
        <v>0</v>
      </c>
      <c r="BW55" s="427">
        <v>0</v>
      </c>
      <c r="BX55" s="427">
        <v>0</v>
      </c>
      <c r="BY55" s="427">
        <v>0</v>
      </c>
      <c r="BZ55" s="427">
        <v>0</v>
      </c>
      <c r="CA55" s="427">
        <v>0</v>
      </c>
      <c r="CB55" s="427">
        <v>0</v>
      </c>
      <c r="CC55" s="427">
        <v>0</v>
      </c>
      <c r="CD55" s="427">
        <v>0</v>
      </c>
      <c r="CE55" s="427">
        <v>0</v>
      </c>
      <c r="CF55" s="427">
        <v>0</v>
      </c>
      <c r="CG55" s="427">
        <v>0</v>
      </c>
      <c r="CH55" s="427">
        <v>0</v>
      </c>
      <c r="CI55" s="427">
        <v>0</v>
      </c>
      <c r="CJ55" s="427">
        <v>0</v>
      </c>
      <c r="CK55" s="428">
        <v>0</v>
      </c>
      <c r="CL55" s="428">
        <v>0</v>
      </c>
      <c r="CM55" s="428">
        <v>0</v>
      </c>
      <c r="CN55" s="428">
        <v>0</v>
      </c>
      <c r="CO55" s="428">
        <v>0</v>
      </c>
      <c r="CP55" s="428">
        <v>0</v>
      </c>
      <c r="CQ55" s="428">
        <v>0</v>
      </c>
      <c r="CR55" s="428">
        <v>0</v>
      </c>
      <c r="CS55" s="428">
        <v>0</v>
      </c>
      <c r="CT55" s="428">
        <v>0</v>
      </c>
      <c r="CU55" s="428">
        <v>0</v>
      </c>
      <c r="CV55" s="428">
        <v>0</v>
      </c>
      <c r="CW55" s="428">
        <v>0</v>
      </c>
      <c r="CX55" s="428"/>
      <c r="CY55" s="428"/>
      <c r="CZ55" s="428"/>
      <c r="DA55" s="428"/>
      <c r="DB55" s="428"/>
      <c r="DC55" s="428"/>
      <c r="DD55" s="428"/>
      <c r="DE55" s="428"/>
      <c r="DF55" s="428"/>
      <c r="DG55" s="428"/>
      <c r="DH55" s="428"/>
      <c r="DI55" s="428"/>
    </row>
    <row r="56" spans="1:113" s="388" customFormat="1">
      <c r="A56" s="421" t="s">
        <v>370</v>
      </c>
      <c r="B56" s="421" t="s">
        <v>241</v>
      </c>
      <c r="C56" s="421" t="s">
        <v>397</v>
      </c>
      <c r="D56" s="422" t="s">
        <v>376</v>
      </c>
      <c r="E56" s="422">
        <v>2020</v>
      </c>
      <c r="F56" s="423">
        <v>0.43888966323343315</v>
      </c>
      <c r="G56" s="424">
        <v>1089.5241408498014</v>
      </c>
      <c r="H56" s="422">
        <v>19</v>
      </c>
      <c r="I56" s="425">
        <v>0.46860120183473908</v>
      </c>
      <c r="J56" s="425">
        <v>0.46860120183473908</v>
      </c>
      <c r="K56" s="422">
        <v>0</v>
      </c>
      <c r="L56" s="422">
        <v>0</v>
      </c>
      <c r="M56" s="422">
        <v>0</v>
      </c>
      <c r="N56" s="426">
        <v>20</v>
      </c>
      <c r="O56" s="426">
        <v>0</v>
      </c>
      <c r="P56" s="426">
        <v>0</v>
      </c>
      <c r="Q56" s="426">
        <v>0</v>
      </c>
      <c r="R56" s="426">
        <v>0</v>
      </c>
      <c r="S56" s="426">
        <v>0</v>
      </c>
      <c r="T56" s="426">
        <v>4.4086650303114823</v>
      </c>
      <c r="U56" s="426">
        <v>4.4086650303114823</v>
      </c>
      <c r="V56" s="426">
        <v>4.4086650303114823</v>
      </c>
      <c r="W56" s="426">
        <v>4.4086650303114823</v>
      </c>
      <c r="X56" s="426">
        <v>4.4086650303114823</v>
      </c>
      <c r="Y56" s="426">
        <v>4.4086650303114823</v>
      </c>
      <c r="Z56" s="426">
        <v>4.4086650303114823</v>
      </c>
      <c r="AA56" s="426">
        <v>4.4086650303114823</v>
      </c>
      <c r="AB56" s="426">
        <v>4.4086650303114823</v>
      </c>
      <c r="AC56" s="426">
        <v>4.4086650303114823</v>
      </c>
      <c r="AD56" s="426">
        <v>4.4086650303114823</v>
      </c>
      <c r="AE56" s="426">
        <v>4.4086650303114823</v>
      </c>
      <c r="AF56" s="426">
        <v>4.4086650303114823</v>
      </c>
      <c r="AG56" s="426">
        <v>4.4086650303114823</v>
      </c>
      <c r="AH56" s="426">
        <v>4.4086650303114823</v>
      </c>
      <c r="AI56" s="426">
        <v>4.4086650303114823</v>
      </c>
      <c r="AJ56" s="426">
        <v>4.4086650303114823</v>
      </c>
      <c r="AK56" s="426">
        <v>4.4086650303114823</v>
      </c>
      <c r="AL56" s="426">
        <v>4.4086650303114823</v>
      </c>
      <c r="AM56" s="427">
        <v>0</v>
      </c>
      <c r="AN56" s="427">
        <v>0</v>
      </c>
      <c r="AO56" s="427">
        <v>0</v>
      </c>
      <c r="AP56" s="427">
        <v>0</v>
      </c>
      <c r="AQ56" s="427">
        <v>0</v>
      </c>
      <c r="AR56" s="427">
        <v>0</v>
      </c>
      <c r="AS56" s="427">
        <v>10944.315580496861</v>
      </c>
      <c r="AT56" s="427">
        <v>10944.315580496861</v>
      </c>
      <c r="AU56" s="427">
        <v>10944.315580496861</v>
      </c>
      <c r="AV56" s="427">
        <v>10944.315580496861</v>
      </c>
      <c r="AW56" s="427">
        <v>10944.315580496861</v>
      </c>
      <c r="AX56" s="427">
        <v>10944.315580496861</v>
      </c>
      <c r="AY56" s="427">
        <v>10944.315580496861</v>
      </c>
      <c r="AZ56" s="427">
        <v>10944.315580496861</v>
      </c>
      <c r="BA56" s="427">
        <v>10944.315580496861</v>
      </c>
      <c r="BB56" s="427">
        <v>10944.315580496861</v>
      </c>
      <c r="BC56" s="427">
        <v>10944.315580496861</v>
      </c>
      <c r="BD56" s="427">
        <v>10944.315580496861</v>
      </c>
      <c r="BE56" s="427">
        <v>10944.315580496861</v>
      </c>
      <c r="BF56" s="427">
        <v>10944.315580496861</v>
      </c>
      <c r="BG56" s="427">
        <v>10944.315580496861</v>
      </c>
      <c r="BH56" s="427">
        <v>10944.315580496861</v>
      </c>
      <c r="BI56" s="427">
        <v>10944.315580496861</v>
      </c>
      <c r="BJ56" s="427">
        <v>10944.315580496861</v>
      </c>
      <c r="BK56" s="427">
        <v>10944.315580496861</v>
      </c>
      <c r="BL56" s="427">
        <v>0</v>
      </c>
      <c r="BM56" s="427">
        <v>0</v>
      </c>
      <c r="BN56" s="427">
        <v>0</v>
      </c>
      <c r="BO56" s="427">
        <v>0</v>
      </c>
      <c r="BP56" s="427">
        <v>0</v>
      </c>
      <c r="BQ56" s="427">
        <v>0</v>
      </c>
      <c r="BR56" s="427">
        <v>0</v>
      </c>
      <c r="BS56" s="427">
        <v>0</v>
      </c>
      <c r="BT56" s="427">
        <v>0</v>
      </c>
      <c r="BU56" s="427">
        <v>0</v>
      </c>
      <c r="BV56" s="427">
        <v>0</v>
      </c>
      <c r="BW56" s="427">
        <v>0</v>
      </c>
      <c r="BX56" s="427">
        <v>0</v>
      </c>
      <c r="BY56" s="427">
        <v>0</v>
      </c>
      <c r="BZ56" s="427">
        <v>0</v>
      </c>
      <c r="CA56" s="427">
        <v>0</v>
      </c>
      <c r="CB56" s="427">
        <v>0</v>
      </c>
      <c r="CC56" s="427">
        <v>0</v>
      </c>
      <c r="CD56" s="427">
        <v>0</v>
      </c>
      <c r="CE56" s="427">
        <v>0</v>
      </c>
      <c r="CF56" s="427">
        <v>0</v>
      </c>
      <c r="CG56" s="427">
        <v>0</v>
      </c>
      <c r="CH56" s="427">
        <v>0</v>
      </c>
      <c r="CI56" s="427">
        <v>0</v>
      </c>
      <c r="CJ56" s="427">
        <v>0</v>
      </c>
      <c r="CK56" s="428">
        <v>0</v>
      </c>
      <c r="CL56" s="428">
        <v>0</v>
      </c>
      <c r="CM56" s="428">
        <v>0</v>
      </c>
      <c r="CN56" s="428">
        <v>0</v>
      </c>
      <c r="CO56" s="428">
        <v>0</v>
      </c>
      <c r="CP56" s="428">
        <v>0</v>
      </c>
      <c r="CQ56" s="428">
        <v>0</v>
      </c>
      <c r="CR56" s="428">
        <v>0</v>
      </c>
      <c r="CS56" s="428">
        <v>0</v>
      </c>
      <c r="CT56" s="428">
        <v>0</v>
      </c>
      <c r="CU56" s="428">
        <v>0</v>
      </c>
      <c r="CV56" s="428">
        <v>0</v>
      </c>
      <c r="CW56" s="428">
        <v>0</v>
      </c>
      <c r="CX56" s="428"/>
      <c r="CY56" s="428"/>
      <c r="CZ56" s="428"/>
      <c r="DA56" s="428"/>
      <c r="DB56" s="428"/>
      <c r="DC56" s="428"/>
      <c r="DD56" s="428"/>
      <c r="DE56" s="428"/>
      <c r="DF56" s="428"/>
      <c r="DG56" s="428"/>
      <c r="DH56" s="428"/>
      <c r="DI56" s="428"/>
    </row>
    <row r="57" spans="1:113" s="388" customFormat="1">
      <c r="A57" s="421" t="s">
        <v>370</v>
      </c>
      <c r="B57" s="421" t="s">
        <v>21</v>
      </c>
      <c r="C57" s="421" t="s">
        <v>400</v>
      </c>
      <c r="D57" s="422" t="s">
        <v>376</v>
      </c>
      <c r="E57" s="422">
        <v>2015</v>
      </c>
      <c r="F57" s="423">
        <v>0.72657110276015402</v>
      </c>
      <c r="G57" s="424">
        <v>267.5849999999989</v>
      </c>
      <c r="H57" s="422">
        <v>3</v>
      </c>
      <c r="I57" s="425">
        <v>0.38322222222222518</v>
      </c>
      <c r="J57" s="425">
        <v>0.38322222222222518</v>
      </c>
      <c r="K57" s="422">
        <v>0</v>
      </c>
      <c r="L57" s="422">
        <v>0</v>
      </c>
      <c r="M57" s="422">
        <v>0</v>
      </c>
      <c r="N57" s="426">
        <v>0</v>
      </c>
      <c r="O57" s="426">
        <v>0</v>
      </c>
      <c r="P57" s="426">
        <v>0</v>
      </c>
      <c r="Q57" s="426">
        <v>0</v>
      </c>
      <c r="R57" s="426">
        <v>0</v>
      </c>
      <c r="S57" s="426">
        <v>0</v>
      </c>
      <c r="T57" s="426">
        <v>0</v>
      </c>
      <c r="U57" s="426">
        <v>0</v>
      </c>
      <c r="V57" s="426">
        <v>0</v>
      </c>
      <c r="W57" s="426">
        <v>0</v>
      </c>
      <c r="X57" s="426">
        <v>0</v>
      </c>
      <c r="Y57" s="426">
        <v>0</v>
      </c>
      <c r="Z57" s="426">
        <v>0</v>
      </c>
      <c r="AA57" s="426">
        <v>0</v>
      </c>
      <c r="AB57" s="426">
        <v>0</v>
      </c>
      <c r="AC57" s="426">
        <v>0</v>
      </c>
      <c r="AD57" s="426">
        <v>0</v>
      </c>
      <c r="AE57" s="426">
        <v>0</v>
      </c>
      <c r="AF57" s="426">
        <v>0</v>
      </c>
      <c r="AG57" s="426">
        <v>0</v>
      </c>
      <c r="AH57" s="426">
        <v>0</v>
      </c>
      <c r="AI57" s="426">
        <v>0</v>
      </c>
      <c r="AJ57" s="426">
        <v>0</v>
      </c>
      <c r="AK57" s="426">
        <v>0</v>
      </c>
      <c r="AL57" s="426">
        <v>0</v>
      </c>
      <c r="AM57" s="427">
        <v>0</v>
      </c>
      <c r="AN57" s="427">
        <v>0</v>
      </c>
      <c r="AO57" s="427">
        <v>0</v>
      </c>
      <c r="AP57" s="427">
        <v>0</v>
      </c>
      <c r="AQ57" s="427">
        <v>0</v>
      </c>
      <c r="AR57" s="427">
        <v>0</v>
      </c>
      <c r="AS57" s="427">
        <v>0</v>
      </c>
      <c r="AT57" s="427">
        <v>0</v>
      </c>
      <c r="AU57" s="427">
        <v>0</v>
      </c>
      <c r="AV57" s="427">
        <v>0</v>
      </c>
      <c r="AW57" s="427">
        <v>0</v>
      </c>
      <c r="AX57" s="427">
        <v>0</v>
      </c>
      <c r="AY57" s="427">
        <v>0</v>
      </c>
      <c r="AZ57" s="427">
        <v>0</v>
      </c>
      <c r="BA57" s="427">
        <v>0</v>
      </c>
      <c r="BB57" s="427">
        <v>0</v>
      </c>
      <c r="BC57" s="427">
        <v>0</v>
      </c>
      <c r="BD57" s="427">
        <v>0</v>
      </c>
      <c r="BE57" s="427">
        <v>0</v>
      </c>
      <c r="BF57" s="427">
        <v>0</v>
      </c>
      <c r="BG57" s="427">
        <v>0</v>
      </c>
      <c r="BH57" s="427">
        <v>0</v>
      </c>
      <c r="BI57" s="427">
        <v>0</v>
      </c>
      <c r="BJ57" s="427">
        <v>0</v>
      </c>
      <c r="BK57" s="427">
        <v>0</v>
      </c>
      <c r="BL57" s="427">
        <v>0</v>
      </c>
      <c r="BM57" s="427">
        <v>0</v>
      </c>
      <c r="BN57" s="427">
        <v>0</v>
      </c>
      <c r="BO57" s="427">
        <v>0</v>
      </c>
      <c r="BP57" s="427">
        <v>0</v>
      </c>
      <c r="BQ57" s="427">
        <v>0</v>
      </c>
      <c r="BR57" s="427">
        <v>0</v>
      </c>
      <c r="BS57" s="427">
        <v>0</v>
      </c>
      <c r="BT57" s="427">
        <v>0</v>
      </c>
      <c r="BU57" s="427">
        <v>0</v>
      </c>
      <c r="BV57" s="427">
        <v>0</v>
      </c>
      <c r="BW57" s="427">
        <v>0</v>
      </c>
      <c r="BX57" s="427">
        <v>0</v>
      </c>
      <c r="BY57" s="427">
        <v>0</v>
      </c>
      <c r="BZ57" s="427">
        <v>0</v>
      </c>
      <c r="CA57" s="427">
        <v>0</v>
      </c>
      <c r="CB57" s="427">
        <v>0</v>
      </c>
      <c r="CC57" s="427">
        <v>0</v>
      </c>
      <c r="CD57" s="427">
        <v>0</v>
      </c>
      <c r="CE57" s="427">
        <v>0</v>
      </c>
      <c r="CF57" s="427">
        <v>0</v>
      </c>
      <c r="CG57" s="427">
        <v>0</v>
      </c>
      <c r="CH57" s="427">
        <v>0</v>
      </c>
      <c r="CI57" s="427">
        <v>0</v>
      </c>
      <c r="CJ57" s="427">
        <v>0</v>
      </c>
      <c r="CK57" s="428">
        <v>0</v>
      </c>
      <c r="CL57" s="428">
        <v>0</v>
      </c>
      <c r="CM57" s="428">
        <v>0</v>
      </c>
      <c r="CN57" s="428">
        <v>0</v>
      </c>
      <c r="CO57" s="428">
        <v>0</v>
      </c>
      <c r="CP57" s="428">
        <v>0</v>
      </c>
      <c r="CQ57" s="428">
        <v>0</v>
      </c>
      <c r="CR57" s="428">
        <v>0</v>
      </c>
      <c r="CS57" s="428">
        <v>0</v>
      </c>
      <c r="CT57" s="428">
        <v>0</v>
      </c>
      <c r="CU57" s="428">
        <v>0</v>
      </c>
      <c r="CV57" s="428">
        <v>0</v>
      </c>
      <c r="CW57" s="428">
        <v>0</v>
      </c>
      <c r="CX57" s="428"/>
      <c r="CY57" s="428"/>
      <c r="CZ57" s="428"/>
      <c r="DA57" s="428"/>
      <c r="DB57" s="428"/>
      <c r="DC57" s="428"/>
      <c r="DD57" s="428"/>
      <c r="DE57" s="428"/>
      <c r="DF57" s="428"/>
      <c r="DG57" s="428"/>
      <c r="DH57" s="428"/>
      <c r="DI57" s="428"/>
    </row>
    <row r="58" spans="1:113" s="388" customFormat="1">
      <c r="A58" s="421" t="s">
        <v>370</v>
      </c>
      <c r="B58" s="421" t="s">
        <v>21</v>
      </c>
      <c r="C58" s="421" t="s">
        <v>400</v>
      </c>
      <c r="D58" s="422" t="s">
        <v>376</v>
      </c>
      <c r="E58" s="422">
        <v>2016</v>
      </c>
      <c r="F58" s="423">
        <v>0.72657110276015402</v>
      </c>
      <c r="G58" s="424">
        <v>267.5849999999989</v>
      </c>
      <c r="H58" s="422">
        <v>3</v>
      </c>
      <c r="I58" s="425">
        <v>0.38322222222222518</v>
      </c>
      <c r="J58" s="425">
        <v>0.38322222222222518</v>
      </c>
      <c r="K58" s="422">
        <v>0</v>
      </c>
      <c r="L58" s="422">
        <v>0</v>
      </c>
      <c r="M58" s="422">
        <v>0</v>
      </c>
      <c r="N58" s="426">
        <v>0</v>
      </c>
      <c r="O58" s="426">
        <v>0</v>
      </c>
      <c r="P58" s="426">
        <v>0</v>
      </c>
      <c r="Q58" s="426">
        <v>0</v>
      </c>
      <c r="R58" s="426">
        <v>0</v>
      </c>
      <c r="S58" s="426">
        <v>0</v>
      </c>
      <c r="T58" s="426">
        <v>0</v>
      </c>
      <c r="U58" s="426">
        <v>0</v>
      </c>
      <c r="V58" s="426">
        <v>0</v>
      </c>
      <c r="W58" s="426">
        <v>0</v>
      </c>
      <c r="X58" s="426">
        <v>0</v>
      </c>
      <c r="Y58" s="426">
        <v>0</v>
      </c>
      <c r="Z58" s="426">
        <v>0</v>
      </c>
      <c r="AA58" s="426">
        <v>0</v>
      </c>
      <c r="AB58" s="426">
        <v>0</v>
      </c>
      <c r="AC58" s="426">
        <v>0</v>
      </c>
      <c r="AD58" s="426">
        <v>0</v>
      </c>
      <c r="AE58" s="426">
        <v>0</v>
      </c>
      <c r="AF58" s="426">
        <v>0</v>
      </c>
      <c r="AG58" s="426">
        <v>0</v>
      </c>
      <c r="AH58" s="426">
        <v>0</v>
      </c>
      <c r="AI58" s="426">
        <v>0</v>
      </c>
      <c r="AJ58" s="426">
        <v>0</v>
      </c>
      <c r="AK58" s="426">
        <v>0</v>
      </c>
      <c r="AL58" s="426">
        <v>0</v>
      </c>
      <c r="AM58" s="427">
        <v>0</v>
      </c>
      <c r="AN58" s="427">
        <v>0</v>
      </c>
      <c r="AO58" s="427">
        <v>0</v>
      </c>
      <c r="AP58" s="427">
        <v>0</v>
      </c>
      <c r="AQ58" s="427">
        <v>0</v>
      </c>
      <c r="AR58" s="427">
        <v>0</v>
      </c>
      <c r="AS58" s="427">
        <v>0</v>
      </c>
      <c r="AT58" s="427">
        <v>0</v>
      </c>
      <c r="AU58" s="427">
        <v>0</v>
      </c>
      <c r="AV58" s="427">
        <v>0</v>
      </c>
      <c r="AW58" s="427">
        <v>0</v>
      </c>
      <c r="AX58" s="427">
        <v>0</v>
      </c>
      <c r="AY58" s="427">
        <v>0</v>
      </c>
      <c r="AZ58" s="427">
        <v>0</v>
      </c>
      <c r="BA58" s="427">
        <v>0</v>
      </c>
      <c r="BB58" s="427">
        <v>0</v>
      </c>
      <c r="BC58" s="427">
        <v>0</v>
      </c>
      <c r="BD58" s="427">
        <v>0</v>
      </c>
      <c r="BE58" s="427">
        <v>0</v>
      </c>
      <c r="BF58" s="427">
        <v>0</v>
      </c>
      <c r="BG58" s="427">
        <v>0</v>
      </c>
      <c r="BH58" s="427">
        <v>0</v>
      </c>
      <c r="BI58" s="427">
        <v>0</v>
      </c>
      <c r="BJ58" s="427">
        <v>0</v>
      </c>
      <c r="BK58" s="427">
        <v>0</v>
      </c>
      <c r="BL58" s="427">
        <v>0</v>
      </c>
      <c r="BM58" s="427">
        <v>0</v>
      </c>
      <c r="BN58" s="427">
        <v>0</v>
      </c>
      <c r="BO58" s="427">
        <v>0</v>
      </c>
      <c r="BP58" s="427">
        <v>0</v>
      </c>
      <c r="BQ58" s="427">
        <v>0</v>
      </c>
      <c r="BR58" s="427">
        <v>0</v>
      </c>
      <c r="BS58" s="427">
        <v>0</v>
      </c>
      <c r="BT58" s="427">
        <v>0</v>
      </c>
      <c r="BU58" s="427">
        <v>0</v>
      </c>
      <c r="BV58" s="427">
        <v>0</v>
      </c>
      <c r="BW58" s="427">
        <v>0</v>
      </c>
      <c r="BX58" s="427">
        <v>0</v>
      </c>
      <c r="BY58" s="427">
        <v>0</v>
      </c>
      <c r="BZ58" s="427">
        <v>0</v>
      </c>
      <c r="CA58" s="427">
        <v>0</v>
      </c>
      <c r="CB58" s="427">
        <v>0</v>
      </c>
      <c r="CC58" s="427">
        <v>0</v>
      </c>
      <c r="CD58" s="427">
        <v>0</v>
      </c>
      <c r="CE58" s="427">
        <v>0</v>
      </c>
      <c r="CF58" s="427">
        <v>0</v>
      </c>
      <c r="CG58" s="427">
        <v>0</v>
      </c>
      <c r="CH58" s="427">
        <v>0</v>
      </c>
      <c r="CI58" s="427">
        <v>0</v>
      </c>
      <c r="CJ58" s="427">
        <v>0</v>
      </c>
      <c r="CK58" s="428">
        <v>0</v>
      </c>
      <c r="CL58" s="428">
        <v>0</v>
      </c>
      <c r="CM58" s="428">
        <v>0</v>
      </c>
      <c r="CN58" s="428">
        <v>0</v>
      </c>
      <c r="CO58" s="428">
        <v>0</v>
      </c>
      <c r="CP58" s="428">
        <v>0</v>
      </c>
      <c r="CQ58" s="428">
        <v>0</v>
      </c>
      <c r="CR58" s="428">
        <v>0</v>
      </c>
      <c r="CS58" s="428">
        <v>0</v>
      </c>
      <c r="CT58" s="428">
        <v>0</v>
      </c>
      <c r="CU58" s="428">
        <v>0</v>
      </c>
      <c r="CV58" s="428">
        <v>0</v>
      </c>
      <c r="CW58" s="428">
        <v>0</v>
      </c>
      <c r="CX58" s="428"/>
      <c r="CY58" s="428"/>
      <c r="CZ58" s="428"/>
      <c r="DA58" s="428"/>
      <c r="DB58" s="428"/>
      <c r="DC58" s="428"/>
      <c r="DD58" s="428"/>
      <c r="DE58" s="428"/>
      <c r="DF58" s="428"/>
      <c r="DG58" s="428"/>
      <c r="DH58" s="428"/>
      <c r="DI58" s="428"/>
    </row>
    <row r="59" spans="1:113" s="388" customFormat="1">
      <c r="A59" s="421" t="s">
        <v>370</v>
      </c>
      <c r="B59" s="421" t="s">
        <v>21</v>
      </c>
      <c r="C59" s="421" t="s">
        <v>400</v>
      </c>
      <c r="D59" s="422" t="s">
        <v>376</v>
      </c>
      <c r="E59" s="422">
        <v>2017</v>
      </c>
      <c r="F59" s="423">
        <v>0.72657110276015402</v>
      </c>
      <c r="G59" s="424">
        <v>267.5849999999989</v>
      </c>
      <c r="H59" s="422">
        <v>3</v>
      </c>
      <c r="I59" s="425">
        <v>0.38322222222222518</v>
      </c>
      <c r="J59" s="425">
        <v>0.38322222222222518</v>
      </c>
      <c r="K59" s="422">
        <v>0</v>
      </c>
      <c r="L59" s="422">
        <v>0</v>
      </c>
      <c r="M59" s="422">
        <v>0</v>
      </c>
      <c r="N59" s="426">
        <v>0</v>
      </c>
      <c r="O59" s="426">
        <v>0</v>
      </c>
      <c r="P59" s="426">
        <v>0</v>
      </c>
      <c r="Q59" s="426">
        <v>0</v>
      </c>
      <c r="R59" s="426">
        <v>0</v>
      </c>
      <c r="S59" s="426">
        <v>0</v>
      </c>
      <c r="T59" s="426">
        <v>0</v>
      </c>
      <c r="U59" s="426">
        <v>0</v>
      </c>
      <c r="V59" s="426">
        <v>0</v>
      </c>
      <c r="W59" s="426">
        <v>0</v>
      </c>
      <c r="X59" s="426">
        <v>0</v>
      </c>
      <c r="Y59" s="426">
        <v>0</v>
      </c>
      <c r="Z59" s="426">
        <v>0</v>
      </c>
      <c r="AA59" s="426">
        <v>0</v>
      </c>
      <c r="AB59" s="426">
        <v>0</v>
      </c>
      <c r="AC59" s="426">
        <v>0</v>
      </c>
      <c r="AD59" s="426">
        <v>0</v>
      </c>
      <c r="AE59" s="426">
        <v>0</v>
      </c>
      <c r="AF59" s="426">
        <v>0</v>
      </c>
      <c r="AG59" s="426">
        <v>0</v>
      </c>
      <c r="AH59" s="426">
        <v>0</v>
      </c>
      <c r="AI59" s="426">
        <v>0</v>
      </c>
      <c r="AJ59" s="426">
        <v>0</v>
      </c>
      <c r="AK59" s="426">
        <v>0</v>
      </c>
      <c r="AL59" s="426">
        <v>0</v>
      </c>
      <c r="AM59" s="427">
        <v>0</v>
      </c>
      <c r="AN59" s="427">
        <v>0</v>
      </c>
      <c r="AO59" s="427">
        <v>0</v>
      </c>
      <c r="AP59" s="427">
        <v>0</v>
      </c>
      <c r="AQ59" s="427">
        <v>0</v>
      </c>
      <c r="AR59" s="427">
        <v>0</v>
      </c>
      <c r="AS59" s="427">
        <v>0</v>
      </c>
      <c r="AT59" s="427">
        <v>0</v>
      </c>
      <c r="AU59" s="427">
        <v>0</v>
      </c>
      <c r="AV59" s="427">
        <v>0</v>
      </c>
      <c r="AW59" s="427">
        <v>0</v>
      </c>
      <c r="AX59" s="427">
        <v>0</v>
      </c>
      <c r="AY59" s="427">
        <v>0</v>
      </c>
      <c r="AZ59" s="427">
        <v>0</v>
      </c>
      <c r="BA59" s="427">
        <v>0</v>
      </c>
      <c r="BB59" s="427">
        <v>0</v>
      </c>
      <c r="BC59" s="427">
        <v>0</v>
      </c>
      <c r="BD59" s="427">
        <v>0</v>
      </c>
      <c r="BE59" s="427">
        <v>0</v>
      </c>
      <c r="BF59" s="427">
        <v>0</v>
      </c>
      <c r="BG59" s="427">
        <v>0</v>
      </c>
      <c r="BH59" s="427">
        <v>0</v>
      </c>
      <c r="BI59" s="427">
        <v>0</v>
      </c>
      <c r="BJ59" s="427">
        <v>0</v>
      </c>
      <c r="BK59" s="427">
        <v>0</v>
      </c>
      <c r="BL59" s="427">
        <v>0</v>
      </c>
      <c r="BM59" s="427">
        <v>0</v>
      </c>
      <c r="BN59" s="427">
        <v>0</v>
      </c>
      <c r="BO59" s="427">
        <v>0</v>
      </c>
      <c r="BP59" s="427">
        <v>0</v>
      </c>
      <c r="BQ59" s="427">
        <v>0</v>
      </c>
      <c r="BR59" s="427">
        <v>0</v>
      </c>
      <c r="BS59" s="427">
        <v>0</v>
      </c>
      <c r="BT59" s="427">
        <v>0</v>
      </c>
      <c r="BU59" s="427">
        <v>0</v>
      </c>
      <c r="BV59" s="427">
        <v>0</v>
      </c>
      <c r="BW59" s="427">
        <v>0</v>
      </c>
      <c r="BX59" s="427">
        <v>0</v>
      </c>
      <c r="BY59" s="427">
        <v>0</v>
      </c>
      <c r="BZ59" s="427">
        <v>0</v>
      </c>
      <c r="CA59" s="427">
        <v>0</v>
      </c>
      <c r="CB59" s="427">
        <v>0</v>
      </c>
      <c r="CC59" s="427">
        <v>0</v>
      </c>
      <c r="CD59" s="427">
        <v>0</v>
      </c>
      <c r="CE59" s="427">
        <v>0</v>
      </c>
      <c r="CF59" s="427">
        <v>0</v>
      </c>
      <c r="CG59" s="427">
        <v>0</v>
      </c>
      <c r="CH59" s="427">
        <v>0</v>
      </c>
      <c r="CI59" s="427">
        <v>0</v>
      </c>
      <c r="CJ59" s="427">
        <v>0</v>
      </c>
      <c r="CK59" s="428">
        <v>0</v>
      </c>
      <c r="CL59" s="428">
        <v>0</v>
      </c>
      <c r="CM59" s="428">
        <v>0</v>
      </c>
      <c r="CN59" s="428">
        <v>0</v>
      </c>
      <c r="CO59" s="428">
        <v>0</v>
      </c>
      <c r="CP59" s="428">
        <v>0</v>
      </c>
      <c r="CQ59" s="428">
        <v>0</v>
      </c>
      <c r="CR59" s="428">
        <v>0</v>
      </c>
      <c r="CS59" s="428">
        <v>0</v>
      </c>
      <c r="CT59" s="428">
        <v>0</v>
      </c>
      <c r="CU59" s="428">
        <v>0</v>
      </c>
      <c r="CV59" s="428">
        <v>0</v>
      </c>
      <c r="CW59" s="428">
        <v>0</v>
      </c>
      <c r="CX59" s="428"/>
      <c r="CY59" s="428"/>
      <c r="CZ59" s="428"/>
      <c r="DA59" s="428"/>
      <c r="DB59" s="428"/>
      <c r="DC59" s="428"/>
      <c r="DD59" s="428"/>
      <c r="DE59" s="428"/>
      <c r="DF59" s="428"/>
      <c r="DG59" s="428"/>
      <c r="DH59" s="428"/>
      <c r="DI59" s="428"/>
    </row>
    <row r="60" spans="1:113" s="388" customFormat="1">
      <c r="A60" s="421" t="s">
        <v>370</v>
      </c>
      <c r="B60" s="421" t="s">
        <v>21</v>
      </c>
      <c r="C60" s="421" t="s">
        <v>400</v>
      </c>
      <c r="D60" s="422" t="s">
        <v>376</v>
      </c>
      <c r="E60" s="422">
        <v>2018</v>
      </c>
      <c r="F60" s="423">
        <v>0.72657110276015402</v>
      </c>
      <c r="G60" s="424">
        <v>267.5849999999989</v>
      </c>
      <c r="H60" s="422">
        <v>3</v>
      </c>
      <c r="I60" s="425">
        <v>0.38322222222222518</v>
      </c>
      <c r="J60" s="425">
        <v>0.38322222222222518</v>
      </c>
      <c r="K60" s="422">
        <v>0</v>
      </c>
      <c r="L60" s="422">
        <v>0</v>
      </c>
      <c r="M60" s="422">
        <v>0</v>
      </c>
      <c r="N60" s="426">
        <v>0</v>
      </c>
      <c r="O60" s="426">
        <v>0</v>
      </c>
      <c r="P60" s="426">
        <v>0</v>
      </c>
      <c r="Q60" s="426">
        <v>0</v>
      </c>
      <c r="R60" s="426">
        <v>0</v>
      </c>
      <c r="S60" s="426">
        <v>0</v>
      </c>
      <c r="T60" s="426">
        <v>0</v>
      </c>
      <c r="U60" s="426">
        <v>0</v>
      </c>
      <c r="V60" s="426">
        <v>0</v>
      </c>
      <c r="W60" s="426">
        <v>0</v>
      </c>
      <c r="X60" s="426">
        <v>0</v>
      </c>
      <c r="Y60" s="426">
        <v>0</v>
      </c>
      <c r="Z60" s="426">
        <v>0</v>
      </c>
      <c r="AA60" s="426">
        <v>0</v>
      </c>
      <c r="AB60" s="426">
        <v>0</v>
      </c>
      <c r="AC60" s="426">
        <v>0</v>
      </c>
      <c r="AD60" s="426">
        <v>0</v>
      </c>
      <c r="AE60" s="426">
        <v>0</v>
      </c>
      <c r="AF60" s="426">
        <v>0</v>
      </c>
      <c r="AG60" s="426">
        <v>0</v>
      </c>
      <c r="AH60" s="426">
        <v>0</v>
      </c>
      <c r="AI60" s="426">
        <v>0</v>
      </c>
      <c r="AJ60" s="426">
        <v>0</v>
      </c>
      <c r="AK60" s="426">
        <v>0</v>
      </c>
      <c r="AL60" s="426">
        <v>0</v>
      </c>
      <c r="AM60" s="427">
        <v>0</v>
      </c>
      <c r="AN60" s="427">
        <v>0</v>
      </c>
      <c r="AO60" s="427">
        <v>0</v>
      </c>
      <c r="AP60" s="427">
        <v>0</v>
      </c>
      <c r="AQ60" s="427">
        <v>0</v>
      </c>
      <c r="AR60" s="427">
        <v>0</v>
      </c>
      <c r="AS60" s="427">
        <v>0</v>
      </c>
      <c r="AT60" s="427">
        <v>0</v>
      </c>
      <c r="AU60" s="427">
        <v>0</v>
      </c>
      <c r="AV60" s="427">
        <v>0</v>
      </c>
      <c r="AW60" s="427">
        <v>0</v>
      </c>
      <c r="AX60" s="427">
        <v>0</v>
      </c>
      <c r="AY60" s="427">
        <v>0</v>
      </c>
      <c r="AZ60" s="427">
        <v>0</v>
      </c>
      <c r="BA60" s="427">
        <v>0</v>
      </c>
      <c r="BB60" s="427">
        <v>0</v>
      </c>
      <c r="BC60" s="427">
        <v>0</v>
      </c>
      <c r="BD60" s="427">
        <v>0</v>
      </c>
      <c r="BE60" s="427">
        <v>0</v>
      </c>
      <c r="BF60" s="427">
        <v>0</v>
      </c>
      <c r="BG60" s="427">
        <v>0</v>
      </c>
      <c r="BH60" s="427">
        <v>0</v>
      </c>
      <c r="BI60" s="427">
        <v>0</v>
      </c>
      <c r="BJ60" s="427">
        <v>0</v>
      </c>
      <c r="BK60" s="427">
        <v>0</v>
      </c>
      <c r="BL60" s="427">
        <v>0</v>
      </c>
      <c r="BM60" s="427">
        <v>0</v>
      </c>
      <c r="BN60" s="427">
        <v>0</v>
      </c>
      <c r="BO60" s="427">
        <v>0</v>
      </c>
      <c r="BP60" s="427">
        <v>0</v>
      </c>
      <c r="BQ60" s="427">
        <v>0</v>
      </c>
      <c r="BR60" s="427">
        <v>0</v>
      </c>
      <c r="BS60" s="427">
        <v>0</v>
      </c>
      <c r="BT60" s="427">
        <v>0</v>
      </c>
      <c r="BU60" s="427">
        <v>0</v>
      </c>
      <c r="BV60" s="427">
        <v>0</v>
      </c>
      <c r="BW60" s="427">
        <v>0</v>
      </c>
      <c r="BX60" s="427">
        <v>0</v>
      </c>
      <c r="BY60" s="427">
        <v>0</v>
      </c>
      <c r="BZ60" s="427">
        <v>0</v>
      </c>
      <c r="CA60" s="427">
        <v>0</v>
      </c>
      <c r="CB60" s="427">
        <v>0</v>
      </c>
      <c r="CC60" s="427">
        <v>0</v>
      </c>
      <c r="CD60" s="427">
        <v>0</v>
      </c>
      <c r="CE60" s="427">
        <v>0</v>
      </c>
      <c r="CF60" s="427">
        <v>0</v>
      </c>
      <c r="CG60" s="427">
        <v>0</v>
      </c>
      <c r="CH60" s="427">
        <v>0</v>
      </c>
      <c r="CI60" s="427">
        <v>0</v>
      </c>
      <c r="CJ60" s="427">
        <v>0</v>
      </c>
      <c r="CK60" s="428">
        <v>0</v>
      </c>
      <c r="CL60" s="428">
        <v>0</v>
      </c>
      <c r="CM60" s="428">
        <v>0</v>
      </c>
      <c r="CN60" s="428">
        <v>0</v>
      </c>
      <c r="CO60" s="428">
        <v>0</v>
      </c>
      <c r="CP60" s="428">
        <v>0</v>
      </c>
      <c r="CQ60" s="428">
        <v>0</v>
      </c>
      <c r="CR60" s="428">
        <v>0</v>
      </c>
      <c r="CS60" s="428">
        <v>0</v>
      </c>
      <c r="CT60" s="428">
        <v>0</v>
      </c>
      <c r="CU60" s="428">
        <v>0</v>
      </c>
      <c r="CV60" s="428">
        <v>0</v>
      </c>
      <c r="CW60" s="428">
        <v>0</v>
      </c>
      <c r="CX60" s="428"/>
      <c r="CY60" s="428"/>
      <c r="CZ60" s="428"/>
      <c r="DA60" s="428"/>
      <c r="DB60" s="428"/>
      <c r="DC60" s="428"/>
      <c r="DD60" s="428"/>
      <c r="DE60" s="428"/>
      <c r="DF60" s="428"/>
      <c r="DG60" s="428"/>
      <c r="DH60" s="428"/>
      <c r="DI60" s="428"/>
    </row>
    <row r="61" spans="1:113" s="388" customFormat="1">
      <c r="A61" s="421" t="s">
        <v>370</v>
      </c>
      <c r="B61" s="421" t="s">
        <v>21</v>
      </c>
      <c r="C61" s="421" t="s">
        <v>400</v>
      </c>
      <c r="D61" s="422" t="s">
        <v>376</v>
      </c>
      <c r="E61" s="422">
        <v>2019</v>
      </c>
      <c r="F61" s="423">
        <v>0.72657110276015402</v>
      </c>
      <c r="G61" s="424">
        <v>267.5849999999989</v>
      </c>
      <c r="H61" s="422">
        <v>3</v>
      </c>
      <c r="I61" s="425">
        <v>0.38322222222222518</v>
      </c>
      <c r="J61" s="425">
        <v>0.38322222222222518</v>
      </c>
      <c r="K61" s="422">
        <v>0</v>
      </c>
      <c r="L61" s="422">
        <v>0</v>
      </c>
      <c r="M61" s="422">
        <v>0</v>
      </c>
      <c r="N61" s="426">
        <v>0</v>
      </c>
      <c r="O61" s="426">
        <v>0</v>
      </c>
      <c r="P61" s="426">
        <v>0</v>
      </c>
      <c r="Q61" s="426">
        <v>0</v>
      </c>
      <c r="R61" s="426">
        <v>0</v>
      </c>
      <c r="S61" s="426">
        <v>0</v>
      </c>
      <c r="T61" s="426">
        <v>0</v>
      </c>
      <c r="U61" s="426">
        <v>0</v>
      </c>
      <c r="V61" s="426">
        <v>0</v>
      </c>
      <c r="W61" s="426">
        <v>0</v>
      </c>
      <c r="X61" s="426">
        <v>0</v>
      </c>
      <c r="Y61" s="426">
        <v>0</v>
      </c>
      <c r="Z61" s="426">
        <v>0</v>
      </c>
      <c r="AA61" s="426">
        <v>0</v>
      </c>
      <c r="AB61" s="426">
        <v>0</v>
      </c>
      <c r="AC61" s="426">
        <v>0</v>
      </c>
      <c r="AD61" s="426">
        <v>0</v>
      </c>
      <c r="AE61" s="426">
        <v>0</v>
      </c>
      <c r="AF61" s="426">
        <v>0</v>
      </c>
      <c r="AG61" s="426">
        <v>0</v>
      </c>
      <c r="AH61" s="426">
        <v>0</v>
      </c>
      <c r="AI61" s="426">
        <v>0</v>
      </c>
      <c r="AJ61" s="426">
        <v>0</v>
      </c>
      <c r="AK61" s="426">
        <v>0</v>
      </c>
      <c r="AL61" s="426">
        <v>0</v>
      </c>
      <c r="AM61" s="427">
        <v>0</v>
      </c>
      <c r="AN61" s="427">
        <v>0</v>
      </c>
      <c r="AO61" s="427">
        <v>0</v>
      </c>
      <c r="AP61" s="427">
        <v>0</v>
      </c>
      <c r="AQ61" s="427">
        <v>0</v>
      </c>
      <c r="AR61" s="427">
        <v>0</v>
      </c>
      <c r="AS61" s="427">
        <v>0</v>
      </c>
      <c r="AT61" s="427">
        <v>0</v>
      </c>
      <c r="AU61" s="427">
        <v>0</v>
      </c>
      <c r="AV61" s="427">
        <v>0</v>
      </c>
      <c r="AW61" s="427">
        <v>0</v>
      </c>
      <c r="AX61" s="427">
        <v>0</v>
      </c>
      <c r="AY61" s="427">
        <v>0</v>
      </c>
      <c r="AZ61" s="427">
        <v>0</v>
      </c>
      <c r="BA61" s="427">
        <v>0</v>
      </c>
      <c r="BB61" s="427">
        <v>0</v>
      </c>
      <c r="BC61" s="427">
        <v>0</v>
      </c>
      <c r="BD61" s="427">
        <v>0</v>
      </c>
      <c r="BE61" s="427">
        <v>0</v>
      </c>
      <c r="BF61" s="427">
        <v>0</v>
      </c>
      <c r="BG61" s="427">
        <v>0</v>
      </c>
      <c r="BH61" s="427">
        <v>0</v>
      </c>
      <c r="BI61" s="427">
        <v>0</v>
      </c>
      <c r="BJ61" s="427">
        <v>0</v>
      </c>
      <c r="BK61" s="427">
        <v>0</v>
      </c>
      <c r="BL61" s="427">
        <v>0</v>
      </c>
      <c r="BM61" s="427">
        <v>0</v>
      </c>
      <c r="BN61" s="427">
        <v>0</v>
      </c>
      <c r="BO61" s="427">
        <v>0</v>
      </c>
      <c r="BP61" s="427">
        <v>0</v>
      </c>
      <c r="BQ61" s="427">
        <v>0</v>
      </c>
      <c r="BR61" s="427">
        <v>0</v>
      </c>
      <c r="BS61" s="427">
        <v>0</v>
      </c>
      <c r="BT61" s="427">
        <v>0</v>
      </c>
      <c r="BU61" s="427">
        <v>0</v>
      </c>
      <c r="BV61" s="427">
        <v>0</v>
      </c>
      <c r="BW61" s="427">
        <v>0</v>
      </c>
      <c r="BX61" s="427">
        <v>0</v>
      </c>
      <c r="BY61" s="427">
        <v>0</v>
      </c>
      <c r="BZ61" s="427">
        <v>0</v>
      </c>
      <c r="CA61" s="427">
        <v>0</v>
      </c>
      <c r="CB61" s="427">
        <v>0</v>
      </c>
      <c r="CC61" s="427">
        <v>0</v>
      </c>
      <c r="CD61" s="427">
        <v>0</v>
      </c>
      <c r="CE61" s="427">
        <v>0</v>
      </c>
      <c r="CF61" s="427">
        <v>0</v>
      </c>
      <c r="CG61" s="427">
        <v>0</v>
      </c>
      <c r="CH61" s="427">
        <v>0</v>
      </c>
      <c r="CI61" s="427">
        <v>0</v>
      </c>
      <c r="CJ61" s="427">
        <v>0</v>
      </c>
      <c r="CK61" s="428">
        <v>0</v>
      </c>
      <c r="CL61" s="428">
        <v>0</v>
      </c>
      <c r="CM61" s="428">
        <v>0</v>
      </c>
      <c r="CN61" s="428">
        <v>0</v>
      </c>
      <c r="CO61" s="428">
        <v>0</v>
      </c>
      <c r="CP61" s="428">
        <v>0</v>
      </c>
      <c r="CQ61" s="428">
        <v>0</v>
      </c>
      <c r="CR61" s="428">
        <v>0</v>
      </c>
      <c r="CS61" s="428">
        <v>0</v>
      </c>
      <c r="CT61" s="428">
        <v>0</v>
      </c>
      <c r="CU61" s="428">
        <v>0</v>
      </c>
      <c r="CV61" s="428">
        <v>0</v>
      </c>
      <c r="CW61" s="428">
        <v>0</v>
      </c>
      <c r="CX61" s="428"/>
      <c r="CY61" s="428"/>
      <c r="CZ61" s="428"/>
      <c r="DA61" s="428"/>
      <c r="DB61" s="428"/>
      <c r="DC61" s="428"/>
      <c r="DD61" s="428"/>
      <c r="DE61" s="428"/>
      <c r="DF61" s="428"/>
      <c r="DG61" s="428"/>
      <c r="DH61" s="428"/>
      <c r="DI61" s="428"/>
    </row>
    <row r="62" spans="1:113" s="388" customFormat="1">
      <c r="A62" s="421" t="s">
        <v>370</v>
      </c>
      <c r="B62" s="421" t="s">
        <v>21</v>
      </c>
      <c r="C62" s="421" t="s">
        <v>400</v>
      </c>
      <c r="D62" s="422" t="s">
        <v>376</v>
      </c>
      <c r="E62" s="422">
        <v>2020</v>
      </c>
      <c r="F62" s="423">
        <v>0.72657110276015402</v>
      </c>
      <c r="G62" s="424">
        <v>267.5849999999989</v>
      </c>
      <c r="H62" s="422">
        <v>3</v>
      </c>
      <c r="I62" s="425">
        <v>0.38322222222222518</v>
      </c>
      <c r="J62" s="425">
        <v>0.38322222222222518</v>
      </c>
      <c r="K62" s="422">
        <v>0</v>
      </c>
      <c r="L62" s="422">
        <v>0</v>
      </c>
      <c r="M62" s="422">
        <v>0</v>
      </c>
      <c r="N62" s="426">
        <v>0</v>
      </c>
      <c r="O62" s="426">
        <v>0</v>
      </c>
      <c r="P62" s="426">
        <v>0</v>
      </c>
      <c r="Q62" s="426">
        <v>0</v>
      </c>
      <c r="R62" s="426">
        <v>0</v>
      </c>
      <c r="S62" s="426">
        <v>0</v>
      </c>
      <c r="T62" s="426">
        <v>0</v>
      </c>
      <c r="U62" s="426">
        <v>0</v>
      </c>
      <c r="V62" s="426">
        <v>0</v>
      </c>
      <c r="W62" s="426">
        <v>0</v>
      </c>
      <c r="X62" s="426">
        <v>0</v>
      </c>
      <c r="Y62" s="426">
        <v>0</v>
      </c>
      <c r="Z62" s="426">
        <v>0</v>
      </c>
      <c r="AA62" s="426">
        <v>0</v>
      </c>
      <c r="AB62" s="426">
        <v>0</v>
      </c>
      <c r="AC62" s="426">
        <v>0</v>
      </c>
      <c r="AD62" s="426">
        <v>0</v>
      </c>
      <c r="AE62" s="426">
        <v>0</v>
      </c>
      <c r="AF62" s="426">
        <v>0</v>
      </c>
      <c r="AG62" s="426">
        <v>0</v>
      </c>
      <c r="AH62" s="426">
        <v>0</v>
      </c>
      <c r="AI62" s="426">
        <v>0</v>
      </c>
      <c r="AJ62" s="426">
        <v>0</v>
      </c>
      <c r="AK62" s="426">
        <v>0</v>
      </c>
      <c r="AL62" s="426">
        <v>0</v>
      </c>
      <c r="AM62" s="427">
        <v>0</v>
      </c>
      <c r="AN62" s="427">
        <v>0</v>
      </c>
      <c r="AO62" s="427">
        <v>0</v>
      </c>
      <c r="AP62" s="427">
        <v>0</v>
      </c>
      <c r="AQ62" s="427">
        <v>0</v>
      </c>
      <c r="AR62" s="427">
        <v>0</v>
      </c>
      <c r="AS62" s="427">
        <v>0</v>
      </c>
      <c r="AT62" s="427">
        <v>0</v>
      </c>
      <c r="AU62" s="427">
        <v>0</v>
      </c>
      <c r="AV62" s="427">
        <v>0</v>
      </c>
      <c r="AW62" s="427">
        <v>0</v>
      </c>
      <c r="AX62" s="427">
        <v>0</v>
      </c>
      <c r="AY62" s="427">
        <v>0</v>
      </c>
      <c r="AZ62" s="427">
        <v>0</v>
      </c>
      <c r="BA62" s="427">
        <v>0</v>
      </c>
      <c r="BB62" s="427">
        <v>0</v>
      </c>
      <c r="BC62" s="427">
        <v>0</v>
      </c>
      <c r="BD62" s="427">
        <v>0</v>
      </c>
      <c r="BE62" s="427">
        <v>0</v>
      </c>
      <c r="BF62" s="427">
        <v>0</v>
      </c>
      <c r="BG62" s="427">
        <v>0</v>
      </c>
      <c r="BH62" s="427">
        <v>0</v>
      </c>
      <c r="BI62" s="427">
        <v>0</v>
      </c>
      <c r="BJ62" s="427">
        <v>0</v>
      </c>
      <c r="BK62" s="427">
        <v>0</v>
      </c>
      <c r="BL62" s="427">
        <v>0</v>
      </c>
      <c r="BM62" s="427">
        <v>0</v>
      </c>
      <c r="BN62" s="427">
        <v>0</v>
      </c>
      <c r="BO62" s="427">
        <v>0</v>
      </c>
      <c r="BP62" s="427">
        <v>0</v>
      </c>
      <c r="BQ62" s="427">
        <v>0</v>
      </c>
      <c r="BR62" s="427">
        <v>0</v>
      </c>
      <c r="BS62" s="427">
        <v>0</v>
      </c>
      <c r="BT62" s="427">
        <v>0</v>
      </c>
      <c r="BU62" s="427">
        <v>0</v>
      </c>
      <c r="BV62" s="427">
        <v>0</v>
      </c>
      <c r="BW62" s="427">
        <v>0</v>
      </c>
      <c r="BX62" s="427">
        <v>0</v>
      </c>
      <c r="BY62" s="427">
        <v>0</v>
      </c>
      <c r="BZ62" s="427">
        <v>0</v>
      </c>
      <c r="CA62" s="427">
        <v>0</v>
      </c>
      <c r="CB62" s="427">
        <v>0</v>
      </c>
      <c r="CC62" s="427">
        <v>0</v>
      </c>
      <c r="CD62" s="427">
        <v>0</v>
      </c>
      <c r="CE62" s="427">
        <v>0</v>
      </c>
      <c r="CF62" s="427">
        <v>0</v>
      </c>
      <c r="CG62" s="427">
        <v>0</v>
      </c>
      <c r="CH62" s="427">
        <v>0</v>
      </c>
      <c r="CI62" s="427">
        <v>0</v>
      </c>
      <c r="CJ62" s="427">
        <v>0</v>
      </c>
      <c r="CK62" s="428">
        <v>0</v>
      </c>
      <c r="CL62" s="428">
        <v>0</v>
      </c>
      <c r="CM62" s="428">
        <v>0</v>
      </c>
      <c r="CN62" s="428">
        <v>0</v>
      </c>
      <c r="CO62" s="428">
        <v>0</v>
      </c>
      <c r="CP62" s="428">
        <v>0</v>
      </c>
      <c r="CQ62" s="428">
        <v>0</v>
      </c>
      <c r="CR62" s="428">
        <v>0</v>
      </c>
      <c r="CS62" s="428">
        <v>0</v>
      </c>
      <c r="CT62" s="428">
        <v>0</v>
      </c>
      <c r="CU62" s="428">
        <v>0</v>
      </c>
      <c r="CV62" s="428">
        <v>0</v>
      </c>
      <c r="CW62" s="428">
        <v>0</v>
      </c>
      <c r="CX62" s="428"/>
      <c r="CY62" s="428"/>
      <c r="CZ62" s="428"/>
      <c r="DA62" s="428"/>
      <c r="DB62" s="428"/>
      <c r="DC62" s="428"/>
      <c r="DD62" s="428"/>
      <c r="DE62" s="428"/>
      <c r="DF62" s="428"/>
      <c r="DG62" s="428"/>
      <c r="DH62" s="428"/>
      <c r="DI62" s="428"/>
    </row>
    <row r="63" spans="1:113" s="388" customFormat="1">
      <c r="A63" s="421" t="s">
        <v>370</v>
      </c>
      <c r="B63" s="421" t="s">
        <v>21</v>
      </c>
      <c r="C63" s="421" t="s">
        <v>403</v>
      </c>
      <c r="D63" s="422" t="s">
        <v>376</v>
      </c>
      <c r="E63" s="422">
        <v>2015</v>
      </c>
      <c r="F63" s="423">
        <v>0.55825616945337209</v>
      </c>
      <c r="G63" s="424">
        <v>823.50080422113342</v>
      </c>
      <c r="H63" s="422">
        <v>4</v>
      </c>
      <c r="I63" s="425">
        <v>0.38322222222222602</v>
      </c>
      <c r="J63" s="425">
        <v>0.38322222222222602</v>
      </c>
      <c r="K63" s="422">
        <v>0</v>
      </c>
      <c r="L63" s="422">
        <v>0</v>
      </c>
      <c r="M63" s="422">
        <v>0</v>
      </c>
      <c r="N63" s="426">
        <v>0</v>
      </c>
      <c r="O63" s="426">
        <v>0</v>
      </c>
      <c r="P63" s="426">
        <v>0</v>
      </c>
      <c r="Q63" s="426">
        <v>0</v>
      </c>
      <c r="R63" s="426">
        <v>0</v>
      </c>
      <c r="S63" s="426">
        <v>0</v>
      </c>
      <c r="T63" s="426">
        <v>0</v>
      </c>
      <c r="U63" s="426">
        <v>0</v>
      </c>
      <c r="V63" s="426">
        <v>0</v>
      </c>
      <c r="W63" s="426">
        <v>0</v>
      </c>
      <c r="X63" s="426">
        <v>0</v>
      </c>
      <c r="Y63" s="426">
        <v>0</v>
      </c>
      <c r="Z63" s="426">
        <v>0</v>
      </c>
      <c r="AA63" s="426">
        <v>0</v>
      </c>
      <c r="AB63" s="426">
        <v>0</v>
      </c>
      <c r="AC63" s="426">
        <v>0</v>
      </c>
      <c r="AD63" s="426">
        <v>0</v>
      </c>
      <c r="AE63" s="426">
        <v>0</v>
      </c>
      <c r="AF63" s="426">
        <v>0</v>
      </c>
      <c r="AG63" s="426">
        <v>0</v>
      </c>
      <c r="AH63" s="426">
        <v>0</v>
      </c>
      <c r="AI63" s="426">
        <v>0</v>
      </c>
      <c r="AJ63" s="426">
        <v>0</v>
      </c>
      <c r="AK63" s="426">
        <v>0</v>
      </c>
      <c r="AL63" s="426">
        <v>0</v>
      </c>
      <c r="AM63" s="427">
        <v>0</v>
      </c>
      <c r="AN63" s="427">
        <v>0</v>
      </c>
      <c r="AO63" s="427">
        <v>0</v>
      </c>
      <c r="AP63" s="427">
        <v>0</v>
      </c>
      <c r="AQ63" s="427">
        <v>0</v>
      </c>
      <c r="AR63" s="427">
        <v>0</v>
      </c>
      <c r="AS63" s="427">
        <v>0</v>
      </c>
      <c r="AT63" s="427">
        <v>0</v>
      </c>
      <c r="AU63" s="427">
        <v>0</v>
      </c>
      <c r="AV63" s="427">
        <v>0</v>
      </c>
      <c r="AW63" s="427">
        <v>0</v>
      </c>
      <c r="AX63" s="427">
        <v>0</v>
      </c>
      <c r="AY63" s="427">
        <v>0</v>
      </c>
      <c r="AZ63" s="427">
        <v>0</v>
      </c>
      <c r="BA63" s="427">
        <v>0</v>
      </c>
      <c r="BB63" s="427">
        <v>0</v>
      </c>
      <c r="BC63" s="427">
        <v>0</v>
      </c>
      <c r="BD63" s="427">
        <v>0</v>
      </c>
      <c r="BE63" s="427">
        <v>0</v>
      </c>
      <c r="BF63" s="427">
        <v>0</v>
      </c>
      <c r="BG63" s="427">
        <v>0</v>
      </c>
      <c r="BH63" s="427">
        <v>0</v>
      </c>
      <c r="BI63" s="427">
        <v>0</v>
      </c>
      <c r="BJ63" s="427">
        <v>0</v>
      </c>
      <c r="BK63" s="427">
        <v>0</v>
      </c>
      <c r="BL63" s="427">
        <v>0</v>
      </c>
      <c r="BM63" s="427">
        <v>0</v>
      </c>
      <c r="BN63" s="427">
        <v>0</v>
      </c>
      <c r="BO63" s="427">
        <v>0</v>
      </c>
      <c r="BP63" s="427">
        <v>0</v>
      </c>
      <c r="BQ63" s="427">
        <v>0</v>
      </c>
      <c r="BR63" s="427">
        <v>0</v>
      </c>
      <c r="BS63" s="427">
        <v>0</v>
      </c>
      <c r="BT63" s="427">
        <v>0</v>
      </c>
      <c r="BU63" s="427">
        <v>0</v>
      </c>
      <c r="BV63" s="427">
        <v>0</v>
      </c>
      <c r="BW63" s="427">
        <v>0</v>
      </c>
      <c r="BX63" s="427">
        <v>0</v>
      </c>
      <c r="BY63" s="427">
        <v>0</v>
      </c>
      <c r="BZ63" s="427">
        <v>0</v>
      </c>
      <c r="CA63" s="427">
        <v>0</v>
      </c>
      <c r="CB63" s="427">
        <v>0</v>
      </c>
      <c r="CC63" s="427">
        <v>0</v>
      </c>
      <c r="CD63" s="427">
        <v>0</v>
      </c>
      <c r="CE63" s="427">
        <v>0</v>
      </c>
      <c r="CF63" s="427">
        <v>0</v>
      </c>
      <c r="CG63" s="427">
        <v>0</v>
      </c>
      <c r="CH63" s="427">
        <v>0</v>
      </c>
      <c r="CI63" s="427">
        <v>0</v>
      </c>
      <c r="CJ63" s="427">
        <v>0</v>
      </c>
      <c r="CK63" s="428">
        <v>0</v>
      </c>
      <c r="CL63" s="428">
        <v>0</v>
      </c>
      <c r="CM63" s="428">
        <v>0</v>
      </c>
      <c r="CN63" s="428">
        <v>0</v>
      </c>
      <c r="CO63" s="428">
        <v>0</v>
      </c>
      <c r="CP63" s="428">
        <v>0</v>
      </c>
      <c r="CQ63" s="428">
        <v>0</v>
      </c>
      <c r="CR63" s="428">
        <v>0</v>
      </c>
      <c r="CS63" s="428">
        <v>0</v>
      </c>
      <c r="CT63" s="428">
        <v>0</v>
      </c>
      <c r="CU63" s="428">
        <v>0</v>
      </c>
      <c r="CV63" s="428">
        <v>0</v>
      </c>
      <c r="CW63" s="428">
        <v>0</v>
      </c>
      <c r="CX63" s="428"/>
      <c r="CY63" s="428"/>
      <c r="CZ63" s="428"/>
      <c r="DA63" s="428"/>
      <c r="DB63" s="428"/>
      <c r="DC63" s="428"/>
      <c r="DD63" s="428"/>
      <c r="DE63" s="428"/>
      <c r="DF63" s="428"/>
      <c r="DG63" s="428"/>
      <c r="DH63" s="428"/>
      <c r="DI63" s="428"/>
    </row>
    <row r="64" spans="1:113" s="388" customFormat="1">
      <c r="A64" s="421" t="s">
        <v>370</v>
      </c>
      <c r="B64" s="421" t="s">
        <v>21</v>
      </c>
      <c r="C64" s="421" t="s">
        <v>403</v>
      </c>
      <c r="D64" s="422" t="s">
        <v>376</v>
      </c>
      <c r="E64" s="422">
        <v>2016</v>
      </c>
      <c r="F64" s="423">
        <v>0.55825616945337209</v>
      </c>
      <c r="G64" s="424">
        <v>823.50080422113342</v>
      </c>
      <c r="H64" s="422">
        <v>4</v>
      </c>
      <c r="I64" s="425">
        <v>0.38322222222222602</v>
      </c>
      <c r="J64" s="425">
        <v>0.38322222222222602</v>
      </c>
      <c r="K64" s="422">
        <v>0</v>
      </c>
      <c r="L64" s="422">
        <v>0</v>
      </c>
      <c r="M64" s="422">
        <v>0</v>
      </c>
      <c r="N64" s="426">
        <v>0</v>
      </c>
      <c r="O64" s="426">
        <v>0</v>
      </c>
      <c r="P64" s="426">
        <v>0</v>
      </c>
      <c r="Q64" s="426">
        <v>0</v>
      </c>
      <c r="R64" s="426">
        <v>0</v>
      </c>
      <c r="S64" s="426">
        <v>0</v>
      </c>
      <c r="T64" s="426">
        <v>0</v>
      </c>
      <c r="U64" s="426">
        <v>0</v>
      </c>
      <c r="V64" s="426">
        <v>0</v>
      </c>
      <c r="W64" s="426">
        <v>0</v>
      </c>
      <c r="X64" s="426">
        <v>0</v>
      </c>
      <c r="Y64" s="426">
        <v>0</v>
      </c>
      <c r="Z64" s="426">
        <v>0</v>
      </c>
      <c r="AA64" s="426">
        <v>0</v>
      </c>
      <c r="AB64" s="426">
        <v>0</v>
      </c>
      <c r="AC64" s="426">
        <v>0</v>
      </c>
      <c r="AD64" s="426">
        <v>0</v>
      </c>
      <c r="AE64" s="426">
        <v>0</v>
      </c>
      <c r="AF64" s="426">
        <v>0</v>
      </c>
      <c r="AG64" s="426">
        <v>0</v>
      </c>
      <c r="AH64" s="426">
        <v>0</v>
      </c>
      <c r="AI64" s="426">
        <v>0</v>
      </c>
      <c r="AJ64" s="426">
        <v>0</v>
      </c>
      <c r="AK64" s="426">
        <v>0</v>
      </c>
      <c r="AL64" s="426">
        <v>0</v>
      </c>
      <c r="AM64" s="427">
        <v>0</v>
      </c>
      <c r="AN64" s="427">
        <v>0</v>
      </c>
      <c r="AO64" s="427">
        <v>0</v>
      </c>
      <c r="AP64" s="427">
        <v>0</v>
      </c>
      <c r="AQ64" s="427">
        <v>0</v>
      </c>
      <c r="AR64" s="427">
        <v>0</v>
      </c>
      <c r="AS64" s="427">
        <v>0</v>
      </c>
      <c r="AT64" s="427">
        <v>0</v>
      </c>
      <c r="AU64" s="427">
        <v>0</v>
      </c>
      <c r="AV64" s="427">
        <v>0</v>
      </c>
      <c r="AW64" s="427">
        <v>0</v>
      </c>
      <c r="AX64" s="427">
        <v>0</v>
      </c>
      <c r="AY64" s="427">
        <v>0</v>
      </c>
      <c r="AZ64" s="427">
        <v>0</v>
      </c>
      <c r="BA64" s="427">
        <v>0</v>
      </c>
      <c r="BB64" s="427">
        <v>0</v>
      </c>
      <c r="BC64" s="427">
        <v>0</v>
      </c>
      <c r="BD64" s="427">
        <v>0</v>
      </c>
      <c r="BE64" s="427">
        <v>0</v>
      </c>
      <c r="BF64" s="427">
        <v>0</v>
      </c>
      <c r="BG64" s="427">
        <v>0</v>
      </c>
      <c r="BH64" s="427">
        <v>0</v>
      </c>
      <c r="BI64" s="427">
        <v>0</v>
      </c>
      <c r="BJ64" s="427">
        <v>0</v>
      </c>
      <c r="BK64" s="427">
        <v>0</v>
      </c>
      <c r="BL64" s="427">
        <v>0</v>
      </c>
      <c r="BM64" s="427">
        <v>0</v>
      </c>
      <c r="BN64" s="427">
        <v>0</v>
      </c>
      <c r="BO64" s="427">
        <v>0</v>
      </c>
      <c r="BP64" s="427">
        <v>0</v>
      </c>
      <c r="BQ64" s="427">
        <v>0</v>
      </c>
      <c r="BR64" s="427">
        <v>0</v>
      </c>
      <c r="BS64" s="427">
        <v>0</v>
      </c>
      <c r="BT64" s="427">
        <v>0</v>
      </c>
      <c r="BU64" s="427">
        <v>0</v>
      </c>
      <c r="BV64" s="427">
        <v>0</v>
      </c>
      <c r="BW64" s="427">
        <v>0</v>
      </c>
      <c r="BX64" s="427">
        <v>0</v>
      </c>
      <c r="BY64" s="427">
        <v>0</v>
      </c>
      <c r="BZ64" s="427">
        <v>0</v>
      </c>
      <c r="CA64" s="427">
        <v>0</v>
      </c>
      <c r="CB64" s="427">
        <v>0</v>
      </c>
      <c r="CC64" s="427">
        <v>0</v>
      </c>
      <c r="CD64" s="427">
        <v>0</v>
      </c>
      <c r="CE64" s="427">
        <v>0</v>
      </c>
      <c r="CF64" s="427">
        <v>0</v>
      </c>
      <c r="CG64" s="427">
        <v>0</v>
      </c>
      <c r="CH64" s="427">
        <v>0</v>
      </c>
      <c r="CI64" s="427">
        <v>0</v>
      </c>
      <c r="CJ64" s="427">
        <v>0</v>
      </c>
      <c r="CK64" s="428">
        <v>0</v>
      </c>
      <c r="CL64" s="428">
        <v>0</v>
      </c>
      <c r="CM64" s="428">
        <v>0</v>
      </c>
      <c r="CN64" s="428">
        <v>0</v>
      </c>
      <c r="CO64" s="428">
        <v>0</v>
      </c>
      <c r="CP64" s="428">
        <v>0</v>
      </c>
      <c r="CQ64" s="428">
        <v>0</v>
      </c>
      <c r="CR64" s="428">
        <v>0</v>
      </c>
      <c r="CS64" s="428">
        <v>0</v>
      </c>
      <c r="CT64" s="428">
        <v>0</v>
      </c>
      <c r="CU64" s="428">
        <v>0</v>
      </c>
      <c r="CV64" s="428">
        <v>0</v>
      </c>
      <c r="CW64" s="428">
        <v>0</v>
      </c>
      <c r="CX64" s="428"/>
      <c r="CY64" s="428"/>
      <c r="CZ64" s="428"/>
      <c r="DA64" s="428"/>
      <c r="DB64" s="428"/>
      <c r="DC64" s="428"/>
      <c r="DD64" s="428"/>
      <c r="DE64" s="428"/>
      <c r="DF64" s="428"/>
      <c r="DG64" s="428"/>
      <c r="DH64" s="428"/>
      <c r="DI64" s="428"/>
    </row>
    <row r="65" spans="1:113" s="388" customFormat="1">
      <c r="A65" s="421" t="s">
        <v>370</v>
      </c>
      <c r="B65" s="421" t="s">
        <v>21</v>
      </c>
      <c r="C65" s="421" t="s">
        <v>403</v>
      </c>
      <c r="D65" s="422" t="s">
        <v>376</v>
      </c>
      <c r="E65" s="422">
        <v>2017</v>
      </c>
      <c r="F65" s="423">
        <v>0.55825616945337209</v>
      </c>
      <c r="G65" s="424">
        <v>823.50080422113342</v>
      </c>
      <c r="H65" s="422">
        <v>4</v>
      </c>
      <c r="I65" s="425">
        <v>0.38322222222222602</v>
      </c>
      <c r="J65" s="425">
        <v>0.38322222222222602</v>
      </c>
      <c r="K65" s="422">
        <v>0</v>
      </c>
      <c r="L65" s="422">
        <v>0</v>
      </c>
      <c r="M65" s="422">
        <v>0</v>
      </c>
      <c r="N65" s="426">
        <v>0</v>
      </c>
      <c r="O65" s="426">
        <v>0</v>
      </c>
      <c r="P65" s="426">
        <v>0</v>
      </c>
      <c r="Q65" s="426">
        <v>0</v>
      </c>
      <c r="R65" s="426">
        <v>0</v>
      </c>
      <c r="S65" s="426">
        <v>0</v>
      </c>
      <c r="T65" s="426">
        <v>0</v>
      </c>
      <c r="U65" s="426">
        <v>0</v>
      </c>
      <c r="V65" s="426">
        <v>0</v>
      </c>
      <c r="W65" s="426">
        <v>0</v>
      </c>
      <c r="X65" s="426">
        <v>0</v>
      </c>
      <c r="Y65" s="426">
        <v>0</v>
      </c>
      <c r="Z65" s="426">
        <v>0</v>
      </c>
      <c r="AA65" s="426">
        <v>0</v>
      </c>
      <c r="AB65" s="426">
        <v>0</v>
      </c>
      <c r="AC65" s="426">
        <v>0</v>
      </c>
      <c r="AD65" s="426">
        <v>0</v>
      </c>
      <c r="AE65" s="426">
        <v>0</v>
      </c>
      <c r="AF65" s="426">
        <v>0</v>
      </c>
      <c r="AG65" s="426">
        <v>0</v>
      </c>
      <c r="AH65" s="426">
        <v>0</v>
      </c>
      <c r="AI65" s="426">
        <v>0</v>
      </c>
      <c r="AJ65" s="426">
        <v>0</v>
      </c>
      <c r="AK65" s="426">
        <v>0</v>
      </c>
      <c r="AL65" s="426">
        <v>0</v>
      </c>
      <c r="AM65" s="427">
        <v>0</v>
      </c>
      <c r="AN65" s="427">
        <v>0</v>
      </c>
      <c r="AO65" s="427">
        <v>0</v>
      </c>
      <c r="AP65" s="427">
        <v>0</v>
      </c>
      <c r="AQ65" s="427">
        <v>0</v>
      </c>
      <c r="AR65" s="427">
        <v>0</v>
      </c>
      <c r="AS65" s="427">
        <v>0</v>
      </c>
      <c r="AT65" s="427">
        <v>0</v>
      </c>
      <c r="AU65" s="427">
        <v>0</v>
      </c>
      <c r="AV65" s="427">
        <v>0</v>
      </c>
      <c r="AW65" s="427">
        <v>0</v>
      </c>
      <c r="AX65" s="427">
        <v>0</v>
      </c>
      <c r="AY65" s="427">
        <v>0</v>
      </c>
      <c r="AZ65" s="427">
        <v>0</v>
      </c>
      <c r="BA65" s="427">
        <v>0</v>
      </c>
      <c r="BB65" s="427">
        <v>0</v>
      </c>
      <c r="BC65" s="427">
        <v>0</v>
      </c>
      <c r="BD65" s="427">
        <v>0</v>
      </c>
      <c r="BE65" s="427">
        <v>0</v>
      </c>
      <c r="BF65" s="427">
        <v>0</v>
      </c>
      <c r="BG65" s="427">
        <v>0</v>
      </c>
      <c r="BH65" s="427">
        <v>0</v>
      </c>
      <c r="BI65" s="427">
        <v>0</v>
      </c>
      <c r="BJ65" s="427">
        <v>0</v>
      </c>
      <c r="BK65" s="427">
        <v>0</v>
      </c>
      <c r="BL65" s="427">
        <v>0</v>
      </c>
      <c r="BM65" s="427">
        <v>0</v>
      </c>
      <c r="BN65" s="427">
        <v>0</v>
      </c>
      <c r="BO65" s="427">
        <v>0</v>
      </c>
      <c r="BP65" s="427">
        <v>0</v>
      </c>
      <c r="BQ65" s="427">
        <v>0</v>
      </c>
      <c r="BR65" s="427">
        <v>0</v>
      </c>
      <c r="BS65" s="427">
        <v>0</v>
      </c>
      <c r="BT65" s="427">
        <v>0</v>
      </c>
      <c r="BU65" s="427">
        <v>0</v>
      </c>
      <c r="BV65" s="427">
        <v>0</v>
      </c>
      <c r="BW65" s="427">
        <v>0</v>
      </c>
      <c r="BX65" s="427">
        <v>0</v>
      </c>
      <c r="BY65" s="427">
        <v>0</v>
      </c>
      <c r="BZ65" s="427">
        <v>0</v>
      </c>
      <c r="CA65" s="427">
        <v>0</v>
      </c>
      <c r="CB65" s="427">
        <v>0</v>
      </c>
      <c r="CC65" s="427">
        <v>0</v>
      </c>
      <c r="CD65" s="427">
        <v>0</v>
      </c>
      <c r="CE65" s="427">
        <v>0</v>
      </c>
      <c r="CF65" s="427">
        <v>0</v>
      </c>
      <c r="CG65" s="427">
        <v>0</v>
      </c>
      <c r="CH65" s="427">
        <v>0</v>
      </c>
      <c r="CI65" s="427">
        <v>0</v>
      </c>
      <c r="CJ65" s="427">
        <v>0</v>
      </c>
      <c r="CK65" s="428">
        <v>0</v>
      </c>
      <c r="CL65" s="428">
        <v>0</v>
      </c>
      <c r="CM65" s="428">
        <v>0</v>
      </c>
      <c r="CN65" s="428">
        <v>0</v>
      </c>
      <c r="CO65" s="428">
        <v>0</v>
      </c>
      <c r="CP65" s="428">
        <v>0</v>
      </c>
      <c r="CQ65" s="428">
        <v>0</v>
      </c>
      <c r="CR65" s="428">
        <v>0</v>
      </c>
      <c r="CS65" s="428">
        <v>0</v>
      </c>
      <c r="CT65" s="428">
        <v>0</v>
      </c>
      <c r="CU65" s="428">
        <v>0</v>
      </c>
      <c r="CV65" s="428">
        <v>0</v>
      </c>
      <c r="CW65" s="428">
        <v>0</v>
      </c>
      <c r="CX65" s="428"/>
      <c r="CY65" s="428"/>
      <c r="CZ65" s="428"/>
      <c r="DA65" s="428"/>
      <c r="DB65" s="428"/>
      <c r="DC65" s="428"/>
      <c r="DD65" s="428"/>
      <c r="DE65" s="428"/>
      <c r="DF65" s="428"/>
      <c r="DG65" s="428"/>
      <c r="DH65" s="428"/>
      <c r="DI65" s="428"/>
    </row>
    <row r="66" spans="1:113" s="388" customFormat="1">
      <c r="A66" s="421" t="s">
        <v>370</v>
      </c>
      <c r="B66" s="421" t="s">
        <v>21</v>
      </c>
      <c r="C66" s="421" t="s">
        <v>403</v>
      </c>
      <c r="D66" s="422" t="s">
        <v>376</v>
      </c>
      <c r="E66" s="422">
        <v>2018</v>
      </c>
      <c r="F66" s="423">
        <v>0.55825616945337209</v>
      </c>
      <c r="G66" s="424">
        <v>823.50080422113342</v>
      </c>
      <c r="H66" s="422">
        <v>4</v>
      </c>
      <c r="I66" s="425">
        <v>0.38322222222222602</v>
      </c>
      <c r="J66" s="425">
        <v>0.38322222222222602</v>
      </c>
      <c r="K66" s="422">
        <v>0</v>
      </c>
      <c r="L66" s="422">
        <v>0</v>
      </c>
      <c r="M66" s="422">
        <v>0</v>
      </c>
      <c r="N66" s="426">
        <v>0</v>
      </c>
      <c r="O66" s="426">
        <v>0</v>
      </c>
      <c r="P66" s="426">
        <v>0</v>
      </c>
      <c r="Q66" s="426">
        <v>0</v>
      </c>
      <c r="R66" s="426">
        <v>0</v>
      </c>
      <c r="S66" s="426">
        <v>0</v>
      </c>
      <c r="T66" s="426">
        <v>0</v>
      </c>
      <c r="U66" s="426">
        <v>0</v>
      </c>
      <c r="V66" s="426">
        <v>0</v>
      </c>
      <c r="W66" s="426">
        <v>0</v>
      </c>
      <c r="X66" s="426">
        <v>0</v>
      </c>
      <c r="Y66" s="426">
        <v>0</v>
      </c>
      <c r="Z66" s="426">
        <v>0</v>
      </c>
      <c r="AA66" s="426">
        <v>0</v>
      </c>
      <c r="AB66" s="426">
        <v>0</v>
      </c>
      <c r="AC66" s="426">
        <v>0</v>
      </c>
      <c r="AD66" s="426">
        <v>0</v>
      </c>
      <c r="AE66" s="426">
        <v>0</v>
      </c>
      <c r="AF66" s="426">
        <v>0</v>
      </c>
      <c r="AG66" s="426">
        <v>0</v>
      </c>
      <c r="AH66" s="426">
        <v>0</v>
      </c>
      <c r="AI66" s="426">
        <v>0</v>
      </c>
      <c r="AJ66" s="426">
        <v>0</v>
      </c>
      <c r="AK66" s="426">
        <v>0</v>
      </c>
      <c r="AL66" s="426">
        <v>0</v>
      </c>
      <c r="AM66" s="427">
        <v>0</v>
      </c>
      <c r="AN66" s="427">
        <v>0</v>
      </c>
      <c r="AO66" s="427">
        <v>0</v>
      </c>
      <c r="AP66" s="427">
        <v>0</v>
      </c>
      <c r="AQ66" s="427">
        <v>0</v>
      </c>
      <c r="AR66" s="427">
        <v>0</v>
      </c>
      <c r="AS66" s="427">
        <v>0</v>
      </c>
      <c r="AT66" s="427">
        <v>0</v>
      </c>
      <c r="AU66" s="427">
        <v>0</v>
      </c>
      <c r="AV66" s="427">
        <v>0</v>
      </c>
      <c r="AW66" s="427">
        <v>0</v>
      </c>
      <c r="AX66" s="427">
        <v>0</v>
      </c>
      <c r="AY66" s="427">
        <v>0</v>
      </c>
      <c r="AZ66" s="427">
        <v>0</v>
      </c>
      <c r="BA66" s="427">
        <v>0</v>
      </c>
      <c r="BB66" s="427">
        <v>0</v>
      </c>
      <c r="BC66" s="427">
        <v>0</v>
      </c>
      <c r="BD66" s="427">
        <v>0</v>
      </c>
      <c r="BE66" s="427">
        <v>0</v>
      </c>
      <c r="BF66" s="427">
        <v>0</v>
      </c>
      <c r="BG66" s="427">
        <v>0</v>
      </c>
      <c r="BH66" s="427">
        <v>0</v>
      </c>
      <c r="BI66" s="427">
        <v>0</v>
      </c>
      <c r="BJ66" s="427">
        <v>0</v>
      </c>
      <c r="BK66" s="427">
        <v>0</v>
      </c>
      <c r="BL66" s="427">
        <v>0</v>
      </c>
      <c r="BM66" s="427">
        <v>0</v>
      </c>
      <c r="BN66" s="427">
        <v>0</v>
      </c>
      <c r="BO66" s="427">
        <v>0</v>
      </c>
      <c r="BP66" s="427">
        <v>0</v>
      </c>
      <c r="BQ66" s="427">
        <v>0</v>
      </c>
      <c r="BR66" s="427">
        <v>0</v>
      </c>
      <c r="BS66" s="427">
        <v>0</v>
      </c>
      <c r="BT66" s="427">
        <v>0</v>
      </c>
      <c r="BU66" s="427">
        <v>0</v>
      </c>
      <c r="BV66" s="427">
        <v>0</v>
      </c>
      <c r="BW66" s="427">
        <v>0</v>
      </c>
      <c r="BX66" s="427">
        <v>0</v>
      </c>
      <c r="BY66" s="427">
        <v>0</v>
      </c>
      <c r="BZ66" s="427">
        <v>0</v>
      </c>
      <c r="CA66" s="427">
        <v>0</v>
      </c>
      <c r="CB66" s="427">
        <v>0</v>
      </c>
      <c r="CC66" s="427">
        <v>0</v>
      </c>
      <c r="CD66" s="427">
        <v>0</v>
      </c>
      <c r="CE66" s="427">
        <v>0</v>
      </c>
      <c r="CF66" s="427">
        <v>0</v>
      </c>
      <c r="CG66" s="427">
        <v>0</v>
      </c>
      <c r="CH66" s="427">
        <v>0</v>
      </c>
      <c r="CI66" s="427">
        <v>0</v>
      </c>
      <c r="CJ66" s="427">
        <v>0</v>
      </c>
      <c r="CK66" s="428">
        <v>0</v>
      </c>
      <c r="CL66" s="428">
        <v>0</v>
      </c>
      <c r="CM66" s="428">
        <v>0</v>
      </c>
      <c r="CN66" s="428">
        <v>0</v>
      </c>
      <c r="CO66" s="428">
        <v>0</v>
      </c>
      <c r="CP66" s="428">
        <v>0</v>
      </c>
      <c r="CQ66" s="428">
        <v>0</v>
      </c>
      <c r="CR66" s="428">
        <v>0</v>
      </c>
      <c r="CS66" s="428">
        <v>0</v>
      </c>
      <c r="CT66" s="428">
        <v>0</v>
      </c>
      <c r="CU66" s="428">
        <v>0</v>
      </c>
      <c r="CV66" s="428">
        <v>0</v>
      </c>
      <c r="CW66" s="428">
        <v>0</v>
      </c>
      <c r="CX66" s="428"/>
      <c r="CY66" s="428"/>
      <c r="CZ66" s="428"/>
      <c r="DA66" s="428"/>
      <c r="DB66" s="428"/>
      <c r="DC66" s="428"/>
      <c r="DD66" s="428"/>
      <c r="DE66" s="428"/>
      <c r="DF66" s="428"/>
      <c r="DG66" s="428"/>
      <c r="DH66" s="428"/>
      <c r="DI66" s="428"/>
    </row>
    <row r="67" spans="1:113" s="388" customFormat="1">
      <c r="A67" s="421" t="s">
        <v>370</v>
      </c>
      <c r="B67" s="421" t="s">
        <v>21</v>
      </c>
      <c r="C67" s="421" t="s">
        <v>403</v>
      </c>
      <c r="D67" s="422" t="s">
        <v>376</v>
      </c>
      <c r="E67" s="422">
        <v>2019</v>
      </c>
      <c r="F67" s="423">
        <v>0.55825616945337209</v>
      </c>
      <c r="G67" s="424">
        <v>823.50080422113342</v>
      </c>
      <c r="H67" s="422">
        <v>4</v>
      </c>
      <c r="I67" s="425">
        <v>0.38322222222222602</v>
      </c>
      <c r="J67" s="425">
        <v>0.38322222222222602</v>
      </c>
      <c r="K67" s="422">
        <v>0</v>
      </c>
      <c r="L67" s="422">
        <v>0</v>
      </c>
      <c r="M67" s="422">
        <v>0</v>
      </c>
      <c r="N67" s="426">
        <v>0</v>
      </c>
      <c r="O67" s="426">
        <v>0</v>
      </c>
      <c r="P67" s="426">
        <v>0</v>
      </c>
      <c r="Q67" s="426">
        <v>0</v>
      </c>
      <c r="R67" s="426">
        <v>0</v>
      </c>
      <c r="S67" s="426">
        <v>0</v>
      </c>
      <c r="T67" s="426">
        <v>0</v>
      </c>
      <c r="U67" s="426">
        <v>0</v>
      </c>
      <c r="V67" s="426">
        <v>0</v>
      </c>
      <c r="W67" s="426">
        <v>0</v>
      </c>
      <c r="X67" s="426">
        <v>0</v>
      </c>
      <c r="Y67" s="426">
        <v>0</v>
      </c>
      <c r="Z67" s="426">
        <v>0</v>
      </c>
      <c r="AA67" s="426">
        <v>0</v>
      </c>
      <c r="AB67" s="426">
        <v>0</v>
      </c>
      <c r="AC67" s="426">
        <v>0</v>
      </c>
      <c r="AD67" s="426">
        <v>0</v>
      </c>
      <c r="AE67" s="426">
        <v>0</v>
      </c>
      <c r="AF67" s="426">
        <v>0</v>
      </c>
      <c r="AG67" s="426">
        <v>0</v>
      </c>
      <c r="AH67" s="426">
        <v>0</v>
      </c>
      <c r="AI67" s="426">
        <v>0</v>
      </c>
      <c r="AJ67" s="426">
        <v>0</v>
      </c>
      <c r="AK67" s="426">
        <v>0</v>
      </c>
      <c r="AL67" s="426">
        <v>0</v>
      </c>
      <c r="AM67" s="427">
        <v>0</v>
      </c>
      <c r="AN67" s="427">
        <v>0</v>
      </c>
      <c r="AO67" s="427">
        <v>0</v>
      </c>
      <c r="AP67" s="427">
        <v>0</v>
      </c>
      <c r="AQ67" s="427">
        <v>0</v>
      </c>
      <c r="AR67" s="427">
        <v>0</v>
      </c>
      <c r="AS67" s="427">
        <v>0</v>
      </c>
      <c r="AT67" s="427">
        <v>0</v>
      </c>
      <c r="AU67" s="427">
        <v>0</v>
      </c>
      <c r="AV67" s="427">
        <v>0</v>
      </c>
      <c r="AW67" s="427">
        <v>0</v>
      </c>
      <c r="AX67" s="427">
        <v>0</v>
      </c>
      <c r="AY67" s="427">
        <v>0</v>
      </c>
      <c r="AZ67" s="427">
        <v>0</v>
      </c>
      <c r="BA67" s="427">
        <v>0</v>
      </c>
      <c r="BB67" s="427">
        <v>0</v>
      </c>
      <c r="BC67" s="427">
        <v>0</v>
      </c>
      <c r="BD67" s="427">
        <v>0</v>
      </c>
      <c r="BE67" s="427">
        <v>0</v>
      </c>
      <c r="BF67" s="427">
        <v>0</v>
      </c>
      <c r="BG67" s="427">
        <v>0</v>
      </c>
      <c r="BH67" s="427">
        <v>0</v>
      </c>
      <c r="BI67" s="427">
        <v>0</v>
      </c>
      <c r="BJ67" s="427">
        <v>0</v>
      </c>
      <c r="BK67" s="427">
        <v>0</v>
      </c>
      <c r="BL67" s="427">
        <v>0</v>
      </c>
      <c r="BM67" s="427">
        <v>0</v>
      </c>
      <c r="BN67" s="427">
        <v>0</v>
      </c>
      <c r="BO67" s="427">
        <v>0</v>
      </c>
      <c r="BP67" s="427">
        <v>0</v>
      </c>
      <c r="BQ67" s="427">
        <v>0</v>
      </c>
      <c r="BR67" s="427">
        <v>0</v>
      </c>
      <c r="BS67" s="427">
        <v>0</v>
      </c>
      <c r="BT67" s="427">
        <v>0</v>
      </c>
      <c r="BU67" s="427">
        <v>0</v>
      </c>
      <c r="BV67" s="427">
        <v>0</v>
      </c>
      <c r="BW67" s="427">
        <v>0</v>
      </c>
      <c r="BX67" s="427">
        <v>0</v>
      </c>
      <c r="BY67" s="427">
        <v>0</v>
      </c>
      <c r="BZ67" s="427">
        <v>0</v>
      </c>
      <c r="CA67" s="427">
        <v>0</v>
      </c>
      <c r="CB67" s="427">
        <v>0</v>
      </c>
      <c r="CC67" s="427">
        <v>0</v>
      </c>
      <c r="CD67" s="427">
        <v>0</v>
      </c>
      <c r="CE67" s="427">
        <v>0</v>
      </c>
      <c r="CF67" s="427">
        <v>0</v>
      </c>
      <c r="CG67" s="427">
        <v>0</v>
      </c>
      <c r="CH67" s="427">
        <v>0</v>
      </c>
      <c r="CI67" s="427">
        <v>0</v>
      </c>
      <c r="CJ67" s="427">
        <v>0</v>
      </c>
      <c r="CK67" s="428">
        <v>0</v>
      </c>
      <c r="CL67" s="428">
        <v>0</v>
      </c>
      <c r="CM67" s="428">
        <v>0</v>
      </c>
      <c r="CN67" s="428">
        <v>0</v>
      </c>
      <c r="CO67" s="428">
        <v>0</v>
      </c>
      <c r="CP67" s="428">
        <v>0</v>
      </c>
      <c r="CQ67" s="428">
        <v>0</v>
      </c>
      <c r="CR67" s="428">
        <v>0</v>
      </c>
      <c r="CS67" s="428">
        <v>0</v>
      </c>
      <c r="CT67" s="428">
        <v>0</v>
      </c>
      <c r="CU67" s="428">
        <v>0</v>
      </c>
      <c r="CV67" s="428">
        <v>0</v>
      </c>
      <c r="CW67" s="428">
        <v>0</v>
      </c>
      <c r="CX67" s="428"/>
      <c r="CY67" s="428"/>
      <c r="CZ67" s="428"/>
      <c r="DA67" s="428"/>
      <c r="DB67" s="428"/>
      <c r="DC67" s="428"/>
      <c r="DD67" s="428"/>
      <c r="DE67" s="428"/>
      <c r="DF67" s="428"/>
      <c r="DG67" s="428"/>
      <c r="DH67" s="428"/>
      <c r="DI67" s="428"/>
    </row>
    <row r="68" spans="1:113" s="388" customFormat="1">
      <c r="A68" s="421" t="s">
        <v>370</v>
      </c>
      <c r="B68" s="421" t="s">
        <v>21</v>
      </c>
      <c r="C68" s="421" t="s">
        <v>403</v>
      </c>
      <c r="D68" s="422" t="s">
        <v>376</v>
      </c>
      <c r="E68" s="422">
        <v>2020</v>
      </c>
      <c r="F68" s="423">
        <v>0.55825616945337209</v>
      </c>
      <c r="G68" s="424">
        <v>823.50080422113342</v>
      </c>
      <c r="H68" s="422">
        <v>4</v>
      </c>
      <c r="I68" s="425">
        <v>0.38322222222222602</v>
      </c>
      <c r="J68" s="425">
        <v>0.38322222222222602</v>
      </c>
      <c r="K68" s="422">
        <v>0</v>
      </c>
      <c r="L68" s="422">
        <v>0</v>
      </c>
      <c r="M68" s="422">
        <v>0</v>
      </c>
      <c r="N68" s="426">
        <v>0</v>
      </c>
      <c r="O68" s="426">
        <v>0</v>
      </c>
      <c r="P68" s="426">
        <v>0</v>
      </c>
      <c r="Q68" s="426">
        <v>0</v>
      </c>
      <c r="R68" s="426">
        <v>0</v>
      </c>
      <c r="S68" s="426">
        <v>0</v>
      </c>
      <c r="T68" s="426">
        <v>0</v>
      </c>
      <c r="U68" s="426">
        <v>0</v>
      </c>
      <c r="V68" s="426">
        <v>0</v>
      </c>
      <c r="W68" s="426">
        <v>0</v>
      </c>
      <c r="X68" s="426">
        <v>0</v>
      </c>
      <c r="Y68" s="426">
        <v>0</v>
      </c>
      <c r="Z68" s="426">
        <v>0</v>
      </c>
      <c r="AA68" s="426">
        <v>0</v>
      </c>
      <c r="AB68" s="426">
        <v>0</v>
      </c>
      <c r="AC68" s="426">
        <v>0</v>
      </c>
      <c r="AD68" s="426">
        <v>0</v>
      </c>
      <c r="AE68" s="426">
        <v>0</v>
      </c>
      <c r="AF68" s="426">
        <v>0</v>
      </c>
      <c r="AG68" s="426">
        <v>0</v>
      </c>
      <c r="AH68" s="426">
        <v>0</v>
      </c>
      <c r="AI68" s="426">
        <v>0</v>
      </c>
      <c r="AJ68" s="426">
        <v>0</v>
      </c>
      <c r="AK68" s="426">
        <v>0</v>
      </c>
      <c r="AL68" s="426">
        <v>0</v>
      </c>
      <c r="AM68" s="427">
        <v>0</v>
      </c>
      <c r="AN68" s="427">
        <v>0</v>
      </c>
      <c r="AO68" s="427">
        <v>0</v>
      </c>
      <c r="AP68" s="427">
        <v>0</v>
      </c>
      <c r="AQ68" s="427">
        <v>0</v>
      </c>
      <c r="AR68" s="427">
        <v>0</v>
      </c>
      <c r="AS68" s="427">
        <v>0</v>
      </c>
      <c r="AT68" s="427">
        <v>0</v>
      </c>
      <c r="AU68" s="427">
        <v>0</v>
      </c>
      <c r="AV68" s="427">
        <v>0</v>
      </c>
      <c r="AW68" s="427">
        <v>0</v>
      </c>
      <c r="AX68" s="427">
        <v>0</v>
      </c>
      <c r="AY68" s="427">
        <v>0</v>
      </c>
      <c r="AZ68" s="427">
        <v>0</v>
      </c>
      <c r="BA68" s="427">
        <v>0</v>
      </c>
      <c r="BB68" s="427">
        <v>0</v>
      </c>
      <c r="BC68" s="427">
        <v>0</v>
      </c>
      <c r="BD68" s="427">
        <v>0</v>
      </c>
      <c r="BE68" s="427">
        <v>0</v>
      </c>
      <c r="BF68" s="427">
        <v>0</v>
      </c>
      <c r="BG68" s="427">
        <v>0</v>
      </c>
      <c r="BH68" s="427">
        <v>0</v>
      </c>
      <c r="BI68" s="427">
        <v>0</v>
      </c>
      <c r="BJ68" s="427">
        <v>0</v>
      </c>
      <c r="BK68" s="427">
        <v>0</v>
      </c>
      <c r="BL68" s="427">
        <v>0</v>
      </c>
      <c r="BM68" s="427">
        <v>0</v>
      </c>
      <c r="BN68" s="427">
        <v>0</v>
      </c>
      <c r="BO68" s="427">
        <v>0</v>
      </c>
      <c r="BP68" s="427">
        <v>0</v>
      </c>
      <c r="BQ68" s="427">
        <v>0</v>
      </c>
      <c r="BR68" s="427">
        <v>0</v>
      </c>
      <c r="BS68" s="427">
        <v>0</v>
      </c>
      <c r="BT68" s="427">
        <v>0</v>
      </c>
      <c r="BU68" s="427">
        <v>0</v>
      </c>
      <c r="BV68" s="427">
        <v>0</v>
      </c>
      <c r="BW68" s="427">
        <v>0</v>
      </c>
      <c r="BX68" s="427">
        <v>0</v>
      </c>
      <c r="BY68" s="427">
        <v>0</v>
      </c>
      <c r="BZ68" s="427">
        <v>0</v>
      </c>
      <c r="CA68" s="427">
        <v>0</v>
      </c>
      <c r="CB68" s="427">
        <v>0</v>
      </c>
      <c r="CC68" s="427">
        <v>0</v>
      </c>
      <c r="CD68" s="427">
        <v>0</v>
      </c>
      <c r="CE68" s="427">
        <v>0</v>
      </c>
      <c r="CF68" s="427">
        <v>0</v>
      </c>
      <c r="CG68" s="427">
        <v>0</v>
      </c>
      <c r="CH68" s="427">
        <v>0</v>
      </c>
      <c r="CI68" s="427">
        <v>0</v>
      </c>
      <c r="CJ68" s="427">
        <v>0</v>
      </c>
      <c r="CK68" s="428">
        <v>0</v>
      </c>
      <c r="CL68" s="428">
        <v>0</v>
      </c>
      <c r="CM68" s="428">
        <v>0</v>
      </c>
      <c r="CN68" s="428">
        <v>0</v>
      </c>
      <c r="CO68" s="428">
        <v>0</v>
      </c>
      <c r="CP68" s="428">
        <v>0</v>
      </c>
      <c r="CQ68" s="428">
        <v>0</v>
      </c>
      <c r="CR68" s="428">
        <v>0</v>
      </c>
      <c r="CS68" s="428">
        <v>0</v>
      </c>
      <c r="CT68" s="428">
        <v>0</v>
      </c>
      <c r="CU68" s="428">
        <v>0</v>
      </c>
      <c r="CV68" s="428">
        <v>0</v>
      </c>
      <c r="CW68" s="428">
        <v>0</v>
      </c>
      <c r="CX68" s="428"/>
      <c r="CY68" s="428"/>
      <c r="CZ68" s="428"/>
      <c r="DA68" s="428"/>
      <c r="DB68" s="428"/>
      <c r="DC68" s="428"/>
      <c r="DD68" s="428"/>
      <c r="DE68" s="428"/>
      <c r="DF68" s="428"/>
      <c r="DG68" s="428"/>
      <c r="DH68" s="428"/>
      <c r="DI68" s="428"/>
    </row>
    <row r="69" spans="1:113" s="388" customFormat="1">
      <c r="A69" s="421" t="s">
        <v>370</v>
      </c>
      <c r="B69" s="421" t="s">
        <v>21</v>
      </c>
      <c r="C69" s="421" t="s">
        <v>407</v>
      </c>
      <c r="D69" s="422" t="s">
        <v>376</v>
      </c>
      <c r="E69" s="422">
        <v>2015</v>
      </c>
      <c r="F69" s="423">
        <v>0.86640664997332184</v>
      </c>
      <c r="G69" s="424">
        <v>967.29181065222474</v>
      </c>
      <c r="H69" s="422">
        <v>4</v>
      </c>
      <c r="I69" s="425">
        <v>0.48452941176478675</v>
      </c>
      <c r="J69" s="425">
        <v>0.48452941176478675</v>
      </c>
      <c r="K69" s="422">
        <v>0</v>
      </c>
      <c r="L69" s="422">
        <v>0</v>
      </c>
      <c r="M69" s="422">
        <v>0</v>
      </c>
      <c r="N69" s="426">
        <v>0</v>
      </c>
      <c r="O69" s="426">
        <v>0</v>
      </c>
      <c r="P69" s="426">
        <v>0</v>
      </c>
      <c r="Q69" s="426">
        <v>0</v>
      </c>
      <c r="R69" s="426">
        <v>0</v>
      </c>
      <c r="S69" s="426">
        <v>0</v>
      </c>
      <c r="T69" s="426">
        <v>0</v>
      </c>
      <c r="U69" s="426">
        <v>0</v>
      </c>
      <c r="V69" s="426">
        <v>0</v>
      </c>
      <c r="W69" s="426">
        <v>0</v>
      </c>
      <c r="X69" s="426">
        <v>0</v>
      </c>
      <c r="Y69" s="426">
        <v>0</v>
      </c>
      <c r="Z69" s="426">
        <v>0</v>
      </c>
      <c r="AA69" s="426">
        <v>0</v>
      </c>
      <c r="AB69" s="426">
        <v>0</v>
      </c>
      <c r="AC69" s="426">
        <v>0</v>
      </c>
      <c r="AD69" s="426">
        <v>0</v>
      </c>
      <c r="AE69" s="426">
        <v>0</v>
      </c>
      <c r="AF69" s="426">
        <v>0</v>
      </c>
      <c r="AG69" s="426">
        <v>0</v>
      </c>
      <c r="AH69" s="426">
        <v>0</v>
      </c>
      <c r="AI69" s="426">
        <v>0</v>
      </c>
      <c r="AJ69" s="426">
        <v>0</v>
      </c>
      <c r="AK69" s="426">
        <v>0</v>
      </c>
      <c r="AL69" s="426">
        <v>0</v>
      </c>
      <c r="AM69" s="427">
        <v>0</v>
      </c>
      <c r="AN69" s="427">
        <v>0</v>
      </c>
      <c r="AO69" s="427">
        <v>0</v>
      </c>
      <c r="AP69" s="427">
        <v>0</v>
      </c>
      <c r="AQ69" s="427">
        <v>0</v>
      </c>
      <c r="AR69" s="427">
        <v>0</v>
      </c>
      <c r="AS69" s="427">
        <v>0</v>
      </c>
      <c r="AT69" s="427">
        <v>0</v>
      </c>
      <c r="AU69" s="427">
        <v>0</v>
      </c>
      <c r="AV69" s="427">
        <v>0</v>
      </c>
      <c r="AW69" s="427">
        <v>0</v>
      </c>
      <c r="AX69" s="427">
        <v>0</v>
      </c>
      <c r="AY69" s="427">
        <v>0</v>
      </c>
      <c r="AZ69" s="427">
        <v>0</v>
      </c>
      <c r="BA69" s="427">
        <v>0</v>
      </c>
      <c r="BB69" s="427">
        <v>0</v>
      </c>
      <c r="BC69" s="427">
        <v>0</v>
      </c>
      <c r="BD69" s="427">
        <v>0</v>
      </c>
      <c r="BE69" s="427">
        <v>0</v>
      </c>
      <c r="BF69" s="427">
        <v>0</v>
      </c>
      <c r="BG69" s="427">
        <v>0</v>
      </c>
      <c r="BH69" s="427">
        <v>0</v>
      </c>
      <c r="BI69" s="427">
        <v>0</v>
      </c>
      <c r="BJ69" s="427">
        <v>0</v>
      </c>
      <c r="BK69" s="427">
        <v>0</v>
      </c>
      <c r="BL69" s="427">
        <v>0</v>
      </c>
      <c r="BM69" s="427">
        <v>0</v>
      </c>
      <c r="BN69" s="427">
        <v>0</v>
      </c>
      <c r="BO69" s="427">
        <v>0</v>
      </c>
      <c r="BP69" s="427">
        <v>0</v>
      </c>
      <c r="BQ69" s="427">
        <v>0</v>
      </c>
      <c r="BR69" s="427">
        <v>0</v>
      </c>
      <c r="BS69" s="427">
        <v>0</v>
      </c>
      <c r="BT69" s="427">
        <v>0</v>
      </c>
      <c r="BU69" s="427">
        <v>0</v>
      </c>
      <c r="BV69" s="427">
        <v>0</v>
      </c>
      <c r="BW69" s="427">
        <v>0</v>
      </c>
      <c r="BX69" s="427">
        <v>0</v>
      </c>
      <c r="BY69" s="427">
        <v>0</v>
      </c>
      <c r="BZ69" s="427">
        <v>0</v>
      </c>
      <c r="CA69" s="427">
        <v>0</v>
      </c>
      <c r="CB69" s="427">
        <v>0</v>
      </c>
      <c r="CC69" s="427">
        <v>0</v>
      </c>
      <c r="CD69" s="427">
        <v>0</v>
      </c>
      <c r="CE69" s="427">
        <v>0</v>
      </c>
      <c r="CF69" s="427">
        <v>0</v>
      </c>
      <c r="CG69" s="427">
        <v>0</v>
      </c>
      <c r="CH69" s="427">
        <v>0</v>
      </c>
      <c r="CI69" s="427">
        <v>0</v>
      </c>
      <c r="CJ69" s="427">
        <v>0</v>
      </c>
      <c r="CK69" s="428">
        <v>0</v>
      </c>
      <c r="CL69" s="428">
        <v>0</v>
      </c>
      <c r="CM69" s="428">
        <v>0</v>
      </c>
      <c r="CN69" s="428">
        <v>0</v>
      </c>
      <c r="CO69" s="428">
        <v>0</v>
      </c>
      <c r="CP69" s="428">
        <v>0</v>
      </c>
      <c r="CQ69" s="428">
        <v>0</v>
      </c>
      <c r="CR69" s="428">
        <v>0</v>
      </c>
      <c r="CS69" s="428">
        <v>0</v>
      </c>
      <c r="CT69" s="428">
        <v>0</v>
      </c>
      <c r="CU69" s="428">
        <v>0</v>
      </c>
      <c r="CV69" s="428">
        <v>0</v>
      </c>
      <c r="CW69" s="428">
        <v>0</v>
      </c>
      <c r="CX69" s="428"/>
      <c r="CY69" s="428"/>
      <c r="CZ69" s="428"/>
      <c r="DA69" s="428"/>
      <c r="DB69" s="428"/>
      <c r="DC69" s="428"/>
      <c r="DD69" s="428"/>
      <c r="DE69" s="428"/>
      <c r="DF69" s="428"/>
      <c r="DG69" s="428"/>
      <c r="DH69" s="428"/>
      <c r="DI69" s="428"/>
    </row>
    <row r="70" spans="1:113" s="388" customFormat="1">
      <c r="A70" s="421" t="s">
        <v>370</v>
      </c>
      <c r="B70" s="421" t="s">
        <v>21</v>
      </c>
      <c r="C70" s="421" t="s">
        <v>407</v>
      </c>
      <c r="D70" s="422" t="s">
        <v>376</v>
      </c>
      <c r="E70" s="422">
        <v>2016</v>
      </c>
      <c r="F70" s="423">
        <v>0.86640664997332184</v>
      </c>
      <c r="G70" s="424">
        <v>967.29181065222474</v>
      </c>
      <c r="H70" s="422">
        <v>4</v>
      </c>
      <c r="I70" s="425">
        <v>0.48452941176478675</v>
      </c>
      <c r="J70" s="425">
        <v>0.48452941176478675</v>
      </c>
      <c r="K70" s="422">
        <v>0</v>
      </c>
      <c r="L70" s="422">
        <v>0</v>
      </c>
      <c r="M70" s="422">
        <v>0</v>
      </c>
      <c r="N70" s="426">
        <v>0</v>
      </c>
      <c r="O70" s="426">
        <v>0</v>
      </c>
      <c r="P70" s="426">
        <v>0</v>
      </c>
      <c r="Q70" s="426">
        <v>0</v>
      </c>
      <c r="R70" s="426">
        <v>0</v>
      </c>
      <c r="S70" s="426">
        <v>0</v>
      </c>
      <c r="T70" s="426">
        <v>0</v>
      </c>
      <c r="U70" s="426">
        <v>0</v>
      </c>
      <c r="V70" s="426">
        <v>0</v>
      </c>
      <c r="W70" s="426">
        <v>0</v>
      </c>
      <c r="X70" s="426">
        <v>0</v>
      </c>
      <c r="Y70" s="426">
        <v>0</v>
      </c>
      <c r="Z70" s="426">
        <v>0</v>
      </c>
      <c r="AA70" s="426">
        <v>0</v>
      </c>
      <c r="AB70" s="426">
        <v>0</v>
      </c>
      <c r="AC70" s="426">
        <v>0</v>
      </c>
      <c r="AD70" s="426">
        <v>0</v>
      </c>
      <c r="AE70" s="426">
        <v>0</v>
      </c>
      <c r="AF70" s="426">
        <v>0</v>
      </c>
      <c r="AG70" s="426">
        <v>0</v>
      </c>
      <c r="AH70" s="426">
        <v>0</v>
      </c>
      <c r="AI70" s="426">
        <v>0</v>
      </c>
      <c r="AJ70" s="426">
        <v>0</v>
      </c>
      <c r="AK70" s="426">
        <v>0</v>
      </c>
      <c r="AL70" s="426">
        <v>0</v>
      </c>
      <c r="AM70" s="427">
        <v>0</v>
      </c>
      <c r="AN70" s="427">
        <v>0</v>
      </c>
      <c r="AO70" s="427">
        <v>0</v>
      </c>
      <c r="AP70" s="427">
        <v>0</v>
      </c>
      <c r="AQ70" s="427">
        <v>0</v>
      </c>
      <c r="AR70" s="427">
        <v>0</v>
      </c>
      <c r="AS70" s="427">
        <v>0</v>
      </c>
      <c r="AT70" s="427">
        <v>0</v>
      </c>
      <c r="AU70" s="427">
        <v>0</v>
      </c>
      <c r="AV70" s="427">
        <v>0</v>
      </c>
      <c r="AW70" s="427">
        <v>0</v>
      </c>
      <c r="AX70" s="427">
        <v>0</v>
      </c>
      <c r="AY70" s="427">
        <v>0</v>
      </c>
      <c r="AZ70" s="427">
        <v>0</v>
      </c>
      <c r="BA70" s="427">
        <v>0</v>
      </c>
      <c r="BB70" s="427">
        <v>0</v>
      </c>
      <c r="BC70" s="427">
        <v>0</v>
      </c>
      <c r="BD70" s="427">
        <v>0</v>
      </c>
      <c r="BE70" s="427">
        <v>0</v>
      </c>
      <c r="BF70" s="427">
        <v>0</v>
      </c>
      <c r="BG70" s="427">
        <v>0</v>
      </c>
      <c r="BH70" s="427">
        <v>0</v>
      </c>
      <c r="BI70" s="427">
        <v>0</v>
      </c>
      <c r="BJ70" s="427">
        <v>0</v>
      </c>
      <c r="BK70" s="427">
        <v>0</v>
      </c>
      <c r="BL70" s="427">
        <v>0</v>
      </c>
      <c r="BM70" s="427">
        <v>0</v>
      </c>
      <c r="BN70" s="427">
        <v>0</v>
      </c>
      <c r="BO70" s="427">
        <v>0</v>
      </c>
      <c r="BP70" s="427">
        <v>0</v>
      </c>
      <c r="BQ70" s="427">
        <v>0</v>
      </c>
      <c r="BR70" s="427">
        <v>0</v>
      </c>
      <c r="BS70" s="427">
        <v>0</v>
      </c>
      <c r="BT70" s="427">
        <v>0</v>
      </c>
      <c r="BU70" s="427">
        <v>0</v>
      </c>
      <c r="BV70" s="427">
        <v>0</v>
      </c>
      <c r="BW70" s="427">
        <v>0</v>
      </c>
      <c r="BX70" s="427">
        <v>0</v>
      </c>
      <c r="BY70" s="427">
        <v>0</v>
      </c>
      <c r="BZ70" s="427">
        <v>0</v>
      </c>
      <c r="CA70" s="427">
        <v>0</v>
      </c>
      <c r="CB70" s="427">
        <v>0</v>
      </c>
      <c r="CC70" s="427">
        <v>0</v>
      </c>
      <c r="CD70" s="427">
        <v>0</v>
      </c>
      <c r="CE70" s="427">
        <v>0</v>
      </c>
      <c r="CF70" s="427">
        <v>0</v>
      </c>
      <c r="CG70" s="427">
        <v>0</v>
      </c>
      <c r="CH70" s="427">
        <v>0</v>
      </c>
      <c r="CI70" s="427">
        <v>0</v>
      </c>
      <c r="CJ70" s="427">
        <v>0</v>
      </c>
      <c r="CK70" s="428">
        <v>0</v>
      </c>
      <c r="CL70" s="428">
        <v>0</v>
      </c>
      <c r="CM70" s="428">
        <v>0</v>
      </c>
      <c r="CN70" s="428">
        <v>0</v>
      </c>
      <c r="CO70" s="428">
        <v>0</v>
      </c>
      <c r="CP70" s="428">
        <v>0</v>
      </c>
      <c r="CQ70" s="428">
        <v>0</v>
      </c>
      <c r="CR70" s="428">
        <v>0</v>
      </c>
      <c r="CS70" s="428">
        <v>0</v>
      </c>
      <c r="CT70" s="428">
        <v>0</v>
      </c>
      <c r="CU70" s="428">
        <v>0</v>
      </c>
      <c r="CV70" s="428">
        <v>0</v>
      </c>
      <c r="CW70" s="428">
        <v>0</v>
      </c>
      <c r="CX70" s="428"/>
      <c r="CY70" s="428"/>
      <c r="CZ70" s="428"/>
      <c r="DA70" s="428"/>
      <c r="DB70" s="428"/>
      <c r="DC70" s="428"/>
      <c r="DD70" s="428"/>
      <c r="DE70" s="428"/>
      <c r="DF70" s="428"/>
      <c r="DG70" s="428"/>
      <c r="DH70" s="428"/>
      <c r="DI70" s="428"/>
    </row>
    <row r="71" spans="1:113" s="388" customFormat="1">
      <c r="A71" s="421" t="s">
        <v>370</v>
      </c>
      <c r="B71" s="421" t="s">
        <v>21</v>
      </c>
      <c r="C71" s="421" t="s">
        <v>407</v>
      </c>
      <c r="D71" s="422" t="s">
        <v>376</v>
      </c>
      <c r="E71" s="422">
        <v>2017</v>
      </c>
      <c r="F71" s="423">
        <v>0.86640664997332184</v>
      </c>
      <c r="G71" s="424">
        <v>967.29181065222474</v>
      </c>
      <c r="H71" s="422">
        <v>4</v>
      </c>
      <c r="I71" s="425">
        <v>0.48452941176478675</v>
      </c>
      <c r="J71" s="425">
        <v>0.48452941176478675</v>
      </c>
      <c r="K71" s="422">
        <v>0</v>
      </c>
      <c r="L71" s="422">
        <v>0</v>
      </c>
      <c r="M71" s="422">
        <v>0</v>
      </c>
      <c r="N71" s="426">
        <v>0</v>
      </c>
      <c r="O71" s="426">
        <v>0</v>
      </c>
      <c r="P71" s="426">
        <v>0</v>
      </c>
      <c r="Q71" s="426">
        <v>0</v>
      </c>
      <c r="R71" s="426">
        <v>0</v>
      </c>
      <c r="S71" s="426">
        <v>0</v>
      </c>
      <c r="T71" s="426">
        <v>0</v>
      </c>
      <c r="U71" s="426">
        <v>0</v>
      </c>
      <c r="V71" s="426">
        <v>0</v>
      </c>
      <c r="W71" s="426">
        <v>0</v>
      </c>
      <c r="X71" s="426">
        <v>0</v>
      </c>
      <c r="Y71" s="426">
        <v>0</v>
      </c>
      <c r="Z71" s="426">
        <v>0</v>
      </c>
      <c r="AA71" s="426">
        <v>0</v>
      </c>
      <c r="AB71" s="426">
        <v>0</v>
      </c>
      <c r="AC71" s="426">
        <v>0</v>
      </c>
      <c r="AD71" s="426">
        <v>0</v>
      </c>
      <c r="AE71" s="426">
        <v>0</v>
      </c>
      <c r="AF71" s="426">
        <v>0</v>
      </c>
      <c r="AG71" s="426">
        <v>0</v>
      </c>
      <c r="AH71" s="426">
        <v>0</v>
      </c>
      <c r="AI71" s="426">
        <v>0</v>
      </c>
      <c r="AJ71" s="426">
        <v>0</v>
      </c>
      <c r="AK71" s="426">
        <v>0</v>
      </c>
      <c r="AL71" s="426">
        <v>0</v>
      </c>
      <c r="AM71" s="427">
        <v>0</v>
      </c>
      <c r="AN71" s="427">
        <v>0</v>
      </c>
      <c r="AO71" s="427">
        <v>0</v>
      </c>
      <c r="AP71" s="427">
        <v>0</v>
      </c>
      <c r="AQ71" s="427">
        <v>0</v>
      </c>
      <c r="AR71" s="427">
        <v>0</v>
      </c>
      <c r="AS71" s="427">
        <v>0</v>
      </c>
      <c r="AT71" s="427">
        <v>0</v>
      </c>
      <c r="AU71" s="427">
        <v>0</v>
      </c>
      <c r="AV71" s="427">
        <v>0</v>
      </c>
      <c r="AW71" s="427">
        <v>0</v>
      </c>
      <c r="AX71" s="427">
        <v>0</v>
      </c>
      <c r="AY71" s="427">
        <v>0</v>
      </c>
      <c r="AZ71" s="427">
        <v>0</v>
      </c>
      <c r="BA71" s="427">
        <v>0</v>
      </c>
      <c r="BB71" s="427">
        <v>0</v>
      </c>
      <c r="BC71" s="427">
        <v>0</v>
      </c>
      <c r="BD71" s="427">
        <v>0</v>
      </c>
      <c r="BE71" s="427">
        <v>0</v>
      </c>
      <c r="BF71" s="427">
        <v>0</v>
      </c>
      <c r="BG71" s="427">
        <v>0</v>
      </c>
      <c r="BH71" s="427">
        <v>0</v>
      </c>
      <c r="BI71" s="427">
        <v>0</v>
      </c>
      <c r="BJ71" s="427">
        <v>0</v>
      </c>
      <c r="BK71" s="427">
        <v>0</v>
      </c>
      <c r="BL71" s="427">
        <v>0</v>
      </c>
      <c r="BM71" s="427">
        <v>0</v>
      </c>
      <c r="BN71" s="427">
        <v>0</v>
      </c>
      <c r="BO71" s="427">
        <v>0</v>
      </c>
      <c r="BP71" s="427">
        <v>0</v>
      </c>
      <c r="BQ71" s="427">
        <v>0</v>
      </c>
      <c r="BR71" s="427">
        <v>0</v>
      </c>
      <c r="BS71" s="427">
        <v>0</v>
      </c>
      <c r="BT71" s="427">
        <v>0</v>
      </c>
      <c r="BU71" s="427">
        <v>0</v>
      </c>
      <c r="BV71" s="427">
        <v>0</v>
      </c>
      <c r="BW71" s="427">
        <v>0</v>
      </c>
      <c r="BX71" s="427">
        <v>0</v>
      </c>
      <c r="BY71" s="427">
        <v>0</v>
      </c>
      <c r="BZ71" s="427">
        <v>0</v>
      </c>
      <c r="CA71" s="427">
        <v>0</v>
      </c>
      <c r="CB71" s="427">
        <v>0</v>
      </c>
      <c r="CC71" s="427">
        <v>0</v>
      </c>
      <c r="CD71" s="427">
        <v>0</v>
      </c>
      <c r="CE71" s="427">
        <v>0</v>
      </c>
      <c r="CF71" s="427">
        <v>0</v>
      </c>
      <c r="CG71" s="427">
        <v>0</v>
      </c>
      <c r="CH71" s="427">
        <v>0</v>
      </c>
      <c r="CI71" s="427">
        <v>0</v>
      </c>
      <c r="CJ71" s="427">
        <v>0</v>
      </c>
      <c r="CK71" s="428">
        <v>0</v>
      </c>
      <c r="CL71" s="428">
        <v>0</v>
      </c>
      <c r="CM71" s="428">
        <v>0</v>
      </c>
      <c r="CN71" s="428">
        <v>0</v>
      </c>
      <c r="CO71" s="428">
        <v>0</v>
      </c>
      <c r="CP71" s="428">
        <v>0</v>
      </c>
      <c r="CQ71" s="428">
        <v>0</v>
      </c>
      <c r="CR71" s="428">
        <v>0</v>
      </c>
      <c r="CS71" s="428">
        <v>0</v>
      </c>
      <c r="CT71" s="428">
        <v>0</v>
      </c>
      <c r="CU71" s="428">
        <v>0</v>
      </c>
      <c r="CV71" s="428">
        <v>0</v>
      </c>
      <c r="CW71" s="428">
        <v>0</v>
      </c>
      <c r="CX71" s="428"/>
      <c r="CY71" s="428"/>
      <c r="CZ71" s="428"/>
      <c r="DA71" s="428"/>
      <c r="DB71" s="428"/>
      <c r="DC71" s="428"/>
      <c r="DD71" s="428"/>
      <c r="DE71" s="428"/>
      <c r="DF71" s="428"/>
      <c r="DG71" s="428"/>
      <c r="DH71" s="428"/>
      <c r="DI71" s="428"/>
    </row>
    <row r="72" spans="1:113" s="388" customFormat="1">
      <c r="A72" s="421" t="s">
        <v>370</v>
      </c>
      <c r="B72" s="421" t="s">
        <v>21</v>
      </c>
      <c r="C72" s="421" t="s">
        <v>407</v>
      </c>
      <c r="D72" s="422" t="s">
        <v>376</v>
      </c>
      <c r="E72" s="422">
        <v>2018</v>
      </c>
      <c r="F72" s="423">
        <v>0.86640664997332184</v>
      </c>
      <c r="G72" s="424">
        <v>967.29181065222474</v>
      </c>
      <c r="H72" s="422">
        <v>4</v>
      </c>
      <c r="I72" s="425">
        <v>0.48452941176478675</v>
      </c>
      <c r="J72" s="425">
        <v>0.48452941176478675</v>
      </c>
      <c r="K72" s="422">
        <v>0</v>
      </c>
      <c r="L72" s="422">
        <v>0</v>
      </c>
      <c r="M72" s="422">
        <v>0</v>
      </c>
      <c r="N72" s="426">
        <v>0</v>
      </c>
      <c r="O72" s="426">
        <v>0</v>
      </c>
      <c r="P72" s="426">
        <v>0</v>
      </c>
      <c r="Q72" s="426">
        <v>0</v>
      </c>
      <c r="R72" s="426">
        <v>0</v>
      </c>
      <c r="S72" s="426">
        <v>0</v>
      </c>
      <c r="T72" s="426">
        <v>0</v>
      </c>
      <c r="U72" s="426">
        <v>0</v>
      </c>
      <c r="V72" s="426">
        <v>0</v>
      </c>
      <c r="W72" s="426">
        <v>0</v>
      </c>
      <c r="X72" s="426">
        <v>0</v>
      </c>
      <c r="Y72" s="426">
        <v>0</v>
      </c>
      <c r="Z72" s="426">
        <v>0</v>
      </c>
      <c r="AA72" s="426">
        <v>0</v>
      </c>
      <c r="AB72" s="426">
        <v>0</v>
      </c>
      <c r="AC72" s="426">
        <v>0</v>
      </c>
      <c r="AD72" s="426">
        <v>0</v>
      </c>
      <c r="AE72" s="426">
        <v>0</v>
      </c>
      <c r="AF72" s="426">
        <v>0</v>
      </c>
      <c r="AG72" s="426">
        <v>0</v>
      </c>
      <c r="AH72" s="426">
        <v>0</v>
      </c>
      <c r="AI72" s="426">
        <v>0</v>
      </c>
      <c r="AJ72" s="426">
        <v>0</v>
      </c>
      <c r="AK72" s="426">
        <v>0</v>
      </c>
      <c r="AL72" s="426">
        <v>0</v>
      </c>
      <c r="AM72" s="427">
        <v>0</v>
      </c>
      <c r="AN72" s="427">
        <v>0</v>
      </c>
      <c r="AO72" s="427">
        <v>0</v>
      </c>
      <c r="AP72" s="427">
        <v>0</v>
      </c>
      <c r="AQ72" s="427">
        <v>0</v>
      </c>
      <c r="AR72" s="427">
        <v>0</v>
      </c>
      <c r="AS72" s="427">
        <v>0</v>
      </c>
      <c r="AT72" s="427">
        <v>0</v>
      </c>
      <c r="AU72" s="427">
        <v>0</v>
      </c>
      <c r="AV72" s="427">
        <v>0</v>
      </c>
      <c r="AW72" s="427">
        <v>0</v>
      </c>
      <c r="AX72" s="427">
        <v>0</v>
      </c>
      <c r="AY72" s="427">
        <v>0</v>
      </c>
      <c r="AZ72" s="427">
        <v>0</v>
      </c>
      <c r="BA72" s="427">
        <v>0</v>
      </c>
      <c r="BB72" s="427">
        <v>0</v>
      </c>
      <c r="BC72" s="427">
        <v>0</v>
      </c>
      <c r="BD72" s="427">
        <v>0</v>
      </c>
      <c r="BE72" s="427">
        <v>0</v>
      </c>
      <c r="BF72" s="427">
        <v>0</v>
      </c>
      <c r="BG72" s="427">
        <v>0</v>
      </c>
      <c r="BH72" s="427">
        <v>0</v>
      </c>
      <c r="BI72" s="427">
        <v>0</v>
      </c>
      <c r="BJ72" s="427">
        <v>0</v>
      </c>
      <c r="BK72" s="427">
        <v>0</v>
      </c>
      <c r="BL72" s="427">
        <v>0</v>
      </c>
      <c r="BM72" s="427">
        <v>0</v>
      </c>
      <c r="BN72" s="427">
        <v>0</v>
      </c>
      <c r="BO72" s="427">
        <v>0</v>
      </c>
      <c r="BP72" s="427">
        <v>0</v>
      </c>
      <c r="BQ72" s="427">
        <v>0</v>
      </c>
      <c r="BR72" s="427">
        <v>0</v>
      </c>
      <c r="BS72" s="427">
        <v>0</v>
      </c>
      <c r="BT72" s="427">
        <v>0</v>
      </c>
      <c r="BU72" s="427">
        <v>0</v>
      </c>
      <c r="BV72" s="427">
        <v>0</v>
      </c>
      <c r="BW72" s="427">
        <v>0</v>
      </c>
      <c r="BX72" s="427">
        <v>0</v>
      </c>
      <c r="BY72" s="427">
        <v>0</v>
      </c>
      <c r="BZ72" s="427">
        <v>0</v>
      </c>
      <c r="CA72" s="427">
        <v>0</v>
      </c>
      <c r="CB72" s="427">
        <v>0</v>
      </c>
      <c r="CC72" s="427">
        <v>0</v>
      </c>
      <c r="CD72" s="427">
        <v>0</v>
      </c>
      <c r="CE72" s="427">
        <v>0</v>
      </c>
      <c r="CF72" s="427">
        <v>0</v>
      </c>
      <c r="CG72" s="427">
        <v>0</v>
      </c>
      <c r="CH72" s="427">
        <v>0</v>
      </c>
      <c r="CI72" s="427">
        <v>0</v>
      </c>
      <c r="CJ72" s="427">
        <v>0</v>
      </c>
      <c r="CK72" s="428">
        <v>0</v>
      </c>
      <c r="CL72" s="428">
        <v>0</v>
      </c>
      <c r="CM72" s="428">
        <v>0</v>
      </c>
      <c r="CN72" s="428">
        <v>0</v>
      </c>
      <c r="CO72" s="428">
        <v>0</v>
      </c>
      <c r="CP72" s="428">
        <v>0</v>
      </c>
      <c r="CQ72" s="428">
        <v>0</v>
      </c>
      <c r="CR72" s="428">
        <v>0</v>
      </c>
      <c r="CS72" s="428">
        <v>0</v>
      </c>
      <c r="CT72" s="428">
        <v>0</v>
      </c>
      <c r="CU72" s="428">
        <v>0</v>
      </c>
      <c r="CV72" s="428">
        <v>0</v>
      </c>
      <c r="CW72" s="428">
        <v>0</v>
      </c>
      <c r="CX72" s="428"/>
      <c r="CY72" s="428"/>
      <c r="CZ72" s="428"/>
      <c r="DA72" s="428"/>
      <c r="DB72" s="428"/>
      <c r="DC72" s="428"/>
      <c r="DD72" s="428"/>
      <c r="DE72" s="428"/>
      <c r="DF72" s="428"/>
      <c r="DG72" s="428"/>
      <c r="DH72" s="428"/>
      <c r="DI72" s="428"/>
    </row>
    <row r="73" spans="1:113" s="388" customFormat="1">
      <c r="A73" s="421" t="s">
        <v>370</v>
      </c>
      <c r="B73" s="421" t="s">
        <v>21</v>
      </c>
      <c r="C73" s="421" t="s">
        <v>407</v>
      </c>
      <c r="D73" s="422" t="s">
        <v>376</v>
      </c>
      <c r="E73" s="422">
        <v>2019</v>
      </c>
      <c r="F73" s="423">
        <v>0.86640664997332184</v>
      </c>
      <c r="G73" s="424">
        <v>967.29181065222474</v>
      </c>
      <c r="H73" s="422">
        <v>4</v>
      </c>
      <c r="I73" s="425">
        <v>0.48452941176478675</v>
      </c>
      <c r="J73" s="425">
        <v>0.48452941176478675</v>
      </c>
      <c r="K73" s="422">
        <v>0</v>
      </c>
      <c r="L73" s="422">
        <v>0</v>
      </c>
      <c r="M73" s="422">
        <v>0</v>
      </c>
      <c r="N73" s="426">
        <v>0</v>
      </c>
      <c r="O73" s="426">
        <v>0</v>
      </c>
      <c r="P73" s="426">
        <v>0</v>
      </c>
      <c r="Q73" s="426">
        <v>0</v>
      </c>
      <c r="R73" s="426">
        <v>0</v>
      </c>
      <c r="S73" s="426">
        <v>0</v>
      </c>
      <c r="T73" s="426">
        <v>0</v>
      </c>
      <c r="U73" s="426">
        <v>0</v>
      </c>
      <c r="V73" s="426">
        <v>0</v>
      </c>
      <c r="W73" s="426">
        <v>0</v>
      </c>
      <c r="X73" s="426">
        <v>0</v>
      </c>
      <c r="Y73" s="426">
        <v>0</v>
      </c>
      <c r="Z73" s="426">
        <v>0</v>
      </c>
      <c r="AA73" s="426">
        <v>0</v>
      </c>
      <c r="AB73" s="426">
        <v>0</v>
      </c>
      <c r="AC73" s="426">
        <v>0</v>
      </c>
      <c r="AD73" s="426">
        <v>0</v>
      </c>
      <c r="AE73" s="426">
        <v>0</v>
      </c>
      <c r="AF73" s="426">
        <v>0</v>
      </c>
      <c r="AG73" s="426">
        <v>0</v>
      </c>
      <c r="AH73" s="426">
        <v>0</v>
      </c>
      <c r="AI73" s="426">
        <v>0</v>
      </c>
      <c r="AJ73" s="426">
        <v>0</v>
      </c>
      <c r="AK73" s="426">
        <v>0</v>
      </c>
      <c r="AL73" s="426">
        <v>0</v>
      </c>
      <c r="AM73" s="427">
        <v>0</v>
      </c>
      <c r="AN73" s="427">
        <v>0</v>
      </c>
      <c r="AO73" s="427">
        <v>0</v>
      </c>
      <c r="AP73" s="427">
        <v>0</v>
      </c>
      <c r="AQ73" s="427">
        <v>0</v>
      </c>
      <c r="AR73" s="427">
        <v>0</v>
      </c>
      <c r="AS73" s="427">
        <v>0</v>
      </c>
      <c r="AT73" s="427">
        <v>0</v>
      </c>
      <c r="AU73" s="427">
        <v>0</v>
      </c>
      <c r="AV73" s="427">
        <v>0</v>
      </c>
      <c r="AW73" s="427">
        <v>0</v>
      </c>
      <c r="AX73" s="427">
        <v>0</v>
      </c>
      <c r="AY73" s="427">
        <v>0</v>
      </c>
      <c r="AZ73" s="427">
        <v>0</v>
      </c>
      <c r="BA73" s="427">
        <v>0</v>
      </c>
      <c r="BB73" s="427">
        <v>0</v>
      </c>
      <c r="BC73" s="427">
        <v>0</v>
      </c>
      <c r="BD73" s="427">
        <v>0</v>
      </c>
      <c r="BE73" s="427">
        <v>0</v>
      </c>
      <c r="BF73" s="427">
        <v>0</v>
      </c>
      <c r="BG73" s="427">
        <v>0</v>
      </c>
      <c r="BH73" s="427">
        <v>0</v>
      </c>
      <c r="BI73" s="427">
        <v>0</v>
      </c>
      <c r="BJ73" s="427">
        <v>0</v>
      </c>
      <c r="BK73" s="427">
        <v>0</v>
      </c>
      <c r="BL73" s="427">
        <v>0</v>
      </c>
      <c r="BM73" s="427">
        <v>0</v>
      </c>
      <c r="BN73" s="427">
        <v>0</v>
      </c>
      <c r="BO73" s="427">
        <v>0</v>
      </c>
      <c r="BP73" s="427">
        <v>0</v>
      </c>
      <c r="BQ73" s="427">
        <v>0</v>
      </c>
      <c r="BR73" s="427">
        <v>0</v>
      </c>
      <c r="BS73" s="427">
        <v>0</v>
      </c>
      <c r="BT73" s="427">
        <v>0</v>
      </c>
      <c r="BU73" s="427">
        <v>0</v>
      </c>
      <c r="BV73" s="427">
        <v>0</v>
      </c>
      <c r="BW73" s="427">
        <v>0</v>
      </c>
      <c r="BX73" s="427">
        <v>0</v>
      </c>
      <c r="BY73" s="427">
        <v>0</v>
      </c>
      <c r="BZ73" s="427">
        <v>0</v>
      </c>
      <c r="CA73" s="427">
        <v>0</v>
      </c>
      <c r="CB73" s="427">
        <v>0</v>
      </c>
      <c r="CC73" s="427">
        <v>0</v>
      </c>
      <c r="CD73" s="427">
        <v>0</v>
      </c>
      <c r="CE73" s="427">
        <v>0</v>
      </c>
      <c r="CF73" s="427">
        <v>0</v>
      </c>
      <c r="CG73" s="427">
        <v>0</v>
      </c>
      <c r="CH73" s="427">
        <v>0</v>
      </c>
      <c r="CI73" s="427">
        <v>0</v>
      </c>
      <c r="CJ73" s="427">
        <v>0</v>
      </c>
      <c r="CK73" s="428">
        <v>0</v>
      </c>
      <c r="CL73" s="428">
        <v>0</v>
      </c>
      <c r="CM73" s="428">
        <v>0</v>
      </c>
      <c r="CN73" s="428">
        <v>0</v>
      </c>
      <c r="CO73" s="428">
        <v>0</v>
      </c>
      <c r="CP73" s="428">
        <v>0</v>
      </c>
      <c r="CQ73" s="428">
        <v>0</v>
      </c>
      <c r="CR73" s="428">
        <v>0</v>
      </c>
      <c r="CS73" s="428">
        <v>0</v>
      </c>
      <c r="CT73" s="428">
        <v>0</v>
      </c>
      <c r="CU73" s="428">
        <v>0</v>
      </c>
      <c r="CV73" s="428">
        <v>0</v>
      </c>
      <c r="CW73" s="428">
        <v>0</v>
      </c>
      <c r="CX73" s="428"/>
      <c r="CY73" s="428"/>
      <c r="CZ73" s="428"/>
      <c r="DA73" s="428"/>
      <c r="DB73" s="428"/>
      <c r="DC73" s="428"/>
      <c r="DD73" s="428"/>
      <c r="DE73" s="428"/>
      <c r="DF73" s="428"/>
      <c r="DG73" s="428"/>
      <c r="DH73" s="428"/>
      <c r="DI73" s="428"/>
    </row>
    <row r="74" spans="1:113" s="388" customFormat="1">
      <c r="A74" s="421" t="s">
        <v>370</v>
      </c>
      <c r="B74" s="421" t="s">
        <v>21</v>
      </c>
      <c r="C74" s="421" t="s">
        <v>407</v>
      </c>
      <c r="D74" s="422" t="s">
        <v>376</v>
      </c>
      <c r="E74" s="422">
        <v>2020</v>
      </c>
      <c r="F74" s="423">
        <v>0.86640664997332184</v>
      </c>
      <c r="G74" s="424">
        <v>967.29181065222474</v>
      </c>
      <c r="H74" s="422">
        <v>4</v>
      </c>
      <c r="I74" s="425">
        <v>0.48452941176478675</v>
      </c>
      <c r="J74" s="425">
        <v>0.48452941176478675</v>
      </c>
      <c r="K74" s="422">
        <v>0</v>
      </c>
      <c r="L74" s="422">
        <v>0</v>
      </c>
      <c r="M74" s="422">
        <v>0</v>
      </c>
      <c r="N74" s="426">
        <v>0</v>
      </c>
      <c r="O74" s="426">
        <v>0</v>
      </c>
      <c r="P74" s="426">
        <v>0</v>
      </c>
      <c r="Q74" s="426">
        <v>0</v>
      </c>
      <c r="R74" s="426">
        <v>0</v>
      </c>
      <c r="S74" s="426">
        <v>0</v>
      </c>
      <c r="T74" s="426">
        <v>0</v>
      </c>
      <c r="U74" s="426">
        <v>0</v>
      </c>
      <c r="V74" s="426">
        <v>0</v>
      </c>
      <c r="W74" s="426">
        <v>0</v>
      </c>
      <c r="X74" s="426">
        <v>0</v>
      </c>
      <c r="Y74" s="426">
        <v>0</v>
      </c>
      <c r="Z74" s="426">
        <v>0</v>
      </c>
      <c r="AA74" s="426">
        <v>0</v>
      </c>
      <c r="AB74" s="426">
        <v>0</v>
      </c>
      <c r="AC74" s="426">
        <v>0</v>
      </c>
      <c r="AD74" s="426">
        <v>0</v>
      </c>
      <c r="AE74" s="426">
        <v>0</v>
      </c>
      <c r="AF74" s="426">
        <v>0</v>
      </c>
      <c r="AG74" s="426">
        <v>0</v>
      </c>
      <c r="AH74" s="426">
        <v>0</v>
      </c>
      <c r="AI74" s="426">
        <v>0</v>
      </c>
      <c r="AJ74" s="426">
        <v>0</v>
      </c>
      <c r="AK74" s="426">
        <v>0</v>
      </c>
      <c r="AL74" s="426">
        <v>0</v>
      </c>
      <c r="AM74" s="427">
        <v>0</v>
      </c>
      <c r="AN74" s="427">
        <v>0</v>
      </c>
      <c r="AO74" s="427">
        <v>0</v>
      </c>
      <c r="AP74" s="427">
        <v>0</v>
      </c>
      <c r="AQ74" s="427">
        <v>0</v>
      </c>
      <c r="AR74" s="427">
        <v>0</v>
      </c>
      <c r="AS74" s="427">
        <v>0</v>
      </c>
      <c r="AT74" s="427">
        <v>0</v>
      </c>
      <c r="AU74" s="427">
        <v>0</v>
      </c>
      <c r="AV74" s="427">
        <v>0</v>
      </c>
      <c r="AW74" s="427">
        <v>0</v>
      </c>
      <c r="AX74" s="427">
        <v>0</v>
      </c>
      <c r="AY74" s="427">
        <v>0</v>
      </c>
      <c r="AZ74" s="427">
        <v>0</v>
      </c>
      <c r="BA74" s="427">
        <v>0</v>
      </c>
      <c r="BB74" s="427">
        <v>0</v>
      </c>
      <c r="BC74" s="427">
        <v>0</v>
      </c>
      <c r="BD74" s="427">
        <v>0</v>
      </c>
      <c r="BE74" s="427">
        <v>0</v>
      </c>
      <c r="BF74" s="427">
        <v>0</v>
      </c>
      <c r="BG74" s="427">
        <v>0</v>
      </c>
      <c r="BH74" s="427">
        <v>0</v>
      </c>
      <c r="BI74" s="427">
        <v>0</v>
      </c>
      <c r="BJ74" s="427">
        <v>0</v>
      </c>
      <c r="BK74" s="427">
        <v>0</v>
      </c>
      <c r="BL74" s="427">
        <v>0</v>
      </c>
      <c r="BM74" s="427">
        <v>0</v>
      </c>
      <c r="BN74" s="427">
        <v>0</v>
      </c>
      <c r="BO74" s="427">
        <v>0</v>
      </c>
      <c r="BP74" s="427">
        <v>0</v>
      </c>
      <c r="BQ74" s="427">
        <v>0</v>
      </c>
      <c r="BR74" s="427">
        <v>0</v>
      </c>
      <c r="BS74" s="427">
        <v>0</v>
      </c>
      <c r="BT74" s="427">
        <v>0</v>
      </c>
      <c r="BU74" s="427">
        <v>0</v>
      </c>
      <c r="BV74" s="427">
        <v>0</v>
      </c>
      <c r="BW74" s="427">
        <v>0</v>
      </c>
      <c r="BX74" s="427">
        <v>0</v>
      </c>
      <c r="BY74" s="427">
        <v>0</v>
      </c>
      <c r="BZ74" s="427">
        <v>0</v>
      </c>
      <c r="CA74" s="427">
        <v>0</v>
      </c>
      <c r="CB74" s="427">
        <v>0</v>
      </c>
      <c r="CC74" s="427">
        <v>0</v>
      </c>
      <c r="CD74" s="427">
        <v>0</v>
      </c>
      <c r="CE74" s="427">
        <v>0</v>
      </c>
      <c r="CF74" s="427">
        <v>0</v>
      </c>
      <c r="CG74" s="427">
        <v>0</v>
      </c>
      <c r="CH74" s="427">
        <v>0</v>
      </c>
      <c r="CI74" s="427">
        <v>0</v>
      </c>
      <c r="CJ74" s="427">
        <v>0</v>
      </c>
      <c r="CK74" s="428">
        <v>0</v>
      </c>
      <c r="CL74" s="428">
        <v>0</v>
      </c>
      <c r="CM74" s="428">
        <v>0</v>
      </c>
      <c r="CN74" s="428">
        <v>0</v>
      </c>
      <c r="CO74" s="428">
        <v>0</v>
      </c>
      <c r="CP74" s="428">
        <v>0</v>
      </c>
      <c r="CQ74" s="428">
        <v>0</v>
      </c>
      <c r="CR74" s="428">
        <v>0</v>
      </c>
      <c r="CS74" s="428">
        <v>0</v>
      </c>
      <c r="CT74" s="428">
        <v>0</v>
      </c>
      <c r="CU74" s="428">
        <v>0</v>
      </c>
      <c r="CV74" s="428">
        <v>0</v>
      </c>
      <c r="CW74" s="428">
        <v>0</v>
      </c>
      <c r="CX74" s="428"/>
      <c r="CY74" s="428"/>
      <c r="CZ74" s="428"/>
      <c r="DA74" s="428"/>
      <c r="DB74" s="428"/>
      <c r="DC74" s="428"/>
      <c r="DD74" s="428"/>
      <c r="DE74" s="428"/>
      <c r="DF74" s="428"/>
      <c r="DG74" s="428"/>
      <c r="DH74" s="428"/>
      <c r="DI74" s="428"/>
    </row>
    <row r="75" spans="1:113" s="388" customFormat="1">
      <c r="A75" s="421" t="s">
        <v>370</v>
      </c>
      <c r="B75" s="421" t="s">
        <v>21</v>
      </c>
      <c r="C75" s="421" t="s">
        <v>410</v>
      </c>
      <c r="D75" s="422" t="s">
        <v>376</v>
      </c>
      <c r="E75" s="422">
        <v>2015</v>
      </c>
      <c r="F75" s="423">
        <v>0.86959558274132531</v>
      </c>
      <c r="G75" s="424">
        <v>887.29320008324521</v>
      </c>
      <c r="H75" s="422">
        <v>5</v>
      </c>
      <c r="I75" s="425">
        <v>0.46536965252313928</v>
      </c>
      <c r="J75" s="425">
        <v>0.46536965252313928</v>
      </c>
      <c r="K75" s="422">
        <v>0</v>
      </c>
      <c r="L75" s="422">
        <v>0</v>
      </c>
      <c r="M75" s="422">
        <v>0</v>
      </c>
      <c r="N75" s="426">
        <v>0</v>
      </c>
      <c r="O75" s="426">
        <v>0</v>
      </c>
      <c r="P75" s="426">
        <v>0</v>
      </c>
      <c r="Q75" s="426">
        <v>0</v>
      </c>
      <c r="R75" s="426">
        <v>0</v>
      </c>
      <c r="S75" s="426">
        <v>0</v>
      </c>
      <c r="T75" s="426">
        <v>0</v>
      </c>
      <c r="U75" s="426">
        <v>0</v>
      </c>
      <c r="V75" s="426">
        <v>0</v>
      </c>
      <c r="W75" s="426">
        <v>0</v>
      </c>
      <c r="X75" s="426">
        <v>0</v>
      </c>
      <c r="Y75" s="426">
        <v>0</v>
      </c>
      <c r="Z75" s="426">
        <v>0</v>
      </c>
      <c r="AA75" s="426">
        <v>0</v>
      </c>
      <c r="AB75" s="426">
        <v>0</v>
      </c>
      <c r="AC75" s="426">
        <v>0</v>
      </c>
      <c r="AD75" s="426">
        <v>0</v>
      </c>
      <c r="AE75" s="426">
        <v>0</v>
      </c>
      <c r="AF75" s="426">
        <v>0</v>
      </c>
      <c r="AG75" s="426">
        <v>0</v>
      </c>
      <c r="AH75" s="426">
        <v>0</v>
      </c>
      <c r="AI75" s="426">
        <v>0</v>
      </c>
      <c r="AJ75" s="426">
        <v>0</v>
      </c>
      <c r="AK75" s="426">
        <v>0</v>
      </c>
      <c r="AL75" s="426">
        <v>0</v>
      </c>
      <c r="AM75" s="427">
        <v>0</v>
      </c>
      <c r="AN75" s="427">
        <v>0</v>
      </c>
      <c r="AO75" s="427">
        <v>0</v>
      </c>
      <c r="AP75" s="427">
        <v>0</v>
      </c>
      <c r="AQ75" s="427">
        <v>0</v>
      </c>
      <c r="AR75" s="427">
        <v>0</v>
      </c>
      <c r="AS75" s="427">
        <v>0</v>
      </c>
      <c r="AT75" s="427">
        <v>0</v>
      </c>
      <c r="AU75" s="427">
        <v>0</v>
      </c>
      <c r="AV75" s="427">
        <v>0</v>
      </c>
      <c r="AW75" s="427">
        <v>0</v>
      </c>
      <c r="AX75" s="427">
        <v>0</v>
      </c>
      <c r="AY75" s="427">
        <v>0</v>
      </c>
      <c r="AZ75" s="427">
        <v>0</v>
      </c>
      <c r="BA75" s="427">
        <v>0</v>
      </c>
      <c r="BB75" s="427">
        <v>0</v>
      </c>
      <c r="BC75" s="427">
        <v>0</v>
      </c>
      <c r="BD75" s="427">
        <v>0</v>
      </c>
      <c r="BE75" s="427">
        <v>0</v>
      </c>
      <c r="BF75" s="427">
        <v>0</v>
      </c>
      <c r="BG75" s="427">
        <v>0</v>
      </c>
      <c r="BH75" s="427">
        <v>0</v>
      </c>
      <c r="BI75" s="427">
        <v>0</v>
      </c>
      <c r="BJ75" s="427">
        <v>0</v>
      </c>
      <c r="BK75" s="427">
        <v>0</v>
      </c>
      <c r="BL75" s="427">
        <v>0</v>
      </c>
      <c r="BM75" s="427">
        <v>0</v>
      </c>
      <c r="BN75" s="427">
        <v>0</v>
      </c>
      <c r="BO75" s="427">
        <v>0</v>
      </c>
      <c r="BP75" s="427">
        <v>0</v>
      </c>
      <c r="BQ75" s="427">
        <v>0</v>
      </c>
      <c r="BR75" s="427">
        <v>0</v>
      </c>
      <c r="BS75" s="427">
        <v>0</v>
      </c>
      <c r="BT75" s="427">
        <v>0</v>
      </c>
      <c r="BU75" s="427">
        <v>0</v>
      </c>
      <c r="BV75" s="427">
        <v>0</v>
      </c>
      <c r="BW75" s="427">
        <v>0</v>
      </c>
      <c r="BX75" s="427">
        <v>0</v>
      </c>
      <c r="BY75" s="427">
        <v>0</v>
      </c>
      <c r="BZ75" s="427">
        <v>0</v>
      </c>
      <c r="CA75" s="427">
        <v>0</v>
      </c>
      <c r="CB75" s="427">
        <v>0</v>
      </c>
      <c r="CC75" s="427">
        <v>0</v>
      </c>
      <c r="CD75" s="427">
        <v>0</v>
      </c>
      <c r="CE75" s="427">
        <v>0</v>
      </c>
      <c r="CF75" s="427">
        <v>0</v>
      </c>
      <c r="CG75" s="427">
        <v>0</v>
      </c>
      <c r="CH75" s="427">
        <v>0</v>
      </c>
      <c r="CI75" s="427">
        <v>0</v>
      </c>
      <c r="CJ75" s="427">
        <v>0</v>
      </c>
      <c r="CK75" s="428">
        <v>0</v>
      </c>
      <c r="CL75" s="428">
        <v>0</v>
      </c>
      <c r="CM75" s="428">
        <v>0</v>
      </c>
      <c r="CN75" s="428">
        <v>0</v>
      </c>
      <c r="CO75" s="428">
        <v>0</v>
      </c>
      <c r="CP75" s="428">
        <v>0</v>
      </c>
      <c r="CQ75" s="428">
        <v>0</v>
      </c>
      <c r="CR75" s="428">
        <v>0</v>
      </c>
      <c r="CS75" s="428">
        <v>0</v>
      </c>
      <c r="CT75" s="428">
        <v>0</v>
      </c>
      <c r="CU75" s="428">
        <v>0</v>
      </c>
      <c r="CV75" s="428">
        <v>0</v>
      </c>
      <c r="CW75" s="428">
        <v>0</v>
      </c>
      <c r="CX75" s="428"/>
      <c r="CY75" s="428"/>
      <c r="CZ75" s="428"/>
      <c r="DA75" s="428"/>
      <c r="DB75" s="428"/>
      <c r="DC75" s="428"/>
      <c r="DD75" s="428"/>
      <c r="DE75" s="428"/>
      <c r="DF75" s="428"/>
      <c r="DG75" s="428"/>
      <c r="DH75" s="428"/>
      <c r="DI75" s="428"/>
    </row>
    <row r="76" spans="1:113" s="388" customFormat="1">
      <c r="A76" s="421" t="s">
        <v>370</v>
      </c>
      <c r="B76" s="421" t="s">
        <v>21</v>
      </c>
      <c r="C76" s="421" t="s">
        <v>410</v>
      </c>
      <c r="D76" s="422" t="s">
        <v>376</v>
      </c>
      <c r="E76" s="422">
        <v>2016</v>
      </c>
      <c r="F76" s="423">
        <v>0.86959558274132531</v>
      </c>
      <c r="G76" s="424">
        <v>887.29320008324521</v>
      </c>
      <c r="H76" s="422">
        <v>5</v>
      </c>
      <c r="I76" s="425">
        <v>0.46536965252313928</v>
      </c>
      <c r="J76" s="425">
        <v>0.46536965252313928</v>
      </c>
      <c r="K76" s="422">
        <v>0</v>
      </c>
      <c r="L76" s="422">
        <v>0</v>
      </c>
      <c r="M76" s="422">
        <v>0</v>
      </c>
      <c r="N76" s="426">
        <v>0</v>
      </c>
      <c r="O76" s="426">
        <v>0</v>
      </c>
      <c r="P76" s="426">
        <v>0</v>
      </c>
      <c r="Q76" s="426">
        <v>0</v>
      </c>
      <c r="R76" s="426">
        <v>0</v>
      </c>
      <c r="S76" s="426">
        <v>0</v>
      </c>
      <c r="T76" s="426">
        <v>0</v>
      </c>
      <c r="U76" s="426">
        <v>0</v>
      </c>
      <c r="V76" s="426">
        <v>0</v>
      </c>
      <c r="W76" s="426">
        <v>0</v>
      </c>
      <c r="X76" s="426">
        <v>0</v>
      </c>
      <c r="Y76" s="426">
        <v>0</v>
      </c>
      <c r="Z76" s="426">
        <v>0</v>
      </c>
      <c r="AA76" s="426">
        <v>0</v>
      </c>
      <c r="AB76" s="426">
        <v>0</v>
      </c>
      <c r="AC76" s="426">
        <v>0</v>
      </c>
      <c r="AD76" s="426">
        <v>0</v>
      </c>
      <c r="AE76" s="426">
        <v>0</v>
      </c>
      <c r="AF76" s="426">
        <v>0</v>
      </c>
      <c r="AG76" s="426">
        <v>0</v>
      </c>
      <c r="AH76" s="426">
        <v>0</v>
      </c>
      <c r="AI76" s="426">
        <v>0</v>
      </c>
      <c r="AJ76" s="426">
        <v>0</v>
      </c>
      <c r="AK76" s="426">
        <v>0</v>
      </c>
      <c r="AL76" s="426">
        <v>0</v>
      </c>
      <c r="AM76" s="427">
        <v>0</v>
      </c>
      <c r="AN76" s="427">
        <v>0</v>
      </c>
      <c r="AO76" s="427">
        <v>0</v>
      </c>
      <c r="AP76" s="427">
        <v>0</v>
      </c>
      <c r="AQ76" s="427">
        <v>0</v>
      </c>
      <c r="AR76" s="427">
        <v>0</v>
      </c>
      <c r="AS76" s="427">
        <v>0</v>
      </c>
      <c r="AT76" s="427">
        <v>0</v>
      </c>
      <c r="AU76" s="427">
        <v>0</v>
      </c>
      <c r="AV76" s="427">
        <v>0</v>
      </c>
      <c r="AW76" s="427">
        <v>0</v>
      </c>
      <c r="AX76" s="427">
        <v>0</v>
      </c>
      <c r="AY76" s="427">
        <v>0</v>
      </c>
      <c r="AZ76" s="427">
        <v>0</v>
      </c>
      <c r="BA76" s="427">
        <v>0</v>
      </c>
      <c r="BB76" s="427">
        <v>0</v>
      </c>
      <c r="BC76" s="427">
        <v>0</v>
      </c>
      <c r="BD76" s="427">
        <v>0</v>
      </c>
      <c r="BE76" s="427">
        <v>0</v>
      </c>
      <c r="BF76" s="427">
        <v>0</v>
      </c>
      <c r="BG76" s="427">
        <v>0</v>
      </c>
      <c r="BH76" s="427">
        <v>0</v>
      </c>
      <c r="BI76" s="427">
        <v>0</v>
      </c>
      <c r="BJ76" s="427">
        <v>0</v>
      </c>
      <c r="BK76" s="427">
        <v>0</v>
      </c>
      <c r="BL76" s="427">
        <v>0</v>
      </c>
      <c r="BM76" s="427">
        <v>0</v>
      </c>
      <c r="BN76" s="427">
        <v>0</v>
      </c>
      <c r="BO76" s="427">
        <v>0</v>
      </c>
      <c r="BP76" s="427">
        <v>0</v>
      </c>
      <c r="BQ76" s="427">
        <v>0</v>
      </c>
      <c r="BR76" s="427">
        <v>0</v>
      </c>
      <c r="BS76" s="427">
        <v>0</v>
      </c>
      <c r="BT76" s="427">
        <v>0</v>
      </c>
      <c r="BU76" s="427">
        <v>0</v>
      </c>
      <c r="BV76" s="427">
        <v>0</v>
      </c>
      <c r="BW76" s="427">
        <v>0</v>
      </c>
      <c r="BX76" s="427">
        <v>0</v>
      </c>
      <c r="BY76" s="427">
        <v>0</v>
      </c>
      <c r="BZ76" s="427">
        <v>0</v>
      </c>
      <c r="CA76" s="427">
        <v>0</v>
      </c>
      <c r="CB76" s="427">
        <v>0</v>
      </c>
      <c r="CC76" s="427">
        <v>0</v>
      </c>
      <c r="CD76" s="427">
        <v>0</v>
      </c>
      <c r="CE76" s="427">
        <v>0</v>
      </c>
      <c r="CF76" s="427">
        <v>0</v>
      </c>
      <c r="CG76" s="427">
        <v>0</v>
      </c>
      <c r="CH76" s="427">
        <v>0</v>
      </c>
      <c r="CI76" s="427">
        <v>0</v>
      </c>
      <c r="CJ76" s="427">
        <v>0</v>
      </c>
      <c r="CK76" s="428">
        <v>0</v>
      </c>
      <c r="CL76" s="428">
        <v>0</v>
      </c>
      <c r="CM76" s="428">
        <v>0</v>
      </c>
      <c r="CN76" s="428">
        <v>0</v>
      </c>
      <c r="CO76" s="428">
        <v>0</v>
      </c>
      <c r="CP76" s="428">
        <v>0</v>
      </c>
      <c r="CQ76" s="428">
        <v>0</v>
      </c>
      <c r="CR76" s="428">
        <v>0</v>
      </c>
      <c r="CS76" s="428">
        <v>0</v>
      </c>
      <c r="CT76" s="428">
        <v>0</v>
      </c>
      <c r="CU76" s="428">
        <v>0</v>
      </c>
      <c r="CV76" s="428">
        <v>0</v>
      </c>
      <c r="CW76" s="428">
        <v>0</v>
      </c>
      <c r="CX76" s="428"/>
      <c r="CY76" s="428"/>
      <c r="CZ76" s="428"/>
      <c r="DA76" s="428"/>
      <c r="DB76" s="428"/>
      <c r="DC76" s="428"/>
      <c r="DD76" s="428"/>
      <c r="DE76" s="428"/>
      <c r="DF76" s="428"/>
      <c r="DG76" s="428"/>
      <c r="DH76" s="428"/>
      <c r="DI76" s="428"/>
    </row>
    <row r="77" spans="1:113" s="388" customFormat="1">
      <c r="A77" s="421" t="s">
        <v>370</v>
      </c>
      <c r="B77" s="421" t="s">
        <v>21</v>
      </c>
      <c r="C77" s="421" t="s">
        <v>410</v>
      </c>
      <c r="D77" s="422" t="s">
        <v>376</v>
      </c>
      <c r="E77" s="422">
        <v>2017</v>
      </c>
      <c r="F77" s="423">
        <v>0.86959558274132531</v>
      </c>
      <c r="G77" s="424">
        <v>887.29320008324521</v>
      </c>
      <c r="H77" s="422">
        <v>5</v>
      </c>
      <c r="I77" s="425">
        <v>0.46536965252313928</v>
      </c>
      <c r="J77" s="425">
        <v>0.46536965252313928</v>
      </c>
      <c r="K77" s="422">
        <v>0</v>
      </c>
      <c r="L77" s="422">
        <v>0</v>
      </c>
      <c r="M77" s="422">
        <v>0</v>
      </c>
      <c r="N77" s="426">
        <v>0</v>
      </c>
      <c r="O77" s="426">
        <v>0</v>
      </c>
      <c r="P77" s="426">
        <v>0</v>
      </c>
      <c r="Q77" s="426">
        <v>0</v>
      </c>
      <c r="R77" s="426">
        <v>0</v>
      </c>
      <c r="S77" s="426">
        <v>0</v>
      </c>
      <c r="T77" s="426">
        <v>0</v>
      </c>
      <c r="U77" s="426">
        <v>0</v>
      </c>
      <c r="V77" s="426">
        <v>0</v>
      </c>
      <c r="W77" s="426">
        <v>0</v>
      </c>
      <c r="X77" s="426">
        <v>0</v>
      </c>
      <c r="Y77" s="426">
        <v>0</v>
      </c>
      <c r="Z77" s="426">
        <v>0</v>
      </c>
      <c r="AA77" s="426">
        <v>0</v>
      </c>
      <c r="AB77" s="426">
        <v>0</v>
      </c>
      <c r="AC77" s="426">
        <v>0</v>
      </c>
      <c r="AD77" s="426">
        <v>0</v>
      </c>
      <c r="AE77" s="426">
        <v>0</v>
      </c>
      <c r="AF77" s="426">
        <v>0</v>
      </c>
      <c r="AG77" s="426">
        <v>0</v>
      </c>
      <c r="AH77" s="426">
        <v>0</v>
      </c>
      <c r="AI77" s="426">
        <v>0</v>
      </c>
      <c r="AJ77" s="426">
        <v>0</v>
      </c>
      <c r="AK77" s="426">
        <v>0</v>
      </c>
      <c r="AL77" s="426">
        <v>0</v>
      </c>
      <c r="AM77" s="427">
        <v>0</v>
      </c>
      <c r="AN77" s="427">
        <v>0</v>
      </c>
      <c r="AO77" s="427">
        <v>0</v>
      </c>
      <c r="AP77" s="427">
        <v>0</v>
      </c>
      <c r="AQ77" s="427">
        <v>0</v>
      </c>
      <c r="AR77" s="427">
        <v>0</v>
      </c>
      <c r="AS77" s="427">
        <v>0</v>
      </c>
      <c r="AT77" s="427">
        <v>0</v>
      </c>
      <c r="AU77" s="427">
        <v>0</v>
      </c>
      <c r="AV77" s="427">
        <v>0</v>
      </c>
      <c r="AW77" s="427">
        <v>0</v>
      </c>
      <c r="AX77" s="427">
        <v>0</v>
      </c>
      <c r="AY77" s="427">
        <v>0</v>
      </c>
      <c r="AZ77" s="427">
        <v>0</v>
      </c>
      <c r="BA77" s="427">
        <v>0</v>
      </c>
      <c r="BB77" s="427">
        <v>0</v>
      </c>
      <c r="BC77" s="427">
        <v>0</v>
      </c>
      <c r="BD77" s="427">
        <v>0</v>
      </c>
      <c r="BE77" s="427">
        <v>0</v>
      </c>
      <c r="BF77" s="427">
        <v>0</v>
      </c>
      <c r="BG77" s="427">
        <v>0</v>
      </c>
      <c r="BH77" s="427">
        <v>0</v>
      </c>
      <c r="BI77" s="427">
        <v>0</v>
      </c>
      <c r="BJ77" s="427">
        <v>0</v>
      </c>
      <c r="BK77" s="427">
        <v>0</v>
      </c>
      <c r="BL77" s="427">
        <v>0</v>
      </c>
      <c r="BM77" s="427">
        <v>0</v>
      </c>
      <c r="BN77" s="427">
        <v>0</v>
      </c>
      <c r="BO77" s="427">
        <v>0</v>
      </c>
      <c r="BP77" s="427">
        <v>0</v>
      </c>
      <c r="BQ77" s="427">
        <v>0</v>
      </c>
      <c r="BR77" s="427">
        <v>0</v>
      </c>
      <c r="BS77" s="427">
        <v>0</v>
      </c>
      <c r="BT77" s="427">
        <v>0</v>
      </c>
      <c r="BU77" s="427">
        <v>0</v>
      </c>
      <c r="BV77" s="427">
        <v>0</v>
      </c>
      <c r="BW77" s="427">
        <v>0</v>
      </c>
      <c r="BX77" s="427">
        <v>0</v>
      </c>
      <c r="BY77" s="427">
        <v>0</v>
      </c>
      <c r="BZ77" s="427">
        <v>0</v>
      </c>
      <c r="CA77" s="427">
        <v>0</v>
      </c>
      <c r="CB77" s="427">
        <v>0</v>
      </c>
      <c r="CC77" s="427">
        <v>0</v>
      </c>
      <c r="CD77" s="427">
        <v>0</v>
      </c>
      <c r="CE77" s="427">
        <v>0</v>
      </c>
      <c r="CF77" s="427">
        <v>0</v>
      </c>
      <c r="CG77" s="427">
        <v>0</v>
      </c>
      <c r="CH77" s="427">
        <v>0</v>
      </c>
      <c r="CI77" s="427">
        <v>0</v>
      </c>
      <c r="CJ77" s="427">
        <v>0</v>
      </c>
      <c r="CK77" s="428">
        <v>0</v>
      </c>
      <c r="CL77" s="428">
        <v>0</v>
      </c>
      <c r="CM77" s="428">
        <v>0</v>
      </c>
      <c r="CN77" s="428">
        <v>0</v>
      </c>
      <c r="CO77" s="428">
        <v>0</v>
      </c>
      <c r="CP77" s="428">
        <v>0</v>
      </c>
      <c r="CQ77" s="428">
        <v>0</v>
      </c>
      <c r="CR77" s="428">
        <v>0</v>
      </c>
      <c r="CS77" s="428">
        <v>0</v>
      </c>
      <c r="CT77" s="428">
        <v>0</v>
      </c>
      <c r="CU77" s="428">
        <v>0</v>
      </c>
      <c r="CV77" s="428">
        <v>0</v>
      </c>
      <c r="CW77" s="428">
        <v>0</v>
      </c>
      <c r="CX77" s="428"/>
      <c r="CY77" s="428"/>
      <c r="CZ77" s="428"/>
      <c r="DA77" s="428"/>
      <c r="DB77" s="428"/>
      <c r="DC77" s="428"/>
      <c r="DD77" s="428"/>
      <c r="DE77" s="428"/>
      <c r="DF77" s="428"/>
      <c r="DG77" s="428"/>
      <c r="DH77" s="428"/>
      <c r="DI77" s="428"/>
    </row>
    <row r="78" spans="1:113" s="388" customFormat="1">
      <c r="A78" s="421" t="s">
        <v>370</v>
      </c>
      <c r="B78" s="421" t="s">
        <v>21</v>
      </c>
      <c r="C78" s="421" t="s">
        <v>410</v>
      </c>
      <c r="D78" s="422" t="s">
        <v>376</v>
      </c>
      <c r="E78" s="422">
        <v>2018</v>
      </c>
      <c r="F78" s="423">
        <v>0.86959558274132531</v>
      </c>
      <c r="G78" s="424">
        <v>887.29320008324521</v>
      </c>
      <c r="H78" s="422">
        <v>5</v>
      </c>
      <c r="I78" s="425">
        <v>0.46536965252313928</v>
      </c>
      <c r="J78" s="425">
        <v>0.46536965252313928</v>
      </c>
      <c r="K78" s="422">
        <v>0</v>
      </c>
      <c r="L78" s="422">
        <v>0</v>
      </c>
      <c r="M78" s="422">
        <v>0</v>
      </c>
      <c r="N78" s="426">
        <v>0</v>
      </c>
      <c r="O78" s="426">
        <v>0</v>
      </c>
      <c r="P78" s="426">
        <v>0</v>
      </c>
      <c r="Q78" s="426">
        <v>0</v>
      </c>
      <c r="R78" s="426">
        <v>0</v>
      </c>
      <c r="S78" s="426">
        <v>0</v>
      </c>
      <c r="T78" s="426">
        <v>0</v>
      </c>
      <c r="U78" s="426">
        <v>0</v>
      </c>
      <c r="V78" s="426">
        <v>0</v>
      </c>
      <c r="W78" s="426">
        <v>0</v>
      </c>
      <c r="X78" s="426">
        <v>0</v>
      </c>
      <c r="Y78" s="426">
        <v>0</v>
      </c>
      <c r="Z78" s="426">
        <v>0</v>
      </c>
      <c r="AA78" s="426">
        <v>0</v>
      </c>
      <c r="AB78" s="426">
        <v>0</v>
      </c>
      <c r="AC78" s="426">
        <v>0</v>
      </c>
      <c r="AD78" s="426">
        <v>0</v>
      </c>
      <c r="AE78" s="426">
        <v>0</v>
      </c>
      <c r="AF78" s="426">
        <v>0</v>
      </c>
      <c r="AG78" s="426">
        <v>0</v>
      </c>
      <c r="AH78" s="426">
        <v>0</v>
      </c>
      <c r="AI78" s="426">
        <v>0</v>
      </c>
      <c r="AJ78" s="426">
        <v>0</v>
      </c>
      <c r="AK78" s="426">
        <v>0</v>
      </c>
      <c r="AL78" s="426">
        <v>0</v>
      </c>
      <c r="AM78" s="427">
        <v>0</v>
      </c>
      <c r="AN78" s="427">
        <v>0</v>
      </c>
      <c r="AO78" s="427">
        <v>0</v>
      </c>
      <c r="AP78" s="427">
        <v>0</v>
      </c>
      <c r="AQ78" s="427">
        <v>0</v>
      </c>
      <c r="AR78" s="427">
        <v>0</v>
      </c>
      <c r="AS78" s="427">
        <v>0</v>
      </c>
      <c r="AT78" s="427">
        <v>0</v>
      </c>
      <c r="AU78" s="427">
        <v>0</v>
      </c>
      <c r="AV78" s="427">
        <v>0</v>
      </c>
      <c r="AW78" s="427">
        <v>0</v>
      </c>
      <c r="AX78" s="427">
        <v>0</v>
      </c>
      <c r="AY78" s="427">
        <v>0</v>
      </c>
      <c r="AZ78" s="427">
        <v>0</v>
      </c>
      <c r="BA78" s="427">
        <v>0</v>
      </c>
      <c r="BB78" s="427">
        <v>0</v>
      </c>
      <c r="BC78" s="427">
        <v>0</v>
      </c>
      <c r="BD78" s="427">
        <v>0</v>
      </c>
      <c r="BE78" s="427">
        <v>0</v>
      </c>
      <c r="BF78" s="427">
        <v>0</v>
      </c>
      <c r="BG78" s="427">
        <v>0</v>
      </c>
      <c r="BH78" s="427">
        <v>0</v>
      </c>
      <c r="BI78" s="427">
        <v>0</v>
      </c>
      <c r="BJ78" s="427">
        <v>0</v>
      </c>
      <c r="BK78" s="427">
        <v>0</v>
      </c>
      <c r="BL78" s="427">
        <v>0</v>
      </c>
      <c r="BM78" s="427">
        <v>0</v>
      </c>
      <c r="BN78" s="427">
        <v>0</v>
      </c>
      <c r="BO78" s="427">
        <v>0</v>
      </c>
      <c r="BP78" s="427">
        <v>0</v>
      </c>
      <c r="BQ78" s="427">
        <v>0</v>
      </c>
      <c r="BR78" s="427">
        <v>0</v>
      </c>
      <c r="BS78" s="427">
        <v>0</v>
      </c>
      <c r="BT78" s="427">
        <v>0</v>
      </c>
      <c r="BU78" s="427">
        <v>0</v>
      </c>
      <c r="BV78" s="427">
        <v>0</v>
      </c>
      <c r="BW78" s="427">
        <v>0</v>
      </c>
      <c r="BX78" s="427">
        <v>0</v>
      </c>
      <c r="BY78" s="427">
        <v>0</v>
      </c>
      <c r="BZ78" s="427">
        <v>0</v>
      </c>
      <c r="CA78" s="427">
        <v>0</v>
      </c>
      <c r="CB78" s="427">
        <v>0</v>
      </c>
      <c r="CC78" s="427">
        <v>0</v>
      </c>
      <c r="CD78" s="427">
        <v>0</v>
      </c>
      <c r="CE78" s="427">
        <v>0</v>
      </c>
      <c r="CF78" s="427">
        <v>0</v>
      </c>
      <c r="CG78" s="427">
        <v>0</v>
      </c>
      <c r="CH78" s="427">
        <v>0</v>
      </c>
      <c r="CI78" s="427">
        <v>0</v>
      </c>
      <c r="CJ78" s="427">
        <v>0</v>
      </c>
      <c r="CK78" s="428">
        <v>0</v>
      </c>
      <c r="CL78" s="428">
        <v>0</v>
      </c>
      <c r="CM78" s="428">
        <v>0</v>
      </c>
      <c r="CN78" s="428">
        <v>0</v>
      </c>
      <c r="CO78" s="428">
        <v>0</v>
      </c>
      <c r="CP78" s="428">
        <v>0</v>
      </c>
      <c r="CQ78" s="428">
        <v>0</v>
      </c>
      <c r="CR78" s="428">
        <v>0</v>
      </c>
      <c r="CS78" s="428">
        <v>0</v>
      </c>
      <c r="CT78" s="428">
        <v>0</v>
      </c>
      <c r="CU78" s="428">
        <v>0</v>
      </c>
      <c r="CV78" s="428">
        <v>0</v>
      </c>
      <c r="CW78" s="428">
        <v>0</v>
      </c>
      <c r="CX78" s="428"/>
      <c r="CY78" s="428"/>
      <c r="CZ78" s="428"/>
      <c r="DA78" s="428"/>
      <c r="DB78" s="428"/>
      <c r="DC78" s="428"/>
      <c r="DD78" s="428"/>
      <c r="DE78" s="428"/>
      <c r="DF78" s="428"/>
      <c r="DG78" s="428"/>
      <c r="DH78" s="428"/>
      <c r="DI78" s="428"/>
    </row>
    <row r="79" spans="1:113" s="388" customFormat="1">
      <c r="A79" s="421" t="s">
        <v>370</v>
      </c>
      <c r="B79" s="421" t="s">
        <v>21</v>
      </c>
      <c r="C79" s="421" t="s">
        <v>410</v>
      </c>
      <c r="D79" s="422" t="s">
        <v>376</v>
      </c>
      <c r="E79" s="422">
        <v>2019</v>
      </c>
      <c r="F79" s="423">
        <v>0.86959558274132531</v>
      </c>
      <c r="G79" s="424">
        <v>887.29320008324521</v>
      </c>
      <c r="H79" s="422">
        <v>5</v>
      </c>
      <c r="I79" s="425">
        <v>0.46536965252313928</v>
      </c>
      <c r="J79" s="425">
        <v>0.46536965252313928</v>
      </c>
      <c r="K79" s="422">
        <v>0</v>
      </c>
      <c r="L79" s="422">
        <v>0</v>
      </c>
      <c r="M79" s="422">
        <v>0</v>
      </c>
      <c r="N79" s="426">
        <v>0</v>
      </c>
      <c r="O79" s="426">
        <v>0</v>
      </c>
      <c r="P79" s="426">
        <v>0</v>
      </c>
      <c r="Q79" s="426">
        <v>0</v>
      </c>
      <c r="R79" s="426">
        <v>0</v>
      </c>
      <c r="S79" s="426">
        <v>0</v>
      </c>
      <c r="T79" s="426">
        <v>0</v>
      </c>
      <c r="U79" s="426">
        <v>0</v>
      </c>
      <c r="V79" s="426">
        <v>0</v>
      </c>
      <c r="W79" s="426">
        <v>0</v>
      </c>
      <c r="X79" s="426">
        <v>0</v>
      </c>
      <c r="Y79" s="426">
        <v>0</v>
      </c>
      <c r="Z79" s="426">
        <v>0</v>
      </c>
      <c r="AA79" s="426">
        <v>0</v>
      </c>
      <c r="AB79" s="426">
        <v>0</v>
      </c>
      <c r="AC79" s="426">
        <v>0</v>
      </c>
      <c r="AD79" s="426">
        <v>0</v>
      </c>
      <c r="AE79" s="426">
        <v>0</v>
      </c>
      <c r="AF79" s="426">
        <v>0</v>
      </c>
      <c r="AG79" s="426">
        <v>0</v>
      </c>
      <c r="AH79" s="426">
        <v>0</v>
      </c>
      <c r="AI79" s="426">
        <v>0</v>
      </c>
      <c r="AJ79" s="426">
        <v>0</v>
      </c>
      <c r="AK79" s="426">
        <v>0</v>
      </c>
      <c r="AL79" s="426">
        <v>0</v>
      </c>
      <c r="AM79" s="427">
        <v>0</v>
      </c>
      <c r="AN79" s="427">
        <v>0</v>
      </c>
      <c r="AO79" s="427">
        <v>0</v>
      </c>
      <c r="AP79" s="427">
        <v>0</v>
      </c>
      <c r="AQ79" s="427">
        <v>0</v>
      </c>
      <c r="AR79" s="427">
        <v>0</v>
      </c>
      <c r="AS79" s="427">
        <v>0</v>
      </c>
      <c r="AT79" s="427">
        <v>0</v>
      </c>
      <c r="AU79" s="427">
        <v>0</v>
      </c>
      <c r="AV79" s="427">
        <v>0</v>
      </c>
      <c r="AW79" s="427">
        <v>0</v>
      </c>
      <c r="AX79" s="427">
        <v>0</v>
      </c>
      <c r="AY79" s="427">
        <v>0</v>
      </c>
      <c r="AZ79" s="427">
        <v>0</v>
      </c>
      <c r="BA79" s="427">
        <v>0</v>
      </c>
      <c r="BB79" s="427">
        <v>0</v>
      </c>
      <c r="BC79" s="427">
        <v>0</v>
      </c>
      <c r="BD79" s="427">
        <v>0</v>
      </c>
      <c r="BE79" s="427">
        <v>0</v>
      </c>
      <c r="BF79" s="427">
        <v>0</v>
      </c>
      <c r="BG79" s="427">
        <v>0</v>
      </c>
      <c r="BH79" s="427">
        <v>0</v>
      </c>
      <c r="BI79" s="427">
        <v>0</v>
      </c>
      <c r="BJ79" s="427">
        <v>0</v>
      </c>
      <c r="BK79" s="427">
        <v>0</v>
      </c>
      <c r="BL79" s="427">
        <v>0</v>
      </c>
      <c r="BM79" s="427">
        <v>0</v>
      </c>
      <c r="BN79" s="427">
        <v>0</v>
      </c>
      <c r="BO79" s="427">
        <v>0</v>
      </c>
      <c r="BP79" s="427">
        <v>0</v>
      </c>
      <c r="BQ79" s="427">
        <v>0</v>
      </c>
      <c r="BR79" s="427">
        <v>0</v>
      </c>
      <c r="BS79" s="427">
        <v>0</v>
      </c>
      <c r="BT79" s="427">
        <v>0</v>
      </c>
      <c r="BU79" s="427">
        <v>0</v>
      </c>
      <c r="BV79" s="427">
        <v>0</v>
      </c>
      <c r="BW79" s="427">
        <v>0</v>
      </c>
      <c r="BX79" s="427">
        <v>0</v>
      </c>
      <c r="BY79" s="427">
        <v>0</v>
      </c>
      <c r="BZ79" s="427">
        <v>0</v>
      </c>
      <c r="CA79" s="427">
        <v>0</v>
      </c>
      <c r="CB79" s="427">
        <v>0</v>
      </c>
      <c r="CC79" s="427">
        <v>0</v>
      </c>
      <c r="CD79" s="427">
        <v>0</v>
      </c>
      <c r="CE79" s="427">
        <v>0</v>
      </c>
      <c r="CF79" s="427">
        <v>0</v>
      </c>
      <c r="CG79" s="427">
        <v>0</v>
      </c>
      <c r="CH79" s="427">
        <v>0</v>
      </c>
      <c r="CI79" s="427">
        <v>0</v>
      </c>
      <c r="CJ79" s="427">
        <v>0</v>
      </c>
      <c r="CK79" s="428">
        <v>0</v>
      </c>
      <c r="CL79" s="428">
        <v>0</v>
      </c>
      <c r="CM79" s="428">
        <v>0</v>
      </c>
      <c r="CN79" s="428">
        <v>0</v>
      </c>
      <c r="CO79" s="428">
        <v>0</v>
      </c>
      <c r="CP79" s="428">
        <v>0</v>
      </c>
      <c r="CQ79" s="428">
        <v>0</v>
      </c>
      <c r="CR79" s="428">
        <v>0</v>
      </c>
      <c r="CS79" s="428">
        <v>0</v>
      </c>
      <c r="CT79" s="428">
        <v>0</v>
      </c>
      <c r="CU79" s="428">
        <v>0</v>
      </c>
      <c r="CV79" s="428">
        <v>0</v>
      </c>
      <c r="CW79" s="428">
        <v>0</v>
      </c>
      <c r="CX79" s="428"/>
      <c r="CY79" s="428"/>
      <c r="CZ79" s="428"/>
      <c r="DA79" s="428"/>
      <c r="DB79" s="428"/>
      <c r="DC79" s="428"/>
      <c r="DD79" s="428"/>
      <c r="DE79" s="428"/>
      <c r="DF79" s="428"/>
      <c r="DG79" s="428"/>
      <c r="DH79" s="428"/>
      <c r="DI79" s="428"/>
    </row>
    <row r="80" spans="1:113" s="388" customFormat="1">
      <c r="A80" s="421" t="s">
        <v>370</v>
      </c>
      <c r="B80" s="421" t="s">
        <v>21</v>
      </c>
      <c r="C80" s="421" t="s">
        <v>410</v>
      </c>
      <c r="D80" s="422" t="s">
        <v>376</v>
      </c>
      <c r="E80" s="422">
        <v>2020</v>
      </c>
      <c r="F80" s="423">
        <v>0.86959558274132531</v>
      </c>
      <c r="G80" s="424">
        <v>887.29320008324521</v>
      </c>
      <c r="H80" s="422">
        <v>5</v>
      </c>
      <c r="I80" s="425">
        <v>0.46536965252313928</v>
      </c>
      <c r="J80" s="425">
        <v>0.46536965252313928</v>
      </c>
      <c r="K80" s="422">
        <v>0</v>
      </c>
      <c r="L80" s="422">
        <v>0</v>
      </c>
      <c r="M80" s="422">
        <v>0</v>
      </c>
      <c r="N80" s="426">
        <v>0</v>
      </c>
      <c r="O80" s="426">
        <v>0</v>
      </c>
      <c r="P80" s="426">
        <v>0</v>
      </c>
      <c r="Q80" s="426">
        <v>0</v>
      </c>
      <c r="R80" s="426">
        <v>0</v>
      </c>
      <c r="S80" s="426">
        <v>0</v>
      </c>
      <c r="T80" s="426">
        <v>0</v>
      </c>
      <c r="U80" s="426">
        <v>0</v>
      </c>
      <c r="V80" s="426">
        <v>0</v>
      </c>
      <c r="W80" s="426">
        <v>0</v>
      </c>
      <c r="X80" s="426">
        <v>0</v>
      </c>
      <c r="Y80" s="426">
        <v>0</v>
      </c>
      <c r="Z80" s="426">
        <v>0</v>
      </c>
      <c r="AA80" s="426">
        <v>0</v>
      </c>
      <c r="AB80" s="426">
        <v>0</v>
      </c>
      <c r="AC80" s="426">
        <v>0</v>
      </c>
      <c r="AD80" s="426">
        <v>0</v>
      </c>
      <c r="AE80" s="426">
        <v>0</v>
      </c>
      <c r="AF80" s="426">
        <v>0</v>
      </c>
      <c r="AG80" s="426">
        <v>0</v>
      </c>
      <c r="AH80" s="426">
        <v>0</v>
      </c>
      <c r="AI80" s="426">
        <v>0</v>
      </c>
      <c r="AJ80" s="426">
        <v>0</v>
      </c>
      <c r="AK80" s="426">
        <v>0</v>
      </c>
      <c r="AL80" s="426">
        <v>0</v>
      </c>
      <c r="AM80" s="427">
        <v>0</v>
      </c>
      <c r="AN80" s="427">
        <v>0</v>
      </c>
      <c r="AO80" s="427">
        <v>0</v>
      </c>
      <c r="AP80" s="427">
        <v>0</v>
      </c>
      <c r="AQ80" s="427">
        <v>0</v>
      </c>
      <c r="AR80" s="427">
        <v>0</v>
      </c>
      <c r="AS80" s="427">
        <v>0</v>
      </c>
      <c r="AT80" s="427">
        <v>0</v>
      </c>
      <c r="AU80" s="427">
        <v>0</v>
      </c>
      <c r="AV80" s="427">
        <v>0</v>
      </c>
      <c r="AW80" s="427">
        <v>0</v>
      </c>
      <c r="AX80" s="427">
        <v>0</v>
      </c>
      <c r="AY80" s="427">
        <v>0</v>
      </c>
      <c r="AZ80" s="427">
        <v>0</v>
      </c>
      <c r="BA80" s="427">
        <v>0</v>
      </c>
      <c r="BB80" s="427">
        <v>0</v>
      </c>
      <c r="BC80" s="427">
        <v>0</v>
      </c>
      <c r="BD80" s="427">
        <v>0</v>
      </c>
      <c r="BE80" s="427">
        <v>0</v>
      </c>
      <c r="BF80" s="427">
        <v>0</v>
      </c>
      <c r="BG80" s="427">
        <v>0</v>
      </c>
      <c r="BH80" s="427">
        <v>0</v>
      </c>
      <c r="BI80" s="427">
        <v>0</v>
      </c>
      <c r="BJ80" s="427">
        <v>0</v>
      </c>
      <c r="BK80" s="427">
        <v>0</v>
      </c>
      <c r="BL80" s="427">
        <v>0</v>
      </c>
      <c r="BM80" s="427">
        <v>0</v>
      </c>
      <c r="BN80" s="427">
        <v>0</v>
      </c>
      <c r="BO80" s="427">
        <v>0</v>
      </c>
      <c r="BP80" s="427">
        <v>0</v>
      </c>
      <c r="BQ80" s="427">
        <v>0</v>
      </c>
      <c r="BR80" s="427">
        <v>0</v>
      </c>
      <c r="BS80" s="427">
        <v>0</v>
      </c>
      <c r="BT80" s="427">
        <v>0</v>
      </c>
      <c r="BU80" s="427">
        <v>0</v>
      </c>
      <c r="BV80" s="427">
        <v>0</v>
      </c>
      <c r="BW80" s="427">
        <v>0</v>
      </c>
      <c r="BX80" s="427">
        <v>0</v>
      </c>
      <c r="BY80" s="427">
        <v>0</v>
      </c>
      <c r="BZ80" s="427">
        <v>0</v>
      </c>
      <c r="CA80" s="427">
        <v>0</v>
      </c>
      <c r="CB80" s="427">
        <v>0</v>
      </c>
      <c r="CC80" s="427">
        <v>0</v>
      </c>
      <c r="CD80" s="427">
        <v>0</v>
      </c>
      <c r="CE80" s="427">
        <v>0</v>
      </c>
      <c r="CF80" s="427">
        <v>0</v>
      </c>
      <c r="CG80" s="427">
        <v>0</v>
      </c>
      <c r="CH80" s="427">
        <v>0</v>
      </c>
      <c r="CI80" s="427">
        <v>0</v>
      </c>
      <c r="CJ80" s="427">
        <v>0</v>
      </c>
      <c r="CK80" s="428">
        <v>0</v>
      </c>
      <c r="CL80" s="428">
        <v>0</v>
      </c>
      <c r="CM80" s="428">
        <v>0</v>
      </c>
      <c r="CN80" s="428">
        <v>0</v>
      </c>
      <c r="CO80" s="428">
        <v>0</v>
      </c>
      <c r="CP80" s="428">
        <v>0</v>
      </c>
      <c r="CQ80" s="428">
        <v>0</v>
      </c>
      <c r="CR80" s="428">
        <v>0</v>
      </c>
      <c r="CS80" s="428">
        <v>0</v>
      </c>
      <c r="CT80" s="428">
        <v>0</v>
      </c>
      <c r="CU80" s="428">
        <v>0</v>
      </c>
      <c r="CV80" s="428">
        <v>0</v>
      </c>
      <c r="CW80" s="428">
        <v>0</v>
      </c>
      <c r="CX80" s="428"/>
      <c r="CY80" s="428"/>
      <c r="CZ80" s="428"/>
      <c r="DA80" s="428"/>
      <c r="DB80" s="428"/>
      <c r="DC80" s="428"/>
      <c r="DD80" s="428"/>
      <c r="DE80" s="428"/>
      <c r="DF80" s="428"/>
      <c r="DG80" s="428"/>
      <c r="DH80" s="428"/>
      <c r="DI80" s="428"/>
    </row>
    <row r="81" spans="1:113" s="388" customFormat="1">
      <c r="A81" s="421" t="s">
        <v>370</v>
      </c>
      <c r="B81" s="421" t="s">
        <v>412</v>
      </c>
      <c r="C81" s="421" t="s">
        <v>415</v>
      </c>
      <c r="D81" s="422" t="s">
        <v>376</v>
      </c>
      <c r="E81" s="422">
        <v>2015</v>
      </c>
      <c r="F81" s="423">
        <v>1.9600953141020185E-3</v>
      </c>
      <c r="G81" s="424">
        <v>28.92</v>
      </c>
      <c r="H81" s="422">
        <v>10</v>
      </c>
      <c r="I81" s="425">
        <v>1</v>
      </c>
      <c r="J81" s="425">
        <v>1</v>
      </c>
      <c r="K81" s="422">
        <v>0</v>
      </c>
      <c r="L81" s="422">
        <v>0</v>
      </c>
      <c r="M81" s="422">
        <v>0</v>
      </c>
      <c r="N81" s="426">
        <v>9000</v>
      </c>
      <c r="O81" s="426">
        <v>18.907671840212398</v>
      </c>
      <c r="P81" s="426">
        <v>18.907671840212398</v>
      </c>
      <c r="Q81" s="426">
        <v>18.907671840212398</v>
      </c>
      <c r="R81" s="426">
        <v>18.907671840212398</v>
      </c>
      <c r="S81" s="426">
        <v>18.907671840212398</v>
      </c>
      <c r="T81" s="426">
        <v>18.907671840212398</v>
      </c>
      <c r="U81" s="426">
        <v>18.907671840212398</v>
      </c>
      <c r="V81" s="426">
        <v>18.907671840212398</v>
      </c>
      <c r="W81" s="426">
        <v>18.907671840212398</v>
      </c>
      <c r="X81" s="426">
        <v>18.907671840212398</v>
      </c>
      <c r="Y81" s="426">
        <v>0</v>
      </c>
      <c r="Z81" s="426">
        <v>0</v>
      </c>
      <c r="AA81" s="426">
        <v>0</v>
      </c>
      <c r="AB81" s="426">
        <v>0</v>
      </c>
      <c r="AC81" s="426">
        <v>0</v>
      </c>
      <c r="AD81" s="426">
        <v>0</v>
      </c>
      <c r="AE81" s="426">
        <v>0</v>
      </c>
      <c r="AF81" s="426">
        <v>0</v>
      </c>
      <c r="AG81" s="426">
        <v>0</v>
      </c>
      <c r="AH81" s="426">
        <v>0</v>
      </c>
      <c r="AI81" s="426">
        <v>0</v>
      </c>
      <c r="AJ81" s="426">
        <v>0</v>
      </c>
      <c r="AK81" s="426">
        <v>0</v>
      </c>
      <c r="AL81" s="426">
        <v>0</v>
      </c>
      <c r="AM81" s="427">
        <v>0</v>
      </c>
      <c r="AN81" s="427">
        <v>278971.06109324761</v>
      </c>
      <c r="AO81" s="427">
        <v>278971.06109324761</v>
      </c>
      <c r="AP81" s="427">
        <v>278971.06109324761</v>
      </c>
      <c r="AQ81" s="427">
        <v>278971.06109324761</v>
      </c>
      <c r="AR81" s="427">
        <v>278971.06109324761</v>
      </c>
      <c r="AS81" s="427">
        <v>278971.06109324761</v>
      </c>
      <c r="AT81" s="427">
        <v>278971.06109324761</v>
      </c>
      <c r="AU81" s="427">
        <v>278971.06109324761</v>
      </c>
      <c r="AV81" s="427">
        <v>278971.06109324761</v>
      </c>
      <c r="AW81" s="427">
        <v>278971.06109324761</v>
      </c>
      <c r="AX81" s="427">
        <v>0</v>
      </c>
      <c r="AY81" s="427">
        <v>0</v>
      </c>
      <c r="AZ81" s="427">
        <v>0</v>
      </c>
      <c r="BA81" s="427">
        <v>0</v>
      </c>
      <c r="BB81" s="427">
        <v>0</v>
      </c>
      <c r="BC81" s="427">
        <v>0</v>
      </c>
      <c r="BD81" s="427">
        <v>0</v>
      </c>
      <c r="BE81" s="427">
        <v>0</v>
      </c>
      <c r="BF81" s="427">
        <v>0</v>
      </c>
      <c r="BG81" s="427">
        <v>0</v>
      </c>
      <c r="BH81" s="427">
        <v>0</v>
      </c>
      <c r="BI81" s="427">
        <v>0</v>
      </c>
      <c r="BJ81" s="427">
        <v>0</v>
      </c>
      <c r="BK81" s="427">
        <v>0</v>
      </c>
      <c r="BL81" s="427">
        <v>0</v>
      </c>
      <c r="BM81" s="427">
        <v>0</v>
      </c>
      <c r="BN81" s="427">
        <v>0</v>
      </c>
      <c r="BO81" s="427">
        <v>0</v>
      </c>
      <c r="BP81" s="427">
        <v>0</v>
      </c>
      <c r="BQ81" s="427">
        <v>0</v>
      </c>
      <c r="BR81" s="427">
        <v>0</v>
      </c>
      <c r="BS81" s="427">
        <v>0</v>
      </c>
      <c r="BT81" s="427">
        <v>0</v>
      </c>
      <c r="BU81" s="427">
        <v>0</v>
      </c>
      <c r="BV81" s="427">
        <v>0</v>
      </c>
      <c r="BW81" s="427">
        <v>0</v>
      </c>
      <c r="BX81" s="427">
        <v>0</v>
      </c>
      <c r="BY81" s="427">
        <v>0</v>
      </c>
      <c r="BZ81" s="427">
        <v>0</v>
      </c>
      <c r="CA81" s="427">
        <v>0</v>
      </c>
      <c r="CB81" s="427">
        <v>0</v>
      </c>
      <c r="CC81" s="427">
        <v>0</v>
      </c>
      <c r="CD81" s="427">
        <v>0</v>
      </c>
      <c r="CE81" s="427">
        <v>0</v>
      </c>
      <c r="CF81" s="427">
        <v>0</v>
      </c>
      <c r="CG81" s="427">
        <v>0</v>
      </c>
      <c r="CH81" s="427">
        <v>0</v>
      </c>
      <c r="CI81" s="427">
        <v>0</v>
      </c>
      <c r="CJ81" s="427">
        <v>0</v>
      </c>
      <c r="CK81" s="428">
        <v>0</v>
      </c>
      <c r="CL81" s="428">
        <v>0</v>
      </c>
      <c r="CM81" s="428">
        <v>0</v>
      </c>
      <c r="CN81" s="428">
        <v>0</v>
      </c>
      <c r="CO81" s="428">
        <v>0</v>
      </c>
      <c r="CP81" s="428">
        <v>0</v>
      </c>
      <c r="CQ81" s="428">
        <v>0</v>
      </c>
      <c r="CR81" s="428">
        <v>0</v>
      </c>
      <c r="CS81" s="428">
        <v>0</v>
      </c>
      <c r="CT81" s="428">
        <v>0</v>
      </c>
      <c r="CU81" s="428">
        <v>0</v>
      </c>
      <c r="CV81" s="428">
        <v>0</v>
      </c>
      <c r="CW81" s="428">
        <v>0</v>
      </c>
      <c r="CX81" s="428"/>
      <c r="CY81" s="428"/>
      <c r="CZ81" s="428"/>
      <c r="DA81" s="428"/>
      <c r="DB81" s="428"/>
      <c r="DC81" s="428"/>
      <c r="DD81" s="428"/>
      <c r="DE81" s="428"/>
      <c r="DF81" s="428"/>
      <c r="DG81" s="428"/>
      <c r="DH81" s="428"/>
      <c r="DI81" s="428"/>
    </row>
    <row r="82" spans="1:113" s="388" customFormat="1">
      <c r="A82" s="421" t="s">
        <v>370</v>
      </c>
      <c r="B82" s="421" t="s">
        <v>412</v>
      </c>
      <c r="C82" s="421" t="s">
        <v>415</v>
      </c>
      <c r="D82" s="422" t="s">
        <v>376</v>
      </c>
      <c r="E82" s="422">
        <v>2016</v>
      </c>
      <c r="F82" s="423">
        <v>1.9600953141020185E-3</v>
      </c>
      <c r="G82" s="424">
        <v>28.92</v>
      </c>
      <c r="H82" s="422">
        <v>10</v>
      </c>
      <c r="I82" s="425">
        <v>1</v>
      </c>
      <c r="J82" s="425">
        <v>1</v>
      </c>
      <c r="K82" s="422">
        <v>0</v>
      </c>
      <c r="L82" s="422">
        <v>0</v>
      </c>
      <c r="M82" s="422">
        <v>0</v>
      </c>
      <c r="N82" s="426">
        <v>300</v>
      </c>
      <c r="O82" s="426">
        <v>0</v>
      </c>
      <c r="P82" s="426">
        <v>0.63025572800707996</v>
      </c>
      <c r="Q82" s="426">
        <v>0.63025572800707996</v>
      </c>
      <c r="R82" s="426">
        <v>0.63025572800707996</v>
      </c>
      <c r="S82" s="426">
        <v>0.63025572800707996</v>
      </c>
      <c r="T82" s="426">
        <v>0.63025572800707996</v>
      </c>
      <c r="U82" s="426">
        <v>0.63025572800707996</v>
      </c>
      <c r="V82" s="426">
        <v>0.63025572800707996</v>
      </c>
      <c r="W82" s="426">
        <v>0.63025572800707996</v>
      </c>
      <c r="X82" s="426">
        <v>0.63025572800707996</v>
      </c>
      <c r="Y82" s="426">
        <v>0.63025572800707996</v>
      </c>
      <c r="Z82" s="426">
        <v>0</v>
      </c>
      <c r="AA82" s="426">
        <v>0</v>
      </c>
      <c r="AB82" s="426">
        <v>0</v>
      </c>
      <c r="AC82" s="426">
        <v>0</v>
      </c>
      <c r="AD82" s="426">
        <v>0</v>
      </c>
      <c r="AE82" s="426">
        <v>0</v>
      </c>
      <c r="AF82" s="426">
        <v>0</v>
      </c>
      <c r="AG82" s="426">
        <v>0</v>
      </c>
      <c r="AH82" s="426">
        <v>0</v>
      </c>
      <c r="AI82" s="426">
        <v>0</v>
      </c>
      <c r="AJ82" s="426">
        <v>0</v>
      </c>
      <c r="AK82" s="426">
        <v>0</v>
      </c>
      <c r="AL82" s="426">
        <v>0</v>
      </c>
      <c r="AM82" s="427">
        <v>0</v>
      </c>
      <c r="AN82" s="427">
        <v>0</v>
      </c>
      <c r="AO82" s="427">
        <v>9299.0353697749197</v>
      </c>
      <c r="AP82" s="427">
        <v>9299.0353697749197</v>
      </c>
      <c r="AQ82" s="427">
        <v>9299.0353697749197</v>
      </c>
      <c r="AR82" s="427">
        <v>9299.0353697749197</v>
      </c>
      <c r="AS82" s="427">
        <v>9299.0353697749197</v>
      </c>
      <c r="AT82" s="427">
        <v>9299.0353697749197</v>
      </c>
      <c r="AU82" s="427">
        <v>9299.0353697749197</v>
      </c>
      <c r="AV82" s="427">
        <v>9299.0353697749197</v>
      </c>
      <c r="AW82" s="427">
        <v>9299.0353697749197</v>
      </c>
      <c r="AX82" s="427">
        <v>9299.0353697749197</v>
      </c>
      <c r="AY82" s="427">
        <v>0</v>
      </c>
      <c r="AZ82" s="427">
        <v>0</v>
      </c>
      <c r="BA82" s="427">
        <v>0</v>
      </c>
      <c r="BB82" s="427">
        <v>0</v>
      </c>
      <c r="BC82" s="427">
        <v>0</v>
      </c>
      <c r="BD82" s="427">
        <v>0</v>
      </c>
      <c r="BE82" s="427">
        <v>0</v>
      </c>
      <c r="BF82" s="427">
        <v>0</v>
      </c>
      <c r="BG82" s="427">
        <v>0</v>
      </c>
      <c r="BH82" s="427">
        <v>0</v>
      </c>
      <c r="BI82" s="427">
        <v>0</v>
      </c>
      <c r="BJ82" s="427">
        <v>0</v>
      </c>
      <c r="BK82" s="427">
        <v>0</v>
      </c>
      <c r="BL82" s="427">
        <v>0</v>
      </c>
      <c r="BM82" s="427">
        <v>0</v>
      </c>
      <c r="BN82" s="427">
        <v>0</v>
      </c>
      <c r="BO82" s="427">
        <v>0</v>
      </c>
      <c r="BP82" s="427">
        <v>0</v>
      </c>
      <c r="BQ82" s="427">
        <v>0</v>
      </c>
      <c r="BR82" s="427">
        <v>0</v>
      </c>
      <c r="BS82" s="427">
        <v>0</v>
      </c>
      <c r="BT82" s="427">
        <v>0</v>
      </c>
      <c r="BU82" s="427">
        <v>0</v>
      </c>
      <c r="BV82" s="427">
        <v>0</v>
      </c>
      <c r="BW82" s="427">
        <v>0</v>
      </c>
      <c r="BX82" s="427">
        <v>0</v>
      </c>
      <c r="BY82" s="427">
        <v>0</v>
      </c>
      <c r="BZ82" s="427">
        <v>0</v>
      </c>
      <c r="CA82" s="427">
        <v>0</v>
      </c>
      <c r="CB82" s="427">
        <v>0</v>
      </c>
      <c r="CC82" s="427">
        <v>0</v>
      </c>
      <c r="CD82" s="427">
        <v>0</v>
      </c>
      <c r="CE82" s="427">
        <v>0</v>
      </c>
      <c r="CF82" s="427">
        <v>0</v>
      </c>
      <c r="CG82" s="427">
        <v>0</v>
      </c>
      <c r="CH82" s="427">
        <v>0</v>
      </c>
      <c r="CI82" s="427">
        <v>0</v>
      </c>
      <c r="CJ82" s="427">
        <v>0</v>
      </c>
      <c r="CK82" s="428">
        <v>0</v>
      </c>
      <c r="CL82" s="428">
        <v>0</v>
      </c>
      <c r="CM82" s="428">
        <v>0</v>
      </c>
      <c r="CN82" s="428">
        <v>0</v>
      </c>
      <c r="CO82" s="428">
        <v>0</v>
      </c>
      <c r="CP82" s="428">
        <v>0</v>
      </c>
      <c r="CQ82" s="428">
        <v>0</v>
      </c>
      <c r="CR82" s="428">
        <v>0</v>
      </c>
      <c r="CS82" s="428">
        <v>0</v>
      </c>
      <c r="CT82" s="428">
        <v>0</v>
      </c>
      <c r="CU82" s="428">
        <v>0</v>
      </c>
      <c r="CV82" s="428">
        <v>0</v>
      </c>
      <c r="CW82" s="428">
        <v>0</v>
      </c>
      <c r="CX82" s="428"/>
      <c r="CY82" s="428"/>
      <c r="CZ82" s="428"/>
      <c r="DA82" s="428"/>
      <c r="DB82" s="428"/>
      <c r="DC82" s="428"/>
      <c r="DD82" s="428"/>
      <c r="DE82" s="428"/>
      <c r="DF82" s="428"/>
      <c r="DG82" s="428"/>
      <c r="DH82" s="428"/>
      <c r="DI82" s="428"/>
    </row>
    <row r="83" spans="1:113" s="388" customFormat="1">
      <c r="A83" s="421" t="s">
        <v>370</v>
      </c>
      <c r="B83" s="421" t="s">
        <v>412</v>
      </c>
      <c r="C83" s="421" t="s">
        <v>415</v>
      </c>
      <c r="D83" s="422" t="s">
        <v>376</v>
      </c>
      <c r="E83" s="422">
        <v>2017</v>
      </c>
      <c r="F83" s="423">
        <v>1.9600953141020185E-3</v>
      </c>
      <c r="G83" s="424">
        <v>28.92</v>
      </c>
      <c r="H83" s="422">
        <v>10</v>
      </c>
      <c r="I83" s="425">
        <v>1</v>
      </c>
      <c r="J83" s="425">
        <v>1</v>
      </c>
      <c r="K83" s="422">
        <v>0</v>
      </c>
      <c r="L83" s="422">
        <v>0</v>
      </c>
      <c r="M83" s="422">
        <v>0</v>
      </c>
      <c r="N83" s="426">
        <v>300</v>
      </c>
      <c r="O83" s="426">
        <v>0</v>
      </c>
      <c r="P83" s="426">
        <v>0</v>
      </c>
      <c r="Q83" s="426">
        <v>0.63025572800707996</v>
      </c>
      <c r="R83" s="426">
        <v>0.63025572800707996</v>
      </c>
      <c r="S83" s="426">
        <v>0.63025572800707996</v>
      </c>
      <c r="T83" s="426">
        <v>0.63025572800707996</v>
      </c>
      <c r="U83" s="426">
        <v>0.63025572800707996</v>
      </c>
      <c r="V83" s="426">
        <v>0.63025572800707996</v>
      </c>
      <c r="W83" s="426">
        <v>0.63025572800707996</v>
      </c>
      <c r="X83" s="426">
        <v>0.63025572800707996</v>
      </c>
      <c r="Y83" s="426">
        <v>0.63025572800707996</v>
      </c>
      <c r="Z83" s="426">
        <v>0.63025572800707996</v>
      </c>
      <c r="AA83" s="426">
        <v>0</v>
      </c>
      <c r="AB83" s="426">
        <v>0</v>
      </c>
      <c r="AC83" s="426">
        <v>0</v>
      </c>
      <c r="AD83" s="426">
        <v>0</v>
      </c>
      <c r="AE83" s="426">
        <v>0</v>
      </c>
      <c r="AF83" s="426">
        <v>0</v>
      </c>
      <c r="AG83" s="426">
        <v>0</v>
      </c>
      <c r="AH83" s="426">
        <v>0</v>
      </c>
      <c r="AI83" s="426">
        <v>0</v>
      </c>
      <c r="AJ83" s="426">
        <v>0</v>
      </c>
      <c r="AK83" s="426">
        <v>0</v>
      </c>
      <c r="AL83" s="426">
        <v>0</v>
      </c>
      <c r="AM83" s="427">
        <v>0</v>
      </c>
      <c r="AN83" s="427">
        <v>0</v>
      </c>
      <c r="AO83" s="427">
        <v>0</v>
      </c>
      <c r="AP83" s="427">
        <v>9299.0353697749197</v>
      </c>
      <c r="AQ83" s="427">
        <v>9299.0353697749197</v>
      </c>
      <c r="AR83" s="427">
        <v>9299.0353697749197</v>
      </c>
      <c r="AS83" s="427">
        <v>9299.0353697749197</v>
      </c>
      <c r="AT83" s="427">
        <v>9299.0353697749197</v>
      </c>
      <c r="AU83" s="427">
        <v>9299.0353697749197</v>
      </c>
      <c r="AV83" s="427">
        <v>9299.0353697749197</v>
      </c>
      <c r="AW83" s="427">
        <v>9299.0353697749197</v>
      </c>
      <c r="AX83" s="427">
        <v>9299.0353697749197</v>
      </c>
      <c r="AY83" s="427">
        <v>9299.0353697749197</v>
      </c>
      <c r="AZ83" s="427">
        <v>0</v>
      </c>
      <c r="BA83" s="427">
        <v>0</v>
      </c>
      <c r="BB83" s="427">
        <v>0</v>
      </c>
      <c r="BC83" s="427">
        <v>0</v>
      </c>
      <c r="BD83" s="427">
        <v>0</v>
      </c>
      <c r="BE83" s="427">
        <v>0</v>
      </c>
      <c r="BF83" s="427">
        <v>0</v>
      </c>
      <c r="BG83" s="427">
        <v>0</v>
      </c>
      <c r="BH83" s="427">
        <v>0</v>
      </c>
      <c r="BI83" s="427">
        <v>0</v>
      </c>
      <c r="BJ83" s="427">
        <v>0</v>
      </c>
      <c r="BK83" s="427">
        <v>0</v>
      </c>
      <c r="BL83" s="427">
        <v>0</v>
      </c>
      <c r="BM83" s="427">
        <v>0</v>
      </c>
      <c r="BN83" s="427">
        <v>0</v>
      </c>
      <c r="BO83" s="427">
        <v>0</v>
      </c>
      <c r="BP83" s="427">
        <v>0</v>
      </c>
      <c r="BQ83" s="427">
        <v>0</v>
      </c>
      <c r="BR83" s="427">
        <v>0</v>
      </c>
      <c r="BS83" s="427">
        <v>0</v>
      </c>
      <c r="BT83" s="427">
        <v>0</v>
      </c>
      <c r="BU83" s="427">
        <v>0</v>
      </c>
      <c r="BV83" s="427">
        <v>0</v>
      </c>
      <c r="BW83" s="427">
        <v>0</v>
      </c>
      <c r="BX83" s="427">
        <v>0</v>
      </c>
      <c r="BY83" s="427">
        <v>0</v>
      </c>
      <c r="BZ83" s="427">
        <v>0</v>
      </c>
      <c r="CA83" s="427">
        <v>0</v>
      </c>
      <c r="CB83" s="427">
        <v>0</v>
      </c>
      <c r="CC83" s="427">
        <v>0</v>
      </c>
      <c r="CD83" s="427">
        <v>0</v>
      </c>
      <c r="CE83" s="427">
        <v>0</v>
      </c>
      <c r="CF83" s="427">
        <v>0</v>
      </c>
      <c r="CG83" s="427">
        <v>0</v>
      </c>
      <c r="CH83" s="427">
        <v>0</v>
      </c>
      <c r="CI83" s="427">
        <v>0</v>
      </c>
      <c r="CJ83" s="427">
        <v>0</v>
      </c>
      <c r="CK83" s="428">
        <v>0</v>
      </c>
      <c r="CL83" s="428">
        <v>0</v>
      </c>
      <c r="CM83" s="428">
        <v>0</v>
      </c>
      <c r="CN83" s="428">
        <v>0</v>
      </c>
      <c r="CO83" s="428">
        <v>0</v>
      </c>
      <c r="CP83" s="428">
        <v>0</v>
      </c>
      <c r="CQ83" s="428">
        <v>0</v>
      </c>
      <c r="CR83" s="428">
        <v>0</v>
      </c>
      <c r="CS83" s="428">
        <v>0</v>
      </c>
      <c r="CT83" s="428">
        <v>0</v>
      </c>
      <c r="CU83" s="428">
        <v>0</v>
      </c>
      <c r="CV83" s="428">
        <v>0</v>
      </c>
      <c r="CW83" s="428">
        <v>0</v>
      </c>
      <c r="CX83" s="428"/>
      <c r="CY83" s="428"/>
      <c r="CZ83" s="428"/>
      <c r="DA83" s="428"/>
      <c r="DB83" s="428"/>
      <c r="DC83" s="428"/>
      <c r="DD83" s="428"/>
      <c r="DE83" s="428"/>
      <c r="DF83" s="428"/>
      <c r="DG83" s="428"/>
      <c r="DH83" s="428"/>
      <c r="DI83" s="428"/>
    </row>
    <row r="84" spans="1:113" s="388" customFormat="1">
      <c r="A84" s="421" t="s">
        <v>370</v>
      </c>
      <c r="B84" s="421" t="s">
        <v>412</v>
      </c>
      <c r="C84" s="421" t="s">
        <v>415</v>
      </c>
      <c r="D84" s="422" t="s">
        <v>376</v>
      </c>
      <c r="E84" s="422">
        <v>2018</v>
      </c>
      <c r="F84" s="423">
        <v>1.9600953141020185E-3</v>
      </c>
      <c r="G84" s="424">
        <v>28.92</v>
      </c>
      <c r="H84" s="422">
        <v>10</v>
      </c>
      <c r="I84" s="425">
        <v>1</v>
      </c>
      <c r="J84" s="425">
        <v>1</v>
      </c>
      <c r="K84" s="422">
        <v>0</v>
      </c>
      <c r="L84" s="422">
        <v>0</v>
      </c>
      <c r="M84" s="422">
        <v>0</v>
      </c>
      <c r="N84" s="426">
        <v>300</v>
      </c>
      <c r="O84" s="426">
        <v>0</v>
      </c>
      <c r="P84" s="426">
        <v>0</v>
      </c>
      <c r="Q84" s="426">
        <v>0</v>
      </c>
      <c r="R84" s="426">
        <v>0.63025572800707996</v>
      </c>
      <c r="S84" s="426">
        <v>0.63025572800707996</v>
      </c>
      <c r="T84" s="426">
        <v>0.63025572800707996</v>
      </c>
      <c r="U84" s="426">
        <v>0.63025572800707996</v>
      </c>
      <c r="V84" s="426">
        <v>0.63025572800707996</v>
      </c>
      <c r="W84" s="426">
        <v>0.63025572800707996</v>
      </c>
      <c r="X84" s="426">
        <v>0.63025572800707996</v>
      </c>
      <c r="Y84" s="426">
        <v>0.63025572800707996</v>
      </c>
      <c r="Z84" s="426">
        <v>0.63025572800707996</v>
      </c>
      <c r="AA84" s="426">
        <v>0.63025572800707996</v>
      </c>
      <c r="AB84" s="426">
        <v>0</v>
      </c>
      <c r="AC84" s="426">
        <v>0</v>
      </c>
      <c r="AD84" s="426">
        <v>0</v>
      </c>
      <c r="AE84" s="426">
        <v>0</v>
      </c>
      <c r="AF84" s="426">
        <v>0</v>
      </c>
      <c r="AG84" s="426">
        <v>0</v>
      </c>
      <c r="AH84" s="426">
        <v>0</v>
      </c>
      <c r="AI84" s="426">
        <v>0</v>
      </c>
      <c r="AJ84" s="426">
        <v>0</v>
      </c>
      <c r="AK84" s="426">
        <v>0</v>
      </c>
      <c r="AL84" s="426">
        <v>0</v>
      </c>
      <c r="AM84" s="427">
        <v>0</v>
      </c>
      <c r="AN84" s="427">
        <v>0</v>
      </c>
      <c r="AO84" s="427">
        <v>0</v>
      </c>
      <c r="AP84" s="427">
        <v>0</v>
      </c>
      <c r="AQ84" s="427">
        <v>9299.0353697749197</v>
      </c>
      <c r="AR84" s="427">
        <v>9299.0353697749197</v>
      </c>
      <c r="AS84" s="427">
        <v>9299.0353697749197</v>
      </c>
      <c r="AT84" s="427">
        <v>9299.0353697749197</v>
      </c>
      <c r="AU84" s="427">
        <v>9299.0353697749197</v>
      </c>
      <c r="AV84" s="427">
        <v>9299.0353697749197</v>
      </c>
      <c r="AW84" s="427">
        <v>9299.0353697749197</v>
      </c>
      <c r="AX84" s="427">
        <v>9299.0353697749197</v>
      </c>
      <c r="AY84" s="427">
        <v>9299.0353697749197</v>
      </c>
      <c r="AZ84" s="427">
        <v>9299.0353697749197</v>
      </c>
      <c r="BA84" s="427">
        <v>0</v>
      </c>
      <c r="BB84" s="427">
        <v>0</v>
      </c>
      <c r="BC84" s="427">
        <v>0</v>
      </c>
      <c r="BD84" s="427">
        <v>0</v>
      </c>
      <c r="BE84" s="427">
        <v>0</v>
      </c>
      <c r="BF84" s="427">
        <v>0</v>
      </c>
      <c r="BG84" s="427">
        <v>0</v>
      </c>
      <c r="BH84" s="427">
        <v>0</v>
      </c>
      <c r="BI84" s="427">
        <v>0</v>
      </c>
      <c r="BJ84" s="427">
        <v>0</v>
      </c>
      <c r="BK84" s="427">
        <v>0</v>
      </c>
      <c r="BL84" s="427">
        <v>0</v>
      </c>
      <c r="BM84" s="427">
        <v>0</v>
      </c>
      <c r="BN84" s="427">
        <v>0</v>
      </c>
      <c r="BO84" s="427">
        <v>0</v>
      </c>
      <c r="BP84" s="427">
        <v>0</v>
      </c>
      <c r="BQ84" s="427">
        <v>0</v>
      </c>
      <c r="BR84" s="427">
        <v>0</v>
      </c>
      <c r="BS84" s="427">
        <v>0</v>
      </c>
      <c r="BT84" s="427">
        <v>0</v>
      </c>
      <c r="BU84" s="427">
        <v>0</v>
      </c>
      <c r="BV84" s="427">
        <v>0</v>
      </c>
      <c r="BW84" s="427">
        <v>0</v>
      </c>
      <c r="BX84" s="427">
        <v>0</v>
      </c>
      <c r="BY84" s="427">
        <v>0</v>
      </c>
      <c r="BZ84" s="427">
        <v>0</v>
      </c>
      <c r="CA84" s="427">
        <v>0</v>
      </c>
      <c r="CB84" s="427">
        <v>0</v>
      </c>
      <c r="CC84" s="427">
        <v>0</v>
      </c>
      <c r="CD84" s="427">
        <v>0</v>
      </c>
      <c r="CE84" s="427">
        <v>0</v>
      </c>
      <c r="CF84" s="427">
        <v>0</v>
      </c>
      <c r="CG84" s="427">
        <v>0</v>
      </c>
      <c r="CH84" s="427">
        <v>0</v>
      </c>
      <c r="CI84" s="427">
        <v>0</v>
      </c>
      <c r="CJ84" s="427">
        <v>0</v>
      </c>
      <c r="CK84" s="428">
        <v>0</v>
      </c>
      <c r="CL84" s="428">
        <v>0</v>
      </c>
      <c r="CM84" s="428">
        <v>0</v>
      </c>
      <c r="CN84" s="428">
        <v>0</v>
      </c>
      <c r="CO84" s="428">
        <v>0</v>
      </c>
      <c r="CP84" s="428">
        <v>0</v>
      </c>
      <c r="CQ84" s="428">
        <v>0</v>
      </c>
      <c r="CR84" s="428">
        <v>0</v>
      </c>
      <c r="CS84" s="428">
        <v>0</v>
      </c>
      <c r="CT84" s="428">
        <v>0</v>
      </c>
      <c r="CU84" s="428">
        <v>0</v>
      </c>
      <c r="CV84" s="428">
        <v>0</v>
      </c>
      <c r="CW84" s="428">
        <v>0</v>
      </c>
      <c r="CX84" s="428"/>
      <c r="CY84" s="428"/>
      <c r="CZ84" s="428"/>
      <c r="DA84" s="428"/>
      <c r="DB84" s="428"/>
      <c r="DC84" s="428"/>
      <c r="DD84" s="428"/>
      <c r="DE84" s="428"/>
      <c r="DF84" s="428"/>
      <c r="DG84" s="428"/>
      <c r="DH84" s="428"/>
      <c r="DI84" s="428"/>
    </row>
    <row r="85" spans="1:113" s="388" customFormat="1">
      <c r="A85" s="421" t="s">
        <v>370</v>
      </c>
      <c r="B85" s="421" t="s">
        <v>412</v>
      </c>
      <c r="C85" s="421" t="s">
        <v>415</v>
      </c>
      <c r="D85" s="422" t="s">
        <v>376</v>
      </c>
      <c r="E85" s="422">
        <v>2019</v>
      </c>
      <c r="F85" s="423">
        <v>1.9600953141020185E-3</v>
      </c>
      <c r="G85" s="424">
        <v>28.92</v>
      </c>
      <c r="H85" s="422">
        <v>10</v>
      </c>
      <c r="I85" s="425">
        <v>1</v>
      </c>
      <c r="J85" s="425">
        <v>1</v>
      </c>
      <c r="K85" s="422">
        <v>0</v>
      </c>
      <c r="L85" s="422">
        <v>0</v>
      </c>
      <c r="M85" s="422">
        <v>0</v>
      </c>
      <c r="N85" s="426">
        <v>300</v>
      </c>
      <c r="O85" s="426">
        <v>0</v>
      </c>
      <c r="P85" s="426">
        <v>0</v>
      </c>
      <c r="Q85" s="426">
        <v>0</v>
      </c>
      <c r="R85" s="426">
        <v>0</v>
      </c>
      <c r="S85" s="426">
        <v>0.63025572800707996</v>
      </c>
      <c r="T85" s="426">
        <v>0.63025572800707996</v>
      </c>
      <c r="U85" s="426">
        <v>0.63025572800707996</v>
      </c>
      <c r="V85" s="426">
        <v>0.63025572800707996</v>
      </c>
      <c r="W85" s="426">
        <v>0.63025572800707996</v>
      </c>
      <c r="X85" s="426">
        <v>0.63025572800707996</v>
      </c>
      <c r="Y85" s="426">
        <v>0.63025572800707996</v>
      </c>
      <c r="Z85" s="426">
        <v>0.63025572800707996</v>
      </c>
      <c r="AA85" s="426">
        <v>0.63025572800707996</v>
      </c>
      <c r="AB85" s="426">
        <v>0.63025572800707996</v>
      </c>
      <c r="AC85" s="426">
        <v>0</v>
      </c>
      <c r="AD85" s="426">
        <v>0</v>
      </c>
      <c r="AE85" s="426">
        <v>0</v>
      </c>
      <c r="AF85" s="426">
        <v>0</v>
      </c>
      <c r="AG85" s="426">
        <v>0</v>
      </c>
      <c r="AH85" s="426">
        <v>0</v>
      </c>
      <c r="AI85" s="426">
        <v>0</v>
      </c>
      <c r="AJ85" s="426">
        <v>0</v>
      </c>
      <c r="AK85" s="426">
        <v>0</v>
      </c>
      <c r="AL85" s="426">
        <v>0</v>
      </c>
      <c r="AM85" s="427">
        <v>0</v>
      </c>
      <c r="AN85" s="427">
        <v>0</v>
      </c>
      <c r="AO85" s="427">
        <v>0</v>
      </c>
      <c r="AP85" s="427">
        <v>0</v>
      </c>
      <c r="AQ85" s="427">
        <v>0</v>
      </c>
      <c r="AR85" s="427">
        <v>9299.0353697749197</v>
      </c>
      <c r="AS85" s="427">
        <v>9299.0353697749197</v>
      </c>
      <c r="AT85" s="427">
        <v>9299.0353697749197</v>
      </c>
      <c r="AU85" s="427">
        <v>9299.0353697749197</v>
      </c>
      <c r="AV85" s="427">
        <v>9299.0353697749197</v>
      </c>
      <c r="AW85" s="427">
        <v>9299.0353697749197</v>
      </c>
      <c r="AX85" s="427">
        <v>9299.0353697749197</v>
      </c>
      <c r="AY85" s="427">
        <v>9299.0353697749197</v>
      </c>
      <c r="AZ85" s="427">
        <v>9299.0353697749197</v>
      </c>
      <c r="BA85" s="427">
        <v>9299.0353697749197</v>
      </c>
      <c r="BB85" s="427">
        <v>0</v>
      </c>
      <c r="BC85" s="427">
        <v>0</v>
      </c>
      <c r="BD85" s="427">
        <v>0</v>
      </c>
      <c r="BE85" s="427">
        <v>0</v>
      </c>
      <c r="BF85" s="427">
        <v>0</v>
      </c>
      <c r="BG85" s="427">
        <v>0</v>
      </c>
      <c r="BH85" s="427">
        <v>0</v>
      </c>
      <c r="BI85" s="427">
        <v>0</v>
      </c>
      <c r="BJ85" s="427">
        <v>0</v>
      </c>
      <c r="BK85" s="427">
        <v>0</v>
      </c>
      <c r="BL85" s="427">
        <v>0</v>
      </c>
      <c r="BM85" s="427">
        <v>0</v>
      </c>
      <c r="BN85" s="427">
        <v>0</v>
      </c>
      <c r="BO85" s="427">
        <v>0</v>
      </c>
      <c r="BP85" s="427">
        <v>0</v>
      </c>
      <c r="BQ85" s="427">
        <v>0</v>
      </c>
      <c r="BR85" s="427">
        <v>0</v>
      </c>
      <c r="BS85" s="427">
        <v>0</v>
      </c>
      <c r="BT85" s="427">
        <v>0</v>
      </c>
      <c r="BU85" s="427">
        <v>0</v>
      </c>
      <c r="BV85" s="427">
        <v>0</v>
      </c>
      <c r="BW85" s="427">
        <v>0</v>
      </c>
      <c r="BX85" s="427">
        <v>0</v>
      </c>
      <c r="BY85" s="427">
        <v>0</v>
      </c>
      <c r="BZ85" s="427">
        <v>0</v>
      </c>
      <c r="CA85" s="427">
        <v>0</v>
      </c>
      <c r="CB85" s="427">
        <v>0</v>
      </c>
      <c r="CC85" s="427">
        <v>0</v>
      </c>
      <c r="CD85" s="427">
        <v>0</v>
      </c>
      <c r="CE85" s="427">
        <v>0</v>
      </c>
      <c r="CF85" s="427">
        <v>0</v>
      </c>
      <c r="CG85" s="427">
        <v>0</v>
      </c>
      <c r="CH85" s="427">
        <v>0</v>
      </c>
      <c r="CI85" s="427">
        <v>0</v>
      </c>
      <c r="CJ85" s="427">
        <v>0</v>
      </c>
      <c r="CK85" s="428">
        <v>0</v>
      </c>
      <c r="CL85" s="428">
        <v>0</v>
      </c>
      <c r="CM85" s="428">
        <v>0</v>
      </c>
      <c r="CN85" s="428">
        <v>0</v>
      </c>
      <c r="CO85" s="428">
        <v>0</v>
      </c>
      <c r="CP85" s="428">
        <v>0</v>
      </c>
      <c r="CQ85" s="428">
        <v>0</v>
      </c>
      <c r="CR85" s="428">
        <v>0</v>
      </c>
      <c r="CS85" s="428">
        <v>0</v>
      </c>
      <c r="CT85" s="428">
        <v>0</v>
      </c>
      <c r="CU85" s="428">
        <v>0</v>
      </c>
      <c r="CV85" s="428">
        <v>0</v>
      </c>
      <c r="CW85" s="428">
        <v>0</v>
      </c>
      <c r="CX85" s="428"/>
      <c r="CY85" s="428"/>
      <c r="CZ85" s="428"/>
      <c r="DA85" s="428"/>
      <c r="DB85" s="428"/>
      <c r="DC85" s="428"/>
      <c r="DD85" s="428"/>
      <c r="DE85" s="428"/>
      <c r="DF85" s="428"/>
      <c r="DG85" s="428"/>
      <c r="DH85" s="428"/>
      <c r="DI85" s="428"/>
    </row>
    <row r="86" spans="1:113" s="388" customFormat="1">
      <c r="A86" s="421" t="s">
        <v>370</v>
      </c>
      <c r="B86" s="421" t="s">
        <v>412</v>
      </c>
      <c r="C86" s="421" t="s">
        <v>415</v>
      </c>
      <c r="D86" s="422" t="s">
        <v>376</v>
      </c>
      <c r="E86" s="422">
        <v>2020</v>
      </c>
      <c r="F86" s="423">
        <v>1.9600953141020185E-3</v>
      </c>
      <c r="G86" s="424">
        <v>28.92</v>
      </c>
      <c r="H86" s="422">
        <v>10</v>
      </c>
      <c r="I86" s="425">
        <v>1</v>
      </c>
      <c r="J86" s="425">
        <v>1</v>
      </c>
      <c r="K86" s="422">
        <v>0</v>
      </c>
      <c r="L86" s="422">
        <v>0</v>
      </c>
      <c r="M86" s="422">
        <v>0</v>
      </c>
      <c r="N86" s="426">
        <v>300</v>
      </c>
      <c r="O86" s="426">
        <v>0</v>
      </c>
      <c r="P86" s="426">
        <v>0</v>
      </c>
      <c r="Q86" s="426">
        <v>0</v>
      </c>
      <c r="R86" s="426">
        <v>0</v>
      </c>
      <c r="S86" s="426">
        <v>0</v>
      </c>
      <c r="T86" s="426">
        <v>0.63025572800707996</v>
      </c>
      <c r="U86" s="426">
        <v>0.63025572800707996</v>
      </c>
      <c r="V86" s="426">
        <v>0.63025572800707996</v>
      </c>
      <c r="W86" s="426">
        <v>0.63025572800707996</v>
      </c>
      <c r="X86" s="426">
        <v>0.63025572800707996</v>
      </c>
      <c r="Y86" s="426">
        <v>0.63025572800707996</v>
      </c>
      <c r="Z86" s="426">
        <v>0.63025572800707996</v>
      </c>
      <c r="AA86" s="426">
        <v>0.63025572800707996</v>
      </c>
      <c r="AB86" s="426">
        <v>0.63025572800707996</v>
      </c>
      <c r="AC86" s="426">
        <v>0.63025572800707996</v>
      </c>
      <c r="AD86" s="426">
        <v>0</v>
      </c>
      <c r="AE86" s="426">
        <v>0</v>
      </c>
      <c r="AF86" s="426">
        <v>0</v>
      </c>
      <c r="AG86" s="426">
        <v>0</v>
      </c>
      <c r="AH86" s="426">
        <v>0</v>
      </c>
      <c r="AI86" s="426">
        <v>0</v>
      </c>
      <c r="AJ86" s="426">
        <v>0</v>
      </c>
      <c r="AK86" s="426">
        <v>0</v>
      </c>
      <c r="AL86" s="426">
        <v>0</v>
      </c>
      <c r="AM86" s="427">
        <v>0</v>
      </c>
      <c r="AN86" s="427">
        <v>0</v>
      </c>
      <c r="AO86" s="427">
        <v>0</v>
      </c>
      <c r="AP86" s="427">
        <v>0</v>
      </c>
      <c r="AQ86" s="427">
        <v>0</v>
      </c>
      <c r="AR86" s="427">
        <v>0</v>
      </c>
      <c r="AS86" s="427">
        <v>9299.0353697749197</v>
      </c>
      <c r="AT86" s="427">
        <v>9299.0353697749197</v>
      </c>
      <c r="AU86" s="427">
        <v>9299.0353697749197</v>
      </c>
      <c r="AV86" s="427">
        <v>9299.0353697749197</v>
      </c>
      <c r="AW86" s="427">
        <v>9299.0353697749197</v>
      </c>
      <c r="AX86" s="427">
        <v>9299.0353697749197</v>
      </c>
      <c r="AY86" s="427">
        <v>9299.0353697749197</v>
      </c>
      <c r="AZ86" s="427">
        <v>9299.0353697749197</v>
      </c>
      <c r="BA86" s="427">
        <v>9299.0353697749197</v>
      </c>
      <c r="BB86" s="427">
        <v>9299.0353697749197</v>
      </c>
      <c r="BC86" s="427">
        <v>0</v>
      </c>
      <c r="BD86" s="427">
        <v>0</v>
      </c>
      <c r="BE86" s="427">
        <v>0</v>
      </c>
      <c r="BF86" s="427">
        <v>0</v>
      </c>
      <c r="BG86" s="427">
        <v>0</v>
      </c>
      <c r="BH86" s="427">
        <v>0</v>
      </c>
      <c r="BI86" s="427">
        <v>0</v>
      </c>
      <c r="BJ86" s="427">
        <v>0</v>
      </c>
      <c r="BK86" s="427">
        <v>0</v>
      </c>
      <c r="BL86" s="427">
        <v>0</v>
      </c>
      <c r="BM86" s="427">
        <v>0</v>
      </c>
      <c r="BN86" s="427">
        <v>0</v>
      </c>
      <c r="BO86" s="427">
        <v>0</v>
      </c>
      <c r="BP86" s="427">
        <v>0</v>
      </c>
      <c r="BQ86" s="427">
        <v>0</v>
      </c>
      <c r="BR86" s="427">
        <v>0</v>
      </c>
      <c r="BS86" s="427">
        <v>0</v>
      </c>
      <c r="BT86" s="427">
        <v>0</v>
      </c>
      <c r="BU86" s="427">
        <v>0</v>
      </c>
      <c r="BV86" s="427">
        <v>0</v>
      </c>
      <c r="BW86" s="427">
        <v>0</v>
      </c>
      <c r="BX86" s="427">
        <v>0</v>
      </c>
      <c r="BY86" s="427">
        <v>0</v>
      </c>
      <c r="BZ86" s="427">
        <v>0</v>
      </c>
      <c r="CA86" s="427">
        <v>0</v>
      </c>
      <c r="CB86" s="427">
        <v>0</v>
      </c>
      <c r="CC86" s="427">
        <v>0</v>
      </c>
      <c r="CD86" s="427">
        <v>0</v>
      </c>
      <c r="CE86" s="427">
        <v>0</v>
      </c>
      <c r="CF86" s="427">
        <v>0</v>
      </c>
      <c r="CG86" s="427">
        <v>0</v>
      </c>
      <c r="CH86" s="427">
        <v>0</v>
      </c>
      <c r="CI86" s="427">
        <v>0</v>
      </c>
      <c r="CJ86" s="427">
        <v>0</v>
      </c>
      <c r="CK86" s="428">
        <v>0</v>
      </c>
      <c r="CL86" s="428">
        <v>0</v>
      </c>
      <c r="CM86" s="428">
        <v>0</v>
      </c>
      <c r="CN86" s="428">
        <v>0</v>
      </c>
      <c r="CO86" s="428">
        <v>0</v>
      </c>
      <c r="CP86" s="428">
        <v>0</v>
      </c>
      <c r="CQ86" s="428">
        <v>0</v>
      </c>
      <c r="CR86" s="428">
        <v>0</v>
      </c>
      <c r="CS86" s="428">
        <v>0</v>
      </c>
      <c r="CT86" s="428">
        <v>0</v>
      </c>
      <c r="CU86" s="428">
        <v>0</v>
      </c>
      <c r="CV86" s="428">
        <v>0</v>
      </c>
      <c r="CW86" s="428">
        <v>0</v>
      </c>
      <c r="CX86" s="428"/>
      <c r="CY86" s="428"/>
      <c r="CZ86" s="428"/>
      <c r="DA86" s="428"/>
      <c r="DB86" s="428"/>
      <c r="DC86" s="428"/>
      <c r="DD86" s="428"/>
      <c r="DE86" s="428"/>
      <c r="DF86" s="428"/>
      <c r="DG86" s="428"/>
      <c r="DH86" s="428"/>
      <c r="DI86" s="428"/>
    </row>
    <row r="87" spans="1:113" s="388" customFormat="1">
      <c r="A87" s="421" t="s">
        <v>370</v>
      </c>
      <c r="B87" s="421" t="s">
        <v>412</v>
      </c>
      <c r="C87" s="421" t="s">
        <v>418</v>
      </c>
      <c r="D87" s="422" t="s">
        <v>376</v>
      </c>
      <c r="E87" s="422">
        <v>2015</v>
      </c>
      <c r="F87" s="423">
        <v>2.3225656233775275E-3</v>
      </c>
      <c r="G87" s="424">
        <v>33.446838421603843</v>
      </c>
      <c r="H87" s="422">
        <v>10</v>
      </c>
      <c r="I87" s="425">
        <v>0.99</v>
      </c>
      <c r="J87" s="425">
        <v>0.99</v>
      </c>
      <c r="K87" s="422">
        <v>0</v>
      </c>
      <c r="L87" s="422">
        <v>0</v>
      </c>
      <c r="M87" s="422">
        <v>0</v>
      </c>
      <c r="N87" s="426">
        <v>0</v>
      </c>
      <c r="O87" s="426">
        <v>0</v>
      </c>
      <c r="P87" s="426">
        <v>0</v>
      </c>
      <c r="Q87" s="426">
        <v>0</v>
      </c>
      <c r="R87" s="426">
        <v>0</v>
      </c>
      <c r="S87" s="426">
        <v>0</v>
      </c>
      <c r="T87" s="426">
        <v>0</v>
      </c>
      <c r="U87" s="426">
        <v>0</v>
      </c>
      <c r="V87" s="426">
        <v>0</v>
      </c>
      <c r="W87" s="426">
        <v>0</v>
      </c>
      <c r="X87" s="426">
        <v>0</v>
      </c>
      <c r="Y87" s="426">
        <v>0</v>
      </c>
      <c r="Z87" s="426">
        <v>0</v>
      </c>
      <c r="AA87" s="426">
        <v>0</v>
      </c>
      <c r="AB87" s="426">
        <v>0</v>
      </c>
      <c r="AC87" s="426">
        <v>0</v>
      </c>
      <c r="AD87" s="426">
        <v>0</v>
      </c>
      <c r="AE87" s="426">
        <v>0</v>
      </c>
      <c r="AF87" s="426">
        <v>0</v>
      </c>
      <c r="AG87" s="426">
        <v>0</v>
      </c>
      <c r="AH87" s="426">
        <v>0</v>
      </c>
      <c r="AI87" s="426">
        <v>0</v>
      </c>
      <c r="AJ87" s="426">
        <v>0</v>
      </c>
      <c r="AK87" s="426">
        <v>0</v>
      </c>
      <c r="AL87" s="426">
        <v>0</v>
      </c>
      <c r="AM87" s="427">
        <v>0</v>
      </c>
      <c r="AN87" s="427">
        <v>0</v>
      </c>
      <c r="AO87" s="427">
        <v>0</v>
      </c>
      <c r="AP87" s="427">
        <v>0</v>
      </c>
      <c r="AQ87" s="427">
        <v>0</v>
      </c>
      <c r="AR87" s="427">
        <v>0</v>
      </c>
      <c r="AS87" s="427">
        <v>0</v>
      </c>
      <c r="AT87" s="427">
        <v>0</v>
      </c>
      <c r="AU87" s="427">
        <v>0</v>
      </c>
      <c r="AV87" s="427">
        <v>0</v>
      </c>
      <c r="AW87" s="427">
        <v>0</v>
      </c>
      <c r="AX87" s="427">
        <v>0</v>
      </c>
      <c r="AY87" s="427">
        <v>0</v>
      </c>
      <c r="AZ87" s="427">
        <v>0</v>
      </c>
      <c r="BA87" s="427">
        <v>0</v>
      </c>
      <c r="BB87" s="427">
        <v>0</v>
      </c>
      <c r="BC87" s="427">
        <v>0</v>
      </c>
      <c r="BD87" s="427">
        <v>0</v>
      </c>
      <c r="BE87" s="427">
        <v>0</v>
      </c>
      <c r="BF87" s="427">
        <v>0</v>
      </c>
      <c r="BG87" s="427">
        <v>0</v>
      </c>
      <c r="BH87" s="427">
        <v>0</v>
      </c>
      <c r="BI87" s="427">
        <v>0</v>
      </c>
      <c r="BJ87" s="427">
        <v>0</v>
      </c>
      <c r="BK87" s="427">
        <v>0</v>
      </c>
      <c r="BL87" s="427">
        <v>0</v>
      </c>
      <c r="BM87" s="427">
        <v>0</v>
      </c>
      <c r="BN87" s="427">
        <v>0</v>
      </c>
      <c r="BO87" s="427">
        <v>0</v>
      </c>
      <c r="BP87" s="427">
        <v>0</v>
      </c>
      <c r="BQ87" s="427">
        <v>0</v>
      </c>
      <c r="BR87" s="427">
        <v>0</v>
      </c>
      <c r="BS87" s="427">
        <v>0</v>
      </c>
      <c r="BT87" s="427">
        <v>0</v>
      </c>
      <c r="BU87" s="427">
        <v>0</v>
      </c>
      <c r="BV87" s="427">
        <v>0</v>
      </c>
      <c r="BW87" s="427">
        <v>0</v>
      </c>
      <c r="BX87" s="427">
        <v>0</v>
      </c>
      <c r="BY87" s="427">
        <v>0</v>
      </c>
      <c r="BZ87" s="427">
        <v>0</v>
      </c>
      <c r="CA87" s="427">
        <v>0</v>
      </c>
      <c r="CB87" s="427">
        <v>0</v>
      </c>
      <c r="CC87" s="427">
        <v>0</v>
      </c>
      <c r="CD87" s="427">
        <v>0</v>
      </c>
      <c r="CE87" s="427">
        <v>0</v>
      </c>
      <c r="CF87" s="427">
        <v>0</v>
      </c>
      <c r="CG87" s="427">
        <v>0</v>
      </c>
      <c r="CH87" s="427">
        <v>0</v>
      </c>
      <c r="CI87" s="427">
        <v>0</v>
      </c>
      <c r="CJ87" s="427">
        <v>0</v>
      </c>
      <c r="CK87" s="428">
        <v>0</v>
      </c>
      <c r="CL87" s="428">
        <v>0</v>
      </c>
      <c r="CM87" s="428">
        <v>0</v>
      </c>
      <c r="CN87" s="428">
        <v>0</v>
      </c>
      <c r="CO87" s="428">
        <v>0</v>
      </c>
      <c r="CP87" s="428">
        <v>0</v>
      </c>
      <c r="CQ87" s="428">
        <v>0</v>
      </c>
      <c r="CR87" s="428">
        <v>0</v>
      </c>
      <c r="CS87" s="428">
        <v>0</v>
      </c>
      <c r="CT87" s="428">
        <v>0</v>
      </c>
      <c r="CU87" s="428">
        <v>0</v>
      </c>
      <c r="CV87" s="428">
        <v>0</v>
      </c>
      <c r="CW87" s="428">
        <v>0</v>
      </c>
      <c r="CX87" s="428"/>
      <c r="CY87" s="428"/>
      <c r="CZ87" s="428"/>
      <c r="DA87" s="428"/>
      <c r="DB87" s="428"/>
      <c r="DC87" s="428"/>
      <c r="DD87" s="428"/>
      <c r="DE87" s="428"/>
      <c r="DF87" s="428"/>
      <c r="DG87" s="428"/>
      <c r="DH87" s="428"/>
      <c r="DI87" s="428"/>
    </row>
    <row r="88" spans="1:113" s="388" customFormat="1">
      <c r="A88" s="421" t="s">
        <v>370</v>
      </c>
      <c r="B88" s="421" t="s">
        <v>412</v>
      </c>
      <c r="C88" s="421" t="s">
        <v>418</v>
      </c>
      <c r="D88" s="422" t="s">
        <v>376</v>
      </c>
      <c r="E88" s="422">
        <v>2016</v>
      </c>
      <c r="F88" s="423">
        <v>2.3225656233775275E-3</v>
      </c>
      <c r="G88" s="424">
        <v>33.446838421603843</v>
      </c>
      <c r="H88" s="422">
        <v>10</v>
      </c>
      <c r="I88" s="425">
        <v>0.99</v>
      </c>
      <c r="J88" s="425">
        <v>0.99</v>
      </c>
      <c r="K88" s="422">
        <v>0</v>
      </c>
      <c r="L88" s="422">
        <v>0</v>
      </c>
      <c r="M88" s="422">
        <v>0</v>
      </c>
      <c r="N88" s="426">
        <v>0</v>
      </c>
      <c r="O88" s="426">
        <v>0</v>
      </c>
      <c r="P88" s="426">
        <v>0</v>
      </c>
      <c r="Q88" s="426">
        <v>0</v>
      </c>
      <c r="R88" s="426">
        <v>0</v>
      </c>
      <c r="S88" s="426">
        <v>0</v>
      </c>
      <c r="T88" s="426">
        <v>0</v>
      </c>
      <c r="U88" s="426">
        <v>0</v>
      </c>
      <c r="V88" s="426">
        <v>0</v>
      </c>
      <c r="W88" s="426">
        <v>0</v>
      </c>
      <c r="X88" s="426">
        <v>0</v>
      </c>
      <c r="Y88" s="426">
        <v>0</v>
      </c>
      <c r="Z88" s="426">
        <v>0</v>
      </c>
      <c r="AA88" s="426">
        <v>0</v>
      </c>
      <c r="AB88" s="426">
        <v>0</v>
      </c>
      <c r="AC88" s="426">
        <v>0</v>
      </c>
      <c r="AD88" s="426">
        <v>0</v>
      </c>
      <c r="AE88" s="426">
        <v>0</v>
      </c>
      <c r="AF88" s="426">
        <v>0</v>
      </c>
      <c r="AG88" s="426">
        <v>0</v>
      </c>
      <c r="AH88" s="426">
        <v>0</v>
      </c>
      <c r="AI88" s="426">
        <v>0</v>
      </c>
      <c r="AJ88" s="426">
        <v>0</v>
      </c>
      <c r="AK88" s="426">
        <v>0</v>
      </c>
      <c r="AL88" s="426">
        <v>0</v>
      </c>
      <c r="AM88" s="427">
        <v>0</v>
      </c>
      <c r="AN88" s="427">
        <v>0</v>
      </c>
      <c r="AO88" s="427">
        <v>0</v>
      </c>
      <c r="AP88" s="427">
        <v>0</v>
      </c>
      <c r="AQ88" s="427">
        <v>0</v>
      </c>
      <c r="AR88" s="427">
        <v>0</v>
      </c>
      <c r="AS88" s="427">
        <v>0</v>
      </c>
      <c r="AT88" s="427">
        <v>0</v>
      </c>
      <c r="AU88" s="427">
        <v>0</v>
      </c>
      <c r="AV88" s="427">
        <v>0</v>
      </c>
      <c r="AW88" s="427">
        <v>0</v>
      </c>
      <c r="AX88" s="427">
        <v>0</v>
      </c>
      <c r="AY88" s="427">
        <v>0</v>
      </c>
      <c r="AZ88" s="427">
        <v>0</v>
      </c>
      <c r="BA88" s="427">
        <v>0</v>
      </c>
      <c r="BB88" s="427">
        <v>0</v>
      </c>
      <c r="BC88" s="427">
        <v>0</v>
      </c>
      <c r="BD88" s="427">
        <v>0</v>
      </c>
      <c r="BE88" s="427">
        <v>0</v>
      </c>
      <c r="BF88" s="427">
        <v>0</v>
      </c>
      <c r="BG88" s="427">
        <v>0</v>
      </c>
      <c r="BH88" s="427">
        <v>0</v>
      </c>
      <c r="BI88" s="427">
        <v>0</v>
      </c>
      <c r="BJ88" s="427">
        <v>0</v>
      </c>
      <c r="BK88" s="427">
        <v>0</v>
      </c>
      <c r="BL88" s="427">
        <v>0</v>
      </c>
      <c r="BM88" s="427">
        <v>0</v>
      </c>
      <c r="BN88" s="427">
        <v>0</v>
      </c>
      <c r="BO88" s="427">
        <v>0</v>
      </c>
      <c r="BP88" s="427">
        <v>0</v>
      </c>
      <c r="BQ88" s="427">
        <v>0</v>
      </c>
      <c r="BR88" s="427">
        <v>0</v>
      </c>
      <c r="BS88" s="427">
        <v>0</v>
      </c>
      <c r="BT88" s="427">
        <v>0</v>
      </c>
      <c r="BU88" s="427">
        <v>0</v>
      </c>
      <c r="BV88" s="427">
        <v>0</v>
      </c>
      <c r="BW88" s="427">
        <v>0</v>
      </c>
      <c r="BX88" s="427">
        <v>0</v>
      </c>
      <c r="BY88" s="427">
        <v>0</v>
      </c>
      <c r="BZ88" s="427">
        <v>0</v>
      </c>
      <c r="CA88" s="427">
        <v>0</v>
      </c>
      <c r="CB88" s="427">
        <v>0</v>
      </c>
      <c r="CC88" s="427">
        <v>0</v>
      </c>
      <c r="CD88" s="427">
        <v>0</v>
      </c>
      <c r="CE88" s="427">
        <v>0</v>
      </c>
      <c r="CF88" s="427">
        <v>0</v>
      </c>
      <c r="CG88" s="427">
        <v>0</v>
      </c>
      <c r="CH88" s="427">
        <v>0</v>
      </c>
      <c r="CI88" s="427">
        <v>0</v>
      </c>
      <c r="CJ88" s="427">
        <v>0</v>
      </c>
      <c r="CK88" s="428">
        <v>0</v>
      </c>
      <c r="CL88" s="428">
        <v>0</v>
      </c>
      <c r="CM88" s="428">
        <v>0</v>
      </c>
      <c r="CN88" s="428">
        <v>0</v>
      </c>
      <c r="CO88" s="428">
        <v>0</v>
      </c>
      <c r="CP88" s="428">
        <v>0</v>
      </c>
      <c r="CQ88" s="428">
        <v>0</v>
      </c>
      <c r="CR88" s="428">
        <v>0</v>
      </c>
      <c r="CS88" s="428">
        <v>0</v>
      </c>
      <c r="CT88" s="428">
        <v>0</v>
      </c>
      <c r="CU88" s="428">
        <v>0</v>
      </c>
      <c r="CV88" s="428">
        <v>0</v>
      </c>
      <c r="CW88" s="428">
        <v>0</v>
      </c>
      <c r="CX88" s="428"/>
      <c r="CY88" s="428"/>
      <c r="CZ88" s="428"/>
      <c r="DA88" s="428"/>
      <c r="DB88" s="428"/>
      <c r="DC88" s="428"/>
      <c r="DD88" s="428"/>
      <c r="DE88" s="428"/>
      <c r="DF88" s="428"/>
      <c r="DG88" s="428"/>
      <c r="DH88" s="428"/>
      <c r="DI88" s="428"/>
    </row>
    <row r="89" spans="1:113" s="388" customFormat="1">
      <c r="A89" s="421" t="s">
        <v>370</v>
      </c>
      <c r="B89" s="421" t="s">
        <v>412</v>
      </c>
      <c r="C89" s="421" t="s">
        <v>418</v>
      </c>
      <c r="D89" s="422" t="s">
        <v>376</v>
      </c>
      <c r="E89" s="422">
        <v>2017</v>
      </c>
      <c r="F89" s="423">
        <v>2.3225656233775275E-3</v>
      </c>
      <c r="G89" s="424">
        <v>33.446838421603843</v>
      </c>
      <c r="H89" s="422">
        <v>10</v>
      </c>
      <c r="I89" s="425">
        <v>0.99</v>
      </c>
      <c r="J89" s="425">
        <v>0.99</v>
      </c>
      <c r="K89" s="422">
        <v>0</v>
      </c>
      <c r="L89" s="422">
        <v>0</v>
      </c>
      <c r="M89" s="422">
        <v>0</v>
      </c>
      <c r="N89" s="426">
        <v>0</v>
      </c>
      <c r="O89" s="426">
        <v>0</v>
      </c>
      <c r="P89" s="426">
        <v>0</v>
      </c>
      <c r="Q89" s="426">
        <v>0</v>
      </c>
      <c r="R89" s="426">
        <v>0</v>
      </c>
      <c r="S89" s="426">
        <v>0</v>
      </c>
      <c r="T89" s="426">
        <v>0</v>
      </c>
      <c r="U89" s="426">
        <v>0</v>
      </c>
      <c r="V89" s="426">
        <v>0</v>
      </c>
      <c r="W89" s="426">
        <v>0</v>
      </c>
      <c r="X89" s="426">
        <v>0</v>
      </c>
      <c r="Y89" s="426">
        <v>0</v>
      </c>
      <c r="Z89" s="426">
        <v>0</v>
      </c>
      <c r="AA89" s="426">
        <v>0</v>
      </c>
      <c r="AB89" s="426">
        <v>0</v>
      </c>
      <c r="AC89" s="426">
        <v>0</v>
      </c>
      <c r="AD89" s="426">
        <v>0</v>
      </c>
      <c r="AE89" s="426">
        <v>0</v>
      </c>
      <c r="AF89" s="426">
        <v>0</v>
      </c>
      <c r="AG89" s="426">
        <v>0</v>
      </c>
      <c r="AH89" s="426">
        <v>0</v>
      </c>
      <c r="AI89" s="426">
        <v>0</v>
      </c>
      <c r="AJ89" s="426">
        <v>0</v>
      </c>
      <c r="AK89" s="426">
        <v>0</v>
      </c>
      <c r="AL89" s="426">
        <v>0</v>
      </c>
      <c r="AM89" s="427">
        <v>0</v>
      </c>
      <c r="AN89" s="427">
        <v>0</v>
      </c>
      <c r="AO89" s="427">
        <v>0</v>
      </c>
      <c r="AP89" s="427">
        <v>0</v>
      </c>
      <c r="AQ89" s="427">
        <v>0</v>
      </c>
      <c r="AR89" s="427">
        <v>0</v>
      </c>
      <c r="AS89" s="427">
        <v>0</v>
      </c>
      <c r="AT89" s="427">
        <v>0</v>
      </c>
      <c r="AU89" s="427">
        <v>0</v>
      </c>
      <c r="AV89" s="427">
        <v>0</v>
      </c>
      <c r="AW89" s="427">
        <v>0</v>
      </c>
      <c r="AX89" s="427">
        <v>0</v>
      </c>
      <c r="AY89" s="427">
        <v>0</v>
      </c>
      <c r="AZ89" s="427">
        <v>0</v>
      </c>
      <c r="BA89" s="427">
        <v>0</v>
      </c>
      <c r="BB89" s="427">
        <v>0</v>
      </c>
      <c r="BC89" s="427">
        <v>0</v>
      </c>
      <c r="BD89" s="427">
        <v>0</v>
      </c>
      <c r="BE89" s="427">
        <v>0</v>
      </c>
      <c r="BF89" s="427">
        <v>0</v>
      </c>
      <c r="BG89" s="427">
        <v>0</v>
      </c>
      <c r="BH89" s="427">
        <v>0</v>
      </c>
      <c r="BI89" s="427">
        <v>0</v>
      </c>
      <c r="BJ89" s="427">
        <v>0</v>
      </c>
      <c r="BK89" s="427">
        <v>0</v>
      </c>
      <c r="BL89" s="427">
        <v>0</v>
      </c>
      <c r="BM89" s="427">
        <v>0</v>
      </c>
      <c r="BN89" s="427">
        <v>0</v>
      </c>
      <c r="BO89" s="427">
        <v>0</v>
      </c>
      <c r="BP89" s="427">
        <v>0</v>
      </c>
      <c r="BQ89" s="427">
        <v>0</v>
      </c>
      <c r="BR89" s="427">
        <v>0</v>
      </c>
      <c r="BS89" s="427">
        <v>0</v>
      </c>
      <c r="BT89" s="427">
        <v>0</v>
      </c>
      <c r="BU89" s="427">
        <v>0</v>
      </c>
      <c r="BV89" s="427">
        <v>0</v>
      </c>
      <c r="BW89" s="427">
        <v>0</v>
      </c>
      <c r="BX89" s="427">
        <v>0</v>
      </c>
      <c r="BY89" s="427">
        <v>0</v>
      </c>
      <c r="BZ89" s="427">
        <v>0</v>
      </c>
      <c r="CA89" s="427">
        <v>0</v>
      </c>
      <c r="CB89" s="427">
        <v>0</v>
      </c>
      <c r="CC89" s="427">
        <v>0</v>
      </c>
      <c r="CD89" s="427">
        <v>0</v>
      </c>
      <c r="CE89" s="427">
        <v>0</v>
      </c>
      <c r="CF89" s="427">
        <v>0</v>
      </c>
      <c r="CG89" s="427">
        <v>0</v>
      </c>
      <c r="CH89" s="427">
        <v>0</v>
      </c>
      <c r="CI89" s="427">
        <v>0</v>
      </c>
      <c r="CJ89" s="427">
        <v>0</v>
      </c>
      <c r="CK89" s="428">
        <v>0</v>
      </c>
      <c r="CL89" s="428">
        <v>0</v>
      </c>
      <c r="CM89" s="428">
        <v>0</v>
      </c>
      <c r="CN89" s="428">
        <v>0</v>
      </c>
      <c r="CO89" s="428">
        <v>0</v>
      </c>
      <c r="CP89" s="428">
        <v>0</v>
      </c>
      <c r="CQ89" s="428">
        <v>0</v>
      </c>
      <c r="CR89" s="428">
        <v>0</v>
      </c>
      <c r="CS89" s="428">
        <v>0</v>
      </c>
      <c r="CT89" s="428">
        <v>0</v>
      </c>
      <c r="CU89" s="428">
        <v>0</v>
      </c>
      <c r="CV89" s="428">
        <v>0</v>
      </c>
      <c r="CW89" s="428">
        <v>0</v>
      </c>
      <c r="CX89" s="428"/>
      <c r="CY89" s="428"/>
      <c r="CZ89" s="428"/>
      <c r="DA89" s="428"/>
      <c r="DB89" s="428"/>
      <c r="DC89" s="428"/>
      <c r="DD89" s="428"/>
      <c r="DE89" s="428"/>
      <c r="DF89" s="428"/>
      <c r="DG89" s="428"/>
      <c r="DH89" s="428"/>
      <c r="DI89" s="428"/>
    </row>
    <row r="90" spans="1:113" s="388" customFormat="1">
      <c r="A90" s="421" t="s">
        <v>370</v>
      </c>
      <c r="B90" s="421" t="s">
        <v>412</v>
      </c>
      <c r="C90" s="421" t="s">
        <v>418</v>
      </c>
      <c r="D90" s="422" t="s">
        <v>376</v>
      </c>
      <c r="E90" s="422">
        <v>2018</v>
      </c>
      <c r="F90" s="423">
        <v>2.3225656233775275E-3</v>
      </c>
      <c r="G90" s="424">
        <v>33.446838421603843</v>
      </c>
      <c r="H90" s="422">
        <v>10</v>
      </c>
      <c r="I90" s="425">
        <v>0.99</v>
      </c>
      <c r="J90" s="425">
        <v>0.99</v>
      </c>
      <c r="K90" s="422">
        <v>0</v>
      </c>
      <c r="L90" s="422">
        <v>0</v>
      </c>
      <c r="M90" s="422">
        <v>0</v>
      </c>
      <c r="N90" s="426">
        <v>0</v>
      </c>
      <c r="O90" s="426">
        <v>0</v>
      </c>
      <c r="P90" s="426">
        <v>0</v>
      </c>
      <c r="Q90" s="426">
        <v>0</v>
      </c>
      <c r="R90" s="426">
        <v>0</v>
      </c>
      <c r="S90" s="426">
        <v>0</v>
      </c>
      <c r="T90" s="426">
        <v>0</v>
      </c>
      <c r="U90" s="426">
        <v>0</v>
      </c>
      <c r="V90" s="426">
        <v>0</v>
      </c>
      <c r="W90" s="426">
        <v>0</v>
      </c>
      <c r="X90" s="426">
        <v>0</v>
      </c>
      <c r="Y90" s="426">
        <v>0</v>
      </c>
      <c r="Z90" s="426">
        <v>0</v>
      </c>
      <c r="AA90" s="426">
        <v>0</v>
      </c>
      <c r="AB90" s="426">
        <v>0</v>
      </c>
      <c r="AC90" s="426">
        <v>0</v>
      </c>
      <c r="AD90" s="426">
        <v>0</v>
      </c>
      <c r="AE90" s="426">
        <v>0</v>
      </c>
      <c r="AF90" s="426">
        <v>0</v>
      </c>
      <c r="AG90" s="426">
        <v>0</v>
      </c>
      <c r="AH90" s="426">
        <v>0</v>
      </c>
      <c r="AI90" s="426">
        <v>0</v>
      </c>
      <c r="AJ90" s="426">
        <v>0</v>
      </c>
      <c r="AK90" s="426">
        <v>0</v>
      </c>
      <c r="AL90" s="426">
        <v>0</v>
      </c>
      <c r="AM90" s="427">
        <v>0</v>
      </c>
      <c r="AN90" s="427">
        <v>0</v>
      </c>
      <c r="AO90" s="427">
        <v>0</v>
      </c>
      <c r="AP90" s="427">
        <v>0</v>
      </c>
      <c r="AQ90" s="427">
        <v>0</v>
      </c>
      <c r="AR90" s="427">
        <v>0</v>
      </c>
      <c r="AS90" s="427">
        <v>0</v>
      </c>
      <c r="AT90" s="427">
        <v>0</v>
      </c>
      <c r="AU90" s="427">
        <v>0</v>
      </c>
      <c r="AV90" s="427">
        <v>0</v>
      </c>
      <c r="AW90" s="427">
        <v>0</v>
      </c>
      <c r="AX90" s="427">
        <v>0</v>
      </c>
      <c r="AY90" s="427">
        <v>0</v>
      </c>
      <c r="AZ90" s="427">
        <v>0</v>
      </c>
      <c r="BA90" s="427">
        <v>0</v>
      </c>
      <c r="BB90" s="427">
        <v>0</v>
      </c>
      <c r="BC90" s="427">
        <v>0</v>
      </c>
      <c r="BD90" s="427">
        <v>0</v>
      </c>
      <c r="BE90" s="427">
        <v>0</v>
      </c>
      <c r="BF90" s="427">
        <v>0</v>
      </c>
      <c r="BG90" s="427">
        <v>0</v>
      </c>
      <c r="BH90" s="427">
        <v>0</v>
      </c>
      <c r="BI90" s="427">
        <v>0</v>
      </c>
      <c r="BJ90" s="427">
        <v>0</v>
      </c>
      <c r="BK90" s="427">
        <v>0</v>
      </c>
      <c r="BL90" s="427">
        <v>0</v>
      </c>
      <c r="BM90" s="427">
        <v>0</v>
      </c>
      <c r="BN90" s="427">
        <v>0</v>
      </c>
      <c r="BO90" s="427">
        <v>0</v>
      </c>
      <c r="BP90" s="427">
        <v>0</v>
      </c>
      <c r="BQ90" s="427">
        <v>0</v>
      </c>
      <c r="BR90" s="427">
        <v>0</v>
      </c>
      <c r="BS90" s="427">
        <v>0</v>
      </c>
      <c r="BT90" s="427">
        <v>0</v>
      </c>
      <c r="BU90" s="427">
        <v>0</v>
      </c>
      <c r="BV90" s="427">
        <v>0</v>
      </c>
      <c r="BW90" s="427">
        <v>0</v>
      </c>
      <c r="BX90" s="427">
        <v>0</v>
      </c>
      <c r="BY90" s="427">
        <v>0</v>
      </c>
      <c r="BZ90" s="427">
        <v>0</v>
      </c>
      <c r="CA90" s="427">
        <v>0</v>
      </c>
      <c r="CB90" s="427">
        <v>0</v>
      </c>
      <c r="CC90" s="427">
        <v>0</v>
      </c>
      <c r="CD90" s="427">
        <v>0</v>
      </c>
      <c r="CE90" s="427">
        <v>0</v>
      </c>
      <c r="CF90" s="427">
        <v>0</v>
      </c>
      <c r="CG90" s="427">
        <v>0</v>
      </c>
      <c r="CH90" s="427">
        <v>0</v>
      </c>
      <c r="CI90" s="427">
        <v>0</v>
      </c>
      <c r="CJ90" s="427">
        <v>0</v>
      </c>
      <c r="CK90" s="428">
        <v>0</v>
      </c>
      <c r="CL90" s="428">
        <v>0</v>
      </c>
      <c r="CM90" s="428">
        <v>0</v>
      </c>
      <c r="CN90" s="428">
        <v>0</v>
      </c>
      <c r="CO90" s="428">
        <v>0</v>
      </c>
      <c r="CP90" s="428">
        <v>0</v>
      </c>
      <c r="CQ90" s="428">
        <v>0</v>
      </c>
      <c r="CR90" s="428">
        <v>0</v>
      </c>
      <c r="CS90" s="428">
        <v>0</v>
      </c>
      <c r="CT90" s="428">
        <v>0</v>
      </c>
      <c r="CU90" s="428">
        <v>0</v>
      </c>
      <c r="CV90" s="428">
        <v>0</v>
      </c>
      <c r="CW90" s="428">
        <v>0</v>
      </c>
      <c r="CX90" s="428"/>
      <c r="CY90" s="428"/>
      <c r="CZ90" s="428"/>
      <c r="DA90" s="428"/>
      <c r="DB90" s="428"/>
      <c r="DC90" s="428"/>
      <c r="DD90" s="428"/>
      <c r="DE90" s="428"/>
      <c r="DF90" s="428"/>
      <c r="DG90" s="428"/>
      <c r="DH90" s="428"/>
      <c r="DI90" s="428"/>
    </row>
    <row r="91" spans="1:113" s="388" customFormat="1">
      <c r="A91" s="421" t="s">
        <v>370</v>
      </c>
      <c r="B91" s="421" t="s">
        <v>412</v>
      </c>
      <c r="C91" s="421" t="s">
        <v>418</v>
      </c>
      <c r="D91" s="422" t="s">
        <v>376</v>
      </c>
      <c r="E91" s="422">
        <v>2019</v>
      </c>
      <c r="F91" s="423">
        <v>2.3225656233775275E-3</v>
      </c>
      <c r="G91" s="424">
        <v>33.446838421603843</v>
      </c>
      <c r="H91" s="422">
        <v>10</v>
      </c>
      <c r="I91" s="425">
        <v>0.99</v>
      </c>
      <c r="J91" s="425">
        <v>0.99</v>
      </c>
      <c r="K91" s="422">
        <v>0</v>
      </c>
      <c r="L91" s="422">
        <v>0</v>
      </c>
      <c r="M91" s="422">
        <v>0</v>
      </c>
      <c r="N91" s="426">
        <v>0</v>
      </c>
      <c r="O91" s="426">
        <v>0</v>
      </c>
      <c r="P91" s="426">
        <v>0</v>
      </c>
      <c r="Q91" s="426">
        <v>0</v>
      </c>
      <c r="R91" s="426">
        <v>0</v>
      </c>
      <c r="S91" s="426">
        <v>0</v>
      </c>
      <c r="T91" s="426">
        <v>0</v>
      </c>
      <c r="U91" s="426">
        <v>0</v>
      </c>
      <c r="V91" s="426">
        <v>0</v>
      </c>
      <c r="W91" s="426">
        <v>0</v>
      </c>
      <c r="X91" s="426">
        <v>0</v>
      </c>
      <c r="Y91" s="426">
        <v>0</v>
      </c>
      <c r="Z91" s="426">
        <v>0</v>
      </c>
      <c r="AA91" s="426">
        <v>0</v>
      </c>
      <c r="AB91" s="426">
        <v>0</v>
      </c>
      <c r="AC91" s="426">
        <v>0</v>
      </c>
      <c r="AD91" s="426">
        <v>0</v>
      </c>
      <c r="AE91" s="426">
        <v>0</v>
      </c>
      <c r="AF91" s="426">
        <v>0</v>
      </c>
      <c r="AG91" s="426">
        <v>0</v>
      </c>
      <c r="AH91" s="426">
        <v>0</v>
      </c>
      <c r="AI91" s="426">
        <v>0</v>
      </c>
      <c r="AJ91" s="426">
        <v>0</v>
      </c>
      <c r="AK91" s="426">
        <v>0</v>
      </c>
      <c r="AL91" s="426">
        <v>0</v>
      </c>
      <c r="AM91" s="427">
        <v>0</v>
      </c>
      <c r="AN91" s="427">
        <v>0</v>
      </c>
      <c r="AO91" s="427">
        <v>0</v>
      </c>
      <c r="AP91" s="427">
        <v>0</v>
      </c>
      <c r="AQ91" s="427">
        <v>0</v>
      </c>
      <c r="AR91" s="427">
        <v>0</v>
      </c>
      <c r="AS91" s="427">
        <v>0</v>
      </c>
      <c r="AT91" s="427">
        <v>0</v>
      </c>
      <c r="AU91" s="427">
        <v>0</v>
      </c>
      <c r="AV91" s="427">
        <v>0</v>
      </c>
      <c r="AW91" s="427">
        <v>0</v>
      </c>
      <c r="AX91" s="427">
        <v>0</v>
      </c>
      <c r="AY91" s="427">
        <v>0</v>
      </c>
      <c r="AZ91" s="427">
        <v>0</v>
      </c>
      <c r="BA91" s="427">
        <v>0</v>
      </c>
      <c r="BB91" s="427">
        <v>0</v>
      </c>
      <c r="BC91" s="427">
        <v>0</v>
      </c>
      <c r="BD91" s="427">
        <v>0</v>
      </c>
      <c r="BE91" s="427">
        <v>0</v>
      </c>
      <c r="BF91" s="427">
        <v>0</v>
      </c>
      <c r="BG91" s="427">
        <v>0</v>
      </c>
      <c r="BH91" s="427">
        <v>0</v>
      </c>
      <c r="BI91" s="427">
        <v>0</v>
      </c>
      <c r="BJ91" s="427">
        <v>0</v>
      </c>
      <c r="BK91" s="427">
        <v>0</v>
      </c>
      <c r="BL91" s="427">
        <v>0</v>
      </c>
      <c r="BM91" s="427">
        <v>0</v>
      </c>
      <c r="BN91" s="427">
        <v>0</v>
      </c>
      <c r="BO91" s="427">
        <v>0</v>
      </c>
      <c r="BP91" s="427">
        <v>0</v>
      </c>
      <c r="BQ91" s="427">
        <v>0</v>
      </c>
      <c r="BR91" s="427">
        <v>0</v>
      </c>
      <c r="BS91" s="427">
        <v>0</v>
      </c>
      <c r="BT91" s="427">
        <v>0</v>
      </c>
      <c r="BU91" s="427">
        <v>0</v>
      </c>
      <c r="BV91" s="427">
        <v>0</v>
      </c>
      <c r="BW91" s="427">
        <v>0</v>
      </c>
      <c r="BX91" s="427">
        <v>0</v>
      </c>
      <c r="BY91" s="427">
        <v>0</v>
      </c>
      <c r="BZ91" s="427">
        <v>0</v>
      </c>
      <c r="CA91" s="427">
        <v>0</v>
      </c>
      <c r="CB91" s="427">
        <v>0</v>
      </c>
      <c r="CC91" s="427">
        <v>0</v>
      </c>
      <c r="CD91" s="427">
        <v>0</v>
      </c>
      <c r="CE91" s="427">
        <v>0</v>
      </c>
      <c r="CF91" s="427">
        <v>0</v>
      </c>
      <c r="CG91" s="427">
        <v>0</v>
      </c>
      <c r="CH91" s="427">
        <v>0</v>
      </c>
      <c r="CI91" s="427">
        <v>0</v>
      </c>
      <c r="CJ91" s="427">
        <v>0</v>
      </c>
      <c r="CK91" s="428">
        <v>0</v>
      </c>
      <c r="CL91" s="428">
        <v>0</v>
      </c>
      <c r="CM91" s="428">
        <v>0</v>
      </c>
      <c r="CN91" s="428">
        <v>0</v>
      </c>
      <c r="CO91" s="428">
        <v>0</v>
      </c>
      <c r="CP91" s="428">
        <v>0</v>
      </c>
      <c r="CQ91" s="428">
        <v>0</v>
      </c>
      <c r="CR91" s="428">
        <v>0</v>
      </c>
      <c r="CS91" s="428">
        <v>0</v>
      </c>
      <c r="CT91" s="428">
        <v>0</v>
      </c>
      <c r="CU91" s="428">
        <v>0</v>
      </c>
      <c r="CV91" s="428">
        <v>0</v>
      </c>
      <c r="CW91" s="428">
        <v>0</v>
      </c>
      <c r="CX91" s="428"/>
      <c r="CY91" s="428"/>
      <c r="CZ91" s="428"/>
      <c r="DA91" s="428"/>
      <c r="DB91" s="428"/>
      <c r="DC91" s="428"/>
      <c r="DD91" s="428"/>
      <c r="DE91" s="428"/>
      <c r="DF91" s="428"/>
      <c r="DG91" s="428"/>
      <c r="DH91" s="428"/>
      <c r="DI91" s="428"/>
    </row>
    <row r="92" spans="1:113" s="388" customFormat="1">
      <c r="A92" s="421" t="s">
        <v>370</v>
      </c>
      <c r="B92" s="421" t="s">
        <v>412</v>
      </c>
      <c r="C92" s="421" t="s">
        <v>418</v>
      </c>
      <c r="D92" s="422" t="s">
        <v>376</v>
      </c>
      <c r="E92" s="422">
        <v>2020</v>
      </c>
      <c r="F92" s="423">
        <v>2.3225656233775275E-3</v>
      </c>
      <c r="G92" s="424">
        <v>33.446838421603843</v>
      </c>
      <c r="H92" s="422">
        <v>10</v>
      </c>
      <c r="I92" s="425">
        <v>0.99</v>
      </c>
      <c r="J92" s="425">
        <v>0.99</v>
      </c>
      <c r="K92" s="422">
        <v>0</v>
      </c>
      <c r="L92" s="422">
        <v>0</v>
      </c>
      <c r="M92" s="422">
        <v>0</v>
      </c>
      <c r="N92" s="426">
        <v>0</v>
      </c>
      <c r="O92" s="426">
        <v>0</v>
      </c>
      <c r="P92" s="426">
        <v>0</v>
      </c>
      <c r="Q92" s="426">
        <v>0</v>
      </c>
      <c r="R92" s="426">
        <v>0</v>
      </c>
      <c r="S92" s="426">
        <v>0</v>
      </c>
      <c r="T92" s="426">
        <v>0</v>
      </c>
      <c r="U92" s="426">
        <v>0</v>
      </c>
      <c r="V92" s="426">
        <v>0</v>
      </c>
      <c r="W92" s="426">
        <v>0</v>
      </c>
      <c r="X92" s="426">
        <v>0</v>
      </c>
      <c r="Y92" s="426">
        <v>0</v>
      </c>
      <c r="Z92" s="426">
        <v>0</v>
      </c>
      <c r="AA92" s="426">
        <v>0</v>
      </c>
      <c r="AB92" s="426">
        <v>0</v>
      </c>
      <c r="AC92" s="426">
        <v>0</v>
      </c>
      <c r="AD92" s="426">
        <v>0</v>
      </c>
      <c r="AE92" s="426">
        <v>0</v>
      </c>
      <c r="AF92" s="426">
        <v>0</v>
      </c>
      <c r="AG92" s="426">
        <v>0</v>
      </c>
      <c r="AH92" s="426">
        <v>0</v>
      </c>
      <c r="AI92" s="426">
        <v>0</v>
      </c>
      <c r="AJ92" s="426">
        <v>0</v>
      </c>
      <c r="AK92" s="426">
        <v>0</v>
      </c>
      <c r="AL92" s="426">
        <v>0</v>
      </c>
      <c r="AM92" s="427">
        <v>0</v>
      </c>
      <c r="AN92" s="427">
        <v>0</v>
      </c>
      <c r="AO92" s="427">
        <v>0</v>
      </c>
      <c r="AP92" s="427">
        <v>0</v>
      </c>
      <c r="AQ92" s="427">
        <v>0</v>
      </c>
      <c r="AR92" s="427">
        <v>0</v>
      </c>
      <c r="AS92" s="427">
        <v>0</v>
      </c>
      <c r="AT92" s="427">
        <v>0</v>
      </c>
      <c r="AU92" s="427">
        <v>0</v>
      </c>
      <c r="AV92" s="427">
        <v>0</v>
      </c>
      <c r="AW92" s="427">
        <v>0</v>
      </c>
      <c r="AX92" s="427">
        <v>0</v>
      </c>
      <c r="AY92" s="427">
        <v>0</v>
      </c>
      <c r="AZ92" s="427">
        <v>0</v>
      </c>
      <c r="BA92" s="427">
        <v>0</v>
      </c>
      <c r="BB92" s="427">
        <v>0</v>
      </c>
      <c r="BC92" s="427">
        <v>0</v>
      </c>
      <c r="BD92" s="427">
        <v>0</v>
      </c>
      <c r="BE92" s="427">
        <v>0</v>
      </c>
      <c r="BF92" s="427">
        <v>0</v>
      </c>
      <c r="BG92" s="427">
        <v>0</v>
      </c>
      <c r="BH92" s="427">
        <v>0</v>
      </c>
      <c r="BI92" s="427">
        <v>0</v>
      </c>
      <c r="BJ92" s="427">
        <v>0</v>
      </c>
      <c r="BK92" s="427">
        <v>0</v>
      </c>
      <c r="BL92" s="427">
        <v>0</v>
      </c>
      <c r="BM92" s="427">
        <v>0</v>
      </c>
      <c r="BN92" s="427">
        <v>0</v>
      </c>
      <c r="BO92" s="427">
        <v>0</v>
      </c>
      <c r="BP92" s="427">
        <v>0</v>
      </c>
      <c r="BQ92" s="427">
        <v>0</v>
      </c>
      <c r="BR92" s="427">
        <v>0</v>
      </c>
      <c r="BS92" s="427">
        <v>0</v>
      </c>
      <c r="BT92" s="427">
        <v>0</v>
      </c>
      <c r="BU92" s="427">
        <v>0</v>
      </c>
      <c r="BV92" s="427">
        <v>0</v>
      </c>
      <c r="BW92" s="427">
        <v>0</v>
      </c>
      <c r="BX92" s="427">
        <v>0</v>
      </c>
      <c r="BY92" s="427">
        <v>0</v>
      </c>
      <c r="BZ92" s="427">
        <v>0</v>
      </c>
      <c r="CA92" s="427">
        <v>0</v>
      </c>
      <c r="CB92" s="427">
        <v>0</v>
      </c>
      <c r="CC92" s="427">
        <v>0</v>
      </c>
      <c r="CD92" s="427">
        <v>0</v>
      </c>
      <c r="CE92" s="427">
        <v>0</v>
      </c>
      <c r="CF92" s="427">
        <v>0</v>
      </c>
      <c r="CG92" s="427">
        <v>0</v>
      </c>
      <c r="CH92" s="427">
        <v>0</v>
      </c>
      <c r="CI92" s="427">
        <v>0</v>
      </c>
      <c r="CJ92" s="427">
        <v>0</v>
      </c>
      <c r="CK92" s="428">
        <v>0</v>
      </c>
      <c r="CL92" s="428">
        <v>0</v>
      </c>
      <c r="CM92" s="428">
        <v>0</v>
      </c>
      <c r="CN92" s="428">
        <v>0</v>
      </c>
      <c r="CO92" s="428">
        <v>0</v>
      </c>
      <c r="CP92" s="428">
        <v>0</v>
      </c>
      <c r="CQ92" s="428">
        <v>0</v>
      </c>
      <c r="CR92" s="428">
        <v>0</v>
      </c>
      <c r="CS92" s="428">
        <v>0</v>
      </c>
      <c r="CT92" s="428">
        <v>0</v>
      </c>
      <c r="CU92" s="428">
        <v>0</v>
      </c>
      <c r="CV92" s="428">
        <v>0</v>
      </c>
      <c r="CW92" s="428">
        <v>0</v>
      </c>
      <c r="CX92" s="428"/>
      <c r="CY92" s="428"/>
      <c r="CZ92" s="428"/>
      <c r="DA92" s="428"/>
      <c r="DB92" s="428"/>
      <c r="DC92" s="428"/>
      <c r="DD92" s="428"/>
      <c r="DE92" s="428"/>
      <c r="DF92" s="428"/>
      <c r="DG92" s="428"/>
      <c r="DH92" s="428"/>
      <c r="DI92" s="428"/>
    </row>
    <row r="93" spans="1:113" s="388" customFormat="1">
      <c r="A93" s="421" t="s">
        <v>370</v>
      </c>
      <c r="B93" s="421" t="s">
        <v>11</v>
      </c>
      <c r="C93" s="421" t="s">
        <v>421</v>
      </c>
      <c r="D93" s="422" t="s">
        <v>376</v>
      </c>
      <c r="E93" s="422">
        <v>2015</v>
      </c>
      <c r="F93" s="423">
        <v>0.67403358398631319</v>
      </c>
      <c r="G93" s="424">
        <v>2919.3928424157311</v>
      </c>
      <c r="H93" s="422">
        <v>13</v>
      </c>
      <c r="I93" s="425">
        <v>0.62999999999999978</v>
      </c>
      <c r="J93" s="425">
        <v>0.62999999999999978</v>
      </c>
      <c r="K93" s="422">
        <v>0</v>
      </c>
      <c r="L93" s="422">
        <v>0</v>
      </c>
      <c r="M93" s="422">
        <v>0</v>
      </c>
      <c r="N93" s="426">
        <v>0</v>
      </c>
      <c r="O93" s="426">
        <v>0</v>
      </c>
      <c r="P93" s="426">
        <v>0</v>
      </c>
      <c r="Q93" s="426">
        <v>0</v>
      </c>
      <c r="R93" s="426">
        <v>0</v>
      </c>
      <c r="S93" s="426">
        <v>0</v>
      </c>
      <c r="T93" s="426">
        <v>0</v>
      </c>
      <c r="U93" s="426">
        <v>0</v>
      </c>
      <c r="V93" s="426">
        <v>0</v>
      </c>
      <c r="W93" s="426">
        <v>0</v>
      </c>
      <c r="X93" s="426">
        <v>0</v>
      </c>
      <c r="Y93" s="426">
        <v>0</v>
      </c>
      <c r="Z93" s="426">
        <v>0</v>
      </c>
      <c r="AA93" s="426">
        <v>0</v>
      </c>
      <c r="AB93" s="426">
        <v>0</v>
      </c>
      <c r="AC93" s="426">
        <v>0</v>
      </c>
      <c r="AD93" s="426">
        <v>0</v>
      </c>
      <c r="AE93" s="426">
        <v>0</v>
      </c>
      <c r="AF93" s="426">
        <v>0</v>
      </c>
      <c r="AG93" s="426">
        <v>0</v>
      </c>
      <c r="AH93" s="426">
        <v>0</v>
      </c>
      <c r="AI93" s="426">
        <v>0</v>
      </c>
      <c r="AJ93" s="426">
        <v>0</v>
      </c>
      <c r="AK93" s="426">
        <v>0</v>
      </c>
      <c r="AL93" s="426">
        <v>0</v>
      </c>
      <c r="AM93" s="427">
        <v>0</v>
      </c>
      <c r="AN93" s="427">
        <v>0</v>
      </c>
      <c r="AO93" s="427">
        <v>0</v>
      </c>
      <c r="AP93" s="427">
        <v>0</v>
      </c>
      <c r="AQ93" s="427">
        <v>0</v>
      </c>
      <c r="AR93" s="427">
        <v>0</v>
      </c>
      <c r="AS93" s="427">
        <v>0</v>
      </c>
      <c r="AT93" s="427">
        <v>0</v>
      </c>
      <c r="AU93" s="427">
        <v>0</v>
      </c>
      <c r="AV93" s="427">
        <v>0</v>
      </c>
      <c r="AW93" s="427">
        <v>0</v>
      </c>
      <c r="AX93" s="427">
        <v>0</v>
      </c>
      <c r="AY93" s="427">
        <v>0</v>
      </c>
      <c r="AZ93" s="427">
        <v>0</v>
      </c>
      <c r="BA93" s="427">
        <v>0</v>
      </c>
      <c r="BB93" s="427">
        <v>0</v>
      </c>
      <c r="BC93" s="427">
        <v>0</v>
      </c>
      <c r="BD93" s="427">
        <v>0</v>
      </c>
      <c r="BE93" s="427">
        <v>0</v>
      </c>
      <c r="BF93" s="427">
        <v>0</v>
      </c>
      <c r="BG93" s="427">
        <v>0</v>
      </c>
      <c r="BH93" s="427">
        <v>0</v>
      </c>
      <c r="BI93" s="427">
        <v>0</v>
      </c>
      <c r="BJ93" s="427">
        <v>0</v>
      </c>
      <c r="BK93" s="427">
        <v>0</v>
      </c>
      <c r="BL93" s="427">
        <v>0</v>
      </c>
      <c r="BM93" s="427">
        <v>0</v>
      </c>
      <c r="BN93" s="427">
        <v>0</v>
      </c>
      <c r="BO93" s="427">
        <v>0</v>
      </c>
      <c r="BP93" s="427">
        <v>0</v>
      </c>
      <c r="BQ93" s="427">
        <v>0</v>
      </c>
      <c r="BR93" s="427">
        <v>0</v>
      </c>
      <c r="BS93" s="427">
        <v>0</v>
      </c>
      <c r="BT93" s="427">
        <v>0</v>
      </c>
      <c r="BU93" s="427">
        <v>0</v>
      </c>
      <c r="BV93" s="427">
        <v>0</v>
      </c>
      <c r="BW93" s="427">
        <v>0</v>
      </c>
      <c r="BX93" s="427">
        <v>0</v>
      </c>
      <c r="BY93" s="427">
        <v>0</v>
      </c>
      <c r="BZ93" s="427">
        <v>0</v>
      </c>
      <c r="CA93" s="427">
        <v>0</v>
      </c>
      <c r="CB93" s="427">
        <v>0</v>
      </c>
      <c r="CC93" s="427">
        <v>0</v>
      </c>
      <c r="CD93" s="427">
        <v>0</v>
      </c>
      <c r="CE93" s="427">
        <v>0</v>
      </c>
      <c r="CF93" s="427">
        <v>0</v>
      </c>
      <c r="CG93" s="427">
        <v>0</v>
      </c>
      <c r="CH93" s="427">
        <v>0</v>
      </c>
      <c r="CI93" s="427">
        <v>0</v>
      </c>
      <c r="CJ93" s="427">
        <v>0</v>
      </c>
      <c r="CK93" s="428">
        <v>0</v>
      </c>
      <c r="CL93" s="428">
        <v>0</v>
      </c>
      <c r="CM93" s="428">
        <v>0</v>
      </c>
      <c r="CN93" s="428">
        <v>0</v>
      </c>
      <c r="CO93" s="428">
        <v>0</v>
      </c>
      <c r="CP93" s="428">
        <v>0</v>
      </c>
      <c r="CQ93" s="428">
        <v>0</v>
      </c>
      <c r="CR93" s="428">
        <v>0</v>
      </c>
      <c r="CS93" s="428">
        <v>0</v>
      </c>
      <c r="CT93" s="428">
        <v>0</v>
      </c>
      <c r="CU93" s="428">
        <v>0</v>
      </c>
      <c r="CV93" s="428">
        <v>0</v>
      </c>
      <c r="CW93" s="428">
        <v>0</v>
      </c>
      <c r="CX93" s="428"/>
      <c r="CY93" s="428"/>
      <c r="CZ93" s="428"/>
      <c r="DA93" s="428"/>
      <c r="DB93" s="428"/>
      <c r="DC93" s="428"/>
      <c r="DD93" s="428"/>
      <c r="DE93" s="428"/>
      <c r="DF93" s="428"/>
      <c r="DG93" s="428"/>
      <c r="DH93" s="428"/>
      <c r="DI93" s="428"/>
    </row>
    <row r="94" spans="1:113" s="388" customFormat="1">
      <c r="A94" s="421" t="s">
        <v>370</v>
      </c>
      <c r="B94" s="421" t="s">
        <v>11</v>
      </c>
      <c r="C94" s="421" t="s">
        <v>421</v>
      </c>
      <c r="D94" s="422" t="s">
        <v>376</v>
      </c>
      <c r="E94" s="422">
        <v>2016</v>
      </c>
      <c r="F94" s="423">
        <v>0.67403358398631319</v>
      </c>
      <c r="G94" s="424">
        <v>2919.3928424157311</v>
      </c>
      <c r="H94" s="422">
        <v>13</v>
      </c>
      <c r="I94" s="425">
        <v>0.62999999999999978</v>
      </c>
      <c r="J94" s="425">
        <v>0.62999999999999978</v>
      </c>
      <c r="K94" s="422">
        <v>0</v>
      </c>
      <c r="L94" s="422">
        <v>0</v>
      </c>
      <c r="M94" s="422">
        <v>0</v>
      </c>
      <c r="N94" s="426">
        <v>0</v>
      </c>
      <c r="O94" s="426">
        <v>0</v>
      </c>
      <c r="P94" s="426">
        <v>0</v>
      </c>
      <c r="Q94" s="426">
        <v>0</v>
      </c>
      <c r="R94" s="426">
        <v>0</v>
      </c>
      <c r="S94" s="426">
        <v>0</v>
      </c>
      <c r="T94" s="426">
        <v>0</v>
      </c>
      <c r="U94" s="426">
        <v>0</v>
      </c>
      <c r="V94" s="426">
        <v>0</v>
      </c>
      <c r="W94" s="426">
        <v>0</v>
      </c>
      <c r="X94" s="426">
        <v>0</v>
      </c>
      <c r="Y94" s="426">
        <v>0</v>
      </c>
      <c r="Z94" s="426">
        <v>0</v>
      </c>
      <c r="AA94" s="426">
        <v>0</v>
      </c>
      <c r="AB94" s="426">
        <v>0</v>
      </c>
      <c r="AC94" s="426">
        <v>0</v>
      </c>
      <c r="AD94" s="426">
        <v>0</v>
      </c>
      <c r="AE94" s="426">
        <v>0</v>
      </c>
      <c r="AF94" s="426">
        <v>0</v>
      </c>
      <c r="AG94" s="426">
        <v>0</v>
      </c>
      <c r="AH94" s="426">
        <v>0</v>
      </c>
      <c r="AI94" s="426">
        <v>0</v>
      </c>
      <c r="AJ94" s="426">
        <v>0</v>
      </c>
      <c r="AK94" s="426">
        <v>0</v>
      </c>
      <c r="AL94" s="426">
        <v>0</v>
      </c>
      <c r="AM94" s="427">
        <v>0</v>
      </c>
      <c r="AN94" s="427">
        <v>0</v>
      </c>
      <c r="AO94" s="427">
        <v>0</v>
      </c>
      <c r="AP94" s="427">
        <v>0</v>
      </c>
      <c r="AQ94" s="427">
        <v>0</v>
      </c>
      <c r="AR94" s="427">
        <v>0</v>
      </c>
      <c r="AS94" s="427">
        <v>0</v>
      </c>
      <c r="AT94" s="427">
        <v>0</v>
      </c>
      <c r="AU94" s="427">
        <v>0</v>
      </c>
      <c r="AV94" s="427">
        <v>0</v>
      </c>
      <c r="AW94" s="427">
        <v>0</v>
      </c>
      <c r="AX94" s="427">
        <v>0</v>
      </c>
      <c r="AY94" s="427">
        <v>0</v>
      </c>
      <c r="AZ94" s="427">
        <v>0</v>
      </c>
      <c r="BA94" s="427">
        <v>0</v>
      </c>
      <c r="BB94" s="427">
        <v>0</v>
      </c>
      <c r="BC94" s="427">
        <v>0</v>
      </c>
      <c r="BD94" s="427">
        <v>0</v>
      </c>
      <c r="BE94" s="427">
        <v>0</v>
      </c>
      <c r="BF94" s="427">
        <v>0</v>
      </c>
      <c r="BG94" s="427">
        <v>0</v>
      </c>
      <c r="BH94" s="427">
        <v>0</v>
      </c>
      <c r="BI94" s="427">
        <v>0</v>
      </c>
      <c r="BJ94" s="427">
        <v>0</v>
      </c>
      <c r="BK94" s="427">
        <v>0</v>
      </c>
      <c r="BL94" s="427">
        <v>0</v>
      </c>
      <c r="BM94" s="427">
        <v>0</v>
      </c>
      <c r="BN94" s="427">
        <v>0</v>
      </c>
      <c r="BO94" s="427">
        <v>0</v>
      </c>
      <c r="BP94" s="427">
        <v>0</v>
      </c>
      <c r="BQ94" s="427">
        <v>0</v>
      </c>
      <c r="BR94" s="427">
        <v>0</v>
      </c>
      <c r="BS94" s="427">
        <v>0</v>
      </c>
      <c r="BT94" s="427">
        <v>0</v>
      </c>
      <c r="BU94" s="427">
        <v>0</v>
      </c>
      <c r="BV94" s="427">
        <v>0</v>
      </c>
      <c r="BW94" s="427">
        <v>0</v>
      </c>
      <c r="BX94" s="427">
        <v>0</v>
      </c>
      <c r="BY94" s="427">
        <v>0</v>
      </c>
      <c r="BZ94" s="427">
        <v>0</v>
      </c>
      <c r="CA94" s="427">
        <v>0</v>
      </c>
      <c r="CB94" s="427">
        <v>0</v>
      </c>
      <c r="CC94" s="427">
        <v>0</v>
      </c>
      <c r="CD94" s="427">
        <v>0</v>
      </c>
      <c r="CE94" s="427">
        <v>0</v>
      </c>
      <c r="CF94" s="427">
        <v>0</v>
      </c>
      <c r="CG94" s="427">
        <v>0</v>
      </c>
      <c r="CH94" s="427">
        <v>0</v>
      </c>
      <c r="CI94" s="427">
        <v>0</v>
      </c>
      <c r="CJ94" s="427">
        <v>0</v>
      </c>
      <c r="CK94" s="428">
        <v>0</v>
      </c>
      <c r="CL94" s="428">
        <v>0</v>
      </c>
      <c r="CM94" s="428">
        <v>0</v>
      </c>
      <c r="CN94" s="428">
        <v>0</v>
      </c>
      <c r="CO94" s="428">
        <v>0</v>
      </c>
      <c r="CP94" s="428">
        <v>0</v>
      </c>
      <c r="CQ94" s="428">
        <v>0</v>
      </c>
      <c r="CR94" s="428">
        <v>0</v>
      </c>
      <c r="CS94" s="428">
        <v>0</v>
      </c>
      <c r="CT94" s="428">
        <v>0</v>
      </c>
      <c r="CU94" s="428">
        <v>0</v>
      </c>
      <c r="CV94" s="428">
        <v>0</v>
      </c>
      <c r="CW94" s="428">
        <v>0</v>
      </c>
      <c r="CX94" s="428"/>
      <c r="CY94" s="428"/>
      <c r="CZ94" s="428"/>
      <c r="DA94" s="428"/>
      <c r="DB94" s="428"/>
      <c r="DC94" s="428"/>
      <c r="DD94" s="428"/>
      <c r="DE94" s="428"/>
      <c r="DF94" s="428"/>
      <c r="DG94" s="428"/>
      <c r="DH94" s="428"/>
      <c r="DI94" s="428"/>
    </row>
    <row r="95" spans="1:113" s="388" customFormat="1">
      <c r="A95" s="421" t="s">
        <v>370</v>
      </c>
      <c r="B95" s="421" t="s">
        <v>11</v>
      </c>
      <c r="C95" s="421" t="s">
        <v>421</v>
      </c>
      <c r="D95" s="422" t="s">
        <v>376</v>
      </c>
      <c r="E95" s="422">
        <v>2017</v>
      </c>
      <c r="F95" s="423">
        <v>0.67403358398631319</v>
      </c>
      <c r="G95" s="424">
        <v>2919.3928424157311</v>
      </c>
      <c r="H95" s="422">
        <v>13</v>
      </c>
      <c r="I95" s="425">
        <v>0.62999999999999978</v>
      </c>
      <c r="J95" s="425">
        <v>0.62999999999999978</v>
      </c>
      <c r="K95" s="422">
        <v>0</v>
      </c>
      <c r="L95" s="422">
        <v>0</v>
      </c>
      <c r="M95" s="422">
        <v>0</v>
      </c>
      <c r="N95" s="426">
        <v>0</v>
      </c>
      <c r="O95" s="426">
        <v>0</v>
      </c>
      <c r="P95" s="426">
        <v>0</v>
      </c>
      <c r="Q95" s="426">
        <v>0</v>
      </c>
      <c r="R95" s="426">
        <v>0</v>
      </c>
      <c r="S95" s="426">
        <v>0</v>
      </c>
      <c r="T95" s="426">
        <v>0</v>
      </c>
      <c r="U95" s="426">
        <v>0</v>
      </c>
      <c r="V95" s="426">
        <v>0</v>
      </c>
      <c r="W95" s="426">
        <v>0</v>
      </c>
      <c r="X95" s="426">
        <v>0</v>
      </c>
      <c r="Y95" s="426">
        <v>0</v>
      </c>
      <c r="Z95" s="426">
        <v>0</v>
      </c>
      <c r="AA95" s="426">
        <v>0</v>
      </c>
      <c r="AB95" s="426">
        <v>0</v>
      </c>
      <c r="AC95" s="426">
        <v>0</v>
      </c>
      <c r="AD95" s="426">
        <v>0</v>
      </c>
      <c r="AE95" s="426">
        <v>0</v>
      </c>
      <c r="AF95" s="426">
        <v>0</v>
      </c>
      <c r="AG95" s="426">
        <v>0</v>
      </c>
      <c r="AH95" s="426">
        <v>0</v>
      </c>
      <c r="AI95" s="426">
        <v>0</v>
      </c>
      <c r="AJ95" s="426">
        <v>0</v>
      </c>
      <c r="AK95" s="426">
        <v>0</v>
      </c>
      <c r="AL95" s="426">
        <v>0</v>
      </c>
      <c r="AM95" s="427">
        <v>0</v>
      </c>
      <c r="AN95" s="427">
        <v>0</v>
      </c>
      <c r="AO95" s="427">
        <v>0</v>
      </c>
      <c r="AP95" s="427">
        <v>0</v>
      </c>
      <c r="AQ95" s="427">
        <v>0</v>
      </c>
      <c r="AR95" s="427">
        <v>0</v>
      </c>
      <c r="AS95" s="427">
        <v>0</v>
      </c>
      <c r="AT95" s="427">
        <v>0</v>
      </c>
      <c r="AU95" s="427">
        <v>0</v>
      </c>
      <c r="AV95" s="427">
        <v>0</v>
      </c>
      <c r="AW95" s="427">
        <v>0</v>
      </c>
      <c r="AX95" s="427">
        <v>0</v>
      </c>
      <c r="AY95" s="427">
        <v>0</v>
      </c>
      <c r="AZ95" s="427">
        <v>0</v>
      </c>
      <c r="BA95" s="427">
        <v>0</v>
      </c>
      <c r="BB95" s="427">
        <v>0</v>
      </c>
      <c r="BC95" s="427">
        <v>0</v>
      </c>
      <c r="BD95" s="427">
        <v>0</v>
      </c>
      <c r="BE95" s="427">
        <v>0</v>
      </c>
      <c r="BF95" s="427">
        <v>0</v>
      </c>
      <c r="BG95" s="427">
        <v>0</v>
      </c>
      <c r="BH95" s="427">
        <v>0</v>
      </c>
      <c r="BI95" s="427">
        <v>0</v>
      </c>
      <c r="BJ95" s="427">
        <v>0</v>
      </c>
      <c r="BK95" s="427">
        <v>0</v>
      </c>
      <c r="BL95" s="427">
        <v>0</v>
      </c>
      <c r="BM95" s="427">
        <v>0</v>
      </c>
      <c r="BN95" s="427">
        <v>0</v>
      </c>
      <c r="BO95" s="427">
        <v>0</v>
      </c>
      <c r="BP95" s="427">
        <v>0</v>
      </c>
      <c r="BQ95" s="427">
        <v>0</v>
      </c>
      <c r="BR95" s="427">
        <v>0</v>
      </c>
      <c r="BS95" s="427">
        <v>0</v>
      </c>
      <c r="BT95" s="427">
        <v>0</v>
      </c>
      <c r="BU95" s="427">
        <v>0</v>
      </c>
      <c r="BV95" s="427">
        <v>0</v>
      </c>
      <c r="BW95" s="427">
        <v>0</v>
      </c>
      <c r="BX95" s="427">
        <v>0</v>
      </c>
      <c r="BY95" s="427">
        <v>0</v>
      </c>
      <c r="BZ95" s="427">
        <v>0</v>
      </c>
      <c r="CA95" s="427">
        <v>0</v>
      </c>
      <c r="CB95" s="427">
        <v>0</v>
      </c>
      <c r="CC95" s="427">
        <v>0</v>
      </c>
      <c r="CD95" s="427">
        <v>0</v>
      </c>
      <c r="CE95" s="427">
        <v>0</v>
      </c>
      <c r="CF95" s="427">
        <v>0</v>
      </c>
      <c r="CG95" s="427">
        <v>0</v>
      </c>
      <c r="CH95" s="427">
        <v>0</v>
      </c>
      <c r="CI95" s="427">
        <v>0</v>
      </c>
      <c r="CJ95" s="427">
        <v>0</v>
      </c>
      <c r="CK95" s="428">
        <v>0</v>
      </c>
      <c r="CL95" s="428">
        <v>0</v>
      </c>
      <c r="CM95" s="428">
        <v>0</v>
      </c>
      <c r="CN95" s="428">
        <v>0</v>
      </c>
      <c r="CO95" s="428">
        <v>0</v>
      </c>
      <c r="CP95" s="428">
        <v>0</v>
      </c>
      <c r="CQ95" s="428">
        <v>0</v>
      </c>
      <c r="CR95" s="428">
        <v>0</v>
      </c>
      <c r="CS95" s="428">
        <v>0</v>
      </c>
      <c r="CT95" s="428">
        <v>0</v>
      </c>
      <c r="CU95" s="428">
        <v>0</v>
      </c>
      <c r="CV95" s="428">
        <v>0</v>
      </c>
      <c r="CW95" s="428">
        <v>0</v>
      </c>
      <c r="CX95" s="428"/>
      <c r="CY95" s="428"/>
      <c r="CZ95" s="428"/>
      <c r="DA95" s="428"/>
      <c r="DB95" s="428"/>
      <c r="DC95" s="428"/>
      <c r="DD95" s="428"/>
      <c r="DE95" s="428"/>
      <c r="DF95" s="428"/>
      <c r="DG95" s="428"/>
      <c r="DH95" s="428"/>
      <c r="DI95" s="428"/>
    </row>
    <row r="96" spans="1:113" s="388" customFormat="1">
      <c r="A96" s="421" t="s">
        <v>370</v>
      </c>
      <c r="B96" s="421" t="s">
        <v>11</v>
      </c>
      <c r="C96" s="421" t="s">
        <v>421</v>
      </c>
      <c r="D96" s="422" t="s">
        <v>376</v>
      </c>
      <c r="E96" s="422">
        <v>2018</v>
      </c>
      <c r="F96" s="423">
        <v>0.67403358398631319</v>
      </c>
      <c r="G96" s="424">
        <v>2919.3928424157311</v>
      </c>
      <c r="H96" s="422">
        <v>13</v>
      </c>
      <c r="I96" s="425">
        <v>0.62999999999999978</v>
      </c>
      <c r="J96" s="425">
        <v>0.62999999999999978</v>
      </c>
      <c r="K96" s="422">
        <v>0</v>
      </c>
      <c r="L96" s="422">
        <v>0</v>
      </c>
      <c r="M96" s="422">
        <v>0</v>
      </c>
      <c r="N96" s="426">
        <v>0</v>
      </c>
      <c r="O96" s="426">
        <v>0</v>
      </c>
      <c r="P96" s="426">
        <v>0</v>
      </c>
      <c r="Q96" s="426">
        <v>0</v>
      </c>
      <c r="R96" s="426">
        <v>0</v>
      </c>
      <c r="S96" s="426">
        <v>0</v>
      </c>
      <c r="T96" s="426">
        <v>0</v>
      </c>
      <c r="U96" s="426">
        <v>0</v>
      </c>
      <c r="V96" s="426">
        <v>0</v>
      </c>
      <c r="W96" s="426">
        <v>0</v>
      </c>
      <c r="X96" s="426">
        <v>0</v>
      </c>
      <c r="Y96" s="426">
        <v>0</v>
      </c>
      <c r="Z96" s="426">
        <v>0</v>
      </c>
      <c r="AA96" s="426">
        <v>0</v>
      </c>
      <c r="AB96" s="426">
        <v>0</v>
      </c>
      <c r="AC96" s="426">
        <v>0</v>
      </c>
      <c r="AD96" s="426">
        <v>0</v>
      </c>
      <c r="AE96" s="426">
        <v>0</v>
      </c>
      <c r="AF96" s="426">
        <v>0</v>
      </c>
      <c r="AG96" s="426">
        <v>0</v>
      </c>
      <c r="AH96" s="426">
        <v>0</v>
      </c>
      <c r="AI96" s="426">
        <v>0</v>
      </c>
      <c r="AJ96" s="426">
        <v>0</v>
      </c>
      <c r="AK96" s="426">
        <v>0</v>
      </c>
      <c r="AL96" s="426">
        <v>0</v>
      </c>
      <c r="AM96" s="427">
        <v>0</v>
      </c>
      <c r="AN96" s="427">
        <v>0</v>
      </c>
      <c r="AO96" s="427">
        <v>0</v>
      </c>
      <c r="AP96" s="427">
        <v>0</v>
      </c>
      <c r="AQ96" s="427">
        <v>0</v>
      </c>
      <c r="AR96" s="427">
        <v>0</v>
      </c>
      <c r="AS96" s="427">
        <v>0</v>
      </c>
      <c r="AT96" s="427">
        <v>0</v>
      </c>
      <c r="AU96" s="427">
        <v>0</v>
      </c>
      <c r="AV96" s="427">
        <v>0</v>
      </c>
      <c r="AW96" s="427">
        <v>0</v>
      </c>
      <c r="AX96" s="427">
        <v>0</v>
      </c>
      <c r="AY96" s="427">
        <v>0</v>
      </c>
      <c r="AZ96" s="427">
        <v>0</v>
      </c>
      <c r="BA96" s="427">
        <v>0</v>
      </c>
      <c r="BB96" s="427">
        <v>0</v>
      </c>
      <c r="BC96" s="427">
        <v>0</v>
      </c>
      <c r="BD96" s="427">
        <v>0</v>
      </c>
      <c r="BE96" s="427">
        <v>0</v>
      </c>
      <c r="BF96" s="427">
        <v>0</v>
      </c>
      <c r="BG96" s="427">
        <v>0</v>
      </c>
      <c r="BH96" s="427">
        <v>0</v>
      </c>
      <c r="BI96" s="427">
        <v>0</v>
      </c>
      <c r="BJ96" s="427">
        <v>0</v>
      </c>
      <c r="BK96" s="427">
        <v>0</v>
      </c>
      <c r="BL96" s="427">
        <v>0</v>
      </c>
      <c r="BM96" s="427">
        <v>0</v>
      </c>
      <c r="BN96" s="427">
        <v>0</v>
      </c>
      <c r="BO96" s="427">
        <v>0</v>
      </c>
      <c r="BP96" s="427">
        <v>0</v>
      </c>
      <c r="BQ96" s="427">
        <v>0</v>
      </c>
      <c r="BR96" s="427">
        <v>0</v>
      </c>
      <c r="BS96" s="427">
        <v>0</v>
      </c>
      <c r="BT96" s="427">
        <v>0</v>
      </c>
      <c r="BU96" s="427">
        <v>0</v>
      </c>
      <c r="BV96" s="427">
        <v>0</v>
      </c>
      <c r="BW96" s="427">
        <v>0</v>
      </c>
      <c r="BX96" s="427">
        <v>0</v>
      </c>
      <c r="BY96" s="427">
        <v>0</v>
      </c>
      <c r="BZ96" s="427">
        <v>0</v>
      </c>
      <c r="CA96" s="427">
        <v>0</v>
      </c>
      <c r="CB96" s="427">
        <v>0</v>
      </c>
      <c r="CC96" s="427">
        <v>0</v>
      </c>
      <c r="CD96" s="427">
        <v>0</v>
      </c>
      <c r="CE96" s="427">
        <v>0</v>
      </c>
      <c r="CF96" s="427">
        <v>0</v>
      </c>
      <c r="CG96" s="427">
        <v>0</v>
      </c>
      <c r="CH96" s="427">
        <v>0</v>
      </c>
      <c r="CI96" s="427">
        <v>0</v>
      </c>
      <c r="CJ96" s="427">
        <v>0</v>
      </c>
      <c r="CK96" s="428">
        <v>0</v>
      </c>
      <c r="CL96" s="428">
        <v>0</v>
      </c>
      <c r="CM96" s="428">
        <v>0</v>
      </c>
      <c r="CN96" s="428">
        <v>0</v>
      </c>
      <c r="CO96" s="428">
        <v>0</v>
      </c>
      <c r="CP96" s="428">
        <v>0</v>
      </c>
      <c r="CQ96" s="428">
        <v>0</v>
      </c>
      <c r="CR96" s="428">
        <v>0</v>
      </c>
      <c r="CS96" s="428">
        <v>0</v>
      </c>
      <c r="CT96" s="428">
        <v>0</v>
      </c>
      <c r="CU96" s="428">
        <v>0</v>
      </c>
      <c r="CV96" s="428">
        <v>0</v>
      </c>
      <c r="CW96" s="428">
        <v>0</v>
      </c>
      <c r="CX96" s="428"/>
      <c r="CY96" s="428"/>
      <c r="CZ96" s="428"/>
      <c r="DA96" s="428"/>
      <c r="DB96" s="428"/>
      <c r="DC96" s="428"/>
      <c r="DD96" s="428"/>
      <c r="DE96" s="428"/>
      <c r="DF96" s="428"/>
      <c r="DG96" s="428"/>
      <c r="DH96" s="428"/>
      <c r="DI96" s="428"/>
    </row>
    <row r="97" spans="1:113" s="388" customFormat="1">
      <c r="A97" s="421" t="s">
        <v>370</v>
      </c>
      <c r="B97" s="421" t="s">
        <v>11</v>
      </c>
      <c r="C97" s="421" t="s">
        <v>421</v>
      </c>
      <c r="D97" s="422" t="s">
        <v>376</v>
      </c>
      <c r="E97" s="422">
        <v>2019</v>
      </c>
      <c r="F97" s="423">
        <v>0.67403358398631319</v>
      </c>
      <c r="G97" s="424">
        <v>2919.3928424157311</v>
      </c>
      <c r="H97" s="422">
        <v>13</v>
      </c>
      <c r="I97" s="425">
        <v>0.62999999999999978</v>
      </c>
      <c r="J97" s="425">
        <v>0.62999999999999978</v>
      </c>
      <c r="K97" s="422">
        <v>0</v>
      </c>
      <c r="L97" s="422">
        <v>0</v>
      </c>
      <c r="M97" s="422">
        <v>0</v>
      </c>
      <c r="N97" s="426">
        <v>0</v>
      </c>
      <c r="O97" s="426">
        <v>0</v>
      </c>
      <c r="P97" s="426">
        <v>0</v>
      </c>
      <c r="Q97" s="426">
        <v>0</v>
      </c>
      <c r="R97" s="426">
        <v>0</v>
      </c>
      <c r="S97" s="426">
        <v>0</v>
      </c>
      <c r="T97" s="426">
        <v>0</v>
      </c>
      <c r="U97" s="426">
        <v>0</v>
      </c>
      <c r="V97" s="426">
        <v>0</v>
      </c>
      <c r="W97" s="426">
        <v>0</v>
      </c>
      <c r="X97" s="426">
        <v>0</v>
      </c>
      <c r="Y97" s="426">
        <v>0</v>
      </c>
      <c r="Z97" s="426">
        <v>0</v>
      </c>
      <c r="AA97" s="426">
        <v>0</v>
      </c>
      <c r="AB97" s="426">
        <v>0</v>
      </c>
      <c r="AC97" s="426">
        <v>0</v>
      </c>
      <c r="AD97" s="426">
        <v>0</v>
      </c>
      <c r="AE97" s="426">
        <v>0</v>
      </c>
      <c r="AF97" s="426">
        <v>0</v>
      </c>
      <c r="AG97" s="426">
        <v>0</v>
      </c>
      <c r="AH97" s="426">
        <v>0</v>
      </c>
      <c r="AI97" s="426">
        <v>0</v>
      </c>
      <c r="AJ97" s="426">
        <v>0</v>
      </c>
      <c r="AK97" s="426">
        <v>0</v>
      </c>
      <c r="AL97" s="426">
        <v>0</v>
      </c>
      <c r="AM97" s="427">
        <v>0</v>
      </c>
      <c r="AN97" s="427">
        <v>0</v>
      </c>
      <c r="AO97" s="427">
        <v>0</v>
      </c>
      <c r="AP97" s="427">
        <v>0</v>
      </c>
      <c r="AQ97" s="427">
        <v>0</v>
      </c>
      <c r="AR97" s="427">
        <v>0</v>
      </c>
      <c r="AS97" s="427">
        <v>0</v>
      </c>
      <c r="AT97" s="427">
        <v>0</v>
      </c>
      <c r="AU97" s="427">
        <v>0</v>
      </c>
      <c r="AV97" s="427">
        <v>0</v>
      </c>
      <c r="AW97" s="427">
        <v>0</v>
      </c>
      <c r="AX97" s="427">
        <v>0</v>
      </c>
      <c r="AY97" s="427">
        <v>0</v>
      </c>
      <c r="AZ97" s="427">
        <v>0</v>
      </c>
      <c r="BA97" s="427">
        <v>0</v>
      </c>
      <c r="BB97" s="427">
        <v>0</v>
      </c>
      <c r="BC97" s="427">
        <v>0</v>
      </c>
      <c r="BD97" s="427">
        <v>0</v>
      </c>
      <c r="BE97" s="427">
        <v>0</v>
      </c>
      <c r="BF97" s="427">
        <v>0</v>
      </c>
      <c r="BG97" s="427">
        <v>0</v>
      </c>
      <c r="BH97" s="427">
        <v>0</v>
      </c>
      <c r="BI97" s="427">
        <v>0</v>
      </c>
      <c r="BJ97" s="427">
        <v>0</v>
      </c>
      <c r="BK97" s="427">
        <v>0</v>
      </c>
      <c r="BL97" s="427">
        <v>0</v>
      </c>
      <c r="BM97" s="427">
        <v>0</v>
      </c>
      <c r="BN97" s="427">
        <v>0</v>
      </c>
      <c r="BO97" s="427">
        <v>0</v>
      </c>
      <c r="BP97" s="427">
        <v>0</v>
      </c>
      <c r="BQ97" s="427">
        <v>0</v>
      </c>
      <c r="BR97" s="427">
        <v>0</v>
      </c>
      <c r="BS97" s="427">
        <v>0</v>
      </c>
      <c r="BT97" s="427">
        <v>0</v>
      </c>
      <c r="BU97" s="427">
        <v>0</v>
      </c>
      <c r="BV97" s="427">
        <v>0</v>
      </c>
      <c r="BW97" s="427">
        <v>0</v>
      </c>
      <c r="BX97" s="427">
        <v>0</v>
      </c>
      <c r="BY97" s="427">
        <v>0</v>
      </c>
      <c r="BZ97" s="427">
        <v>0</v>
      </c>
      <c r="CA97" s="427">
        <v>0</v>
      </c>
      <c r="CB97" s="427">
        <v>0</v>
      </c>
      <c r="CC97" s="427">
        <v>0</v>
      </c>
      <c r="CD97" s="427">
        <v>0</v>
      </c>
      <c r="CE97" s="427">
        <v>0</v>
      </c>
      <c r="CF97" s="427">
        <v>0</v>
      </c>
      <c r="CG97" s="427">
        <v>0</v>
      </c>
      <c r="CH97" s="427">
        <v>0</v>
      </c>
      <c r="CI97" s="427">
        <v>0</v>
      </c>
      <c r="CJ97" s="427">
        <v>0</v>
      </c>
      <c r="CK97" s="428">
        <v>0</v>
      </c>
      <c r="CL97" s="428">
        <v>0</v>
      </c>
      <c r="CM97" s="428">
        <v>0</v>
      </c>
      <c r="CN97" s="428">
        <v>0</v>
      </c>
      <c r="CO97" s="428">
        <v>0</v>
      </c>
      <c r="CP97" s="428">
        <v>0</v>
      </c>
      <c r="CQ97" s="428">
        <v>0</v>
      </c>
      <c r="CR97" s="428">
        <v>0</v>
      </c>
      <c r="CS97" s="428">
        <v>0</v>
      </c>
      <c r="CT97" s="428">
        <v>0</v>
      </c>
      <c r="CU97" s="428">
        <v>0</v>
      </c>
      <c r="CV97" s="428">
        <v>0</v>
      </c>
      <c r="CW97" s="428">
        <v>0</v>
      </c>
      <c r="CX97" s="428"/>
      <c r="CY97" s="428"/>
      <c r="CZ97" s="428"/>
      <c r="DA97" s="428"/>
      <c r="DB97" s="428"/>
      <c r="DC97" s="428"/>
      <c r="DD97" s="428"/>
      <c r="DE97" s="428"/>
      <c r="DF97" s="428"/>
      <c r="DG97" s="428"/>
      <c r="DH97" s="428"/>
      <c r="DI97" s="428"/>
    </row>
    <row r="98" spans="1:113" s="388" customFormat="1">
      <c r="A98" s="421" t="s">
        <v>370</v>
      </c>
      <c r="B98" s="421" t="s">
        <v>11</v>
      </c>
      <c r="C98" s="421" t="s">
        <v>421</v>
      </c>
      <c r="D98" s="422" t="s">
        <v>376</v>
      </c>
      <c r="E98" s="422">
        <v>2020</v>
      </c>
      <c r="F98" s="423">
        <v>0.67403358398631319</v>
      </c>
      <c r="G98" s="424">
        <v>2919.3928424157311</v>
      </c>
      <c r="H98" s="422">
        <v>13</v>
      </c>
      <c r="I98" s="425">
        <v>0.62999999999999978</v>
      </c>
      <c r="J98" s="425">
        <v>0.62999999999999978</v>
      </c>
      <c r="K98" s="422">
        <v>0</v>
      </c>
      <c r="L98" s="422">
        <v>0</v>
      </c>
      <c r="M98" s="422">
        <v>0</v>
      </c>
      <c r="N98" s="426">
        <v>0</v>
      </c>
      <c r="O98" s="426">
        <v>0</v>
      </c>
      <c r="P98" s="426">
        <v>0</v>
      </c>
      <c r="Q98" s="426">
        <v>0</v>
      </c>
      <c r="R98" s="426">
        <v>0</v>
      </c>
      <c r="S98" s="426">
        <v>0</v>
      </c>
      <c r="T98" s="426">
        <v>0</v>
      </c>
      <c r="U98" s="426">
        <v>0</v>
      </c>
      <c r="V98" s="426">
        <v>0</v>
      </c>
      <c r="W98" s="426">
        <v>0</v>
      </c>
      <c r="X98" s="426">
        <v>0</v>
      </c>
      <c r="Y98" s="426">
        <v>0</v>
      </c>
      <c r="Z98" s="426">
        <v>0</v>
      </c>
      <c r="AA98" s="426">
        <v>0</v>
      </c>
      <c r="AB98" s="426">
        <v>0</v>
      </c>
      <c r="AC98" s="426">
        <v>0</v>
      </c>
      <c r="AD98" s="426">
        <v>0</v>
      </c>
      <c r="AE98" s="426">
        <v>0</v>
      </c>
      <c r="AF98" s="426">
        <v>0</v>
      </c>
      <c r="AG98" s="426">
        <v>0</v>
      </c>
      <c r="AH98" s="426">
        <v>0</v>
      </c>
      <c r="AI98" s="426">
        <v>0</v>
      </c>
      <c r="AJ98" s="426">
        <v>0</v>
      </c>
      <c r="AK98" s="426">
        <v>0</v>
      </c>
      <c r="AL98" s="426">
        <v>0</v>
      </c>
      <c r="AM98" s="427">
        <v>0</v>
      </c>
      <c r="AN98" s="427">
        <v>0</v>
      </c>
      <c r="AO98" s="427">
        <v>0</v>
      </c>
      <c r="AP98" s="427">
        <v>0</v>
      </c>
      <c r="AQ98" s="427">
        <v>0</v>
      </c>
      <c r="AR98" s="427">
        <v>0</v>
      </c>
      <c r="AS98" s="427">
        <v>0</v>
      </c>
      <c r="AT98" s="427">
        <v>0</v>
      </c>
      <c r="AU98" s="427">
        <v>0</v>
      </c>
      <c r="AV98" s="427">
        <v>0</v>
      </c>
      <c r="AW98" s="427">
        <v>0</v>
      </c>
      <c r="AX98" s="427">
        <v>0</v>
      </c>
      <c r="AY98" s="427">
        <v>0</v>
      </c>
      <c r="AZ98" s="427">
        <v>0</v>
      </c>
      <c r="BA98" s="427">
        <v>0</v>
      </c>
      <c r="BB98" s="427">
        <v>0</v>
      </c>
      <c r="BC98" s="427">
        <v>0</v>
      </c>
      <c r="BD98" s="427">
        <v>0</v>
      </c>
      <c r="BE98" s="427">
        <v>0</v>
      </c>
      <c r="BF98" s="427">
        <v>0</v>
      </c>
      <c r="BG98" s="427">
        <v>0</v>
      </c>
      <c r="BH98" s="427">
        <v>0</v>
      </c>
      <c r="BI98" s="427">
        <v>0</v>
      </c>
      <c r="BJ98" s="427">
        <v>0</v>
      </c>
      <c r="BK98" s="427">
        <v>0</v>
      </c>
      <c r="BL98" s="427">
        <v>0</v>
      </c>
      <c r="BM98" s="427">
        <v>0</v>
      </c>
      <c r="BN98" s="427">
        <v>0</v>
      </c>
      <c r="BO98" s="427">
        <v>0</v>
      </c>
      <c r="BP98" s="427">
        <v>0</v>
      </c>
      <c r="BQ98" s="427">
        <v>0</v>
      </c>
      <c r="BR98" s="427">
        <v>0</v>
      </c>
      <c r="BS98" s="427">
        <v>0</v>
      </c>
      <c r="BT98" s="427">
        <v>0</v>
      </c>
      <c r="BU98" s="427">
        <v>0</v>
      </c>
      <c r="BV98" s="427">
        <v>0</v>
      </c>
      <c r="BW98" s="427">
        <v>0</v>
      </c>
      <c r="BX98" s="427">
        <v>0</v>
      </c>
      <c r="BY98" s="427">
        <v>0</v>
      </c>
      <c r="BZ98" s="427">
        <v>0</v>
      </c>
      <c r="CA98" s="427">
        <v>0</v>
      </c>
      <c r="CB98" s="427">
        <v>0</v>
      </c>
      <c r="CC98" s="427">
        <v>0</v>
      </c>
      <c r="CD98" s="427">
        <v>0</v>
      </c>
      <c r="CE98" s="427">
        <v>0</v>
      </c>
      <c r="CF98" s="427">
        <v>0</v>
      </c>
      <c r="CG98" s="427">
        <v>0</v>
      </c>
      <c r="CH98" s="427">
        <v>0</v>
      </c>
      <c r="CI98" s="427">
        <v>0</v>
      </c>
      <c r="CJ98" s="427">
        <v>0</v>
      </c>
      <c r="CK98" s="428">
        <v>0</v>
      </c>
      <c r="CL98" s="428">
        <v>0</v>
      </c>
      <c r="CM98" s="428">
        <v>0</v>
      </c>
      <c r="CN98" s="428">
        <v>0</v>
      </c>
      <c r="CO98" s="428">
        <v>0</v>
      </c>
      <c r="CP98" s="428">
        <v>0</v>
      </c>
      <c r="CQ98" s="428">
        <v>0</v>
      </c>
      <c r="CR98" s="428">
        <v>0</v>
      </c>
      <c r="CS98" s="428">
        <v>0</v>
      </c>
      <c r="CT98" s="428">
        <v>0</v>
      </c>
      <c r="CU98" s="428">
        <v>0</v>
      </c>
      <c r="CV98" s="428">
        <v>0</v>
      </c>
      <c r="CW98" s="428">
        <v>0</v>
      </c>
      <c r="CX98" s="428"/>
      <c r="CY98" s="428"/>
      <c r="CZ98" s="428"/>
      <c r="DA98" s="428"/>
      <c r="DB98" s="428"/>
      <c r="DC98" s="428"/>
      <c r="DD98" s="428"/>
      <c r="DE98" s="428"/>
      <c r="DF98" s="428"/>
      <c r="DG98" s="428"/>
      <c r="DH98" s="428"/>
      <c r="DI98" s="428"/>
    </row>
    <row r="99" spans="1:113" s="388" customFormat="1">
      <c r="A99" s="421" t="s">
        <v>370</v>
      </c>
      <c r="B99" s="421" t="s">
        <v>23</v>
      </c>
      <c r="C99" s="421" t="s">
        <v>424</v>
      </c>
      <c r="D99" s="422" t="s">
        <v>376</v>
      </c>
      <c r="E99" s="422">
        <v>2015</v>
      </c>
      <c r="F99" s="423">
        <v>0.91174494444871801</v>
      </c>
      <c r="G99" s="424">
        <v>784.39508333084814</v>
      </c>
      <c r="H99" s="422">
        <v>9</v>
      </c>
      <c r="I99" s="425">
        <v>1</v>
      </c>
      <c r="J99" s="425">
        <v>1</v>
      </c>
      <c r="K99" s="422">
        <v>0</v>
      </c>
      <c r="L99" s="422">
        <v>0</v>
      </c>
      <c r="M99" s="422">
        <v>0</v>
      </c>
      <c r="N99" s="426">
        <v>0</v>
      </c>
      <c r="O99" s="426">
        <v>39.088743599087593</v>
      </c>
      <c r="P99" s="426">
        <v>39.088743599087593</v>
      </c>
      <c r="Q99" s="426">
        <v>39.088743599087593</v>
      </c>
      <c r="R99" s="426">
        <v>39.088743599087593</v>
      </c>
      <c r="S99" s="426">
        <v>39.088743599087593</v>
      </c>
      <c r="T99" s="426">
        <v>39.088743599087593</v>
      </c>
      <c r="U99" s="426">
        <v>39.088743599087593</v>
      </c>
      <c r="V99" s="426">
        <v>39.088743599087593</v>
      </c>
      <c r="W99" s="426">
        <v>39.088743599087593</v>
      </c>
      <c r="X99" s="426">
        <v>0</v>
      </c>
      <c r="Y99" s="426">
        <v>0</v>
      </c>
      <c r="Z99" s="426">
        <v>0</v>
      </c>
      <c r="AA99" s="426">
        <v>0</v>
      </c>
      <c r="AB99" s="426">
        <v>0</v>
      </c>
      <c r="AC99" s="426">
        <v>0</v>
      </c>
      <c r="AD99" s="426">
        <v>0</v>
      </c>
      <c r="AE99" s="426">
        <v>0</v>
      </c>
      <c r="AF99" s="426">
        <v>0</v>
      </c>
      <c r="AG99" s="426">
        <v>0</v>
      </c>
      <c r="AH99" s="426">
        <v>0</v>
      </c>
      <c r="AI99" s="426">
        <v>0</v>
      </c>
      <c r="AJ99" s="426">
        <v>0</v>
      </c>
      <c r="AK99" s="426">
        <v>0</v>
      </c>
      <c r="AL99" s="426">
        <v>0</v>
      </c>
      <c r="AM99" s="427">
        <v>0</v>
      </c>
      <c r="AN99" s="427">
        <v>0</v>
      </c>
      <c r="AO99" s="427">
        <v>0</v>
      </c>
      <c r="AP99" s="427">
        <v>0</v>
      </c>
      <c r="AQ99" s="427">
        <v>0</v>
      </c>
      <c r="AR99" s="427">
        <v>0</v>
      </c>
      <c r="AS99" s="427">
        <v>0</v>
      </c>
      <c r="AT99" s="427">
        <v>0</v>
      </c>
      <c r="AU99" s="427">
        <v>0</v>
      </c>
      <c r="AV99" s="427">
        <v>0</v>
      </c>
      <c r="AW99" s="427">
        <v>0</v>
      </c>
      <c r="AX99" s="427">
        <v>0</v>
      </c>
      <c r="AY99" s="427">
        <v>0</v>
      </c>
      <c r="AZ99" s="427">
        <v>0</v>
      </c>
      <c r="BA99" s="427">
        <v>0</v>
      </c>
      <c r="BB99" s="427">
        <v>0</v>
      </c>
      <c r="BC99" s="427">
        <v>0</v>
      </c>
      <c r="BD99" s="427">
        <v>0</v>
      </c>
      <c r="BE99" s="427">
        <v>0</v>
      </c>
      <c r="BF99" s="427">
        <v>0</v>
      </c>
      <c r="BG99" s="427">
        <v>0</v>
      </c>
      <c r="BH99" s="427">
        <v>0</v>
      </c>
      <c r="BI99" s="427">
        <v>0</v>
      </c>
      <c r="BJ99" s="427">
        <v>0</v>
      </c>
      <c r="BK99" s="427">
        <v>0</v>
      </c>
      <c r="BL99" s="427">
        <v>0</v>
      </c>
      <c r="BM99" s="427">
        <v>0</v>
      </c>
      <c r="BN99" s="427">
        <v>0</v>
      </c>
      <c r="BO99" s="427">
        <v>0</v>
      </c>
      <c r="BP99" s="427">
        <v>0</v>
      </c>
      <c r="BQ99" s="427">
        <v>0</v>
      </c>
      <c r="BR99" s="427">
        <v>0</v>
      </c>
      <c r="BS99" s="427">
        <v>0</v>
      </c>
      <c r="BT99" s="427">
        <v>0</v>
      </c>
      <c r="BU99" s="427">
        <v>0</v>
      </c>
      <c r="BV99" s="427">
        <v>0</v>
      </c>
      <c r="BW99" s="427">
        <v>0</v>
      </c>
      <c r="BX99" s="427">
        <v>0</v>
      </c>
      <c r="BY99" s="427">
        <v>0</v>
      </c>
      <c r="BZ99" s="427">
        <v>0</v>
      </c>
      <c r="CA99" s="427">
        <v>0</v>
      </c>
      <c r="CB99" s="427">
        <v>0</v>
      </c>
      <c r="CC99" s="427">
        <v>0</v>
      </c>
      <c r="CD99" s="427">
        <v>0</v>
      </c>
      <c r="CE99" s="427">
        <v>0</v>
      </c>
      <c r="CF99" s="427">
        <v>0</v>
      </c>
      <c r="CG99" s="427">
        <v>0</v>
      </c>
      <c r="CH99" s="427">
        <v>0</v>
      </c>
      <c r="CI99" s="427">
        <v>0</v>
      </c>
      <c r="CJ99" s="427">
        <v>0</v>
      </c>
      <c r="CK99" s="428">
        <v>0</v>
      </c>
      <c r="CL99" s="428">
        <v>0</v>
      </c>
      <c r="CM99" s="428">
        <v>0</v>
      </c>
      <c r="CN99" s="428">
        <v>0</v>
      </c>
      <c r="CO99" s="428">
        <v>0</v>
      </c>
      <c r="CP99" s="428">
        <v>0</v>
      </c>
      <c r="CQ99" s="428">
        <v>0</v>
      </c>
      <c r="CR99" s="428">
        <v>0</v>
      </c>
      <c r="CS99" s="428">
        <v>0</v>
      </c>
      <c r="CT99" s="428">
        <v>0</v>
      </c>
      <c r="CU99" s="428">
        <v>0</v>
      </c>
      <c r="CV99" s="428">
        <v>0</v>
      </c>
      <c r="CW99" s="428">
        <v>0</v>
      </c>
      <c r="CX99" s="428"/>
      <c r="CY99" s="428"/>
      <c r="CZ99" s="428"/>
      <c r="DA99" s="428"/>
      <c r="DB99" s="428"/>
      <c r="DC99" s="428"/>
      <c r="DD99" s="428"/>
      <c r="DE99" s="428"/>
      <c r="DF99" s="428"/>
      <c r="DG99" s="428"/>
      <c r="DH99" s="428"/>
      <c r="DI99" s="428"/>
    </row>
    <row r="100" spans="1:113" s="388" customFormat="1">
      <c r="A100" s="421" t="s">
        <v>370</v>
      </c>
      <c r="B100" s="421" t="s">
        <v>23</v>
      </c>
      <c r="C100" s="421" t="s">
        <v>424</v>
      </c>
      <c r="D100" s="422" t="s">
        <v>376</v>
      </c>
      <c r="E100" s="422">
        <v>2016</v>
      </c>
      <c r="F100" s="423">
        <v>0.91174494444871801</v>
      </c>
      <c r="G100" s="424">
        <v>784.39508333084814</v>
      </c>
      <c r="H100" s="422">
        <v>9</v>
      </c>
      <c r="I100" s="425">
        <v>1</v>
      </c>
      <c r="J100" s="425">
        <v>1</v>
      </c>
      <c r="K100" s="422">
        <v>0</v>
      </c>
      <c r="L100" s="422">
        <v>0</v>
      </c>
      <c r="M100" s="422">
        <v>0</v>
      </c>
      <c r="N100" s="426">
        <v>40</v>
      </c>
      <c r="O100" s="426">
        <v>0</v>
      </c>
      <c r="P100" s="426">
        <v>39.088743599087593</v>
      </c>
      <c r="Q100" s="426">
        <v>39.088743599087593</v>
      </c>
      <c r="R100" s="426">
        <v>39.088743599087593</v>
      </c>
      <c r="S100" s="426">
        <v>39.088743599087593</v>
      </c>
      <c r="T100" s="426">
        <v>39.088743599087593</v>
      </c>
      <c r="U100" s="426">
        <v>39.088743599087593</v>
      </c>
      <c r="V100" s="426">
        <v>39.088743599087593</v>
      </c>
      <c r="W100" s="426">
        <v>39.088743599087593</v>
      </c>
      <c r="X100" s="426">
        <v>39.088743599087593</v>
      </c>
      <c r="Y100" s="426">
        <v>0</v>
      </c>
      <c r="Z100" s="426">
        <v>0</v>
      </c>
      <c r="AA100" s="426">
        <v>0</v>
      </c>
      <c r="AB100" s="426">
        <v>0</v>
      </c>
      <c r="AC100" s="426">
        <v>0</v>
      </c>
      <c r="AD100" s="426">
        <v>0</v>
      </c>
      <c r="AE100" s="426">
        <v>0</v>
      </c>
      <c r="AF100" s="426">
        <v>0</v>
      </c>
      <c r="AG100" s="426">
        <v>0</v>
      </c>
      <c r="AH100" s="426">
        <v>0</v>
      </c>
      <c r="AI100" s="426">
        <v>0</v>
      </c>
      <c r="AJ100" s="426">
        <v>0</v>
      </c>
      <c r="AK100" s="426">
        <v>0</v>
      </c>
      <c r="AL100" s="426">
        <v>0</v>
      </c>
      <c r="AM100" s="427">
        <v>0</v>
      </c>
      <c r="AN100" s="427">
        <v>0</v>
      </c>
      <c r="AO100" s="427">
        <v>33628.9424793504</v>
      </c>
      <c r="AP100" s="427">
        <v>33628.9424793504</v>
      </c>
      <c r="AQ100" s="427">
        <v>33628.9424793504</v>
      </c>
      <c r="AR100" s="427">
        <v>33628.9424793504</v>
      </c>
      <c r="AS100" s="427">
        <v>33628.9424793504</v>
      </c>
      <c r="AT100" s="427">
        <v>33628.9424793504</v>
      </c>
      <c r="AU100" s="427">
        <v>33628.9424793504</v>
      </c>
      <c r="AV100" s="427">
        <v>33628.9424793504</v>
      </c>
      <c r="AW100" s="427">
        <v>33628.9424793504</v>
      </c>
      <c r="AX100" s="427">
        <v>0</v>
      </c>
      <c r="AY100" s="427">
        <v>0</v>
      </c>
      <c r="AZ100" s="427">
        <v>0</v>
      </c>
      <c r="BA100" s="427">
        <v>0</v>
      </c>
      <c r="BB100" s="427">
        <v>0</v>
      </c>
      <c r="BC100" s="427">
        <v>0</v>
      </c>
      <c r="BD100" s="427">
        <v>0</v>
      </c>
      <c r="BE100" s="427">
        <v>0</v>
      </c>
      <c r="BF100" s="427">
        <v>0</v>
      </c>
      <c r="BG100" s="427">
        <v>0</v>
      </c>
      <c r="BH100" s="427">
        <v>0</v>
      </c>
      <c r="BI100" s="427">
        <v>0</v>
      </c>
      <c r="BJ100" s="427">
        <v>0</v>
      </c>
      <c r="BK100" s="427">
        <v>0</v>
      </c>
      <c r="BL100" s="427">
        <v>0</v>
      </c>
      <c r="BM100" s="427">
        <v>0</v>
      </c>
      <c r="BN100" s="427">
        <v>0</v>
      </c>
      <c r="BO100" s="427">
        <v>0</v>
      </c>
      <c r="BP100" s="427">
        <v>0</v>
      </c>
      <c r="BQ100" s="427">
        <v>0</v>
      </c>
      <c r="BR100" s="427">
        <v>0</v>
      </c>
      <c r="BS100" s="427">
        <v>0</v>
      </c>
      <c r="BT100" s="427">
        <v>0</v>
      </c>
      <c r="BU100" s="427">
        <v>0</v>
      </c>
      <c r="BV100" s="427">
        <v>0</v>
      </c>
      <c r="BW100" s="427">
        <v>0</v>
      </c>
      <c r="BX100" s="427">
        <v>0</v>
      </c>
      <c r="BY100" s="427">
        <v>0</v>
      </c>
      <c r="BZ100" s="427">
        <v>0</v>
      </c>
      <c r="CA100" s="427">
        <v>0</v>
      </c>
      <c r="CB100" s="427">
        <v>0</v>
      </c>
      <c r="CC100" s="427">
        <v>0</v>
      </c>
      <c r="CD100" s="427">
        <v>0</v>
      </c>
      <c r="CE100" s="427">
        <v>0</v>
      </c>
      <c r="CF100" s="427">
        <v>0</v>
      </c>
      <c r="CG100" s="427">
        <v>0</v>
      </c>
      <c r="CH100" s="427">
        <v>0</v>
      </c>
      <c r="CI100" s="427">
        <v>0</v>
      </c>
      <c r="CJ100" s="427">
        <v>0</v>
      </c>
      <c r="CK100" s="428">
        <v>0</v>
      </c>
      <c r="CL100" s="428">
        <v>0</v>
      </c>
      <c r="CM100" s="428">
        <v>0</v>
      </c>
      <c r="CN100" s="428">
        <v>0</v>
      </c>
      <c r="CO100" s="428">
        <v>0</v>
      </c>
      <c r="CP100" s="428">
        <v>0</v>
      </c>
      <c r="CQ100" s="428">
        <v>0</v>
      </c>
      <c r="CR100" s="428">
        <v>0</v>
      </c>
      <c r="CS100" s="428">
        <v>0</v>
      </c>
      <c r="CT100" s="428">
        <v>0</v>
      </c>
      <c r="CU100" s="428">
        <v>0</v>
      </c>
      <c r="CV100" s="428">
        <v>0</v>
      </c>
      <c r="CW100" s="428">
        <v>0</v>
      </c>
      <c r="CX100" s="428"/>
      <c r="CY100" s="428"/>
      <c r="CZ100" s="428"/>
      <c r="DA100" s="428"/>
      <c r="DB100" s="428"/>
      <c r="DC100" s="428"/>
      <c r="DD100" s="428"/>
      <c r="DE100" s="428"/>
      <c r="DF100" s="428"/>
      <c r="DG100" s="428"/>
      <c r="DH100" s="428"/>
      <c r="DI100" s="428"/>
    </row>
    <row r="101" spans="1:113" s="388" customFormat="1">
      <c r="A101" s="421" t="s">
        <v>370</v>
      </c>
      <c r="B101" s="421" t="s">
        <v>23</v>
      </c>
      <c r="C101" s="421" t="s">
        <v>424</v>
      </c>
      <c r="D101" s="422" t="s">
        <v>376</v>
      </c>
      <c r="E101" s="422">
        <v>2017</v>
      </c>
      <c r="F101" s="423">
        <v>0.91174494444871801</v>
      </c>
      <c r="G101" s="424">
        <v>784.39508333084814</v>
      </c>
      <c r="H101" s="422">
        <v>9</v>
      </c>
      <c r="I101" s="425">
        <v>1</v>
      </c>
      <c r="J101" s="425">
        <v>1</v>
      </c>
      <c r="K101" s="422">
        <v>0</v>
      </c>
      <c r="L101" s="422">
        <v>0</v>
      </c>
      <c r="M101" s="422">
        <v>0</v>
      </c>
      <c r="N101" s="426">
        <v>40</v>
      </c>
      <c r="O101" s="426">
        <v>0</v>
      </c>
      <c r="P101" s="426">
        <v>0</v>
      </c>
      <c r="Q101" s="426">
        <v>39.088743599087593</v>
      </c>
      <c r="R101" s="426">
        <v>39.088743599087593</v>
      </c>
      <c r="S101" s="426">
        <v>39.088743599087593</v>
      </c>
      <c r="T101" s="426">
        <v>39.088743599087593</v>
      </c>
      <c r="U101" s="426">
        <v>39.088743599087593</v>
      </c>
      <c r="V101" s="426">
        <v>39.088743599087593</v>
      </c>
      <c r="W101" s="426">
        <v>39.088743599087593</v>
      </c>
      <c r="X101" s="426">
        <v>39.088743599087593</v>
      </c>
      <c r="Y101" s="426">
        <v>39.088743599087593</v>
      </c>
      <c r="Z101" s="426">
        <v>0</v>
      </c>
      <c r="AA101" s="426">
        <v>0</v>
      </c>
      <c r="AB101" s="426">
        <v>0</v>
      </c>
      <c r="AC101" s="426">
        <v>0</v>
      </c>
      <c r="AD101" s="426">
        <v>0</v>
      </c>
      <c r="AE101" s="426">
        <v>0</v>
      </c>
      <c r="AF101" s="426">
        <v>0</v>
      </c>
      <c r="AG101" s="426">
        <v>0</v>
      </c>
      <c r="AH101" s="426">
        <v>0</v>
      </c>
      <c r="AI101" s="426">
        <v>0</v>
      </c>
      <c r="AJ101" s="426">
        <v>0</v>
      </c>
      <c r="AK101" s="426">
        <v>0</v>
      </c>
      <c r="AL101" s="426">
        <v>0</v>
      </c>
      <c r="AM101" s="427">
        <v>0</v>
      </c>
      <c r="AN101" s="427">
        <v>0</v>
      </c>
      <c r="AO101" s="427">
        <v>0</v>
      </c>
      <c r="AP101" s="427">
        <v>33628.9424793504</v>
      </c>
      <c r="AQ101" s="427">
        <v>33628.9424793504</v>
      </c>
      <c r="AR101" s="427">
        <v>33628.9424793504</v>
      </c>
      <c r="AS101" s="427">
        <v>33628.9424793504</v>
      </c>
      <c r="AT101" s="427">
        <v>33628.9424793504</v>
      </c>
      <c r="AU101" s="427">
        <v>33628.9424793504</v>
      </c>
      <c r="AV101" s="427">
        <v>33628.9424793504</v>
      </c>
      <c r="AW101" s="427">
        <v>33628.9424793504</v>
      </c>
      <c r="AX101" s="427">
        <v>33628.9424793504</v>
      </c>
      <c r="AY101" s="427">
        <v>0</v>
      </c>
      <c r="AZ101" s="427">
        <v>0</v>
      </c>
      <c r="BA101" s="427">
        <v>0</v>
      </c>
      <c r="BB101" s="427">
        <v>0</v>
      </c>
      <c r="BC101" s="427">
        <v>0</v>
      </c>
      <c r="BD101" s="427">
        <v>0</v>
      </c>
      <c r="BE101" s="427">
        <v>0</v>
      </c>
      <c r="BF101" s="427">
        <v>0</v>
      </c>
      <c r="BG101" s="427">
        <v>0</v>
      </c>
      <c r="BH101" s="427">
        <v>0</v>
      </c>
      <c r="BI101" s="427">
        <v>0</v>
      </c>
      <c r="BJ101" s="427">
        <v>0</v>
      </c>
      <c r="BK101" s="427">
        <v>0</v>
      </c>
      <c r="BL101" s="427">
        <v>0</v>
      </c>
      <c r="BM101" s="427">
        <v>0</v>
      </c>
      <c r="BN101" s="427">
        <v>0</v>
      </c>
      <c r="BO101" s="427">
        <v>0</v>
      </c>
      <c r="BP101" s="427">
        <v>0</v>
      </c>
      <c r="BQ101" s="427">
        <v>0</v>
      </c>
      <c r="BR101" s="427">
        <v>0</v>
      </c>
      <c r="BS101" s="427">
        <v>0</v>
      </c>
      <c r="BT101" s="427">
        <v>0</v>
      </c>
      <c r="BU101" s="427">
        <v>0</v>
      </c>
      <c r="BV101" s="427">
        <v>0</v>
      </c>
      <c r="BW101" s="427">
        <v>0</v>
      </c>
      <c r="BX101" s="427">
        <v>0</v>
      </c>
      <c r="BY101" s="427">
        <v>0</v>
      </c>
      <c r="BZ101" s="427">
        <v>0</v>
      </c>
      <c r="CA101" s="427">
        <v>0</v>
      </c>
      <c r="CB101" s="427">
        <v>0</v>
      </c>
      <c r="CC101" s="427">
        <v>0</v>
      </c>
      <c r="CD101" s="427">
        <v>0</v>
      </c>
      <c r="CE101" s="427">
        <v>0</v>
      </c>
      <c r="CF101" s="427">
        <v>0</v>
      </c>
      <c r="CG101" s="427">
        <v>0</v>
      </c>
      <c r="CH101" s="427">
        <v>0</v>
      </c>
      <c r="CI101" s="427">
        <v>0</v>
      </c>
      <c r="CJ101" s="427">
        <v>0</v>
      </c>
      <c r="CK101" s="428">
        <v>0</v>
      </c>
      <c r="CL101" s="428">
        <v>0</v>
      </c>
      <c r="CM101" s="428">
        <v>0</v>
      </c>
      <c r="CN101" s="428">
        <v>0</v>
      </c>
      <c r="CO101" s="428">
        <v>0</v>
      </c>
      <c r="CP101" s="428">
        <v>0</v>
      </c>
      <c r="CQ101" s="428">
        <v>0</v>
      </c>
      <c r="CR101" s="428">
        <v>0</v>
      </c>
      <c r="CS101" s="428">
        <v>0</v>
      </c>
      <c r="CT101" s="428">
        <v>0</v>
      </c>
      <c r="CU101" s="428">
        <v>0</v>
      </c>
      <c r="CV101" s="428">
        <v>0</v>
      </c>
      <c r="CW101" s="428">
        <v>0</v>
      </c>
      <c r="CX101" s="428"/>
      <c r="CY101" s="428"/>
      <c r="CZ101" s="428"/>
      <c r="DA101" s="428"/>
      <c r="DB101" s="428"/>
      <c r="DC101" s="428"/>
      <c r="DD101" s="428"/>
      <c r="DE101" s="428"/>
      <c r="DF101" s="428"/>
      <c r="DG101" s="428"/>
      <c r="DH101" s="428"/>
      <c r="DI101" s="428"/>
    </row>
    <row r="102" spans="1:113" s="388" customFormat="1">
      <c r="A102" s="421" t="s">
        <v>370</v>
      </c>
      <c r="B102" s="421" t="s">
        <v>23</v>
      </c>
      <c r="C102" s="421" t="s">
        <v>424</v>
      </c>
      <c r="D102" s="422" t="s">
        <v>376</v>
      </c>
      <c r="E102" s="422">
        <v>2018</v>
      </c>
      <c r="F102" s="423">
        <v>0.91174494444871801</v>
      </c>
      <c r="G102" s="424">
        <v>784.39508333084814</v>
      </c>
      <c r="H102" s="422">
        <v>9</v>
      </c>
      <c r="I102" s="425">
        <v>1</v>
      </c>
      <c r="J102" s="425">
        <v>1</v>
      </c>
      <c r="K102" s="422">
        <v>0</v>
      </c>
      <c r="L102" s="422">
        <v>0</v>
      </c>
      <c r="M102" s="422">
        <v>0</v>
      </c>
      <c r="N102" s="426">
        <v>40</v>
      </c>
      <c r="O102" s="426">
        <v>0</v>
      </c>
      <c r="P102" s="426">
        <v>0</v>
      </c>
      <c r="Q102" s="426">
        <v>0</v>
      </c>
      <c r="R102" s="426">
        <v>39.088743599087593</v>
      </c>
      <c r="S102" s="426">
        <v>39.088743599087593</v>
      </c>
      <c r="T102" s="426">
        <v>39.088743599087593</v>
      </c>
      <c r="U102" s="426">
        <v>39.088743599087593</v>
      </c>
      <c r="V102" s="426">
        <v>39.088743599087593</v>
      </c>
      <c r="W102" s="426">
        <v>39.088743599087593</v>
      </c>
      <c r="X102" s="426">
        <v>39.088743599087593</v>
      </c>
      <c r="Y102" s="426">
        <v>39.088743599087593</v>
      </c>
      <c r="Z102" s="426">
        <v>39.088743599087593</v>
      </c>
      <c r="AA102" s="426">
        <v>0</v>
      </c>
      <c r="AB102" s="426">
        <v>0</v>
      </c>
      <c r="AC102" s="426">
        <v>0</v>
      </c>
      <c r="AD102" s="426">
        <v>0</v>
      </c>
      <c r="AE102" s="426">
        <v>0</v>
      </c>
      <c r="AF102" s="426">
        <v>0</v>
      </c>
      <c r="AG102" s="426">
        <v>0</v>
      </c>
      <c r="AH102" s="426">
        <v>0</v>
      </c>
      <c r="AI102" s="426">
        <v>0</v>
      </c>
      <c r="AJ102" s="426">
        <v>0</v>
      </c>
      <c r="AK102" s="426">
        <v>0</v>
      </c>
      <c r="AL102" s="426">
        <v>0</v>
      </c>
      <c r="AM102" s="427">
        <v>0</v>
      </c>
      <c r="AN102" s="427">
        <v>0</v>
      </c>
      <c r="AO102" s="427">
        <v>0</v>
      </c>
      <c r="AP102" s="427">
        <v>0</v>
      </c>
      <c r="AQ102" s="427">
        <v>33628.9424793504</v>
      </c>
      <c r="AR102" s="427">
        <v>33628.9424793504</v>
      </c>
      <c r="AS102" s="427">
        <v>33628.9424793504</v>
      </c>
      <c r="AT102" s="427">
        <v>33628.9424793504</v>
      </c>
      <c r="AU102" s="427">
        <v>33628.9424793504</v>
      </c>
      <c r="AV102" s="427">
        <v>33628.9424793504</v>
      </c>
      <c r="AW102" s="427">
        <v>33628.9424793504</v>
      </c>
      <c r="AX102" s="427">
        <v>33628.9424793504</v>
      </c>
      <c r="AY102" s="427">
        <v>33628.9424793504</v>
      </c>
      <c r="AZ102" s="427">
        <v>0</v>
      </c>
      <c r="BA102" s="427">
        <v>0</v>
      </c>
      <c r="BB102" s="427">
        <v>0</v>
      </c>
      <c r="BC102" s="427">
        <v>0</v>
      </c>
      <c r="BD102" s="427">
        <v>0</v>
      </c>
      <c r="BE102" s="427">
        <v>0</v>
      </c>
      <c r="BF102" s="427">
        <v>0</v>
      </c>
      <c r="BG102" s="427">
        <v>0</v>
      </c>
      <c r="BH102" s="427">
        <v>0</v>
      </c>
      <c r="BI102" s="427">
        <v>0</v>
      </c>
      <c r="BJ102" s="427">
        <v>0</v>
      </c>
      <c r="BK102" s="427">
        <v>0</v>
      </c>
      <c r="BL102" s="427">
        <v>0</v>
      </c>
      <c r="BM102" s="427">
        <v>0</v>
      </c>
      <c r="BN102" s="427">
        <v>0</v>
      </c>
      <c r="BO102" s="427">
        <v>0</v>
      </c>
      <c r="BP102" s="427">
        <v>0</v>
      </c>
      <c r="BQ102" s="427">
        <v>0</v>
      </c>
      <c r="BR102" s="427">
        <v>0</v>
      </c>
      <c r="BS102" s="427">
        <v>0</v>
      </c>
      <c r="BT102" s="427">
        <v>0</v>
      </c>
      <c r="BU102" s="427">
        <v>0</v>
      </c>
      <c r="BV102" s="427">
        <v>0</v>
      </c>
      <c r="BW102" s="427">
        <v>0</v>
      </c>
      <c r="BX102" s="427">
        <v>0</v>
      </c>
      <c r="BY102" s="427">
        <v>0</v>
      </c>
      <c r="BZ102" s="427">
        <v>0</v>
      </c>
      <c r="CA102" s="427">
        <v>0</v>
      </c>
      <c r="CB102" s="427">
        <v>0</v>
      </c>
      <c r="CC102" s="427">
        <v>0</v>
      </c>
      <c r="CD102" s="427">
        <v>0</v>
      </c>
      <c r="CE102" s="427">
        <v>0</v>
      </c>
      <c r="CF102" s="427">
        <v>0</v>
      </c>
      <c r="CG102" s="427">
        <v>0</v>
      </c>
      <c r="CH102" s="427">
        <v>0</v>
      </c>
      <c r="CI102" s="427">
        <v>0</v>
      </c>
      <c r="CJ102" s="427">
        <v>0</v>
      </c>
      <c r="CK102" s="428">
        <v>0</v>
      </c>
      <c r="CL102" s="428">
        <v>0</v>
      </c>
      <c r="CM102" s="428">
        <v>0</v>
      </c>
      <c r="CN102" s="428">
        <v>0</v>
      </c>
      <c r="CO102" s="428">
        <v>0</v>
      </c>
      <c r="CP102" s="428">
        <v>0</v>
      </c>
      <c r="CQ102" s="428">
        <v>0</v>
      </c>
      <c r="CR102" s="428">
        <v>0</v>
      </c>
      <c r="CS102" s="428">
        <v>0</v>
      </c>
      <c r="CT102" s="428">
        <v>0</v>
      </c>
      <c r="CU102" s="428">
        <v>0</v>
      </c>
      <c r="CV102" s="428">
        <v>0</v>
      </c>
      <c r="CW102" s="428">
        <v>0</v>
      </c>
      <c r="CX102" s="428"/>
      <c r="CY102" s="428"/>
      <c r="CZ102" s="428"/>
      <c r="DA102" s="428"/>
      <c r="DB102" s="428"/>
      <c r="DC102" s="428"/>
      <c r="DD102" s="428"/>
      <c r="DE102" s="428"/>
      <c r="DF102" s="428"/>
      <c r="DG102" s="428"/>
      <c r="DH102" s="428"/>
      <c r="DI102" s="428"/>
    </row>
    <row r="103" spans="1:113" s="388" customFormat="1">
      <c r="A103" s="421" t="s">
        <v>370</v>
      </c>
      <c r="B103" s="421" t="s">
        <v>23</v>
      </c>
      <c r="C103" s="421" t="s">
        <v>424</v>
      </c>
      <c r="D103" s="422" t="s">
        <v>376</v>
      </c>
      <c r="E103" s="422">
        <v>2019</v>
      </c>
      <c r="F103" s="423">
        <v>0.91174494444871801</v>
      </c>
      <c r="G103" s="424">
        <v>784.39508333084814</v>
      </c>
      <c r="H103" s="422">
        <v>9</v>
      </c>
      <c r="I103" s="425">
        <v>1</v>
      </c>
      <c r="J103" s="425">
        <v>1</v>
      </c>
      <c r="K103" s="422">
        <v>0</v>
      </c>
      <c r="L103" s="422">
        <v>0</v>
      </c>
      <c r="M103" s="422">
        <v>0</v>
      </c>
      <c r="N103" s="426">
        <v>40</v>
      </c>
      <c r="O103" s="426">
        <v>0</v>
      </c>
      <c r="P103" s="426">
        <v>0</v>
      </c>
      <c r="Q103" s="426">
        <v>0</v>
      </c>
      <c r="R103" s="426">
        <v>0</v>
      </c>
      <c r="S103" s="426">
        <v>39.088743599087593</v>
      </c>
      <c r="T103" s="426">
        <v>39.088743599087593</v>
      </c>
      <c r="U103" s="426">
        <v>39.088743599087593</v>
      </c>
      <c r="V103" s="426">
        <v>39.088743599087593</v>
      </c>
      <c r="W103" s="426">
        <v>39.088743599087593</v>
      </c>
      <c r="X103" s="426">
        <v>39.088743599087593</v>
      </c>
      <c r="Y103" s="426">
        <v>39.088743599087593</v>
      </c>
      <c r="Z103" s="426">
        <v>39.088743599087593</v>
      </c>
      <c r="AA103" s="426">
        <v>39.088743599087593</v>
      </c>
      <c r="AB103" s="426">
        <v>0</v>
      </c>
      <c r="AC103" s="426">
        <v>0</v>
      </c>
      <c r="AD103" s="426">
        <v>0</v>
      </c>
      <c r="AE103" s="426">
        <v>0</v>
      </c>
      <c r="AF103" s="426">
        <v>0</v>
      </c>
      <c r="AG103" s="426">
        <v>0</v>
      </c>
      <c r="AH103" s="426">
        <v>0</v>
      </c>
      <c r="AI103" s="426">
        <v>0</v>
      </c>
      <c r="AJ103" s="426">
        <v>0</v>
      </c>
      <c r="AK103" s="426">
        <v>0</v>
      </c>
      <c r="AL103" s="426">
        <v>0</v>
      </c>
      <c r="AM103" s="427">
        <v>0</v>
      </c>
      <c r="AN103" s="427">
        <v>0</v>
      </c>
      <c r="AO103" s="427">
        <v>0</v>
      </c>
      <c r="AP103" s="427">
        <v>0</v>
      </c>
      <c r="AQ103" s="427">
        <v>0</v>
      </c>
      <c r="AR103" s="427">
        <v>33628.9424793504</v>
      </c>
      <c r="AS103" s="427">
        <v>33628.9424793504</v>
      </c>
      <c r="AT103" s="427">
        <v>33628.9424793504</v>
      </c>
      <c r="AU103" s="427">
        <v>33628.9424793504</v>
      </c>
      <c r="AV103" s="427">
        <v>33628.9424793504</v>
      </c>
      <c r="AW103" s="427">
        <v>33628.9424793504</v>
      </c>
      <c r="AX103" s="427">
        <v>33628.9424793504</v>
      </c>
      <c r="AY103" s="427">
        <v>33628.9424793504</v>
      </c>
      <c r="AZ103" s="427">
        <v>33628.9424793504</v>
      </c>
      <c r="BA103" s="427">
        <v>0</v>
      </c>
      <c r="BB103" s="427">
        <v>0</v>
      </c>
      <c r="BC103" s="427">
        <v>0</v>
      </c>
      <c r="BD103" s="427">
        <v>0</v>
      </c>
      <c r="BE103" s="427">
        <v>0</v>
      </c>
      <c r="BF103" s="427">
        <v>0</v>
      </c>
      <c r="BG103" s="427">
        <v>0</v>
      </c>
      <c r="BH103" s="427">
        <v>0</v>
      </c>
      <c r="BI103" s="427">
        <v>0</v>
      </c>
      <c r="BJ103" s="427">
        <v>0</v>
      </c>
      <c r="BK103" s="427">
        <v>0</v>
      </c>
      <c r="BL103" s="427">
        <v>0</v>
      </c>
      <c r="BM103" s="427">
        <v>0</v>
      </c>
      <c r="BN103" s="427">
        <v>0</v>
      </c>
      <c r="BO103" s="427">
        <v>0</v>
      </c>
      <c r="BP103" s="427">
        <v>0</v>
      </c>
      <c r="BQ103" s="427">
        <v>0</v>
      </c>
      <c r="BR103" s="427">
        <v>0</v>
      </c>
      <c r="BS103" s="427">
        <v>0</v>
      </c>
      <c r="BT103" s="427">
        <v>0</v>
      </c>
      <c r="BU103" s="427">
        <v>0</v>
      </c>
      <c r="BV103" s="427">
        <v>0</v>
      </c>
      <c r="BW103" s="427">
        <v>0</v>
      </c>
      <c r="BX103" s="427">
        <v>0</v>
      </c>
      <c r="BY103" s="427">
        <v>0</v>
      </c>
      <c r="BZ103" s="427">
        <v>0</v>
      </c>
      <c r="CA103" s="427">
        <v>0</v>
      </c>
      <c r="CB103" s="427">
        <v>0</v>
      </c>
      <c r="CC103" s="427">
        <v>0</v>
      </c>
      <c r="CD103" s="427">
        <v>0</v>
      </c>
      <c r="CE103" s="427">
        <v>0</v>
      </c>
      <c r="CF103" s="427">
        <v>0</v>
      </c>
      <c r="CG103" s="427">
        <v>0</v>
      </c>
      <c r="CH103" s="427">
        <v>0</v>
      </c>
      <c r="CI103" s="427">
        <v>0</v>
      </c>
      <c r="CJ103" s="427">
        <v>0</v>
      </c>
      <c r="CK103" s="428">
        <v>0</v>
      </c>
      <c r="CL103" s="428">
        <v>0</v>
      </c>
      <c r="CM103" s="428">
        <v>0</v>
      </c>
      <c r="CN103" s="428">
        <v>0</v>
      </c>
      <c r="CO103" s="428">
        <v>0</v>
      </c>
      <c r="CP103" s="428">
        <v>0</v>
      </c>
      <c r="CQ103" s="428">
        <v>0</v>
      </c>
      <c r="CR103" s="428">
        <v>0</v>
      </c>
      <c r="CS103" s="428">
        <v>0</v>
      </c>
      <c r="CT103" s="428">
        <v>0</v>
      </c>
      <c r="CU103" s="428">
        <v>0</v>
      </c>
      <c r="CV103" s="428">
        <v>0</v>
      </c>
      <c r="CW103" s="428">
        <v>0</v>
      </c>
      <c r="CX103" s="428"/>
      <c r="CY103" s="428"/>
      <c r="CZ103" s="428"/>
      <c r="DA103" s="428"/>
      <c r="DB103" s="428"/>
      <c r="DC103" s="428"/>
      <c r="DD103" s="428"/>
      <c r="DE103" s="428"/>
      <c r="DF103" s="428"/>
      <c r="DG103" s="428"/>
      <c r="DH103" s="428"/>
      <c r="DI103" s="428"/>
    </row>
    <row r="104" spans="1:113" s="388" customFormat="1">
      <c r="A104" s="421" t="s">
        <v>370</v>
      </c>
      <c r="B104" s="421" t="s">
        <v>23</v>
      </c>
      <c r="C104" s="421" t="s">
        <v>424</v>
      </c>
      <c r="D104" s="422" t="s">
        <v>376</v>
      </c>
      <c r="E104" s="422">
        <v>2020</v>
      </c>
      <c r="F104" s="423">
        <v>0.91174494444871801</v>
      </c>
      <c r="G104" s="424">
        <v>784.39508333084814</v>
      </c>
      <c r="H104" s="422">
        <v>9</v>
      </c>
      <c r="I104" s="425">
        <v>1</v>
      </c>
      <c r="J104" s="425">
        <v>1</v>
      </c>
      <c r="K104" s="422">
        <v>0</v>
      </c>
      <c r="L104" s="422">
        <v>0</v>
      </c>
      <c r="M104" s="422">
        <v>0</v>
      </c>
      <c r="N104" s="426">
        <v>40</v>
      </c>
      <c r="O104" s="426">
        <v>0</v>
      </c>
      <c r="P104" s="426">
        <v>0</v>
      </c>
      <c r="Q104" s="426">
        <v>0</v>
      </c>
      <c r="R104" s="426">
        <v>0</v>
      </c>
      <c r="S104" s="426">
        <v>0</v>
      </c>
      <c r="T104" s="426">
        <v>39.088743599087593</v>
      </c>
      <c r="U104" s="426">
        <v>39.088743599087593</v>
      </c>
      <c r="V104" s="426">
        <v>39.088743599087593</v>
      </c>
      <c r="W104" s="426">
        <v>39.088743599087593</v>
      </c>
      <c r="X104" s="426">
        <v>39.088743599087593</v>
      </c>
      <c r="Y104" s="426">
        <v>39.088743599087593</v>
      </c>
      <c r="Z104" s="426">
        <v>39.088743599087593</v>
      </c>
      <c r="AA104" s="426">
        <v>39.088743599087593</v>
      </c>
      <c r="AB104" s="426">
        <v>39.088743599087593</v>
      </c>
      <c r="AC104" s="426">
        <v>0</v>
      </c>
      <c r="AD104" s="426">
        <v>0</v>
      </c>
      <c r="AE104" s="426">
        <v>0</v>
      </c>
      <c r="AF104" s="426">
        <v>0</v>
      </c>
      <c r="AG104" s="426">
        <v>0</v>
      </c>
      <c r="AH104" s="426">
        <v>0</v>
      </c>
      <c r="AI104" s="426">
        <v>0</v>
      </c>
      <c r="AJ104" s="426">
        <v>0</v>
      </c>
      <c r="AK104" s="426">
        <v>0</v>
      </c>
      <c r="AL104" s="426">
        <v>0</v>
      </c>
      <c r="AM104" s="427">
        <v>0</v>
      </c>
      <c r="AN104" s="427">
        <v>0</v>
      </c>
      <c r="AO104" s="427">
        <v>0</v>
      </c>
      <c r="AP104" s="427">
        <v>0</v>
      </c>
      <c r="AQ104" s="427">
        <v>0</v>
      </c>
      <c r="AR104" s="427">
        <v>0</v>
      </c>
      <c r="AS104" s="427">
        <v>33628.9424793504</v>
      </c>
      <c r="AT104" s="427">
        <v>33628.9424793504</v>
      </c>
      <c r="AU104" s="427">
        <v>33628.9424793504</v>
      </c>
      <c r="AV104" s="427">
        <v>33628.9424793504</v>
      </c>
      <c r="AW104" s="427">
        <v>33628.9424793504</v>
      </c>
      <c r="AX104" s="427">
        <v>33628.9424793504</v>
      </c>
      <c r="AY104" s="427">
        <v>33628.9424793504</v>
      </c>
      <c r="AZ104" s="427">
        <v>33628.9424793504</v>
      </c>
      <c r="BA104" s="427">
        <v>33628.9424793504</v>
      </c>
      <c r="BB104" s="427">
        <v>0</v>
      </c>
      <c r="BC104" s="427">
        <v>0</v>
      </c>
      <c r="BD104" s="427">
        <v>0</v>
      </c>
      <c r="BE104" s="427">
        <v>0</v>
      </c>
      <c r="BF104" s="427">
        <v>0</v>
      </c>
      <c r="BG104" s="427">
        <v>0</v>
      </c>
      <c r="BH104" s="427">
        <v>0</v>
      </c>
      <c r="BI104" s="427">
        <v>0</v>
      </c>
      <c r="BJ104" s="427">
        <v>0</v>
      </c>
      <c r="BK104" s="427">
        <v>0</v>
      </c>
      <c r="BL104" s="427">
        <v>0</v>
      </c>
      <c r="BM104" s="427">
        <v>0</v>
      </c>
      <c r="BN104" s="427">
        <v>0</v>
      </c>
      <c r="BO104" s="427">
        <v>0</v>
      </c>
      <c r="BP104" s="427">
        <v>0</v>
      </c>
      <c r="BQ104" s="427">
        <v>0</v>
      </c>
      <c r="BR104" s="427">
        <v>0</v>
      </c>
      <c r="BS104" s="427">
        <v>0</v>
      </c>
      <c r="BT104" s="427">
        <v>0</v>
      </c>
      <c r="BU104" s="427">
        <v>0</v>
      </c>
      <c r="BV104" s="427">
        <v>0</v>
      </c>
      <c r="BW104" s="427">
        <v>0</v>
      </c>
      <c r="BX104" s="427">
        <v>0</v>
      </c>
      <c r="BY104" s="427">
        <v>0</v>
      </c>
      <c r="BZ104" s="427">
        <v>0</v>
      </c>
      <c r="CA104" s="427">
        <v>0</v>
      </c>
      <c r="CB104" s="427">
        <v>0</v>
      </c>
      <c r="CC104" s="427">
        <v>0</v>
      </c>
      <c r="CD104" s="427">
        <v>0</v>
      </c>
      <c r="CE104" s="427">
        <v>0</v>
      </c>
      <c r="CF104" s="427">
        <v>0</v>
      </c>
      <c r="CG104" s="427">
        <v>0</v>
      </c>
      <c r="CH104" s="427">
        <v>0</v>
      </c>
      <c r="CI104" s="427">
        <v>0</v>
      </c>
      <c r="CJ104" s="427">
        <v>0</v>
      </c>
      <c r="CK104" s="428">
        <v>0</v>
      </c>
      <c r="CL104" s="428">
        <v>0</v>
      </c>
      <c r="CM104" s="428">
        <v>0</v>
      </c>
      <c r="CN104" s="428">
        <v>0</v>
      </c>
      <c r="CO104" s="428">
        <v>0</v>
      </c>
      <c r="CP104" s="428">
        <v>0</v>
      </c>
      <c r="CQ104" s="428">
        <v>0</v>
      </c>
      <c r="CR104" s="428">
        <v>0</v>
      </c>
      <c r="CS104" s="428">
        <v>0</v>
      </c>
      <c r="CT104" s="428">
        <v>0</v>
      </c>
      <c r="CU104" s="428">
        <v>0</v>
      </c>
      <c r="CV104" s="428">
        <v>0</v>
      </c>
      <c r="CW104" s="428">
        <v>0</v>
      </c>
      <c r="CX104" s="428"/>
      <c r="CY104" s="428"/>
      <c r="CZ104" s="428"/>
      <c r="DA104" s="428"/>
      <c r="DB104" s="428"/>
      <c r="DC104" s="428"/>
      <c r="DD104" s="428"/>
      <c r="DE104" s="428"/>
      <c r="DF104" s="428"/>
      <c r="DG104" s="428"/>
      <c r="DH104" s="428"/>
      <c r="DI104" s="428"/>
    </row>
    <row r="105" spans="1:113" s="388" customFormat="1">
      <c r="A105" s="421" t="s">
        <v>370</v>
      </c>
      <c r="B105" s="421" t="s">
        <v>38</v>
      </c>
      <c r="C105" s="421" t="s">
        <v>425</v>
      </c>
      <c r="D105" s="422" t="s">
        <v>376</v>
      </c>
      <c r="E105" s="422">
        <v>2015</v>
      </c>
      <c r="F105" s="423">
        <v>1.1138999999999999</v>
      </c>
      <c r="G105" s="424">
        <v>3831.82</v>
      </c>
      <c r="H105" s="422">
        <v>9</v>
      </c>
      <c r="I105" s="425">
        <v>0.94</v>
      </c>
      <c r="J105" s="425">
        <v>0.94</v>
      </c>
      <c r="K105" s="422">
        <v>0</v>
      </c>
      <c r="L105" s="422">
        <v>0</v>
      </c>
      <c r="M105" s="422">
        <v>0</v>
      </c>
      <c r="N105" s="426">
        <v>0</v>
      </c>
      <c r="O105" s="426">
        <v>123.44799999999999</v>
      </c>
      <c r="P105" s="426">
        <v>123.44799999999999</v>
      </c>
      <c r="Q105" s="426">
        <v>123.44799999999999</v>
      </c>
      <c r="R105" s="426">
        <v>123.44799999999999</v>
      </c>
      <c r="S105" s="426">
        <v>123.44799999999999</v>
      </c>
      <c r="T105" s="426">
        <v>123.44799999999999</v>
      </c>
      <c r="U105" s="426">
        <v>123.44799999999999</v>
      </c>
      <c r="V105" s="426">
        <v>123.44799999999999</v>
      </c>
      <c r="W105" s="426">
        <v>123.44799999999999</v>
      </c>
      <c r="X105" s="426">
        <v>0</v>
      </c>
      <c r="Y105" s="426">
        <v>0</v>
      </c>
      <c r="Z105" s="426">
        <v>0</v>
      </c>
      <c r="AA105" s="426">
        <v>0</v>
      </c>
      <c r="AB105" s="426">
        <v>0</v>
      </c>
      <c r="AC105" s="426">
        <v>0</v>
      </c>
      <c r="AD105" s="426">
        <v>0</v>
      </c>
      <c r="AE105" s="426">
        <v>0</v>
      </c>
      <c r="AF105" s="426">
        <v>0</v>
      </c>
      <c r="AG105" s="426">
        <v>0</v>
      </c>
      <c r="AH105" s="426">
        <v>0</v>
      </c>
      <c r="AI105" s="426">
        <v>0</v>
      </c>
      <c r="AJ105" s="426">
        <v>0</v>
      </c>
      <c r="AK105" s="426">
        <v>0</v>
      </c>
      <c r="AL105" s="426">
        <v>0</v>
      </c>
      <c r="AM105" s="427">
        <v>0</v>
      </c>
      <c r="AN105" s="427">
        <v>0</v>
      </c>
      <c r="AO105" s="427">
        <v>0</v>
      </c>
      <c r="AP105" s="427">
        <v>0</v>
      </c>
      <c r="AQ105" s="427">
        <v>0</v>
      </c>
      <c r="AR105" s="427">
        <v>0</v>
      </c>
      <c r="AS105" s="427">
        <v>0</v>
      </c>
      <c r="AT105" s="427">
        <v>0</v>
      </c>
      <c r="AU105" s="427">
        <v>0</v>
      </c>
      <c r="AV105" s="427">
        <v>0</v>
      </c>
      <c r="AW105" s="427">
        <v>0</v>
      </c>
      <c r="AX105" s="427">
        <v>0</v>
      </c>
      <c r="AY105" s="427">
        <v>0</v>
      </c>
      <c r="AZ105" s="427">
        <v>0</v>
      </c>
      <c r="BA105" s="427">
        <v>0</v>
      </c>
      <c r="BB105" s="427">
        <v>0</v>
      </c>
      <c r="BC105" s="427">
        <v>0</v>
      </c>
      <c r="BD105" s="427">
        <v>0</v>
      </c>
      <c r="BE105" s="427">
        <v>0</v>
      </c>
      <c r="BF105" s="427">
        <v>0</v>
      </c>
      <c r="BG105" s="427">
        <v>0</v>
      </c>
      <c r="BH105" s="427">
        <v>0</v>
      </c>
      <c r="BI105" s="427">
        <v>0</v>
      </c>
      <c r="BJ105" s="427">
        <v>0</v>
      </c>
      <c r="BK105" s="427">
        <v>0</v>
      </c>
      <c r="BL105" s="427">
        <v>0</v>
      </c>
      <c r="BM105" s="427">
        <v>0</v>
      </c>
      <c r="BN105" s="427">
        <v>0</v>
      </c>
      <c r="BO105" s="427">
        <v>0</v>
      </c>
      <c r="BP105" s="427">
        <v>0</v>
      </c>
      <c r="BQ105" s="427">
        <v>0</v>
      </c>
      <c r="BR105" s="427">
        <v>0</v>
      </c>
      <c r="BS105" s="427">
        <v>0</v>
      </c>
      <c r="BT105" s="427">
        <v>0</v>
      </c>
      <c r="BU105" s="427">
        <v>0</v>
      </c>
      <c r="BV105" s="427">
        <v>0</v>
      </c>
      <c r="BW105" s="427">
        <v>0</v>
      </c>
      <c r="BX105" s="427">
        <v>0</v>
      </c>
      <c r="BY105" s="427">
        <v>0</v>
      </c>
      <c r="BZ105" s="427">
        <v>0</v>
      </c>
      <c r="CA105" s="427">
        <v>0</v>
      </c>
      <c r="CB105" s="427">
        <v>0</v>
      </c>
      <c r="CC105" s="427">
        <v>0</v>
      </c>
      <c r="CD105" s="427">
        <v>0</v>
      </c>
      <c r="CE105" s="427">
        <v>0</v>
      </c>
      <c r="CF105" s="427">
        <v>0</v>
      </c>
      <c r="CG105" s="427">
        <v>0</v>
      </c>
      <c r="CH105" s="427">
        <v>0</v>
      </c>
      <c r="CI105" s="427">
        <v>0</v>
      </c>
      <c r="CJ105" s="427">
        <v>0</v>
      </c>
      <c r="CK105" s="428">
        <v>0</v>
      </c>
      <c r="CL105" s="428">
        <v>0</v>
      </c>
      <c r="CM105" s="428">
        <v>0</v>
      </c>
      <c r="CN105" s="428">
        <v>0</v>
      </c>
      <c r="CO105" s="428">
        <v>0</v>
      </c>
      <c r="CP105" s="428">
        <v>0</v>
      </c>
      <c r="CQ105" s="428">
        <v>0</v>
      </c>
      <c r="CR105" s="428">
        <v>0</v>
      </c>
      <c r="CS105" s="428">
        <v>0</v>
      </c>
      <c r="CT105" s="428">
        <v>0</v>
      </c>
      <c r="CU105" s="428">
        <v>0</v>
      </c>
      <c r="CV105" s="428">
        <v>0</v>
      </c>
      <c r="CW105" s="428">
        <v>0</v>
      </c>
      <c r="CX105" s="428"/>
      <c r="CY105" s="428"/>
      <c r="CZ105" s="428"/>
      <c r="DA105" s="428"/>
      <c r="DB105" s="428"/>
      <c r="DC105" s="428"/>
      <c r="DD105" s="428"/>
      <c r="DE105" s="428"/>
      <c r="DF105" s="428"/>
      <c r="DG105" s="428"/>
      <c r="DH105" s="428"/>
      <c r="DI105" s="428"/>
    </row>
    <row r="106" spans="1:113" s="388" customFormat="1">
      <c r="A106" s="421" t="s">
        <v>370</v>
      </c>
      <c r="B106" s="421" t="s">
        <v>38</v>
      </c>
      <c r="C106" s="421" t="s">
        <v>425</v>
      </c>
      <c r="D106" s="422" t="s">
        <v>376</v>
      </c>
      <c r="E106" s="422">
        <v>2016</v>
      </c>
      <c r="F106" s="423">
        <v>1.1138999999999999</v>
      </c>
      <c r="G106" s="424">
        <v>3831.82</v>
      </c>
      <c r="H106" s="422">
        <v>9</v>
      </c>
      <c r="I106" s="425">
        <v>0.94</v>
      </c>
      <c r="J106" s="425">
        <v>0.94</v>
      </c>
      <c r="K106" s="422">
        <v>0</v>
      </c>
      <c r="L106" s="422">
        <v>0</v>
      </c>
      <c r="M106" s="422">
        <v>0</v>
      </c>
      <c r="N106" s="426">
        <v>110</v>
      </c>
      <c r="O106" s="426">
        <v>0</v>
      </c>
      <c r="P106" s="426">
        <v>123.44829581993567</v>
      </c>
      <c r="Q106" s="426">
        <v>123.44829581993567</v>
      </c>
      <c r="R106" s="426">
        <v>123.44829581993567</v>
      </c>
      <c r="S106" s="426">
        <v>123.44829581993567</v>
      </c>
      <c r="T106" s="426">
        <v>123.44829581993567</v>
      </c>
      <c r="U106" s="426">
        <v>123.44829581993567</v>
      </c>
      <c r="V106" s="426">
        <v>123.44829581993567</v>
      </c>
      <c r="W106" s="426">
        <v>123.44829581993567</v>
      </c>
      <c r="X106" s="426">
        <v>123.44829581993567</v>
      </c>
      <c r="Y106" s="426">
        <v>0</v>
      </c>
      <c r="Z106" s="426">
        <v>0</v>
      </c>
      <c r="AA106" s="426">
        <v>0</v>
      </c>
      <c r="AB106" s="426">
        <v>0</v>
      </c>
      <c r="AC106" s="426">
        <v>0</v>
      </c>
      <c r="AD106" s="426">
        <v>0</v>
      </c>
      <c r="AE106" s="426">
        <v>0</v>
      </c>
      <c r="AF106" s="426">
        <v>0</v>
      </c>
      <c r="AG106" s="426">
        <v>0</v>
      </c>
      <c r="AH106" s="426">
        <v>0</v>
      </c>
      <c r="AI106" s="426">
        <v>0</v>
      </c>
      <c r="AJ106" s="426">
        <v>0</v>
      </c>
      <c r="AK106" s="426">
        <v>0</v>
      </c>
      <c r="AL106" s="426">
        <v>0</v>
      </c>
      <c r="AM106" s="427">
        <v>0</v>
      </c>
      <c r="AN106" s="427">
        <v>0</v>
      </c>
      <c r="AO106" s="427">
        <v>424662.58092175779</v>
      </c>
      <c r="AP106" s="427">
        <v>424662.58092175779</v>
      </c>
      <c r="AQ106" s="427">
        <v>424662.58092175779</v>
      </c>
      <c r="AR106" s="427">
        <v>424662.58092175779</v>
      </c>
      <c r="AS106" s="427">
        <v>424662.58092175779</v>
      </c>
      <c r="AT106" s="427">
        <v>424662.58092175779</v>
      </c>
      <c r="AU106" s="427">
        <v>424662.58092175779</v>
      </c>
      <c r="AV106" s="427">
        <v>424662.58092175779</v>
      </c>
      <c r="AW106" s="427">
        <v>424662.58092175779</v>
      </c>
      <c r="AX106" s="427">
        <v>0</v>
      </c>
      <c r="AY106" s="427">
        <v>0</v>
      </c>
      <c r="AZ106" s="427">
        <v>0</v>
      </c>
      <c r="BA106" s="427">
        <v>0</v>
      </c>
      <c r="BB106" s="427">
        <v>0</v>
      </c>
      <c r="BC106" s="427">
        <v>0</v>
      </c>
      <c r="BD106" s="427">
        <v>0</v>
      </c>
      <c r="BE106" s="427">
        <v>0</v>
      </c>
      <c r="BF106" s="427">
        <v>0</v>
      </c>
      <c r="BG106" s="427">
        <v>0</v>
      </c>
      <c r="BH106" s="427">
        <v>0</v>
      </c>
      <c r="BI106" s="427">
        <v>0</v>
      </c>
      <c r="BJ106" s="427">
        <v>0</v>
      </c>
      <c r="BK106" s="427">
        <v>0</v>
      </c>
      <c r="BL106" s="427">
        <v>0</v>
      </c>
      <c r="BM106" s="427">
        <v>0</v>
      </c>
      <c r="BN106" s="427">
        <v>0</v>
      </c>
      <c r="BO106" s="427">
        <v>0</v>
      </c>
      <c r="BP106" s="427">
        <v>0</v>
      </c>
      <c r="BQ106" s="427">
        <v>0</v>
      </c>
      <c r="BR106" s="427">
        <v>0</v>
      </c>
      <c r="BS106" s="427">
        <v>0</v>
      </c>
      <c r="BT106" s="427">
        <v>0</v>
      </c>
      <c r="BU106" s="427">
        <v>0</v>
      </c>
      <c r="BV106" s="427">
        <v>0</v>
      </c>
      <c r="BW106" s="427">
        <v>0</v>
      </c>
      <c r="BX106" s="427">
        <v>0</v>
      </c>
      <c r="BY106" s="427">
        <v>0</v>
      </c>
      <c r="BZ106" s="427">
        <v>0</v>
      </c>
      <c r="CA106" s="427">
        <v>0</v>
      </c>
      <c r="CB106" s="427">
        <v>0</v>
      </c>
      <c r="CC106" s="427">
        <v>0</v>
      </c>
      <c r="CD106" s="427">
        <v>0</v>
      </c>
      <c r="CE106" s="427">
        <v>0</v>
      </c>
      <c r="CF106" s="427">
        <v>0</v>
      </c>
      <c r="CG106" s="427">
        <v>0</v>
      </c>
      <c r="CH106" s="427">
        <v>0</v>
      </c>
      <c r="CI106" s="427">
        <v>0</v>
      </c>
      <c r="CJ106" s="427">
        <v>0</v>
      </c>
      <c r="CK106" s="428">
        <v>0</v>
      </c>
      <c r="CL106" s="428">
        <v>0</v>
      </c>
      <c r="CM106" s="428">
        <v>0</v>
      </c>
      <c r="CN106" s="428">
        <v>0</v>
      </c>
      <c r="CO106" s="428">
        <v>0</v>
      </c>
      <c r="CP106" s="428">
        <v>0</v>
      </c>
      <c r="CQ106" s="428">
        <v>0</v>
      </c>
      <c r="CR106" s="428">
        <v>0</v>
      </c>
      <c r="CS106" s="428">
        <v>0</v>
      </c>
      <c r="CT106" s="428">
        <v>0</v>
      </c>
      <c r="CU106" s="428">
        <v>0</v>
      </c>
      <c r="CV106" s="428">
        <v>0</v>
      </c>
      <c r="CW106" s="428">
        <v>0</v>
      </c>
      <c r="CX106" s="428"/>
      <c r="CY106" s="428"/>
      <c r="CZ106" s="428"/>
      <c r="DA106" s="428"/>
      <c r="DB106" s="428"/>
      <c r="DC106" s="428"/>
      <c r="DD106" s="428"/>
      <c r="DE106" s="428"/>
      <c r="DF106" s="428"/>
      <c r="DG106" s="428"/>
      <c r="DH106" s="428"/>
      <c r="DI106" s="428"/>
    </row>
    <row r="107" spans="1:113" s="388" customFormat="1">
      <c r="A107" s="421" t="s">
        <v>370</v>
      </c>
      <c r="B107" s="421" t="s">
        <v>38</v>
      </c>
      <c r="C107" s="421" t="s">
        <v>425</v>
      </c>
      <c r="D107" s="422" t="s">
        <v>376</v>
      </c>
      <c r="E107" s="422">
        <v>2017</v>
      </c>
      <c r="F107" s="423">
        <v>1.1138999999999999</v>
      </c>
      <c r="G107" s="424">
        <v>3831.82</v>
      </c>
      <c r="H107" s="422">
        <v>9</v>
      </c>
      <c r="I107" s="425">
        <v>0.94</v>
      </c>
      <c r="J107" s="425">
        <v>0.94</v>
      </c>
      <c r="K107" s="422">
        <v>0</v>
      </c>
      <c r="L107" s="422">
        <v>0</v>
      </c>
      <c r="M107" s="422">
        <v>0</v>
      </c>
      <c r="N107" s="426">
        <v>120</v>
      </c>
      <c r="O107" s="426">
        <v>0</v>
      </c>
      <c r="P107" s="426">
        <v>0</v>
      </c>
      <c r="Q107" s="426">
        <v>134.67086816720257</v>
      </c>
      <c r="R107" s="426">
        <v>134.67086816720257</v>
      </c>
      <c r="S107" s="426">
        <v>134.67086816720257</v>
      </c>
      <c r="T107" s="426">
        <v>134.67086816720257</v>
      </c>
      <c r="U107" s="426">
        <v>134.67086816720257</v>
      </c>
      <c r="V107" s="426">
        <v>134.67086816720257</v>
      </c>
      <c r="W107" s="426">
        <v>134.67086816720257</v>
      </c>
      <c r="X107" s="426">
        <v>134.67086816720257</v>
      </c>
      <c r="Y107" s="426">
        <v>134.67086816720257</v>
      </c>
      <c r="Z107" s="426">
        <v>0</v>
      </c>
      <c r="AA107" s="426">
        <v>0</v>
      </c>
      <c r="AB107" s="426">
        <v>0</v>
      </c>
      <c r="AC107" s="426">
        <v>0</v>
      </c>
      <c r="AD107" s="426">
        <v>0</v>
      </c>
      <c r="AE107" s="426">
        <v>0</v>
      </c>
      <c r="AF107" s="426">
        <v>0</v>
      </c>
      <c r="AG107" s="426">
        <v>0</v>
      </c>
      <c r="AH107" s="426">
        <v>0</v>
      </c>
      <c r="AI107" s="426">
        <v>0</v>
      </c>
      <c r="AJ107" s="426">
        <v>0</v>
      </c>
      <c r="AK107" s="426">
        <v>0</v>
      </c>
      <c r="AL107" s="426">
        <v>0</v>
      </c>
      <c r="AM107" s="427">
        <v>0</v>
      </c>
      <c r="AN107" s="427">
        <v>0</v>
      </c>
      <c r="AO107" s="427">
        <v>0</v>
      </c>
      <c r="AP107" s="427">
        <v>463268.27009646309</v>
      </c>
      <c r="AQ107" s="427">
        <v>463268.27009646309</v>
      </c>
      <c r="AR107" s="427">
        <v>463268.27009646309</v>
      </c>
      <c r="AS107" s="427">
        <v>463268.27009646309</v>
      </c>
      <c r="AT107" s="427">
        <v>463268.27009646309</v>
      </c>
      <c r="AU107" s="427">
        <v>463268.27009646309</v>
      </c>
      <c r="AV107" s="427">
        <v>463268.27009646309</v>
      </c>
      <c r="AW107" s="427">
        <v>463268.27009646309</v>
      </c>
      <c r="AX107" s="427">
        <v>463268.27009646309</v>
      </c>
      <c r="AY107" s="427">
        <v>0</v>
      </c>
      <c r="AZ107" s="427">
        <v>0</v>
      </c>
      <c r="BA107" s="427">
        <v>0</v>
      </c>
      <c r="BB107" s="427">
        <v>0</v>
      </c>
      <c r="BC107" s="427">
        <v>0</v>
      </c>
      <c r="BD107" s="427">
        <v>0</v>
      </c>
      <c r="BE107" s="427">
        <v>0</v>
      </c>
      <c r="BF107" s="427">
        <v>0</v>
      </c>
      <c r="BG107" s="427">
        <v>0</v>
      </c>
      <c r="BH107" s="427">
        <v>0</v>
      </c>
      <c r="BI107" s="427">
        <v>0</v>
      </c>
      <c r="BJ107" s="427">
        <v>0</v>
      </c>
      <c r="BK107" s="427">
        <v>0</v>
      </c>
      <c r="BL107" s="427">
        <v>0</v>
      </c>
      <c r="BM107" s="427">
        <v>0</v>
      </c>
      <c r="BN107" s="427">
        <v>0</v>
      </c>
      <c r="BO107" s="427">
        <v>0</v>
      </c>
      <c r="BP107" s="427">
        <v>0</v>
      </c>
      <c r="BQ107" s="427">
        <v>0</v>
      </c>
      <c r="BR107" s="427">
        <v>0</v>
      </c>
      <c r="BS107" s="427">
        <v>0</v>
      </c>
      <c r="BT107" s="427">
        <v>0</v>
      </c>
      <c r="BU107" s="427">
        <v>0</v>
      </c>
      <c r="BV107" s="427">
        <v>0</v>
      </c>
      <c r="BW107" s="427">
        <v>0</v>
      </c>
      <c r="BX107" s="427">
        <v>0</v>
      </c>
      <c r="BY107" s="427">
        <v>0</v>
      </c>
      <c r="BZ107" s="427">
        <v>0</v>
      </c>
      <c r="CA107" s="427">
        <v>0</v>
      </c>
      <c r="CB107" s="427">
        <v>0</v>
      </c>
      <c r="CC107" s="427">
        <v>0</v>
      </c>
      <c r="CD107" s="427">
        <v>0</v>
      </c>
      <c r="CE107" s="427">
        <v>0</v>
      </c>
      <c r="CF107" s="427">
        <v>0</v>
      </c>
      <c r="CG107" s="427">
        <v>0</v>
      </c>
      <c r="CH107" s="427">
        <v>0</v>
      </c>
      <c r="CI107" s="427">
        <v>0</v>
      </c>
      <c r="CJ107" s="427">
        <v>0</v>
      </c>
      <c r="CK107" s="428">
        <v>0</v>
      </c>
      <c r="CL107" s="428">
        <v>0</v>
      </c>
      <c r="CM107" s="428">
        <v>0</v>
      </c>
      <c r="CN107" s="428">
        <v>0</v>
      </c>
      <c r="CO107" s="428">
        <v>0</v>
      </c>
      <c r="CP107" s="428">
        <v>0</v>
      </c>
      <c r="CQ107" s="428">
        <v>0</v>
      </c>
      <c r="CR107" s="428">
        <v>0</v>
      </c>
      <c r="CS107" s="428">
        <v>0</v>
      </c>
      <c r="CT107" s="428">
        <v>0</v>
      </c>
      <c r="CU107" s="428">
        <v>0</v>
      </c>
      <c r="CV107" s="428">
        <v>0</v>
      </c>
      <c r="CW107" s="428">
        <v>0</v>
      </c>
      <c r="CX107" s="428"/>
      <c r="CY107" s="428"/>
      <c r="CZ107" s="428"/>
      <c r="DA107" s="428"/>
      <c r="DB107" s="428"/>
      <c r="DC107" s="428"/>
      <c r="DD107" s="428"/>
      <c r="DE107" s="428"/>
      <c r="DF107" s="428"/>
      <c r="DG107" s="428"/>
      <c r="DH107" s="428"/>
      <c r="DI107" s="428"/>
    </row>
    <row r="108" spans="1:113" s="388" customFormat="1">
      <c r="A108" s="421" t="s">
        <v>370</v>
      </c>
      <c r="B108" s="421" t="s">
        <v>38</v>
      </c>
      <c r="C108" s="421" t="s">
        <v>425</v>
      </c>
      <c r="D108" s="422" t="s">
        <v>376</v>
      </c>
      <c r="E108" s="422">
        <v>2018</v>
      </c>
      <c r="F108" s="423">
        <v>1.1138999999999999</v>
      </c>
      <c r="G108" s="424">
        <v>3831.82</v>
      </c>
      <c r="H108" s="422">
        <v>9</v>
      </c>
      <c r="I108" s="425">
        <v>0.94</v>
      </c>
      <c r="J108" s="425">
        <v>0.94</v>
      </c>
      <c r="K108" s="422">
        <v>0</v>
      </c>
      <c r="L108" s="422">
        <v>0</v>
      </c>
      <c r="M108" s="422">
        <v>0</v>
      </c>
      <c r="N108" s="426">
        <v>130</v>
      </c>
      <c r="O108" s="426">
        <v>0</v>
      </c>
      <c r="P108" s="426">
        <v>0</v>
      </c>
      <c r="Q108" s="426">
        <v>0</v>
      </c>
      <c r="R108" s="426">
        <v>145.89344051446943</v>
      </c>
      <c r="S108" s="426">
        <v>145.89344051446943</v>
      </c>
      <c r="T108" s="426">
        <v>145.89344051446943</v>
      </c>
      <c r="U108" s="426">
        <v>145.89344051446943</v>
      </c>
      <c r="V108" s="426">
        <v>145.89344051446943</v>
      </c>
      <c r="W108" s="426">
        <v>145.89344051446943</v>
      </c>
      <c r="X108" s="426">
        <v>145.89344051446943</v>
      </c>
      <c r="Y108" s="426">
        <v>145.89344051446943</v>
      </c>
      <c r="Z108" s="426">
        <v>145.89344051446943</v>
      </c>
      <c r="AA108" s="426">
        <v>0</v>
      </c>
      <c r="AB108" s="426">
        <v>0</v>
      </c>
      <c r="AC108" s="426">
        <v>0</v>
      </c>
      <c r="AD108" s="426">
        <v>0</v>
      </c>
      <c r="AE108" s="426">
        <v>0</v>
      </c>
      <c r="AF108" s="426">
        <v>0</v>
      </c>
      <c r="AG108" s="426">
        <v>0</v>
      </c>
      <c r="AH108" s="426">
        <v>0</v>
      </c>
      <c r="AI108" s="426">
        <v>0</v>
      </c>
      <c r="AJ108" s="426">
        <v>0</v>
      </c>
      <c r="AK108" s="426">
        <v>0</v>
      </c>
      <c r="AL108" s="426">
        <v>0</v>
      </c>
      <c r="AM108" s="427">
        <v>0</v>
      </c>
      <c r="AN108" s="427">
        <v>0</v>
      </c>
      <c r="AO108" s="427">
        <v>0</v>
      </c>
      <c r="AP108" s="427">
        <v>0</v>
      </c>
      <c r="AQ108" s="427">
        <v>501873.95927116834</v>
      </c>
      <c r="AR108" s="427">
        <v>501873.95927116834</v>
      </c>
      <c r="AS108" s="427">
        <v>501873.95927116834</v>
      </c>
      <c r="AT108" s="427">
        <v>501873.95927116834</v>
      </c>
      <c r="AU108" s="427">
        <v>501873.95927116834</v>
      </c>
      <c r="AV108" s="427">
        <v>501873.95927116834</v>
      </c>
      <c r="AW108" s="427">
        <v>501873.95927116834</v>
      </c>
      <c r="AX108" s="427">
        <v>501873.95927116834</v>
      </c>
      <c r="AY108" s="427">
        <v>501873.95927116834</v>
      </c>
      <c r="AZ108" s="427">
        <v>0</v>
      </c>
      <c r="BA108" s="427">
        <v>0</v>
      </c>
      <c r="BB108" s="427">
        <v>0</v>
      </c>
      <c r="BC108" s="427">
        <v>0</v>
      </c>
      <c r="BD108" s="427">
        <v>0</v>
      </c>
      <c r="BE108" s="427">
        <v>0</v>
      </c>
      <c r="BF108" s="427">
        <v>0</v>
      </c>
      <c r="BG108" s="427">
        <v>0</v>
      </c>
      <c r="BH108" s="427">
        <v>0</v>
      </c>
      <c r="BI108" s="427">
        <v>0</v>
      </c>
      <c r="BJ108" s="427">
        <v>0</v>
      </c>
      <c r="BK108" s="427">
        <v>0</v>
      </c>
      <c r="BL108" s="427">
        <v>0</v>
      </c>
      <c r="BM108" s="427">
        <v>0</v>
      </c>
      <c r="BN108" s="427">
        <v>0</v>
      </c>
      <c r="BO108" s="427">
        <v>0</v>
      </c>
      <c r="BP108" s="427">
        <v>0</v>
      </c>
      <c r="BQ108" s="427">
        <v>0</v>
      </c>
      <c r="BR108" s="427">
        <v>0</v>
      </c>
      <c r="BS108" s="427">
        <v>0</v>
      </c>
      <c r="BT108" s="427">
        <v>0</v>
      </c>
      <c r="BU108" s="427">
        <v>0</v>
      </c>
      <c r="BV108" s="427">
        <v>0</v>
      </c>
      <c r="BW108" s="427">
        <v>0</v>
      </c>
      <c r="BX108" s="427">
        <v>0</v>
      </c>
      <c r="BY108" s="427">
        <v>0</v>
      </c>
      <c r="BZ108" s="427">
        <v>0</v>
      </c>
      <c r="CA108" s="427">
        <v>0</v>
      </c>
      <c r="CB108" s="427">
        <v>0</v>
      </c>
      <c r="CC108" s="427">
        <v>0</v>
      </c>
      <c r="CD108" s="427">
        <v>0</v>
      </c>
      <c r="CE108" s="427">
        <v>0</v>
      </c>
      <c r="CF108" s="427">
        <v>0</v>
      </c>
      <c r="CG108" s="427">
        <v>0</v>
      </c>
      <c r="CH108" s="427">
        <v>0</v>
      </c>
      <c r="CI108" s="427">
        <v>0</v>
      </c>
      <c r="CJ108" s="427">
        <v>0</v>
      </c>
      <c r="CK108" s="428">
        <v>0</v>
      </c>
      <c r="CL108" s="428">
        <v>0</v>
      </c>
      <c r="CM108" s="428">
        <v>0</v>
      </c>
      <c r="CN108" s="428">
        <v>0</v>
      </c>
      <c r="CO108" s="428">
        <v>0</v>
      </c>
      <c r="CP108" s="428">
        <v>0</v>
      </c>
      <c r="CQ108" s="428">
        <v>0</v>
      </c>
      <c r="CR108" s="428">
        <v>0</v>
      </c>
      <c r="CS108" s="428">
        <v>0</v>
      </c>
      <c r="CT108" s="428">
        <v>0</v>
      </c>
      <c r="CU108" s="428">
        <v>0</v>
      </c>
      <c r="CV108" s="428">
        <v>0</v>
      </c>
      <c r="CW108" s="428">
        <v>0</v>
      </c>
      <c r="CX108" s="428"/>
      <c r="CY108" s="428"/>
      <c r="CZ108" s="428"/>
      <c r="DA108" s="428"/>
      <c r="DB108" s="428"/>
      <c r="DC108" s="428"/>
      <c r="DD108" s="428"/>
      <c r="DE108" s="428"/>
      <c r="DF108" s="428"/>
      <c r="DG108" s="428"/>
      <c r="DH108" s="428"/>
      <c r="DI108" s="428"/>
    </row>
    <row r="109" spans="1:113" s="388" customFormat="1">
      <c r="A109" s="421" t="s">
        <v>370</v>
      </c>
      <c r="B109" s="421" t="s">
        <v>38</v>
      </c>
      <c r="C109" s="421" t="s">
        <v>425</v>
      </c>
      <c r="D109" s="422" t="s">
        <v>376</v>
      </c>
      <c r="E109" s="422">
        <v>2019</v>
      </c>
      <c r="F109" s="423">
        <v>1.1138999999999999</v>
      </c>
      <c r="G109" s="424">
        <v>3831.82</v>
      </c>
      <c r="H109" s="422">
        <v>9</v>
      </c>
      <c r="I109" s="425">
        <v>0.94</v>
      </c>
      <c r="J109" s="425">
        <v>0.94</v>
      </c>
      <c r="K109" s="422">
        <v>0</v>
      </c>
      <c r="L109" s="422">
        <v>0</v>
      </c>
      <c r="M109" s="422">
        <v>0</v>
      </c>
      <c r="N109" s="426">
        <v>140</v>
      </c>
      <c r="O109" s="426">
        <v>0</v>
      </c>
      <c r="P109" s="426">
        <v>0</v>
      </c>
      <c r="Q109" s="426">
        <v>0</v>
      </c>
      <c r="R109" s="426">
        <v>0</v>
      </c>
      <c r="S109" s="426">
        <v>157.11601286173632</v>
      </c>
      <c r="T109" s="426">
        <v>157.11601286173632</v>
      </c>
      <c r="U109" s="426">
        <v>157.11601286173632</v>
      </c>
      <c r="V109" s="426">
        <v>157.11601286173632</v>
      </c>
      <c r="W109" s="426">
        <v>157.11601286173632</v>
      </c>
      <c r="X109" s="426">
        <v>157.11601286173632</v>
      </c>
      <c r="Y109" s="426">
        <v>157.11601286173632</v>
      </c>
      <c r="Z109" s="426">
        <v>157.11601286173632</v>
      </c>
      <c r="AA109" s="426">
        <v>157.11601286173632</v>
      </c>
      <c r="AB109" s="426">
        <v>0</v>
      </c>
      <c r="AC109" s="426">
        <v>0</v>
      </c>
      <c r="AD109" s="426">
        <v>0</v>
      </c>
      <c r="AE109" s="426">
        <v>0</v>
      </c>
      <c r="AF109" s="426">
        <v>0</v>
      </c>
      <c r="AG109" s="426">
        <v>0</v>
      </c>
      <c r="AH109" s="426">
        <v>0</v>
      </c>
      <c r="AI109" s="426">
        <v>0</v>
      </c>
      <c r="AJ109" s="426">
        <v>0</v>
      </c>
      <c r="AK109" s="426">
        <v>0</v>
      </c>
      <c r="AL109" s="426">
        <v>0</v>
      </c>
      <c r="AM109" s="427">
        <v>0</v>
      </c>
      <c r="AN109" s="427">
        <v>0</v>
      </c>
      <c r="AO109" s="427">
        <v>0</v>
      </c>
      <c r="AP109" s="427">
        <v>0</v>
      </c>
      <c r="AQ109" s="427">
        <v>0</v>
      </c>
      <c r="AR109" s="427">
        <v>540479.64844587352</v>
      </c>
      <c r="AS109" s="427">
        <v>540479.64844587352</v>
      </c>
      <c r="AT109" s="427">
        <v>540479.64844587352</v>
      </c>
      <c r="AU109" s="427">
        <v>540479.64844587352</v>
      </c>
      <c r="AV109" s="427">
        <v>540479.64844587352</v>
      </c>
      <c r="AW109" s="427">
        <v>540479.64844587352</v>
      </c>
      <c r="AX109" s="427">
        <v>540479.64844587352</v>
      </c>
      <c r="AY109" s="427">
        <v>540479.64844587352</v>
      </c>
      <c r="AZ109" s="427">
        <v>540479.64844587352</v>
      </c>
      <c r="BA109" s="427">
        <v>0</v>
      </c>
      <c r="BB109" s="427">
        <v>0</v>
      </c>
      <c r="BC109" s="427">
        <v>0</v>
      </c>
      <c r="BD109" s="427">
        <v>0</v>
      </c>
      <c r="BE109" s="427">
        <v>0</v>
      </c>
      <c r="BF109" s="427">
        <v>0</v>
      </c>
      <c r="BG109" s="427">
        <v>0</v>
      </c>
      <c r="BH109" s="427">
        <v>0</v>
      </c>
      <c r="BI109" s="427">
        <v>0</v>
      </c>
      <c r="BJ109" s="427">
        <v>0</v>
      </c>
      <c r="BK109" s="427">
        <v>0</v>
      </c>
      <c r="BL109" s="427">
        <v>0</v>
      </c>
      <c r="BM109" s="427">
        <v>0</v>
      </c>
      <c r="BN109" s="427">
        <v>0</v>
      </c>
      <c r="BO109" s="427">
        <v>0</v>
      </c>
      <c r="BP109" s="427">
        <v>0</v>
      </c>
      <c r="BQ109" s="427">
        <v>0</v>
      </c>
      <c r="BR109" s="427">
        <v>0</v>
      </c>
      <c r="BS109" s="427">
        <v>0</v>
      </c>
      <c r="BT109" s="427">
        <v>0</v>
      </c>
      <c r="BU109" s="427">
        <v>0</v>
      </c>
      <c r="BV109" s="427">
        <v>0</v>
      </c>
      <c r="BW109" s="427">
        <v>0</v>
      </c>
      <c r="BX109" s="427">
        <v>0</v>
      </c>
      <c r="BY109" s="427">
        <v>0</v>
      </c>
      <c r="BZ109" s="427">
        <v>0</v>
      </c>
      <c r="CA109" s="427">
        <v>0</v>
      </c>
      <c r="CB109" s="427">
        <v>0</v>
      </c>
      <c r="CC109" s="427">
        <v>0</v>
      </c>
      <c r="CD109" s="427">
        <v>0</v>
      </c>
      <c r="CE109" s="427">
        <v>0</v>
      </c>
      <c r="CF109" s="427">
        <v>0</v>
      </c>
      <c r="CG109" s="427">
        <v>0</v>
      </c>
      <c r="CH109" s="427">
        <v>0</v>
      </c>
      <c r="CI109" s="427">
        <v>0</v>
      </c>
      <c r="CJ109" s="427">
        <v>0</v>
      </c>
      <c r="CK109" s="428">
        <v>0</v>
      </c>
      <c r="CL109" s="428">
        <v>0</v>
      </c>
      <c r="CM109" s="428">
        <v>0</v>
      </c>
      <c r="CN109" s="428">
        <v>0</v>
      </c>
      <c r="CO109" s="428">
        <v>0</v>
      </c>
      <c r="CP109" s="428">
        <v>0</v>
      </c>
      <c r="CQ109" s="428">
        <v>0</v>
      </c>
      <c r="CR109" s="428">
        <v>0</v>
      </c>
      <c r="CS109" s="428">
        <v>0</v>
      </c>
      <c r="CT109" s="428">
        <v>0</v>
      </c>
      <c r="CU109" s="428">
        <v>0</v>
      </c>
      <c r="CV109" s="428">
        <v>0</v>
      </c>
      <c r="CW109" s="428">
        <v>0</v>
      </c>
      <c r="CX109" s="428"/>
      <c r="CY109" s="428"/>
      <c r="CZ109" s="428"/>
      <c r="DA109" s="428"/>
      <c r="DB109" s="428"/>
      <c r="DC109" s="428"/>
      <c r="DD109" s="428"/>
      <c r="DE109" s="428"/>
      <c r="DF109" s="428"/>
      <c r="DG109" s="428"/>
      <c r="DH109" s="428"/>
      <c r="DI109" s="428"/>
    </row>
    <row r="110" spans="1:113" s="388" customFormat="1">
      <c r="A110" s="421" t="s">
        <v>370</v>
      </c>
      <c r="B110" s="421" t="s">
        <v>38</v>
      </c>
      <c r="C110" s="421" t="s">
        <v>425</v>
      </c>
      <c r="D110" s="422" t="s">
        <v>376</v>
      </c>
      <c r="E110" s="422">
        <v>2020</v>
      </c>
      <c r="F110" s="423">
        <v>1.1138999999999999</v>
      </c>
      <c r="G110" s="424">
        <v>3831.82</v>
      </c>
      <c r="H110" s="422">
        <v>9</v>
      </c>
      <c r="I110" s="425">
        <v>0.94</v>
      </c>
      <c r="J110" s="425">
        <v>0.94</v>
      </c>
      <c r="K110" s="422">
        <v>0</v>
      </c>
      <c r="L110" s="422">
        <v>0</v>
      </c>
      <c r="M110" s="422">
        <v>0</v>
      </c>
      <c r="N110" s="426">
        <v>150</v>
      </c>
      <c r="O110" s="426">
        <v>0</v>
      </c>
      <c r="P110" s="426">
        <v>0</v>
      </c>
      <c r="Q110" s="426">
        <v>0</v>
      </c>
      <c r="R110" s="426">
        <v>0</v>
      </c>
      <c r="S110" s="426">
        <v>0</v>
      </c>
      <c r="T110" s="426">
        <v>168.33858520900318</v>
      </c>
      <c r="U110" s="426">
        <v>168.33858520900318</v>
      </c>
      <c r="V110" s="426">
        <v>168.33858520900318</v>
      </c>
      <c r="W110" s="426">
        <v>168.33858520900318</v>
      </c>
      <c r="X110" s="426">
        <v>168.33858520900318</v>
      </c>
      <c r="Y110" s="426">
        <v>168.33858520900318</v>
      </c>
      <c r="Z110" s="426">
        <v>168.33858520900318</v>
      </c>
      <c r="AA110" s="426">
        <v>168.33858520900318</v>
      </c>
      <c r="AB110" s="426">
        <v>168.33858520900318</v>
      </c>
      <c r="AC110" s="426">
        <v>0</v>
      </c>
      <c r="AD110" s="426">
        <v>0</v>
      </c>
      <c r="AE110" s="426">
        <v>0</v>
      </c>
      <c r="AF110" s="426">
        <v>0</v>
      </c>
      <c r="AG110" s="426">
        <v>0</v>
      </c>
      <c r="AH110" s="426">
        <v>0</v>
      </c>
      <c r="AI110" s="426">
        <v>0</v>
      </c>
      <c r="AJ110" s="426">
        <v>0</v>
      </c>
      <c r="AK110" s="426">
        <v>0</v>
      </c>
      <c r="AL110" s="426">
        <v>0</v>
      </c>
      <c r="AM110" s="427">
        <v>0</v>
      </c>
      <c r="AN110" s="427">
        <v>0</v>
      </c>
      <c r="AO110" s="427">
        <v>0</v>
      </c>
      <c r="AP110" s="427">
        <v>0</v>
      </c>
      <c r="AQ110" s="427">
        <v>0</v>
      </c>
      <c r="AR110" s="427">
        <v>0</v>
      </c>
      <c r="AS110" s="427">
        <v>579085.33762057882</v>
      </c>
      <c r="AT110" s="427">
        <v>579085.33762057882</v>
      </c>
      <c r="AU110" s="427">
        <v>579085.33762057882</v>
      </c>
      <c r="AV110" s="427">
        <v>579085.33762057882</v>
      </c>
      <c r="AW110" s="427">
        <v>579085.33762057882</v>
      </c>
      <c r="AX110" s="427">
        <v>579085.33762057882</v>
      </c>
      <c r="AY110" s="427">
        <v>579085.33762057882</v>
      </c>
      <c r="AZ110" s="427">
        <v>579085.33762057882</v>
      </c>
      <c r="BA110" s="427">
        <v>579085.33762057882</v>
      </c>
      <c r="BB110" s="427">
        <v>0</v>
      </c>
      <c r="BC110" s="427">
        <v>0</v>
      </c>
      <c r="BD110" s="427">
        <v>0</v>
      </c>
      <c r="BE110" s="427">
        <v>0</v>
      </c>
      <c r="BF110" s="427">
        <v>0</v>
      </c>
      <c r="BG110" s="427">
        <v>0</v>
      </c>
      <c r="BH110" s="427">
        <v>0</v>
      </c>
      <c r="BI110" s="427">
        <v>0</v>
      </c>
      <c r="BJ110" s="427">
        <v>0</v>
      </c>
      <c r="BK110" s="427">
        <v>0</v>
      </c>
      <c r="BL110" s="427">
        <v>0</v>
      </c>
      <c r="BM110" s="427">
        <v>0</v>
      </c>
      <c r="BN110" s="427">
        <v>0</v>
      </c>
      <c r="BO110" s="427">
        <v>0</v>
      </c>
      <c r="BP110" s="427">
        <v>0</v>
      </c>
      <c r="BQ110" s="427">
        <v>0</v>
      </c>
      <c r="BR110" s="427">
        <v>0</v>
      </c>
      <c r="BS110" s="427">
        <v>0</v>
      </c>
      <c r="BT110" s="427">
        <v>0</v>
      </c>
      <c r="BU110" s="427">
        <v>0</v>
      </c>
      <c r="BV110" s="427">
        <v>0</v>
      </c>
      <c r="BW110" s="427">
        <v>0</v>
      </c>
      <c r="BX110" s="427">
        <v>0</v>
      </c>
      <c r="BY110" s="427">
        <v>0</v>
      </c>
      <c r="BZ110" s="427">
        <v>0</v>
      </c>
      <c r="CA110" s="427">
        <v>0</v>
      </c>
      <c r="CB110" s="427">
        <v>0</v>
      </c>
      <c r="CC110" s="427">
        <v>0</v>
      </c>
      <c r="CD110" s="427">
        <v>0</v>
      </c>
      <c r="CE110" s="427">
        <v>0</v>
      </c>
      <c r="CF110" s="427">
        <v>0</v>
      </c>
      <c r="CG110" s="427">
        <v>0</v>
      </c>
      <c r="CH110" s="427">
        <v>0</v>
      </c>
      <c r="CI110" s="427">
        <v>0</v>
      </c>
      <c r="CJ110" s="427">
        <v>0</v>
      </c>
      <c r="CK110" s="428">
        <v>0</v>
      </c>
      <c r="CL110" s="428">
        <v>0</v>
      </c>
      <c r="CM110" s="428">
        <v>0</v>
      </c>
      <c r="CN110" s="428">
        <v>0</v>
      </c>
      <c r="CO110" s="428">
        <v>0</v>
      </c>
      <c r="CP110" s="428">
        <v>0</v>
      </c>
      <c r="CQ110" s="428">
        <v>0</v>
      </c>
      <c r="CR110" s="428">
        <v>0</v>
      </c>
      <c r="CS110" s="428">
        <v>0</v>
      </c>
      <c r="CT110" s="428">
        <v>0</v>
      </c>
      <c r="CU110" s="428">
        <v>0</v>
      </c>
      <c r="CV110" s="428">
        <v>0</v>
      </c>
      <c r="CW110" s="428">
        <v>0</v>
      </c>
      <c r="CX110" s="428"/>
      <c r="CY110" s="428"/>
      <c r="CZ110" s="428"/>
      <c r="DA110" s="428"/>
      <c r="DB110" s="428"/>
      <c r="DC110" s="428"/>
      <c r="DD110" s="428"/>
      <c r="DE110" s="428"/>
      <c r="DF110" s="428"/>
      <c r="DG110" s="428"/>
      <c r="DH110" s="428"/>
      <c r="DI110" s="428"/>
    </row>
    <row r="111" spans="1:113" s="388" customFormat="1">
      <c r="A111" s="421" t="s">
        <v>370</v>
      </c>
      <c r="B111" s="421" t="s">
        <v>427</v>
      </c>
      <c r="C111" s="421" t="s">
        <v>430</v>
      </c>
      <c r="D111" s="422" t="s">
        <v>376</v>
      </c>
      <c r="E111" s="422">
        <v>2015</v>
      </c>
      <c r="F111" s="423">
        <v>33.723799999999997</v>
      </c>
      <c r="G111" s="424">
        <v>105555.49</v>
      </c>
      <c r="H111" s="422">
        <v>14</v>
      </c>
      <c r="I111" s="425">
        <v>0.54</v>
      </c>
      <c r="J111" s="425">
        <v>0.54</v>
      </c>
      <c r="K111" s="422">
        <v>0</v>
      </c>
      <c r="L111" s="422">
        <v>0</v>
      </c>
      <c r="M111" s="422">
        <v>0</v>
      </c>
      <c r="N111" s="426">
        <v>1.05</v>
      </c>
      <c r="O111" s="426">
        <v>20.494527974276526</v>
      </c>
      <c r="P111" s="426">
        <v>20.494527974276526</v>
      </c>
      <c r="Q111" s="426">
        <v>20.494527974276526</v>
      </c>
      <c r="R111" s="426">
        <v>20.494527974276526</v>
      </c>
      <c r="S111" s="426">
        <v>20.494527974276526</v>
      </c>
      <c r="T111" s="426">
        <v>20.494527974276526</v>
      </c>
      <c r="U111" s="426">
        <v>20.494527974276526</v>
      </c>
      <c r="V111" s="426">
        <v>20.494527974276526</v>
      </c>
      <c r="W111" s="426">
        <v>20.494527974276526</v>
      </c>
      <c r="X111" s="426">
        <v>20.494527974276526</v>
      </c>
      <c r="Y111" s="426">
        <v>20.494527974276526</v>
      </c>
      <c r="Z111" s="426">
        <v>20.494527974276526</v>
      </c>
      <c r="AA111" s="426">
        <v>20.494527974276526</v>
      </c>
      <c r="AB111" s="426">
        <v>20.494527974276526</v>
      </c>
      <c r="AC111" s="426">
        <v>0</v>
      </c>
      <c r="AD111" s="426">
        <v>0</v>
      </c>
      <c r="AE111" s="426">
        <v>0</v>
      </c>
      <c r="AF111" s="426">
        <v>0</v>
      </c>
      <c r="AG111" s="426">
        <v>0</v>
      </c>
      <c r="AH111" s="426">
        <v>0</v>
      </c>
      <c r="AI111" s="426">
        <v>0</v>
      </c>
      <c r="AJ111" s="426">
        <v>0</v>
      </c>
      <c r="AK111" s="426">
        <v>0</v>
      </c>
      <c r="AL111" s="426">
        <v>0</v>
      </c>
      <c r="AM111" s="427">
        <v>0</v>
      </c>
      <c r="AN111" s="427">
        <v>64147.870128617375</v>
      </c>
      <c r="AO111" s="427">
        <v>64147.870128617375</v>
      </c>
      <c r="AP111" s="427">
        <v>64147.870128617375</v>
      </c>
      <c r="AQ111" s="427">
        <v>64147.870128617375</v>
      </c>
      <c r="AR111" s="427">
        <v>64147.870128617375</v>
      </c>
      <c r="AS111" s="427">
        <v>64147.870128617375</v>
      </c>
      <c r="AT111" s="427">
        <v>64147.870128617375</v>
      </c>
      <c r="AU111" s="427">
        <v>64147.870128617375</v>
      </c>
      <c r="AV111" s="427">
        <v>64147.870128617375</v>
      </c>
      <c r="AW111" s="427">
        <v>64147.870128617375</v>
      </c>
      <c r="AX111" s="427">
        <v>64147.870128617375</v>
      </c>
      <c r="AY111" s="427">
        <v>64147.870128617375</v>
      </c>
      <c r="AZ111" s="427">
        <v>64147.870128617375</v>
      </c>
      <c r="BA111" s="427">
        <v>64147.870128617375</v>
      </c>
      <c r="BB111" s="427">
        <v>0</v>
      </c>
      <c r="BC111" s="427">
        <v>0</v>
      </c>
      <c r="BD111" s="427">
        <v>0</v>
      </c>
      <c r="BE111" s="427">
        <v>0</v>
      </c>
      <c r="BF111" s="427">
        <v>0</v>
      </c>
      <c r="BG111" s="427">
        <v>0</v>
      </c>
      <c r="BH111" s="427">
        <v>0</v>
      </c>
      <c r="BI111" s="427">
        <v>0</v>
      </c>
      <c r="BJ111" s="427">
        <v>0</v>
      </c>
      <c r="BK111" s="427">
        <v>0</v>
      </c>
      <c r="BL111" s="427">
        <v>0</v>
      </c>
      <c r="BM111" s="427">
        <v>0</v>
      </c>
      <c r="BN111" s="427">
        <v>0</v>
      </c>
      <c r="BO111" s="427">
        <v>0</v>
      </c>
      <c r="BP111" s="427">
        <v>0</v>
      </c>
      <c r="BQ111" s="427">
        <v>0</v>
      </c>
      <c r="BR111" s="427">
        <v>0</v>
      </c>
      <c r="BS111" s="427">
        <v>0</v>
      </c>
      <c r="BT111" s="427">
        <v>0</v>
      </c>
      <c r="BU111" s="427">
        <v>0</v>
      </c>
      <c r="BV111" s="427">
        <v>0</v>
      </c>
      <c r="BW111" s="427">
        <v>0</v>
      </c>
      <c r="BX111" s="427">
        <v>0</v>
      </c>
      <c r="BY111" s="427">
        <v>0</v>
      </c>
      <c r="BZ111" s="427">
        <v>0</v>
      </c>
      <c r="CA111" s="427">
        <v>0</v>
      </c>
      <c r="CB111" s="427">
        <v>0</v>
      </c>
      <c r="CC111" s="427">
        <v>0</v>
      </c>
      <c r="CD111" s="427">
        <v>0</v>
      </c>
      <c r="CE111" s="427">
        <v>0</v>
      </c>
      <c r="CF111" s="427">
        <v>0</v>
      </c>
      <c r="CG111" s="427">
        <v>0</v>
      </c>
      <c r="CH111" s="427">
        <v>0</v>
      </c>
      <c r="CI111" s="427">
        <v>0</v>
      </c>
      <c r="CJ111" s="427">
        <v>0</v>
      </c>
      <c r="CK111" s="428">
        <v>0</v>
      </c>
      <c r="CL111" s="428">
        <v>0</v>
      </c>
      <c r="CM111" s="428">
        <v>0</v>
      </c>
      <c r="CN111" s="428">
        <v>0</v>
      </c>
      <c r="CO111" s="428">
        <v>0</v>
      </c>
      <c r="CP111" s="428">
        <v>0</v>
      </c>
      <c r="CQ111" s="428">
        <v>0</v>
      </c>
      <c r="CR111" s="428">
        <v>0</v>
      </c>
      <c r="CS111" s="428">
        <v>0</v>
      </c>
      <c r="CT111" s="428">
        <v>0</v>
      </c>
      <c r="CU111" s="428">
        <v>0</v>
      </c>
      <c r="CV111" s="428">
        <v>0</v>
      </c>
      <c r="CW111" s="428">
        <v>0</v>
      </c>
      <c r="CX111" s="428"/>
      <c r="CY111" s="428"/>
      <c r="CZ111" s="428"/>
      <c r="DA111" s="428"/>
      <c r="DB111" s="428"/>
      <c r="DC111" s="428"/>
      <c r="DD111" s="428"/>
      <c r="DE111" s="428"/>
      <c r="DF111" s="428"/>
      <c r="DG111" s="428"/>
      <c r="DH111" s="428"/>
      <c r="DI111" s="428"/>
    </row>
    <row r="112" spans="1:113" s="388" customFormat="1">
      <c r="A112" s="421" t="s">
        <v>370</v>
      </c>
      <c r="B112" s="421" t="s">
        <v>427</v>
      </c>
      <c r="C112" s="421" t="s">
        <v>430</v>
      </c>
      <c r="D112" s="422" t="s">
        <v>376</v>
      </c>
      <c r="E112" s="422">
        <v>2016</v>
      </c>
      <c r="F112" s="423">
        <v>33.723799999999997</v>
      </c>
      <c r="G112" s="424">
        <v>105555.49</v>
      </c>
      <c r="H112" s="422">
        <v>14</v>
      </c>
      <c r="I112" s="425">
        <v>0.54</v>
      </c>
      <c r="J112" s="425">
        <v>0.54</v>
      </c>
      <c r="K112" s="422">
        <v>0</v>
      </c>
      <c r="L112" s="422">
        <v>0</v>
      </c>
      <c r="M112" s="422">
        <v>0</v>
      </c>
      <c r="N112" s="426">
        <v>2</v>
      </c>
      <c r="O112" s="426">
        <v>0</v>
      </c>
      <c r="P112" s="426">
        <v>39.0371961414791</v>
      </c>
      <c r="Q112" s="426">
        <v>39.0371961414791</v>
      </c>
      <c r="R112" s="426">
        <v>39.0371961414791</v>
      </c>
      <c r="S112" s="426">
        <v>39.0371961414791</v>
      </c>
      <c r="T112" s="426">
        <v>39.0371961414791</v>
      </c>
      <c r="U112" s="426">
        <v>39.0371961414791</v>
      </c>
      <c r="V112" s="426">
        <v>39.0371961414791</v>
      </c>
      <c r="W112" s="426">
        <v>39.0371961414791</v>
      </c>
      <c r="X112" s="426">
        <v>39.0371961414791</v>
      </c>
      <c r="Y112" s="426">
        <v>39.0371961414791</v>
      </c>
      <c r="Z112" s="426">
        <v>39.0371961414791</v>
      </c>
      <c r="AA112" s="426">
        <v>39.0371961414791</v>
      </c>
      <c r="AB112" s="426">
        <v>39.0371961414791</v>
      </c>
      <c r="AC112" s="426">
        <v>39.0371961414791</v>
      </c>
      <c r="AD112" s="426">
        <v>0</v>
      </c>
      <c r="AE112" s="426">
        <v>0</v>
      </c>
      <c r="AF112" s="426">
        <v>0</v>
      </c>
      <c r="AG112" s="426">
        <v>0</v>
      </c>
      <c r="AH112" s="426">
        <v>0</v>
      </c>
      <c r="AI112" s="426">
        <v>0</v>
      </c>
      <c r="AJ112" s="426">
        <v>0</v>
      </c>
      <c r="AK112" s="426">
        <v>0</v>
      </c>
      <c r="AL112" s="426">
        <v>0</v>
      </c>
      <c r="AM112" s="427">
        <v>0</v>
      </c>
      <c r="AN112" s="427">
        <v>0</v>
      </c>
      <c r="AO112" s="427">
        <v>122186.41929260452</v>
      </c>
      <c r="AP112" s="427">
        <v>122186.41929260452</v>
      </c>
      <c r="AQ112" s="427">
        <v>122186.41929260452</v>
      </c>
      <c r="AR112" s="427">
        <v>122186.41929260452</v>
      </c>
      <c r="AS112" s="427">
        <v>122186.41929260452</v>
      </c>
      <c r="AT112" s="427">
        <v>122186.41929260452</v>
      </c>
      <c r="AU112" s="427">
        <v>122186.41929260452</v>
      </c>
      <c r="AV112" s="427">
        <v>122186.41929260452</v>
      </c>
      <c r="AW112" s="427">
        <v>122186.41929260452</v>
      </c>
      <c r="AX112" s="427">
        <v>122186.41929260452</v>
      </c>
      <c r="AY112" s="427">
        <v>122186.41929260452</v>
      </c>
      <c r="AZ112" s="427">
        <v>122186.41929260452</v>
      </c>
      <c r="BA112" s="427">
        <v>122186.41929260452</v>
      </c>
      <c r="BB112" s="427">
        <v>122186.41929260452</v>
      </c>
      <c r="BC112" s="427">
        <v>0</v>
      </c>
      <c r="BD112" s="427">
        <v>0</v>
      </c>
      <c r="BE112" s="427">
        <v>0</v>
      </c>
      <c r="BF112" s="427">
        <v>0</v>
      </c>
      <c r="BG112" s="427">
        <v>0</v>
      </c>
      <c r="BH112" s="427">
        <v>0</v>
      </c>
      <c r="BI112" s="427">
        <v>0</v>
      </c>
      <c r="BJ112" s="427">
        <v>0</v>
      </c>
      <c r="BK112" s="427">
        <v>0</v>
      </c>
      <c r="BL112" s="427">
        <v>0</v>
      </c>
      <c r="BM112" s="427">
        <v>0</v>
      </c>
      <c r="BN112" s="427">
        <v>0</v>
      </c>
      <c r="BO112" s="427">
        <v>0</v>
      </c>
      <c r="BP112" s="427">
        <v>0</v>
      </c>
      <c r="BQ112" s="427">
        <v>0</v>
      </c>
      <c r="BR112" s="427">
        <v>0</v>
      </c>
      <c r="BS112" s="427">
        <v>0</v>
      </c>
      <c r="BT112" s="427">
        <v>0</v>
      </c>
      <c r="BU112" s="427">
        <v>0</v>
      </c>
      <c r="BV112" s="427">
        <v>0</v>
      </c>
      <c r="BW112" s="427">
        <v>0</v>
      </c>
      <c r="BX112" s="427">
        <v>0</v>
      </c>
      <c r="BY112" s="427">
        <v>0</v>
      </c>
      <c r="BZ112" s="427">
        <v>0</v>
      </c>
      <c r="CA112" s="427">
        <v>0</v>
      </c>
      <c r="CB112" s="427">
        <v>0</v>
      </c>
      <c r="CC112" s="427">
        <v>0</v>
      </c>
      <c r="CD112" s="427">
        <v>0</v>
      </c>
      <c r="CE112" s="427">
        <v>0</v>
      </c>
      <c r="CF112" s="427">
        <v>0</v>
      </c>
      <c r="CG112" s="427">
        <v>0</v>
      </c>
      <c r="CH112" s="427">
        <v>0</v>
      </c>
      <c r="CI112" s="427">
        <v>0</v>
      </c>
      <c r="CJ112" s="427">
        <v>0</v>
      </c>
      <c r="CK112" s="428">
        <v>0</v>
      </c>
      <c r="CL112" s="428">
        <v>0</v>
      </c>
      <c r="CM112" s="428">
        <v>0</v>
      </c>
      <c r="CN112" s="428">
        <v>0</v>
      </c>
      <c r="CO112" s="428">
        <v>0</v>
      </c>
      <c r="CP112" s="428">
        <v>0</v>
      </c>
      <c r="CQ112" s="428">
        <v>0</v>
      </c>
      <c r="CR112" s="428">
        <v>0</v>
      </c>
      <c r="CS112" s="428">
        <v>0</v>
      </c>
      <c r="CT112" s="428">
        <v>0</v>
      </c>
      <c r="CU112" s="428">
        <v>0</v>
      </c>
      <c r="CV112" s="428">
        <v>0</v>
      </c>
      <c r="CW112" s="428">
        <v>0</v>
      </c>
      <c r="CX112" s="428"/>
      <c r="CY112" s="428"/>
      <c r="CZ112" s="428"/>
      <c r="DA112" s="428"/>
      <c r="DB112" s="428"/>
      <c r="DC112" s="428"/>
      <c r="DD112" s="428"/>
      <c r="DE112" s="428"/>
      <c r="DF112" s="428"/>
      <c r="DG112" s="428"/>
      <c r="DH112" s="428"/>
      <c r="DI112" s="428"/>
    </row>
    <row r="113" spans="1:113" s="388" customFormat="1">
      <c r="A113" s="421" t="s">
        <v>370</v>
      </c>
      <c r="B113" s="421" t="s">
        <v>427</v>
      </c>
      <c r="C113" s="421" t="s">
        <v>430</v>
      </c>
      <c r="D113" s="422" t="s">
        <v>376</v>
      </c>
      <c r="E113" s="422">
        <v>2017</v>
      </c>
      <c r="F113" s="423">
        <v>33.723799999999997</v>
      </c>
      <c r="G113" s="424">
        <v>105555.49</v>
      </c>
      <c r="H113" s="422">
        <v>14</v>
      </c>
      <c r="I113" s="425">
        <v>0.54</v>
      </c>
      <c r="J113" s="425">
        <v>0.54</v>
      </c>
      <c r="K113" s="422">
        <v>0</v>
      </c>
      <c r="L113" s="422">
        <v>0</v>
      </c>
      <c r="M113" s="422">
        <v>0</v>
      </c>
      <c r="N113" s="426">
        <v>2</v>
      </c>
      <c r="O113" s="426">
        <v>0</v>
      </c>
      <c r="P113" s="426">
        <v>0</v>
      </c>
      <c r="Q113" s="426">
        <v>39.0371961414791</v>
      </c>
      <c r="R113" s="426">
        <v>39.0371961414791</v>
      </c>
      <c r="S113" s="426">
        <v>39.0371961414791</v>
      </c>
      <c r="T113" s="426">
        <v>39.0371961414791</v>
      </c>
      <c r="U113" s="426">
        <v>39.0371961414791</v>
      </c>
      <c r="V113" s="426">
        <v>39.0371961414791</v>
      </c>
      <c r="W113" s="426">
        <v>39.0371961414791</v>
      </c>
      <c r="X113" s="426">
        <v>39.0371961414791</v>
      </c>
      <c r="Y113" s="426">
        <v>39.0371961414791</v>
      </c>
      <c r="Z113" s="426">
        <v>39.0371961414791</v>
      </c>
      <c r="AA113" s="426">
        <v>39.0371961414791</v>
      </c>
      <c r="AB113" s="426">
        <v>39.0371961414791</v>
      </c>
      <c r="AC113" s="426">
        <v>39.0371961414791</v>
      </c>
      <c r="AD113" s="426">
        <v>39.0371961414791</v>
      </c>
      <c r="AE113" s="426">
        <v>0</v>
      </c>
      <c r="AF113" s="426">
        <v>0</v>
      </c>
      <c r="AG113" s="426">
        <v>0</v>
      </c>
      <c r="AH113" s="426">
        <v>0</v>
      </c>
      <c r="AI113" s="426">
        <v>0</v>
      </c>
      <c r="AJ113" s="426">
        <v>0</v>
      </c>
      <c r="AK113" s="426">
        <v>0</v>
      </c>
      <c r="AL113" s="426">
        <v>0</v>
      </c>
      <c r="AM113" s="427">
        <v>0</v>
      </c>
      <c r="AN113" s="427">
        <v>0</v>
      </c>
      <c r="AO113" s="427">
        <v>0</v>
      </c>
      <c r="AP113" s="427">
        <v>122186.41929260452</v>
      </c>
      <c r="AQ113" s="427">
        <v>122186.41929260452</v>
      </c>
      <c r="AR113" s="427">
        <v>122186.41929260452</v>
      </c>
      <c r="AS113" s="427">
        <v>122186.41929260452</v>
      </c>
      <c r="AT113" s="427">
        <v>122186.41929260452</v>
      </c>
      <c r="AU113" s="427">
        <v>122186.41929260452</v>
      </c>
      <c r="AV113" s="427">
        <v>122186.41929260452</v>
      </c>
      <c r="AW113" s="427">
        <v>122186.41929260452</v>
      </c>
      <c r="AX113" s="427">
        <v>122186.41929260452</v>
      </c>
      <c r="AY113" s="427">
        <v>122186.41929260452</v>
      </c>
      <c r="AZ113" s="427">
        <v>122186.41929260452</v>
      </c>
      <c r="BA113" s="427">
        <v>122186.41929260452</v>
      </c>
      <c r="BB113" s="427">
        <v>122186.41929260452</v>
      </c>
      <c r="BC113" s="427">
        <v>122186.41929260452</v>
      </c>
      <c r="BD113" s="427">
        <v>0</v>
      </c>
      <c r="BE113" s="427">
        <v>0</v>
      </c>
      <c r="BF113" s="427">
        <v>0</v>
      </c>
      <c r="BG113" s="427">
        <v>0</v>
      </c>
      <c r="BH113" s="427">
        <v>0</v>
      </c>
      <c r="BI113" s="427">
        <v>0</v>
      </c>
      <c r="BJ113" s="427">
        <v>0</v>
      </c>
      <c r="BK113" s="427">
        <v>0</v>
      </c>
      <c r="BL113" s="427">
        <v>0</v>
      </c>
      <c r="BM113" s="427">
        <v>0</v>
      </c>
      <c r="BN113" s="427">
        <v>0</v>
      </c>
      <c r="BO113" s="427">
        <v>0</v>
      </c>
      <c r="BP113" s="427">
        <v>0</v>
      </c>
      <c r="BQ113" s="427">
        <v>0</v>
      </c>
      <c r="BR113" s="427">
        <v>0</v>
      </c>
      <c r="BS113" s="427">
        <v>0</v>
      </c>
      <c r="BT113" s="427">
        <v>0</v>
      </c>
      <c r="BU113" s="427">
        <v>0</v>
      </c>
      <c r="BV113" s="427">
        <v>0</v>
      </c>
      <c r="BW113" s="427">
        <v>0</v>
      </c>
      <c r="BX113" s="427">
        <v>0</v>
      </c>
      <c r="BY113" s="427">
        <v>0</v>
      </c>
      <c r="BZ113" s="427">
        <v>0</v>
      </c>
      <c r="CA113" s="427">
        <v>0</v>
      </c>
      <c r="CB113" s="427">
        <v>0</v>
      </c>
      <c r="CC113" s="427">
        <v>0</v>
      </c>
      <c r="CD113" s="427">
        <v>0</v>
      </c>
      <c r="CE113" s="427">
        <v>0</v>
      </c>
      <c r="CF113" s="427">
        <v>0</v>
      </c>
      <c r="CG113" s="427">
        <v>0</v>
      </c>
      <c r="CH113" s="427">
        <v>0</v>
      </c>
      <c r="CI113" s="427">
        <v>0</v>
      </c>
      <c r="CJ113" s="427">
        <v>0</v>
      </c>
      <c r="CK113" s="428">
        <v>0</v>
      </c>
      <c r="CL113" s="428">
        <v>0</v>
      </c>
      <c r="CM113" s="428">
        <v>0</v>
      </c>
      <c r="CN113" s="428">
        <v>0</v>
      </c>
      <c r="CO113" s="428">
        <v>0</v>
      </c>
      <c r="CP113" s="428">
        <v>0</v>
      </c>
      <c r="CQ113" s="428">
        <v>0</v>
      </c>
      <c r="CR113" s="428">
        <v>0</v>
      </c>
      <c r="CS113" s="428">
        <v>0</v>
      </c>
      <c r="CT113" s="428">
        <v>0</v>
      </c>
      <c r="CU113" s="428">
        <v>0</v>
      </c>
      <c r="CV113" s="428">
        <v>0</v>
      </c>
      <c r="CW113" s="428">
        <v>0</v>
      </c>
      <c r="CX113" s="428"/>
      <c r="CY113" s="428"/>
      <c r="CZ113" s="428"/>
      <c r="DA113" s="428"/>
      <c r="DB113" s="428"/>
      <c r="DC113" s="428"/>
      <c r="DD113" s="428"/>
      <c r="DE113" s="428"/>
      <c r="DF113" s="428"/>
      <c r="DG113" s="428"/>
      <c r="DH113" s="428"/>
      <c r="DI113" s="428"/>
    </row>
    <row r="114" spans="1:113" s="388" customFormat="1">
      <c r="A114" s="421" t="s">
        <v>370</v>
      </c>
      <c r="B114" s="421" t="s">
        <v>427</v>
      </c>
      <c r="C114" s="421" t="s">
        <v>430</v>
      </c>
      <c r="D114" s="422" t="s">
        <v>376</v>
      </c>
      <c r="E114" s="422">
        <v>2018</v>
      </c>
      <c r="F114" s="423">
        <v>33.723799999999997</v>
      </c>
      <c r="G114" s="424">
        <v>105555.49</v>
      </c>
      <c r="H114" s="422">
        <v>14</v>
      </c>
      <c r="I114" s="425">
        <v>0.54</v>
      </c>
      <c r="J114" s="425">
        <v>0.54</v>
      </c>
      <c r="K114" s="422">
        <v>0</v>
      </c>
      <c r="L114" s="422">
        <v>0</v>
      </c>
      <c r="M114" s="422">
        <v>0</v>
      </c>
      <c r="N114" s="426">
        <v>2</v>
      </c>
      <c r="O114" s="426">
        <v>0</v>
      </c>
      <c r="P114" s="426">
        <v>0</v>
      </c>
      <c r="Q114" s="426">
        <v>0</v>
      </c>
      <c r="R114" s="426">
        <v>39.0371961414791</v>
      </c>
      <c r="S114" s="426">
        <v>39.0371961414791</v>
      </c>
      <c r="T114" s="426">
        <v>39.0371961414791</v>
      </c>
      <c r="U114" s="426">
        <v>39.0371961414791</v>
      </c>
      <c r="V114" s="426">
        <v>39.0371961414791</v>
      </c>
      <c r="W114" s="426">
        <v>39.0371961414791</v>
      </c>
      <c r="X114" s="426">
        <v>39.0371961414791</v>
      </c>
      <c r="Y114" s="426">
        <v>39.0371961414791</v>
      </c>
      <c r="Z114" s="426">
        <v>39.0371961414791</v>
      </c>
      <c r="AA114" s="426">
        <v>39.0371961414791</v>
      </c>
      <c r="AB114" s="426">
        <v>39.0371961414791</v>
      </c>
      <c r="AC114" s="426">
        <v>39.0371961414791</v>
      </c>
      <c r="AD114" s="426">
        <v>39.0371961414791</v>
      </c>
      <c r="AE114" s="426">
        <v>39.0371961414791</v>
      </c>
      <c r="AF114" s="426">
        <v>0</v>
      </c>
      <c r="AG114" s="426">
        <v>0</v>
      </c>
      <c r="AH114" s="426">
        <v>0</v>
      </c>
      <c r="AI114" s="426">
        <v>0</v>
      </c>
      <c r="AJ114" s="426">
        <v>0</v>
      </c>
      <c r="AK114" s="426">
        <v>0</v>
      </c>
      <c r="AL114" s="426">
        <v>0</v>
      </c>
      <c r="AM114" s="427">
        <v>0</v>
      </c>
      <c r="AN114" s="427">
        <v>0</v>
      </c>
      <c r="AO114" s="427">
        <v>0</v>
      </c>
      <c r="AP114" s="427">
        <v>0</v>
      </c>
      <c r="AQ114" s="427">
        <v>122186.41929260452</v>
      </c>
      <c r="AR114" s="427">
        <v>122186.41929260452</v>
      </c>
      <c r="AS114" s="427">
        <v>122186.41929260452</v>
      </c>
      <c r="AT114" s="427">
        <v>122186.41929260452</v>
      </c>
      <c r="AU114" s="427">
        <v>122186.41929260452</v>
      </c>
      <c r="AV114" s="427">
        <v>122186.41929260452</v>
      </c>
      <c r="AW114" s="427">
        <v>122186.41929260452</v>
      </c>
      <c r="AX114" s="427">
        <v>122186.41929260452</v>
      </c>
      <c r="AY114" s="427">
        <v>122186.41929260452</v>
      </c>
      <c r="AZ114" s="427">
        <v>122186.41929260452</v>
      </c>
      <c r="BA114" s="427">
        <v>122186.41929260452</v>
      </c>
      <c r="BB114" s="427">
        <v>122186.41929260452</v>
      </c>
      <c r="BC114" s="427">
        <v>122186.41929260452</v>
      </c>
      <c r="BD114" s="427">
        <v>122186.41929260452</v>
      </c>
      <c r="BE114" s="427">
        <v>0</v>
      </c>
      <c r="BF114" s="427">
        <v>0</v>
      </c>
      <c r="BG114" s="427">
        <v>0</v>
      </c>
      <c r="BH114" s="427">
        <v>0</v>
      </c>
      <c r="BI114" s="427">
        <v>0</v>
      </c>
      <c r="BJ114" s="427">
        <v>0</v>
      </c>
      <c r="BK114" s="427">
        <v>0</v>
      </c>
      <c r="BL114" s="427">
        <v>0</v>
      </c>
      <c r="BM114" s="427">
        <v>0</v>
      </c>
      <c r="BN114" s="427">
        <v>0</v>
      </c>
      <c r="BO114" s="427">
        <v>0</v>
      </c>
      <c r="BP114" s="427">
        <v>0</v>
      </c>
      <c r="BQ114" s="427">
        <v>0</v>
      </c>
      <c r="BR114" s="427">
        <v>0</v>
      </c>
      <c r="BS114" s="427">
        <v>0</v>
      </c>
      <c r="BT114" s="427">
        <v>0</v>
      </c>
      <c r="BU114" s="427">
        <v>0</v>
      </c>
      <c r="BV114" s="427">
        <v>0</v>
      </c>
      <c r="BW114" s="427">
        <v>0</v>
      </c>
      <c r="BX114" s="427">
        <v>0</v>
      </c>
      <c r="BY114" s="427">
        <v>0</v>
      </c>
      <c r="BZ114" s="427">
        <v>0</v>
      </c>
      <c r="CA114" s="427">
        <v>0</v>
      </c>
      <c r="CB114" s="427">
        <v>0</v>
      </c>
      <c r="CC114" s="427">
        <v>0</v>
      </c>
      <c r="CD114" s="427">
        <v>0</v>
      </c>
      <c r="CE114" s="427">
        <v>0</v>
      </c>
      <c r="CF114" s="427">
        <v>0</v>
      </c>
      <c r="CG114" s="427">
        <v>0</v>
      </c>
      <c r="CH114" s="427">
        <v>0</v>
      </c>
      <c r="CI114" s="427">
        <v>0</v>
      </c>
      <c r="CJ114" s="427">
        <v>0</v>
      </c>
      <c r="CK114" s="428">
        <v>0</v>
      </c>
      <c r="CL114" s="428">
        <v>0</v>
      </c>
      <c r="CM114" s="428">
        <v>0</v>
      </c>
      <c r="CN114" s="428">
        <v>0</v>
      </c>
      <c r="CO114" s="428">
        <v>0</v>
      </c>
      <c r="CP114" s="428">
        <v>0</v>
      </c>
      <c r="CQ114" s="428">
        <v>0</v>
      </c>
      <c r="CR114" s="428">
        <v>0</v>
      </c>
      <c r="CS114" s="428">
        <v>0</v>
      </c>
      <c r="CT114" s="428">
        <v>0</v>
      </c>
      <c r="CU114" s="428">
        <v>0</v>
      </c>
      <c r="CV114" s="428">
        <v>0</v>
      </c>
      <c r="CW114" s="428">
        <v>0</v>
      </c>
      <c r="CX114" s="428"/>
      <c r="CY114" s="428"/>
      <c r="CZ114" s="428"/>
      <c r="DA114" s="428"/>
      <c r="DB114" s="428"/>
      <c r="DC114" s="428"/>
      <c r="DD114" s="428"/>
      <c r="DE114" s="428"/>
      <c r="DF114" s="428"/>
      <c r="DG114" s="428"/>
      <c r="DH114" s="428"/>
      <c r="DI114" s="428"/>
    </row>
    <row r="115" spans="1:113" s="388" customFormat="1">
      <c r="A115" s="421" t="s">
        <v>370</v>
      </c>
      <c r="B115" s="421" t="s">
        <v>427</v>
      </c>
      <c r="C115" s="421" t="s">
        <v>430</v>
      </c>
      <c r="D115" s="422" t="s">
        <v>376</v>
      </c>
      <c r="E115" s="422">
        <v>2019</v>
      </c>
      <c r="F115" s="423">
        <v>33.723799999999997</v>
      </c>
      <c r="G115" s="424">
        <v>105555.49</v>
      </c>
      <c r="H115" s="422">
        <v>14</v>
      </c>
      <c r="I115" s="425">
        <v>0.54</v>
      </c>
      <c r="J115" s="425">
        <v>0.54</v>
      </c>
      <c r="K115" s="422">
        <v>0</v>
      </c>
      <c r="L115" s="422">
        <v>0</v>
      </c>
      <c r="M115" s="422">
        <v>0</v>
      </c>
      <c r="N115" s="426">
        <v>2</v>
      </c>
      <c r="O115" s="426">
        <v>0</v>
      </c>
      <c r="P115" s="426">
        <v>0</v>
      </c>
      <c r="Q115" s="426">
        <v>0</v>
      </c>
      <c r="R115" s="426">
        <v>0</v>
      </c>
      <c r="S115" s="426">
        <v>39.0371961414791</v>
      </c>
      <c r="T115" s="426">
        <v>39.0371961414791</v>
      </c>
      <c r="U115" s="426">
        <v>39.0371961414791</v>
      </c>
      <c r="V115" s="426">
        <v>39.0371961414791</v>
      </c>
      <c r="W115" s="426">
        <v>39.0371961414791</v>
      </c>
      <c r="X115" s="426">
        <v>39.0371961414791</v>
      </c>
      <c r="Y115" s="426">
        <v>39.0371961414791</v>
      </c>
      <c r="Z115" s="426">
        <v>39.0371961414791</v>
      </c>
      <c r="AA115" s="426">
        <v>39.0371961414791</v>
      </c>
      <c r="AB115" s="426">
        <v>39.0371961414791</v>
      </c>
      <c r="AC115" s="426">
        <v>39.0371961414791</v>
      </c>
      <c r="AD115" s="426">
        <v>39.0371961414791</v>
      </c>
      <c r="AE115" s="426">
        <v>39.0371961414791</v>
      </c>
      <c r="AF115" s="426">
        <v>39.0371961414791</v>
      </c>
      <c r="AG115" s="426">
        <v>0</v>
      </c>
      <c r="AH115" s="426">
        <v>0</v>
      </c>
      <c r="AI115" s="426">
        <v>0</v>
      </c>
      <c r="AJ115" s="426">
        <v>0</v>
      </c>
      <c r="AK115" s="426">
        <v>0</v>
      </c>
      <c r="AL115" s="426">
        <v>0</v>
      </c>
      <c r="AM115" s="427">
        <v>0</v>
      </c>
      <c r="AN115" s="427">
        <v>0</v>
      </c>
      <c r="AO115" s="427">
        <v>0</v>
      </c>
      <c r="AP115" s="427">
        <v>0</v>
      </c>
      <c r="AQ115" s="427">
        <v>0</v>
      </c>
      <c r="AR115" s="427">
        <v>122186.41929260452</v>
      </c>
      <c r="AS115" s="427">
        <v>122186.41929260452</v>
      </c>
      <c r="AT115" s="427">
        <v>122186.41929260452</v>
      </c>
      <c r="AU115" s="427">
        <v>122186.41929260452</v>
      </c>
      <c r="AV115" s="427">
        <v>122186.41929260452</v>
      </c>
      <c r="AW115" s="427">
        <v>122186.41929260452</v>
      </c>
      <c r="AX115" s="427">
        <v>122186.41929260452</v>
      </c>
      <c r="AY115" s="427">
        <v>122186.41929260452</v>
      </c>
      <c r="AZ115" s="427">
        <v>122186.41929260452</v>
      </c>
      <c r="BA115" s="427">
        <v>122186.41929260452</v>
      </c>
      <c r="BB115" s="427">
        <v>122186.41929260452</v>
      </c>
      <c r="BC115" s="427">
        <v>122186.41929260452</v>
      </c>
      <c r="BD115" s="427">
        <v>122186.41929260452</v>
      </c>
      <c r="BE115" s="427">
        <v>122186.41929260452</v>
      </c>
      <c r="BF115" s="427">
        <v>0</v>
      </c>
      <c r="BG115" s="427">
        <v>0</v>
      </c>
      <c r="BH115" s="427">
        <v>0</v>
      </c>
      <c r="BI115" s="427">
        <v>0</v>
      </c>
      <c r="BJ115" s="427">
        <v>0</v>
      </c>
      <c r="BK115" s="427">
        <v>0</v>
      </c>
      <c r="BL115" s="427">
        <v>0</v>
      </c>
      <c r="BM115" s="427">
        <v>0</v>
      </c>
      <c r="BN115" s="427">
        <v>0</v>
      </c>
      <c r="BO115" s="427">
        <v>0</v>
      </c>
      <c r="BP115" s="427">
        <v>0</v>
      </c>
      <c r="BQ115" s="427">
        <v>0</v>
      </c>
      <c r="BR115" s="427">
        <v>0</v>
      </c>
      <c r="BS115" s="427">
        <v>0</v>
      </c>
      <c r="BT115" s="427">
        <v>0</v>
      </c>
      <c r="BU115" s="427">
        <v>0</v>
      </c>
      <c r="BV115" s="427">
        <v>0</v>
      </c>
      <c r="BW115" s="427">
        <v>0</v>
      </c>
      <c r="BX115" s="427">
        <v>0</v>
      </c>
      <c r="BY115" s="427">
        <v>0</v>
      </c>
      <c r="BZ115" s="427">
        <v>0</v>
      </c>
      <c r="CA115" s="427">
        <v>0</v>
      </c>
      <c r="CB115" s="427">
        <v>0</v>
      </c>
      <c r="CC115" s="427">
        <v>0</v>
      </c>
      <c r="CD115" s="427">
        <v>0</v>
      </c>
      <c r="CE115" s="427">
        <v>0</v>
      </c>
      <c r="CF115" s="427">
        <v>0</v>
      </c>
      <c r="CG115" s="427">
        <v>0</v>
      </c>
      <c r="CH115" s="427">
        <v>0</v>
      </c>
      <c r="CI115" s="427">
        <v>0</v>
      </c>
      <c r="CJ115" s="427">
        <v>0</v>
      </c>
      <c r="CK115" s="428">
        <v>0</v>
      </c>
      <c r="CL115" s="428">
        <v>0</v>
      </c>
      <c r="CM115" s="428">
        <v>0</v>
      </c>
      <c r="CN115" s="428">
        <v>0</v>
      </c>
      <c r="CO115" s="428">
        <v>0</v>
      </c>
      <c r="CP115" s="428">
        <v>0</v>
      </c>
      <c r="CQ115" s="428">
        <v>0</v>
      </c>
      <c r="CR115" s="428">
        <v>0</v>
      </c>
      <c r="CS115" s="428">
        <v>0</v>
      </c>
      <c r="CT115" s="428">
        <v>0</v>
      </c>
      <c r="CU115" s="428">
        <v>0</v>
      </c>
      <c r="CV115" s="428">
        <v>0</v>
      </c>
      <c r="CW115" s="428">
        <v>0</v>
      </c>
      <c r="CX115" s="428"/>
      <c r="CY115" s="428"/>
      <c r="CZ115" s="428"/>
      <c r="DA115" s="428"/>
      <c r="DB115" s="428"/>
      <c r="DC115" s="428"/>
      <c r="DD115" s="428"/>
      <c r="DE115" s="428"/>
      <c r="DF115" s="428"/>
      <c r="DG115" s="428"/>
      <c r="DH115" s="428"/>
      <c r="DI115" s="428"/>
    </row>
    <row r="116" spans="1:113" s="388" customFormat="1">
      <c r="A116" s="421" t="s">
        <v>370</v>
      </c>
      <c r="B116" s="421" t="s">
        <v>427</v>
      </c>
      <c r="C116" s="421" t="s">
        <v>430</v>
      </c>
      <c r="D116" s="422" t="s">
        <v>376</v>
      </c>
      <c r="E116" s="422">
        <v>2020</v>
      </c>
      <c r="F116" s="423">
        <v>33.723799999999997</v>
      </c>
      <c r="G116" s="424">
        <v>105555.49</v>
      </c>
      <c r="H116" s="422">
        <v>14</v>
      </c>
      <c r="I116" s="425">
        <v>0.54</v>
      </c>
      <c r="J116" s="425">
        <v>0.54</v>
      </c>
      <c r="K116" s="422">
        <v>0</v>
      </c>
      <c r="L116" s="422">
        <v>0</v>
      </c>
      <c r="M116" s="422">
        <v>0</v>
      </c>
      <c r="N116" s="426">
        <v>2</v>
      </c>
      <c r="O116" s="426">
        <v>0</v>
      </c>
      <c r="P116" s="426">
        <v>0</v>
      </c>
      <c r="Q116" s="426">
        <v>0</v>
      </c>
      <c r="R116" s="426">
        <v>0</v>
      </c>
      <c r="S116" s="426">
        <v>0</v>
      </c>
      <c r="T116" s="426">
        <v>39.0371961414791</v>
      </c>
      <c r="U116" s="426">
        <v>39.0371961414791</v>
      </c>
      <c r="V116" s="426">
        <v>39.0371961414791</v>
      </c>
      <c r="W116" s="426">
        <v>39.0371961414791</v>
      </c>
      <c r="X116" s="426">
        <v>39.0371961414791</v>
      </c>
      <c r="Y116" s="426">
        <v>39.0371961414791</v>
      </c>
      <c r="Z116" s="426">
        <v>39.0371961414791</v>
      </c>
      <c r="AA116" s="426">
        <v>39.0371961414791</v>
      </c>
      <c r="AB116" s="426">
        <v>39.0371961414791</v>
      </c>
      <c r="AC116" s="426">
        <v>39.0371961414791</v>
      </c>
      <c r="AD116" s="426">
        <v>39.0371961414791</v>
      </c>
      <c r="AE116" s="426">
        <v>39.0371961414791</v>
      </c>
      <c r="AF116" s="426">
        <v>39.0371961414791</v>
      </c>
      <c r="AG116" s="426">
        <v>39.0371961414791</v>
      </c>
      <c r="AH116" s="426">
        <v>0</v>
      </c>
      <c r="AI116" s="426">
        <v>0</v>
      </c>
      <c r="AJ116" s="426">
        <v>0</v>
      </c>
      <c r="AK116" s="426">
        <v>0</v>
      </c>
      <c r="AL116" s="426">
        <v>0</v>
      </c>
      <c r="AM116" s="427">
        <v>0</v>
      </c>
      <c r="AN116" s="427">
        <v>0</v>
      </c>
      <c r="AO116" s="427">
        <v>0</v>
      </c>
      <c r="AP116" s="427">
        <v>0</v>
      </c>
      <c r="AQ116" s="427">
        <v>0</v>
      </c>
      <c r="AR116" s="427">
        <v>0</v>
      </c>
      <c r="AS116" s="427">
        <v>122186.41929260452</v>
      </c>
      <c r="AT116" s="427">
        <v>122186.41929260452</v>
      </c>
      <c r="AU116" s="427">
        <v>122186.41929260452</v>
      </c>
      <c r="AV116" s="427">
        <v>122186.41929260452</v>
      </c>
      <c r="AW116" s="427">
        <v>122186.41929260452</v>
      </c>
      <c r="AX116" s="427">
        <v>122186.41929260452</v>
      </c>
      <c r="AY116" s="427">
        <v>122186.41929260452</v>
      </c>
      <c r="AZ116" s="427">
        <v>122186.41929260452</v>
      </c>
      <c r="BA116" s="427">
        <v>122186.41929260452</v>
      </c>
      <c r="BB116" s="427">
        <v>122186.41929260452</v>
      </c>
      <c r="BC116" s="427">
        <v>122186.41929260452</v>
      </c>
      <c r="BD116" s="427">
        <v>122186.41929260452</v>
      </c>
      <c r="BE116" s="427">
        <v>122186.41929260452</v>
      </c>
      <c r="BF116" s="427">
        <v>122186.41929260452</v>
      </c>
      <c r="BG116" s="427">
        <v>0</v>
      </c>
      <c r="BH116" s="427">
        <v>0</v>
      </c>
      <c r="BI116" s="427">
        <v>0</v>
      </c>
      <c r="BJ116" s="427">
        <v>0</v>
      </c>
      <c r="BK116" s="427">
        <v>0</v>
      </c>
      <c r="BL116" s="427">
        <v>0</v>
      </c>
      <c r="BM116" s="427">
        <v>0</v>
      </c>
      <c r="BN116" s="427">
        <v>0</v>
      </c>
      <c r="BO116" s="427">
        <v>0</v>
      </c>
      <c r="BP116" s="427">
        <v>0</v>
      </c>
      <c r="BQ116" s="427">
        <v>0</v>
      </c>
      <c r="BR116" s="427">
        <v>0</v>
      </c>
      <c r="BS116" s="427">
        <v>0</v>
      </c>
      <c r="BT116" s="427">
        <v>0</v>
      </c>
      <c r="BU116" s="427">
        <v>0</v>
      </c>
      <c r="BV116" s="427">
        <v>0</v>
      </c>
      <c r="BW116" s="427">
        <v>0</v>
      </c>
      <c r="BX116" s="427">
        <v>0</v>
      </c>
      <c r="BY116" s="427">
        <v>0</v>
      </c>
      <c r="BZ116" s="427">
        <v>0</v>
      </c>
      <c r="CA116" s="427">
        <v>0</v>
      </c>
      <c r="CB116" s="427">
        <v>0</v>
      </c>
      <c r="CC116" s="427">
        <v>0</v>
      </c>
      <c r="CD116" s="427">
        <v>0</v>
      </c>
      <c r="CE116" s="427">
        <v>0</v>
      </c>
      <c r="CF116" s="427">
        <v>0</v>
      </c>
      <c r="CG116" s="427">
        <v>0</v>
      </c>
      <c r="CH116" s="427">
        <v>0</v>
      </c>
      <c r="CI116" s="427">
        <v>0</v>
      </c>
      <c r="CJ116" s="427">
        <v>0</v>
      </c>
      <c r="CK116" s="428">
        <v>0</v>
      </c>
      <c r="CL116" s="428">
        <v>0</v>
      </c>
      <c r="CM116" s="428">
        <v>0</v>
      </c>
      <c r="CN116" s="428">
        <v>0</v>
      </c>
      <c r="CO116" s="428">
        <v>0</v>
      </c>
      <c r="CP116" s="428">
        <v>0</v>
      </c>
      <c r="CQ116" s="428">
        <v>0</v>
      </c>
      <c r="CR116" s="428">
        <v>0</v>
      </c>
      <c r="CS116" s="428">
        <v>0</v>
      </c>
      <c r="CT116" s="428">
        <v>0</v>
      </c>
      <c r="CU116" s="428">
        <v>0</v>
      </c>
      <c r="CV116" s="428">
        <v>0</v>
      </c>
      <c r="CW116" s="428">
        <v>0</v>
      </c>
      <c r="CX116" s="428"/>
      <c r="CY116" s="428"/>
      <c r="CZ116" s="428"/>
      <c r="DA116" s="428"/>
      <c r="DB116" s="428"/>
      <c r="DC116" s="428"/>
      <c r="DD116" s="428"/>
      <c r="DE116" s="428"/>
      <c r="DF116" s="428"/>
      <c r="DG116" s="428"/>
      <c r="DH116" s="428"/>
      <c r="DI116" s="428"/>
    </row>
    <row r="117" spans="1:113" s="388" customFormat="1">
      <c r="A117" s="421" t="s">
        <v>370</v>
      </c>
      <c r="B117" s="421" t="s">
        <v>243</v>
      </c>
      <c r="C117" s="421" t="s">
        <v>432</v>
      </c>
      <c r="D117" s="422" t="s">
        <v>376</v>
      </c>
      <c r="E117" s="422">
        <v>2015</v>
      </c>
      <c r="F117" s="423">
        <v>13.21</v>
      </c>
      <c r="G117" s="424">
        <v>75853.53</v>
      </c>
      <c r="H117" s="422">
        <v>4</v>
      </c>
      <c r="I117" s="425">
        <v>1</v>
      </c>
      <c r="J117" s="425">
        <v>1</v>
      </c>
      <c r="K117" s="422">
        <v>0</v>
      </c>
      <c r="L117" s="422">
        <v>0</v>
      </c>
      <c r="M117" s="422">
        <v>0</v>
      </c>
      <c r="N117" s="426">
        <v>1.32</v>
      </c>
      <c r="O117" s="426">
        <v>18.689389067524118</v>
      </c>
      <c r="P117" s="426">
        <v>18.689389067524118</v>
      </c>
      <c r="Q117" s="426">
        <v>18.689389067524118</v>
      </c>
      <c r="R117" s="426">
        <v>18.689389067524118</v>
      </c>
      <c r="S117" s="426">
        <v>0</v>
      </c>
      <c r="T117" s="426">
        <v>0</v>
      </c>
      <c r="U117" s="426">
        <v>0</v>
      </c>
      <c r="V117" s="426">
        <v>0</v>
      </c>
      <c r="W117" s="426">
        <v>0</v>
      </c>
      <c r="X117" s="426">
        <v>0</v>
      </c>
      <c r="Y117" s="426">
        <v>0</v>
      </c>
      <c r="Z117" s="426">
        <v>0</v>
      </c>
      <c r="AA117" s="426">
        <v>0</v>
      </c>
      <c r="AB117" s="426">
        <v>0</v>
      </c>
      <c r="AC117" s="426">
        <v>0</v>
      </c>
      <c r="AD117" s="426">
        <v>0</v>
      </c>
      <c r="AE117" s="426">
        <v>0</v>
      </c>
      <c r="AF117" s="426">
        <v>0</v>
      </c>
      <c r="AG117" s="426">
        <v>0</v>
      </c>
      <c r="AH117" s="426">
        <v>0</v>
      </c>
      <c r="AI117" s="426">
        <v>0</v>
      </c>
      <c r="AJ117" s="426">
        <v>0</v>
      </c>
      <c r="AK117" s="426">
        <v>0</v>
      </c>
      <c r="AL117" s="426">
        <v>0</v>
      </c>
      <c r="AM117" s="427">
        <v>0</v>
      </c>
      <c r="AN117" s="427">
        <v>107316.89131832798</v>
      </c>
      <c r="AO117" s="427">
        <v>107316.89131832798</v>
      </c>
      <c r="AP117" s="427">
        <v>107316.89131832798</v>
      </c>
      <c r="AQ117" s="427">
        <v>107316.89131832798</v>
      </c>
      <c r="AR117" s="427">
        <v>0</v>
      </c>
      <c r="AS117" s="427">
        <v>0</v>
      </c>
      <c r="AT117" s="427">
        <v>0</v>
      </c>
      <c r="AU117" s="427">
        <v>0</v>
      </c>
      <c r="AV117" s="427">
        <v>0</v>
      </c>
      <c r="AW117" s="427">
        <v>0</v>
      </c>
      <c r="AX117" s="427">
        <v>0</v>
      </c>
      <c r="AY117" s="427">
        <v>0</v>
      </c>
      <c r="AZ117" s="427">
        <v>0</v>
      </c>
      <c r="BA117" s="427">
        <v>0</v>
      </c>
      <c r="BB117" s="427">
        <v>0</v>
      </c>
      <c r="BC117" s="427">
        <v>0</v>
      </c>
      <c r="BD117" s="427">
        <v>0</v>
      </c>
      <c r="BE117" s="427">
        <v>0</v>
      </c>
      <c r="BF117" s="427">
        <v>0</v>
      </c>
      <c r="BG117" s="427">
        <v>0</v>
      </c>
      <c r="BH117" s="427">
        <v>0</v>
      </c>
      <c r="BI117" s="427">
        <v>0</v>
      </c>
      <c r="BJ117" s="427">
        <v>0</v>
      </c>
      <c r="BK117" s="427">
        <v>0</v>
      </c>
      <c r="BL117" s="427">
        <v>0</v>
      </c>
      <c r="BM117" s="427">
        <v>0</v>
      </c>
      <c r="BN117" s="427">
        <v>0</v>
      </c>
      <c r="BO117" s="427">
        <v>0</v>
      </c>
      <c r="BP117" s="427">
        <v>0</v>
      </c>
      <c r="BQ117" s="427">
        <v>0</v>
      </c>
      <c r="BR117" s="427">
        <v>0</v>
      </c>
      <c r="BS117" s="427">
        <v>0</v>
      </c>
      <c r="BT117" s="427">
        <v>0</v>
      </c>
      <c r="BU117" s="427">
        <v>0</v>
      </c>
      <c r="BV117" s="427">
        <v>0</v>
      </c>
      <c r="BW117" s="427">
        <v>0</v>
      </c>
      <c r="BX117" s="427">
        <v>0</v>
      </c>
      <c r="BY117" s="427">
        <v>0</v>
      </c>
      <c r="BZ117" s="427">
        <v>0</v>
      </c>
      <c r="CA117" s="427">
        <v>0</v>
      </c>
      <c r="CB117" s="427">
        <v>0</v>
      </c>
      <c r="CC117" s="427">
        <v>0</v>
      </c>
      <c r="CD117" s="427">
        <v>0</v>
      </c>
      <c r="CE117" s="427">
        <v>0</v>
      </c>
      <c r="CF117" s="427">
        <v>0</v>
      </c>
      <c r="CG117" s="427">
        <v>0</v>
      </c>
      <c r="CH117" s="427">
        <v>0</v>
      </c>
      <c r="CI117" s="427">
        <v>0</v>
      </c>
      <c r="CJ117" s="427">
        <v>0</v>
      </c>
      <c r="CK117" s="428">
        <v>0</v>
      </c>
      <c r="CL117" s="428">
        <v>0</v>
      </c>
      <c r="CM117" s="428">
        <v>0</v>
      </c>
      <c r="CN117" s="428">
        <v>0</v>
      </c>
      <c r="CO117" s="428">
        <v>0</v>
      </c>
      <c r="CP117" s="428">
        <v>0</v>
      </c>
      <c r="CQ117" s="428">
        <v>0</v>
      </c>
      <c r="CR117" s="428">
        <v>0</v>
      </c>
      <c r="CS117" s="428">
        <v>0</v>
      </c>
      <c r="CT117" s="428">
        <v>0</v>
      </c>
      <c r="CU117" s="428">
        <v>0</v>
      </c>
      <c r="CV117" s="428">
        <v>0</v>
      </c>
      <c r="CW117" s="428">
        <v>0</v>
      </c>
      <c r="CX117" s="428"/>
      <c r="CY117" s="428"/>
      <c r="CZ117" s="428"/>
      <c r="DA117" s="428"/>
      <c r="DB117" s="428"/>
      <c r="DC117" s="428"/>
      <c r="DD117" s="428"/>
      <c r="DE117" s="428"/>
      <c r="DF117" s="428"/>
      <c r="DG117" s="428"/>
      <c r="DH117" s="428"/>
      <c r="DI117" s="428"/>
    </row>
    <row r="118" spans="1:113" s="388" customFormat="1">
      <c r="A118" s="421" t="s">
        <v>370</v>
      </c>
      <c r="B118" s="421" t="s">
        <v>243</v>
      </c>
      <c r="C118" s="421" t="s">
        <v>432</v>
      </c>
      <c r="D118" s="422" t="s">
        <v>376</v>
      </c>
      <c r="E118" s="422">
        <v>2016</v>
      </c>
      <c r="F118" s="423">
        <v>13.21</v>
      </c>
      <c r="G118" s="424">
        <v>75853.53</v>
      </c>
      <c r="H118" s="422">
        <v>4</v>
      </c>
      <c r="I118" s="425">
        <v>1</v>
      </c>
      <c r="J118" s="425">
        <v>1</v>
      </c>
      <c r="K118" s="422">
        <v>0</v>
      </c>
      <c r="L118" s="422">
        <v>0</v>
      </c>
      <c r="M118" s="422">
        <v>0</v>
      </c>
      <c r="N118" s="426">
        <v>2</v>
      </c>
      <c r="O118" s="426">
        <v>0</v>
      </c>
      <c r="P118" s="426">
        <v>28.317256162915328</v>
      </c>
      <c r="Q118" s="426">
        <v>28.317256162915328</v>
      </c>
      <c r="R118" s="426">
        <v>28.317256162915328</v>
      </c>
      <c r="S118" s="426">
        <v>28.317256162915328</v>
      </c>
      <c r="T118" s="426">
        <v>0</v>
      </c>
      <c r="U118" s="426">
        <v>0</v>
      </c>
      <c r="V118" s="426">
        <v>0</v>
      </c>
      <c r="W118" s="426">
        <v>0</v>
      </c>
      <c r="X118" s="426">
        <v>0</v>
      </c>
      <c r="Y118" s="426">
        <v>0</v>
      </c>
      <c r="Z118" s="426">
        <v>0</v>
      </c>
      <c r="AA118" s="426">
        <v>0</v>
      </c>
      <c r="AB118" s="426">
        <v>0</v>
      </c>
      <c r="AC118" s="426">
        <v>0</v>
      </c>
      <c r="AD118" s="426">
        <v>0</v>
      </c>
      <c r="AE118" s="426">
        <v>0</v>
      </c>
      <c r="AF118" s="426">
        <v>0</v>
      </c>
      <c r="AG118" s="426">
        <v>0</v>
      </c>
      <c r="AH118" s="426">
        <v>0</v>
      </c>
      <c r="AI118" s="426">
        <v>0</v>
      </c>
      <c r="AJ118" s="426">
        <v>0</v>
      </c>
      <c r="AK118" s="426">
        <v>0</v>
      </c>
      <c r="AL118" s="426">
        <v>0</v>
      </c>
      <c r="AM118" s="427">
        <v>0</v>
      </c>
      <c r="AN118" s="427">
        <v>0</v>
      </c>
      <c r="AO118" s="427">
        <v>162601.35048231512</v>
      </c>
      <c r="AP118" s="427">
        <v>162601.35048231512</v>
      </c>
      <c r="AQ118" s="427">
        <v>162601.35048231512</v>
      </c>
      <c r="AR118" s="427">
        <v>162601.35048231512</v>
      </c>
      <c r="AS118" s="427">
        <v>0</v>
      </c>
      <c r="AT118" s="427">
        <v>0</v>
      </c>
      <c r="AU118" s="427">
        <v>0</v>
      </c>
      <c r="AV118" s="427">
        <v>0</v>
      </c>
      <c r="AW118" s="427">
        <v>0</v>
      </c>
      <c r="AX118" s="427">
        <v>0</v>
      </c>
      <c r="AY118" s="427">
        <v>0</v>
      </c>
      <c r="AZ118" s="427">
        <v>0</v>
      </c>
      <c r="BA118" s="427">
        <v>0</v>
      </c>
      <c r="BB118" s="427">
        <v>0</v>
      </c>
      <c r="BC118" s="427">
        <v>0</v>
      </c>
      <c r="BD118" s="427">
        <v>0</v>
      </c>
      <c r="BE118" s="427">
        <v>0</v>
      </c>
      <c r="BF118" s="427">
        <v>0</v>
      </c>
      <c r="BG118" s="427">
        <v>0</v>
      </c>
      <c r="BH118" s="427">
        <v>0</v>
      </c>
      <c r="BI118" s="427">
        <v>0</v>
      </c>
      <c r="BJ118" s="427">
        <v>0</v>
      </c>
      <c r="BK118" s="427">
        <v>0</v>
      </c>
      <c r="BL118" s="427">
        <v>0</v>
      </c>
      <c r="BM118" s="427">
        <v>0</v>
      </c>
      <c r="BN118" s="427">
        <v>0</v>
      </c>
      <c r="BO118" s="427">
        <v>0</v>
      </c>
      <c r="BP118" s="427">
        <v>0</v>
      </c>
      <c r="BQ118" s="427">
        <v>0</v>
      </c>
      <c r="BR118" s="427">
        <v>0</v>
      </c>
      <c r="BS118" s="427">
        <v>0</v>
      </c>
      <c r="BT118" s="427">
        <v>0</v>
      </c>
      <c r="BU118" s="427">
        <v>0</v>
      </c>
      <c r="BV118" s="427">
        <v>0</v>
      </c>
      <c r="BW118" s="427">
        <v>0</v>
      </c>
      <c r="BX118" s="427">
        <v>0</v>
      </c>
      <c r="BY118" s="427">
        <v>0</v>
      </c>
      <c r="BZ118" s="427">
        <v>0</v>
      </c>
      <c r="CA118" s="427">
        <v>0</v>
      </c>
      <c r="CB118" s="427">
        <v>0</v>
      </c>
      <c r="CC118" s="427">
        <v>0</v>
      </c>
      <c r="CD118" s="427">
        <v>0</v>
      </c>
      <c r="CE118" s="427">
        <v>0</v>
      </c>
      <c r="CF118" s="427">
        <v>0</v>
      </c>
      <c r="CG118" s="427">
        <v>0</v>
      </c>
      <c r="CH118" s="427">
        <v>0</v>
      </c>
      <c r="CI118" s="427">
        <v>0</v>
      </c>
      <c r="CJ118" s="427">
        <v>0</v>
      </c>
      <c r="CK118" s="428">
        <v>0</v>
      </c>
      <c r="CL118" s="428">
        <v>0</v>
      </c>
      <c r="CM118" s="428">
        <v>0</v>
      </c>
      <c r="CN118" s="428">
        <v>0</v>
      </c>
      <c r="CO118" s="428">
        <v>0</v>
      </c>
      <c r="CP118" s="428">
        <v>0</v>
      </c>
      <c r="CQ118" s="428">
        <v>0</v>
      </c>
      <c r="CR118" s="428">
        <v>0</v>
      </c>
      <c r="CS118" s="428">
        <v>0</v>
      </c>
      <c r="CT118" s="428">
        <v>0</v>
      </c>
      <c r="CU118" s="428">
        <v>0</v>
      </c>
      <c r="CV118" s="428">
        <v>0</v>
      </c>
      <c r="CW118" s="428">
        <v>0</v>
      </c>
      <c r="CX118" s="428"/>
      <c r="CY118" s="428"/>
      <c r="CZ118" s="428"/>
      <c r="DA118" s="428"/>
      <c r="DB118" s="428"/>
      <c r="DC118" s="428"/>
      <c r="DD118" s="428"/>
      <c r="DE118" s="428"/>
      <c r="DF118" s="428"/>
      <c r="DG118" s="428"/>
      <c r="DH118" s="428"/>
      <c r="DI118" s="428"/>
    </row>
    <row r="119" spans="1:113" s="388" customFormat="1">
      <c r="A119" s="421" t="s">
        <v>370</v>
      </c>
      <c r="B119" s="421" t="s">
        <v>243</v>
      </c>
      <c r="C119" s="421" t="s">
        <v>432</v>
      </c>
      <c r="D119" s="422" t="s">
        <v>376</v>
      </c>
      <c r="E119" s="422">
        <v>2017</v>
      </c>
      <c r="F119" s="423">
        <v>13.21</v>
      </c>
      <c r="G119" s="424">
        <v>75853.53</v>
      </c>
      <c r="H119" s="422">
        <v>4</v>
      </c>
      <c r="I119" s="425">
        <v>1</v>
      </c>
      <c r="J119" s="425">
        <v>1</v>
      </c>
      <c r="K119" s="422">
        <v>0</v>
      </c>
      <c r="L119" s="422">
        <v>0</v>
      </c>
      <c r="M119" s="422">
        <v>0</v>
      </c>
      <c r="N119" s="426">
        <v>2</v>
      </c>
      <c r="O119" s="426">
        <v>0</v>
      </c>
      <c r="P119" s="426">
        <v>0</v>
      </c>
      <c r="Q119" s="426">
        <v>28.317256162915328</v>
      </c>
      <c r="R119" s="426">
        <v>28.317256162915328</v>
      </c>
      <c r="S119" s="426">
        <v>28.317256162915328</v>
      </c>
      <c r="T119" s="426">
        <v>28.317256162915328</v>
      </c>
      <c r="U119" s="426">
        <v>0</v>
      </c>
      <c r="V119" s="426">
        <v>0</v>
      </c>
      <c r="W119" s="426">
        <v>0</v>
      </c>
      <c r="X119" s="426">
        <v>0</v>
      </c>
      <c r="Y119" s="426">
        <v>0</v>
      </c>
      <c r="Z119" s="426">
        <v>0</v>
      </c>
      <c r="AA119" s="426">
        <v>0</v>
      </c>
      <c r="AB119" s="426">
        <v>0</v>
      </c>
      <c r="AC119" s="426">
        <v>0</v>
      </c>
      <c r="AD119" s="426">
        <v>0</v>
      </c>
      <c r="AE119" s="426">
        <v>0</v>
      </c>
      <c r="AF119" s="426">
        <v>0</v>
      </c>
      <c r="AG119" s="426">
        <v>0</v>
      </c>
      <c r="AH119" s="426">
        <v>0</v>
      </c>
      <c r="AI119" s="426">
        <v>0</v>
      </c>
      <c r="AJ119" s="426">
        <v>0</v>
      </c>
      <c r="AK119" s="426">
        <v>0</v>
      </c>
      <c r="AL119" s="426">
        <v>0</v>
      </c>
      <c r="AM119" s="427">
        <v>0</v>
      </c>
      <c r="AN119" s="427">
        <v>0</v>
      </c>
      <c r="AO119" s="427">
        <v>0</v>
      </c>
      <c r="AP119" s="427">
        <v>162601.35048231512</v>
      </c>
      <c r="AQ119" s="427">
        <v>162601.35048231512</v>
      </c>
      <c r="AR119" s="427">
        <v>162601.35048231512</v>
      </c>
      <c r="AS119" s="427">
        <v>162601.35048231512</v>
      </c>
      <c r="AT119" s="427">
        <v>0</v>
      </c>
      <c r="AU119" s="427">
        <v>0</v>
      </c>
      <c r="AV119" s="427">
        <v>0</v>
      </c>
      <c r="AW119" s="427">
        <v>0</v>
      </c>
      <c r="AX119" s="427">
        <v>0</v>
      </c>
      <c r="AY119" s="427">
        <v>0</v>
      </c>
      <c r="AZ119" s="427">
        <v>0</v>
      </c>
      <c r="BA119" s="427">
        <v>0</v>
      </c>
      <c r="BB119" s="427">
        <v>0</v>
      </c>
      <c r="BC119" s="427">
        <v>0</v>
      </c>
      <c r="BD119" s="427">
        <v>0</v>
      </c>
      <c r="BE119" s="427">
        <v>0</v>
      </c>
      <c r="BF119" s="427">
        <v>0</v>
      </c>
      <c r="BG119" s="427">
        <v>0</v>
      </c>
      <c r="BH119" s="427">
        <v>0</v>
      </c>
      <c r="BI119" s="427">
        <v>0</v>
      </c>
      <c r="BJ119" s="427">
        <v>0</v>
      </c>
      <c r="BK119" s="427">
        <v>0</v>
      </c>
      <c r="BL119" s="427">
        <v>0</v>
      </c>
      <c r="BM119" s="427">
        <v>0</v>
      </c>
      <c r="BN119" s="427">
        <v>0</v>
      </c>
      <c r="BO119" s="427">
        <v>0</v>
      </c>
      <c r="BP119" s="427">
        <v>0</v>
      </c>
      <c r="BQ119" s="427">
        <v>0</v>
      </c>
      <c r="BR119" s="427">
        <v>0</v>
      </c>
      <c r="BS119" s="427">
        <v>0</v>
      </c>
      <c r="BT119" s="427">
        <v>0</v>
      </c>
      <c r="BU119" s="427">
        <v>0</v>
      </c>
      <c r="BV119" s="427">
        <v>0</v>
      </c>
      <c r="BW119" s="427">
        <v>0</v>
      </c>
      <c r="BX119" s="427">
        <v>0</v>
      </c>
      <c r="BY119" s="427">
        <v>0</v>
      </c>
      <c r="BZ119" s="427">
        <v>0</v>
      </c>
      <c r="CA119" s="427">
        <v>0</v>
      </c>
      <c r="CB119" s="427">
        <v>0</v>
      </c>
      <c r="CC119" s="427">
        <v>0</v>
      </c>
      <c r="CD119" s="427">
        <v>0</v>
      </c>
      <c r="CE119" s="427">
        <v>0</v>
      </c>
      <c r="CF119" s="427">
        <v>0</v>
      </c>
      <c r="CG119" s="427">
        <v>0</v>
      </c>
      <c r="CH119" s="427">
        <v>0</v>
      </c>
      <c r="CI119" s="427">
        <v>0</v>
      </c>
      <c r="CJ119" s="427">
        <v>0</v>
      </c>
      <c r="CK119" s="428">
        <v>0</v>
      </c>
      <c r="CL119" s="428">
        <v>0</v>
      </c>
      <c r="CM119" s="428">
        <v>0</v>
      </c>
      <c r="CN119" s="428">
        <v>0</v>
      </c>
      <c r="CO119" s="428">
        <v>0</v>
      </c>
      <c r="CP119" s="428">
        <v>0</v>
      </c>
      <c r="CQ119" s="428">
        <v>0</v>
      </c>
      <c r="CR119" s="428">
        <v>0</v>
      </c>
      <c r="CS119" s="428">
        <v>0</v>
      </c>
      <c r="CT119" s="428">
        <v>0</v>
      </c>
      <c r="CU119" s="428">
        <v>0</v>
      </c>
      <c r="CV119" s="428">
        <v>0</v>
      </c>
      <c r="CW119" s="428">
        <v>0</v>
      </c>
      <c r="CX119" s="428"/>
      <c r="CY119" s="428"/>
      <c r="CZ119" s="428"/>
      <c r="DA119" s="428"/>
      <c r="DB119" s="428"/>
      <c r="DC119" s="428"/>
      <c r="DD119" s="428"/>
      <c r="DE119" s="428"/>
      <c r="DF119" s="428"/>
      <c r="DG119" s="428"/>
      <c r="DH119" s="428"/>
      <c r="DI119" s="428"/>
    </row>
    <row r="120" spans="1:113" s="388" customFormat="1">
      <c r="A120" s="421" t="s">
        <v>370</v>
      </c>
      <c r="B120" s="421" t="s">
        <v>243</v>
      </c>
      <c r="C120" s="421" t="s">
        <v>432</v>
      </c>
      <c r="D120" s="422" t="s">
        <v>376</v>
      </c>
      <c r="E120" s="422">
        <v>2018</v>
      </c>
      <c r="F120" s="423">
        <v>13.21</v>
      </c>
      <c r="G120" s="424">
        <v>75853.53</v>
      </c>
      <c r="H120" s="422">
        <v>4</v>
      </c>
      <c r="I120" s="425">
        <v>1</v>
      </c>
      <c r="J120" s="425">
        <v>1</v>
      </c>
      <c r="K120" s="422">
        <v>0</v>
      </c>
      <c r="L120" s="422">
        <v>0</v>
      </c>
      <c r="M120" s="422">
        <v>0</v>
      </c>
      <c r="N120" s="426">
        <v>2</v>
      </c>
      <c r="O120" s="426">
        <v>0</v>
      </c>
      <c r="P120" s="426">
        <v>0</v>
      </c>
      <c r="Q120" s="426">
        <v>0</v>
      </c>
      <c r="R120" s="426">
        <v>28.317256162915328</v>
      </c>
      <c r="S120" s="426">
        <v>28.317256162915328</v>
      </c>
      <c r="T120" s="426">
        <v>28.317256162915328</v>
      </c>
      <c r="U120" s="426">
        <v>28.317256162915328</v>
      </c>
      <c r="V120" s="426">
        <v>0</v>
      </c>
      <c r="W120" s="426">
        <v>0</v>
      </c>
      <c r="X120" s="426">
        <v>0</v>
      </c>
      <c r="Y120" s="426">
        <v>0</v>
      </c>
      <c r="Z120" s="426">
        <v>0</v>
      </c>
      <c r="AA120" s="426">
        <v>0</v>
      </c>
      <c r="AB120" s="426">
        <v>0</v>
      </c>
      <c r="AC120" s="426">
        <v>0</v>
      </c>
      <c r="AD120" s="426">
        <v>0</v>
      </c>
      <c r="AE120" s="426">
        <v>0</v>
      </c>
      <c r="AF120" s="426">
        <v>0</v>
      </c>
      <c r="AG120" s="426">
        <v>0</v>
      </c>
      <c r="AH120" s="426">
        <v>0</v>
      </c>
      <c r="AI120" s="426">
        <v>0</v>
      </c>
      <c r="AJ120" s="426">
        <v>0</v>
      </c>
      <c r="AK120" s="426">
        <v>0</v>
      </c>
      <c r="AL120" s="426">
        <v>0</v>
      </c>
      <c r="AM120" s="427">
        <v>0</v>
      </c>
      <c r="AN120" s="427">
        <v>0</v>
      </c>
      <c r="AO120" s="427">
        <v>0</v>
      </c>
      <c r="AP120" s="427">
        <v>0</v>
      </c>
      <c r="AQ120" s="427">
        <v>162601.35048231512</v>
      </c>
      <c r="AR120" s="427">
        <v>162601.35048231512</v>
      </c>
      <c r="AS120" s="427">
        <v>162601.35048231512</v>
      </c>
      <c r="AT120" s="427">
        <v>162601.35048231512</v>
      </c>
      <c r="AU120" s="427">
        <v>0</v>
      </c>
      <c r="AV120" s="427">
        <v>0</v>
      </c>
      <c r="AW120" s="427">
        <v>0</v>
      </c>
      <c r="AX120" s="427">
        <v>0</v>
      </c>
      <c r="AY120" s="427">
        <v>0</v>
      </c>
      <c r="AZ120" s="427">
        <v>0</v>
      </c>
      <c r="BA120" s="427">
        <v>0</v>
      </c>
      <c r="BB120" s="427">
        <v>0</v>
      </c>
      <c r="BC120" s="427">
        <v>0</v>
      </c>
      <c r="BD120" s="427">
        <v>0</v>
      </c>
      <c r="BE120" s="427">
        <v>0</v>
      </c>
      <c r="BF120" s="427">
        <v>0</v>
      </c>
      <c r="BG120" s="427">
        <v>0</v>
      </c>
      <c r="BH120" s="427">
        <v>0</v>
      </c>
      <c r="BI120" s="427">
        <v>0</v>
      </c>
      <c r="BJ120" s="427">
        <v>0</v>
      </c>
      <c r="BK120" s="427">
        <v>0</v>
      </c>
      <c r="BL120" s="427">
        <v>0</v>
      </c>
      <c r="BM120" s="427">
        <v>0</v>
      </c>
      <c r="BN120" s="427">
        <v>0</v>
      </c>
      <c r="BO120" s="427">
        <v>0</v>
      </c>
      <c r="BP120" s="427">
        <v>0</v>
      </c>
      <c r="BQ120" s="427">
        <v>0</v>
      </c>
      <c r="BR120" s="427">
        <v>0</v>
      </c>
      <c r="BS120" s="427">
        <v>0</v>
      </c>
      <c r="BT120" s="427">
        <v>0</v>
      </c>
      <c r="BU120" s="427">
        <v>0</v>
      </c>
      <c r="BV120" s="427">
        <v>0</v>
      </c>
      <c r="BW120" s="427">
        <v>0</v>
      </c>
      <c r="BX120" s="427">
        <v>0</v>
      </c>
      <c r="BY120" s="427">
        <v>0</v>
      </c>
      <c r="BZ120" s="427">
        <v>0</v>
      </c>
      <c r="CA120" s="427">
        <v>0</v>
      </c>
      <c r="CB120" s="427">
        <v>0</v>
      </c>
      <c r="CC120" s="427">
        <v>0</v>
      </c>
      <c r="CD120" s="427">
        <v>0</v>
      </c>
      <c r="CE120" s="427">
        <v>0</v>
      </c>
      <c r="CF120" s="427">
        <v>0</v>
      </c>
      <c r="CG120" s="427">
        <v>0</v>
      </c>
      <c r="CH120" s="427">
        <v>0</v>
      </c>
      <c r="CI120" s="427">
        <v>0</v>
      </c>
      <c r="CJ120" s="427">
        <v>0</v>
      </c>
      <c r="CK120" s="428">
        <v>0</v>
      </c>
      <c r="CL120" s="428">
        <v>0</v>
      </c>
      <c r="CM120" s="428">
        <v>0</v>
      </c>
      <c r="CN120" s="428">
        <v>0</v>
      </c>
      <c r="CO120" s="428">
        <v>0</v>
      </c>
      <c r="CP120" s="428">
        <v>0</v>
      </c>
      <c r="CQ120" s="428">
        <v>0</v>
      </c>
      <c r="CR120" s="428">
        <v>0</v>
      </c>
      <c r="CS120" s="428">
        <v>0</v>
      </c>
      <c r="CT120" s="428">
        <v>0</v>
      </c>
      <c r="CU120" s="428">
        <v>0</v>
      </c>
      <c r="CV120" s="428">
        <v>0</v>
      </c>
      <c r="CW120" s="428">
        <v>0</v>
      </c>
      <c r="CX120" s="428"/>
      <c r="CY120" s="428"/>
      <c r="CZ120" s="428"/>
      <c r="DA120" s="428"/>
      <c r="DB120" s="428"/>
      <c r="DC120" s="428"/>
      <c r="DD120" s="428"/>
      <c r="DE120" s="428"/>
      <c r="DF120" s="428"/>
      <c r="DG120" s="428"/>
      <c r="DH120" s="428"/>
      <c r="DI120" s="428"/>
    </row>
    <row r="121" spans="1:113" s="388" customFormat="1">
      <c r="A121" s="421" t="s">
        <v>370</v>
      </c>
      <c r="B121" s="421" t="s">
        <v>243</v>
      </c>
      <c r="C121" s="421" t="s">
        <v>432</v>
      </c>
      <c r="D121" s="422" t="s">
        <v>376</v>
      </c>
      <c r="E121" s="422">
        <v>2019</v>
      </c>
      <c r="F121" s="423">
        <v>13.21</v>
      </c>
      <c r="G121" s="424">
        <v>75853.53</v>
      </c>
      <c r="H121" s="422">
        <v>4</v>
      </c>
      <c r="I121" s="425">
        <v>1</v>
      </c>
      <c r="J121" s="425">
        <v>1</v>
      </c>
      <c r="K121" s="422">
        <v>0</v>
      </c>
      <c r="L121" s="422">
        <v>0</v>
      </c>
      <c r="M121" s="422">
        <v>0</v>
      </c>
      <c r="N121" s="426">
        <v>2</v>
      </c>
      <c r="O121" s="426">
        <v>0</v>
      </c>
      <c r="P121" s="426">
        <v>0</v>
      </c>
      <c r="Q121" s="426">
        <v>0</v>
      </c>
      <c r="R121" s="426">
        <v>0</v>
      </c>
      <c r="S121" s="426">
        <v>28.317256162915328</v>
      </c>
      <c r="T121" s="426">
        <v>28.317256162915328</v>
      </c>
      <c r="U121" s="426">
        <v>28.317256162915328</v>
      </c>
      <c r="V121" s="426">
        <v>28.317256162915328</v>
      </c>
      <c r="W121" s="426">
        <v>0</v>
      </c>
      <c r="X121" s="426">
        <v>0</v>
      </c>
      <c r="Y121" s="426">
        <v>0</v>
      </c>
      <c r="Z121" s="426">
        <v>0</v>
      </c>
      <c r="AA121" s="426">
        <v>0</v>
      </c>
      <c r="AB121" s="426">
        <v>0</v>
      </c>
      <c r="AC121" s="426">
        <v>0</v>
      </c>
      <c r="AD121" s="426">
        <v>0</v>
      </c>
      <c r="AE121" s="426">
        <v>0</v>
      </c>
      <c r="AF121" s="426">
        <v>0</v>
      </c>
      <c r="AG121" s="426">
        <v>0</v>
      </c>
      <c r="AH121" s="426">
        <v>0</v>
      </c>
      <c r="AI121" s="426">
        <v>0</v>
      </c>
      <c r="AJ121" s="426">
        <v>0</v>
      </c>
      <c r="AK121" s="426">
        <v>0</v>
      </c>
      <c r="AL121" s="426">
        <v>0</v>
      </c>
      <c r="AM121" s="427">
        <v>0</v>
      </c>
      <c r="AN121" s="427">
        <v>0</v>
      </c>
      <c r="AO121" s="427">
        <v>0</v>
      </c>
      <c r="AP121" s="427">
        <v>0</v>
      </c>
      <c r="AQ121" s="427">
        <v>0</v>
      </c>
      <c r="AR121" s="427">
        <v>162601.35048231512</v>
      </c>
      <c r="AS121" s="427">
        <v>162601.35048231512</v>
      </c>
      <c r="AT121" s="427">
        <v>162601.35048231512</v>
      </c>
      <c r="AU121" s="427">
        <v>162601.35048231512</v>
      </c>
      <c r="AV121" s="427">
        <v>0</v>
      </c>
      <c r="AW121" s="427">
        <v>0</v>
      </c>
      <c r="AX121" s="427">
        <v>0</v>
      </c>
      <c r="AY121" s="427">
        <v>0</v>
      </c>
      <c r="AZ121" s="427">
        <v>0</v>
      </c>
      <c r="BA121" s="427">
        <v>0</v>
      </c>
      <c r="BB121" s="427">
        <v>0</v>
      </c>
      <c r="BC121" s="427">
        <v>0</v>
      </c>
      <c r="BD121" s="427">
        <v>0</v>
      </c>
      <c r="BE121" s="427">
        <v>0</v>
      </c>
      <c r="BF121" s="427">
        <v>0</v>
      </c>
      <c r="BG121" s="427">
        <v>0</v>
      </c>
      <c r="BH121" s="427">
        <v>0</v>
      </c>
      <c r="BI121" s="427">
        <v>0</v>
      </c>
      <c r="BJ121" s="427">
        <v>0</v>
      </c>
      <c r="BK121" s="427">
        <v>0</v>
      </c>
      <c r="BL121" s="427">
        <v>0</v>
      </c>
      <c r="BM121" s="427">
        <v>0</v>
      </c>
      <c r="BN121" s="427">
        <v>0</v>
      </c>
      <c r="BO121" s="427">
        <v>0</v>
      </c>
      <c r="BP121" s="427">
        <v>0</v>
      </c>
      <c r="BQ121" s="427">
        <v>0</v>
      </c>
      <c r="BR121" s="427">
        <v>0</v>
      </c>
      <c r="BS121" s="427">
        <v>0</v>
      </c>
      <c r="BT121" s="427">
        <v>0</v>
      </c>
      <c r="BU121" s="427">
        <v>0</v>
      </c>
      <c r="BV121" s="427">
        <v>0</v>
      </c>
      <c r="BW121" s="427">
        <v>0</v>
      </c>
      <c r="BX121" s="427">
        <v>0</v>
      </c>
      <c r="BY121" s="427">
        <v>0</v>
      </c>
      <c r="BZ121" s="427">
        <v>0</v>
      </c>
      <c r="CA121" s="427">
        <v>0</v>
      </c>
      <c r="CB121" s="427">
        <v>0</v>
      </c>
      <c r="CC121" s="427">
        <v>0</v>
      </c>
      <c r="CD121" s="427">
        <v>0</v>
      </c>
      <c r="CE121" s="427">
        <v>0</v>
      </c>
      <c r="CF121" s="427">
        <v>0</v>
      </c>
      <c r="CG121" s="427">
        <v>0</v>
      </c>
      <c r="CH121" s="427">
        <v>0</v>
      </c>
      <c r="CI121" s="427">
        <v>0</v>
      </c>
      <c r="CJ121" s="427">
        <v>0</v>
      </c>
      <c r="CK121" s="428">
        <v>0</v>
      </c>
      <c r="CL121" s="428">
        <v>0</v>
      </c>
      <c r="CM121" s="428">
        <v>0</v>
      </c>
      <c r="CN121" s="428">
        <v>0</v>
      </c>
      <c r="CO121" s="428">
        <v>0</v>
      </c>
      <c r="CP121" s="428">
        <v>0</v>
      </c>
      <c r="CQ121" s="428">
        <v>0</v>
      </c>
      <c r="CR121" s="428">
        <v>0</v>
      </c>
      <c r="CS121" s="428">
        <v>0</v>
      </c>
      <c r="CT121" s="428">
        <v>0</v>
      </c>
      <c r="CU121" s="428">
        <v>0</v>
      </c>
      <c r="CV121" s="428">
        <v>0</v>
      </c>
      <c r="CW121" s="428">
        <v>0</v>
      </c>
      <c r="CX121" s="428"/>
      <c r="CY121" s="428"/>
      <c r="CZ121" s="428"/>
      <c r="DA121" s="428"/>
      <c r="DB121" s="428"/>
      <c r="DC121" s="428"/>
      <c r="DD121" s="428"/>
      <c r="DE121" s="428"/>
      <c r="DF121" s="428"/>
      <c r="DG121" s="428"/>
      <c r="DH121" s="428"/>
      <c r="DI121" s="428"/>
    </row>
    <row r="122" spans="1:113" s="388" customFormat="1">
      <c r="A122" s="421" t="s">
        <v>370</v>
      </c>
      <c r="B122" s="421" t="s">
        <v>243</v>
      </c>
      <c r="C122" s="421" t="s">
        <v>432</v>
      </c>
      <c r="D122" s="422" t="s">
        <v>376</v>
      </c>
      <c r="E122" s="422">
        <v>2020</v>
      </c>
      <c r="F122" s="423">
        <v>13.21</v>
      </c>
      <c r="G122" s="424">
        <v>75853.53</v>
      </c>
      <c r="H122" s="422">
        <v>4</v>
      </c>
      <c r="I122" s="425">
        <v>1</v>
      </c>
      <c r="J122" s="425">
        <v>1</v>
      </c>
      <c r="K122" s="422">
        <v>0</v>
      </c>
      <c r="L122" s="422">
        <v>0</v>
      </c>
      <c r="M122" s="422">
        <v>0</v>
      </c>
      <c r="N122" s="426">
        <v>2</v>
      </c>
      <c r="O122" s="426">
        <v>0</v>
      </c>
      <c r="P122" s="426">
        <v>0</v>
      </c>
      <c r="Q122" s="426">
        <v>0</v>
      </c>
      <c r="R122" s="426">
        <v>0</v>
      </c>
      <c r="S122" s="426">
        <v>0</v>
      </c>
      <c r="T122" s="426">
        <v>28.317256162915328</v>
      </c>
      <c r="U122" s="426">
        <v>28.317256162915328</v>
      </c>
      <c r="V122" s="426">
        <v>28.317256162915328</v>
      </c>
      <c r="W122" s="426">
        <v>28.317256162915328</v>
      </c>
      <c r="X122" s="426">
        <v>0</v>
      </c>
      <c r="Y122" s="426">
        <v>0</v>
      </c>
      <c r="Z122" s="426">
        <v>0</v>
      </c>
      <c r="AA122" s="426">
        <v>0</v>
      </c>
      <c r="AB122" s="426">
        <v>0</v>
      </c>
      <c r="AC122" s="426">
        <v>0</v>
      </c>
      <c r="AD122" s="426">
        <v>0</v>
      </c>
      <c r="AE122" s="426">
        <v>0</v>
      </c>
      <c r="AF122" s="426">
        <v>0</v>
      </c>
      <c r="AG122" s="426">
        <v>0</v>
      </c>
      <c r="AH122" s="426">
        <v>0</v>
      </c>
      <c r="AI122" s="426">
        <v>0</v>
      </c>
      <c r="AJ122" s="426">
        <v>0</v>
      </c>
      <c r="AK122" s="426">
        <v>0</v>
      </c>
      <c r="AL122" s="426">
        <v>0</v>
      </c>
      <c r="AM122" s="427">
        <v>0</v>
      </c>
      <c r="AN122" s="427">
        <v>0</v>
      </c>
      <c r="AO122" s="427">
        <v>0</v>
      </c>
      <c r="AP122" s="427">
        <v>0</v>
      </c>
      <c r="AQ122" s="427">
        <v>0</v>
      </c>
      <c r="AR122" s="427">
        <v>0</v>
      </c>
      <c r="AS122" s="427">
        <v>162601.35048231512</v>
      </c>
      <c r="AT122" s="427">
        <v>162601.35048231512</v>
      </c>
      <c r="AU122" s="427">
        <v>162601.35048231512</v>
      </c>
      <c r="AV122" s="427">
        <v>162601.35048231512</v>
      </c>
      <c r="AW122" s="427">
        <v>0</v>
      </c>
      <c r="AX122" s="427">
        <v>0</v>
      </c>
      <c r="AY122" s="427">
        <v>0</v>
      </c>
      <c r="AZ122" s="427">
        <v>0</v>
      </c>
      <c r="BA122" s="427">
        <v>0</v>
      </c>
      <c r="BB122" s="427">
        <v>0</v>
      </c>
      <c r="BC122" s="427">
        <v>0</v>
      </c>
      <c r="BD122" s="427">
        <v>0</v>
      </c>
      <c r="BE122" s="427">
        <v>0</v>
      </c>
      <c r="BF122" s="427">
        <v>0</v>
      </c>
      <c r="BG122" s="427">
        <v>0</v>
      </c>
      <c r="BH122" s="427">
        <v>0</v>
      </c>
      <c r="BI122" s="427">
        <v>0</v>
      </c>
      <c r="BJ122" s="427">
        <v>0</v>
      </c>
      <c r="BK122" s="427">
        <v>0</v>
      </c>
      <c r="BL122" s="427">
        <v>0</v>
      </c>
      <c r="BM122" s="427">
        <v>0</v>
      </c>
      <c r="BN122" s="427">
        <v>0</v>
      </c>
      <c r="BO122" s="427">
        <v>0</v>
      </c>
      <c r="BP122" s="427">
        <v>0</v>
      </c>
      <c r="BQ122" s="427">
        <v>0</v>
      </c>
      <c r="BR122" s="427">
        <v>0</v>
      </c>
      <c r="BS122" s="427">
        <v>0</v>
      </c>
      <c r="BT122" s="427">
        <v>0</v>
      </c>
      <c r="BU122" s="427">
        <v>0</v>
      </c>
      <c r="BV122" s="427">
        <v>0</v>
      </c>
      <c r="BW122" s="427">
        <v>0</v>
      </c>
      <c r="BX122" s="427">
        <v>0</v>
      </c>
      <c r="BY122" s="427">
        <v>0</v>
      </c>
      <c r="BZ122" s="427">
        <v>0</v>
      </c>
      <c r="CA122" s="427">
        <v>0</v>
      </c>
      <c r="CB122" s="427">
        <v>0</v>
      </c>
      <c r="CC122" s="427">
        <v>0</v>
      </c>
      <c r="CD122" s="427">
        <v>0</v>
      </c>
      <c r="CE122" s="427">
        <v>0</v>
      </c>
      <c r="CF122" s="427">
        <v>0</v>
      </c>
      <c r="CG122" s="427">
        <v>0</v>
      </c>
      <c r="CH122" s="427">
        <v>0</v>
      </c>
      <c r="CI122" s="427">
        <v>0</v>
      </c>
      <c r="CJ122" s="427">
        <v>0</v>
      </c>
      <c r="CK122" s="428">
        <v>0</v>
      </c>
      <c r="CL122" s="428">
        <v>0</v>
      </c>
      <c r="CM122" s="428">
        <v>0</v>
      </c>
      <c r="CN122" s="428">
        <v>0</v>
      </c>
      <c r="CO122" s="428">
        <v>0</v>
      </c>
      <c r="CP122" s="428">
        <v>0</v>
      </c>
      <c r="CQ122" s="428">
        <v>0</v>
      </c>
      <c r="CR122" s="428">
        <v>0</v>
      </c>
      <c r="CS122" s="428">
        <v>0</v>
      </c>
      <c r="CT122" s="428">
        <v>0</v>
      </c>
      <c r="CU122" s="428">
        <v>0</v>
      </c>
      <c r="CV122" s="428">
        <v>0</v>
      </c>
      <c r="CW122" s="428">
        <v>0</v>
      </c>
      <c r="CX122" s="428"/>
      <c r="CY122" s="428"/>
      <c r="CZ122" s="428"/>
      <c r="DA122" s="428"/>
      <c r="DB122" s="428"/>
      <c r="DC122" s="428"/>
      <c r="DD122" s="428"/>
      <c r="DE122" s="428"/>
      <c r="DF122" s="428"/>
      <c r="DG122" s="428"/>
      <c r="DH122" s="428"/>
      <c r="DI122" s="428"/>
    </row>
    <row r="123" spans="1:113" s="388" customFormat="1">
      <c r="A123" s="421" t="s">
        <v>1</v>
      </c>
      <c r="B123" s="421" t="s">
        <v>433</v>
      </c>
      <c r="C123" s="421" t="s">
        <v>436</v>
      </c>
      <c r="D123" s="422" t="s">
        <v>376</v>
      </c>
      <c r="E123" s="422">
        <v>2017</v>
      </c>
      <c r="F123" s="423">
        <v>299.18032799999997</v>
      </c>
      <c r="G123" s="424">
        <v>2628000</v>
      </c>
      <c r="H123" s="422">
        <v>15</v>
      </c>
      <c r="I123" s="425">
        <v>1</v>
      </c>
      <c r="J123" s="425">
        <v>1</v>
      </c>
      <c r="K123" s="422">
        <v>0</v>
      </c>
      <c r="L123" s="422">
        <v>0</v>
      </c>
      <c r="M123" s="422">
        <v>0</v>
      </c>
      <c r="N123" s="426">
        <v>1</v>
      </c>
      <c r="O123" s="426">
        <v>0</v>
      </c>
      <c r="P123" s="426">
        <v>0</v>
      </c>
      <c r="Q123" s="426">
        <v>320.6648745980707</v>
      </c>
      <c r="R123" s="426">
        <v>320.6648745980707</v>
      </c>
      <c r="S123" s="426">
        <v>320.6648745980707</v>
      </c>
      <c r="T123" s="426">
        <v>320.6648745980707</v>
      </c>
      <c r="U123" s="426">
        <v>320.6648745980707</v>
      </c>
      <c r="V123" s="426">
        <v>320.6648745980707</v>
      </c>
      <c r="W123" s="426">
        <v>320.6648745980707</v>
      </c>
      <c r="X123" s="426">
        <v>320.6648745980707</v>
      </c>
      <c r="Y123" s="426">
        <v>320.6648745980707</v>
      </c>
      <c r="Z123" s="426">
        <v>320.6648745980707</v>
      </c>
      <c r="AA123" s="426">
        <v>320.6648745980707</v>
      </c>
      <c r="AB123" s="426">
        <v>320.6648745980707</v>
      </c>
      <c r="AC123" s="426">
        <v>320.6648745980707</v>
      </c>
      <c r="AD123" s="426">
        <v>320.6648745980707</v>
      </c>
      <c r="AE123" s="426">
        <v>320.6648745980707</v>
      </c>
      <c r="AF123" s="426">
        <v>0</v>
      </c>
      <c r="AG123" s="426">
        <v>0</v>
      </c>
      <c r="AH123" s="426">
        <v>0</v>
      </c>
      <c r="AI123" s="426">
        <v>0</v>
      </c>
      <c r="AJ123" s="426">
        <v>0</v>
      </c>
      <c r="AK123" s="426">
        <v>0</v>
      </c>
      <c r="AL123" s="426">
        <v>0</v>
      </c>
      <c r="AM123" s="427">
        <v>0</v>
      </c>
      <c r="AN123" s="427">
        <v>0</v>
      </c>
      <c r="AO123" s="427">
        <v>0</v>
      </c>
      <c r="AP123" s="427">
        <v>2816720.2572347266</v>
      </c>
      <c r="AQ123" s="427">
        <v>2816720.2572347266</v>
      </c>
      <c r="AR123" s="427">
        <v>2816720.2572347266</v>
      </c>
      <c r="AS123" s="427">
        <v>2816720.2572347266</v>
      </c>
      <c r="AT123" s="427">
        <v>2816720.2572347266</v>
      </c>
      <c r="AU123" s="427">
        <v>2816720.2572347266</v>
      </c>
      <c r="AV123" s="427">
        <v>2816720.2572347266</v>
      </c>
      <c r="AW123" s="427">
        <v>2816720.2572347266</v>
      </c>
      <c r="AX123" s="427">
        <v>2816720.2572347266</v>
      </c>
      <c r="AY123" s="427">
        <v>2816720.2572347266</v>
      </c>
      <c r="AZ123" s="427">
        <v>2816720.2572347266</v>
      </c>
      <c r="BA123" s="427">
        <v>2816720.2572347266</v>
      </c>
      <c r="BB123" s="427">
        <v>2816720.2572347266</v>
      </c>
      <c r="BC123" s="427">
        <v>2816720.2572347266</v>
      </c>
      <c r="BD123" s="427">
        <v>2816720.2572347266</v>
      </c>
      <c r="BE123" s="427">
        <v>0</v>
      </c>
      <c r="BF123" s="427">
        <v>0</v>
      </c>
      <c r="BG123" s="427">
        <v>0</v>
      </c>
      <c r="BH123" s="427">
        <v>0</v>
      </c>
      <c r="BI123" s="427">
        <v>0</v>
      </c>
      <c r="BJ123" s="427">
        <v>0</v>
      </c>
      <c r="BK123" s="427">
        <v>0</v>
      </c>
      <c r="BL123" s="427">
        <v>0</v>
      </c>
      <c r="BM123" s="427">
        <v>0</v>
      </c>
      <c r="BN123" s="427">
        <v>0</v>
      </c>
      <c r="BO123" s="427">
        <v>0</v>
      </c>
      <c r="BP123" s="427">
        <v>0</v>
      </c>
      <c r="BQ123" s="427">
        <v>0</v>
      </c>
      <c r="BR123" s="427">
        <v>0</v>
      </c>
      <c r="BS123" s="427">
        <v>0</v>
      </c>
      <c r="BT123" s="427">
        <v>0</v>
      </c>
      <c r="BU123" s="427">
        <v>0</v>
      </c>
      <c r="BV123" s="427">
        <v>0</v>
      </c>
      <c r="BW123" s="427">
        <v>0</v>
      </c>
      <c r="BX123" s="427">
        <v>0</v>
      </c>
      <c r="BY123" s="427">
        <v>0</v>
      </c>
      <c r="BZ123" s="427">
        <v>0</v>
      </c>
      <c r="CA123" s="427">
        <v>0</v>
      </c>
      <c r="CB123" s="427">
        <v>0</v>
      </c>
      <c r="CC123" s="427">
        <v>0</v>
      </c>
      <c r="CD123" s="427">
        <v>0</v>
      </c>
      <c r="CE123" s="427">
        <v>0</v>
      </c>
      <c r="CF123" s="427">
        <v>0</v>
      </c>
      <c r="CG123" s="427">
        <v>0</v>
      </c>
      <c r="CH123" s="427">
        <v>0</v>
      </c>
      <c r="CI123" s="427">
        <v>0</v>
      </c>
      <c r="CJ123" s="427">
        <v>0</v>
      </c>
      <c r="CK123" s="428">
        <v>0</v>
      </c>
      <c r="CL123" s="428">
        <v>0</v>
      </c>
      <c r="CM123" s="428">
        <v>0</v>
      </c>
      <c r="CN123" s="428">
        <v>0</v>
      </c>
      <c r="CO123" s="428">
        <v>0</v>
      </c>
      <c r="CP123" s="428">
        <v>0</v>
      </c>
      <c r="CQ123" s="428">
        <v>0</v>
      </c>
      <c r="CR123" s="428">
        <v>0</v>
      </c>
      <c r="CS123" s="428">
        <v>0</v>
      </c>
      <c r="CT123" s="428">
        <v>0</v>
      </c>
      <c r="CU123" s="428">
        <v>0</v>
      </c>
      <c r="CV123" s="428">
        <v>0</v>
      </c>
      <c r="CW123" s="428">
        <v>0</v>
      </c>
      <c r="CX123" s="428"/>
      <c r="CY123" s="428"/>
      <c r="CZ123" s="428"/>
      <c r="DA123" s="428"/>
      <c r="DB123" s="428"/>
      <c r="DC123" s="428"/>
      <c r="DD123" s="428"/>
      <c r="DE123" s="428"/>
      <c r="DF123" s="428"/>
      <c r="DG123" s="428"/>
      <c r="DH123" s="428"/>
      <c r="DI123" s="428"/>
    </row>
    <row r="124" spans="1:113" s="388" customFormat="1">
      <c r="A124" s="421" t="s">
        <v>1</v>
      </c>
      <c r="B124" s="421" t="s">
        <v>433</v>
      </c>
      <c r="C124" s="421" t="s">
        <v>150</v>
      </c>
      <c r="D124" s="422" t="s">
        <v>376</v>
      </c>
      <c r="E124" s="422">
        <v>2016</v>
      </c>
      <c r="F124" s="423">
        <v>56.437531</v>
      </c>
      <c r="G124" s="424">
        <v>100000</v>
      </c>
      <c r="H124" s="422">
        <v>20</v>
      </c>
      <c r="I124" s="425">
        <v>1</v>
      </c>
      <c r="J124" s="425">
        <v>1</v>
      </c>
      <c r="K124" s="422">
        <v>0</v>
      </c>
      <c r="L124" s="422">
        <v>0</v>
      </c>
      <c r="M124" s="422">
        <v>0</v>
      </c>
      <c r="N124" s="426">
        <v>4</v>
      </c>
      <c r="O124" s="426">
        <v>0</v>
      </c>
      <c r="P124" s="426">
        <v>241.96154769560559</v>
      </c>
      <c r="Q124" s="426">
        <v>241.96154769560559</v>
      </c>
      <c r="R124" s="426">
        <v>241.96154769560559</v>
      </c>
      <c r="S124" s="426">
        <v>241.96154769560559</v>
      </c>
      <c r="T124" s="426">
        <v>241.96154769560559</v>
      </c>
      <c r="U124" s="426">
        <v>241.96154769560559</v>
      </c>
      <c r="V124" s="426">
        <v>241.96154769560559</v>
      </c>
      <c r="W124" s="426">
        <v>241.96154769560559</v>
      </c>
      <c r="X124" s="426">
        <v>241.96154769560559</v>
      </c>
      <c r="Y124" s="426">
        <v>241.96154769560559</v>
      </c>
      <c r="Z124" s="426">
        <v>241.96154769560559</v>
      </c>
      <c r="AA124" s="426">
        <v>241.96154769560559</v>
      </c>
      <c r="AB124" s="426">
        <v>241.96154769560559</v>
      </c>
      <c r="AC124" s="426">
        <v>241.96154769560559</v>
      </c>
      <c r="AD124" s="426">
        <v>241.96154769560559</v>
      </c>
      <c r="AE124" s="426">
        <v>241.96154769560559</v>
      </c>
      <c r="AF124" s="426">
        <v>241.96154769560559</v>
      </c>
      <c r="AG124" s="426">
        <v>241.96154769560559</v>
      </c>
      <c r="AH124" s="426">
        <v>241.96154769560559</v>
      </c>
      <c r="AI124" s="426">
        <v>241.96154769560559</v>
      </c>
      <c r="AJ124" s="426">
        <v>0</v>
      </c>
      <c r="AK124" s="426">
        <v>0</v>
      </c>
      <c r="AL124" s="426">
        <v>0</v>
      </c>
      <c r="AM124" s="427">
        <v>0</v>
      </c>
      <c r="AN124" s="427">
        <v>0</v>
      </c>
      <c r="AO124" s="427">
        <v>428724.54448017152</v>
      </c>
      <c r="AP124" s="427">
        <v>428724.54448017152</v>
      </c>
      <c r="AQ124" s="427">
        <v>428724.54448017152</v>
      </c>
      <c r="AR124" s="427">
        <v>428724.54448017152</v>
      </c>
      <c r="AS124" s="427">
        <v>428724.54448017152</v>
      </c>
      <c r="AT124" s="427">
        <v>428724.54448017152</v>
      </c>
      <c r="AU124" s="427">
        <v>428724.54448017152</v>
      </c>
      <c r="AV124" s="427">
        <v>428724.54448017152</v>
      </c>
      <c r="AW124" s="427">
        <v>428724.54448017152</v>
      </c>
      <c r="AX124" s="427">
        <v>428724.54448017152</v>
      </c>
      <c r="AY124" s="427">
        <v>428724.54448017152</v>
      </c>
      <c r="AZ124" s="427">
        <v>428724.54448017152</v>
      </c>
      <c r="BA124" s="427">
        <v>428724.54448017152</v>
      </c>
      <c r="BB124" s="427">
        <v>428724.54448017152</v>
      </c>
      <c r="BC124" s="427">
        <v>428724.54448017152</v>
      </c>
      <c r="BD124" s="427">
        <v>428724.54448017152</v>
      </c>
      <c r="BE124" s="427">
        <v>428724.54448017152</v>
      </c>
      <c r="BF124" s="427">
        <v>428724.54448017152</v>
      </c>
      <c r="BG124" s="427">
        <v>428724.54448017152</v>
      </c>
      <c r="BH124" s="427">
        <v>428724.54448017152</v>
      </c>
      <c r="BI124" s="427">
        <v>0</v>
      </c>
      <c r="BJ124" s="427">
        <v>0</v>
      </c>
      <c r="BK124" s="427">
        <v>0</v>
      </c>
      <c r="BL124" s="427">
        <v>0</v>
      </c>
      <c r="BM124" s="427">
        <v>0</v>
      </c>
      <c r="BN124" s="427">
        <v>0</v>
      </c>
      <c r="BO124" s="427">
        <v>0</v>
      </c>
      <c r="BP124" s="427">
        <v>0</v>
      </c>
      <c r="BQ124" s="427">
        <v>0</v>
      </c>
      <c r="BR124" s="427">
        <v>0</v>
      </c>
      <c r="BS124" s="427">
        <v>0</v>
      </c>
      <c r="BT124" s="427">
        <v>0</v>
      </c>
      <c r="BU124" s="427">
        <v>0</v>
      </c>
      <c r="BV124" s="427">
        <v>0</v>
      </c>
      <c r="BW124" s="427">
        <v>0</v>
      </c>
      <c r="BX124" s="427">
        <v>0</v>
      </c>
      <c r="BY124" s="427">
        <v>0</v>
      </c>
      <c r="BZ124" s="427">
        <v>0</v>
      </c>
      <c r="CA124" s="427">
        <v>0</v>
      </c>
      <c r="CB124" s="427">
        <v>0</v>
      </c>
      <c r="CC124" s="427">
        <v>0</v>
      </c>
      <c r="CD124" s="427">
        <v>0</v>
      </c>
      <c r="CE124" s="427">
        <v>0</v>
      </c>
      <c r="CF124" s="427">
        <v>0</v>
      </c>
      <c r="CG124" s="427">
        <v>0</v>
      </c>
      <c r="CH124" s="427">
        <v>0</v>
      </c>
      <c r="CI124" s="427">
        <v>0</v>
      </c>
      <c r="CJ124" s="427">
        <v>0</v>
      </c>
      <c r="CK124" s="428">
        <v>0</v>
      </c>
      <c r="CL124" s="428">
        <v>0</v>
      </c>
      <c r="CM124" s="428">
        <v>0</v>
      </c>
      <c r="CN124" s="428">
        <v>0</v>
      </c>
      <c r="CO124" s="428">
        <v>0</v>
      </c>
      <c r="CP124" s="428">
        <v>0</v>
      </c>
      <c r="CQ124" s="428">
        <v>0</v>
      </c>
      <c r="CR124" s="428">
        <v>0</v>
      </c>
      <c r="CS124" s="428">
        <v>0</v>
      </c>
      <c r="CT124" s="428">
        <v>0</v>
      </c>
      <c r="CU124" s="428">
        <v>0</v>
      </c>
      <c r="CV124" s="428">
        <v>0</v>
      </c>
      <c r="CW124" s="428">
        <v>0</v>
      </c>
      <c r="CX124" s="428"/>
      <c r="CY124" s="428"/>
      <c r="CZ124" s="428"/>
      <c r="DA124" s="428"/>
      <c r="DB124" s="428"/>
      <c r="DC124" s="428"/>
      <c r="DD124" s="428"/>
      <c r="DE124" s="428"/>
      <c r="DF124" s="428"/>
      <c r="DG124" s="428"/>
      <c r="DH124" s="428"/>
      <c r="DI124" s="428"/>
    </row>
    <row r="125" spans="1:113" s="388" customFormat="1">
      <c r="A125" s="421" t="s">
        <v>1</v>
      </c>
      <c r="B125" s="421" t="s">
        <v>433</v>
      </c>
      <c r="C125" s="421" t="s">
        <v>150</v>
      </c>
      <c r="D125" s="422" t="s">
        <v>376</v>
      </c>
      <c r="E125" s="422">
        <v>2017</v>
      </c>
      <c r="F125" s="423">
        <v>56.437531</v>
      </c>
      <c r="G125" s="424">
        <v>100000</v>
      </c>
      <c r="H125" s="422">
        <v>20</v>
      </c>
      <c r="I125" s="425">
        <v>1</v>
      </c>
      <c r="J125" s="425">
        <v>1</v>
      </c>
      <c r="K125" s="422">
        <v>0</v>
      </c>
      <c r="L125" s="422">
        <v>0</v>
      </c>
      <c r="M125" s="422">
        <v>0</v>
      </c>
      <c r="N125" s="426">
        <v>4</v>
      </c>
      <c r="O125" s="426">
        <v>0</v>
      </c>
      <c r="P125" s="426">
        <v>0</v>
      </c>
      <c r="Q125" s="426">
        <v>241.96154769560559</v>
      </c>
      <c r="R125" s="426">
        <v>241.96154769560559</v>
      </c>
      <c r="S125" s="426">
        <v>241.96154769560559</v>
      </c>
      <c r="T125" s="426">
        <v>241.96154769560559</v>
      </c>
      <c r="U125" s="426">
        <v>241.96154769560559</v>
      </c>
      <c r="V125" s="426">
        <v>241.96154769560559</v>
      </c>
      <c r="W125" s="426">
        <v>241.96154769560559</v>
      </c>
      <c r="X125" s="426">
        <v>241.96154769560559</v>
      </c>
      <c r="Y125" s="426">
        <v>241.96154769560559</v>
      </c>
      <c r="Z125" s="426">
        <v>241.96154769560559</v>
      </c>
      <c r="AA125" s="426">
        <v>241.96154769560559</v>
      </c>
      <c r="AB125" s="426">
        <v>241.96154769560559</v>
      </c>
      <c r="AC125" s="426">
        <v>241.96154769560559</v>
      </c>
      <c r="AD125" s="426">
        <v>241.96154769560559</v>
      </c>
      <c r="AE125" s="426">
        <v>241.96154769560559</v>
      </c>
      <c r="AF125" s="426">
        <v>241.96154769560559</v>
      </c>
      <c r="AG125" s="426">
        <v>241.96154769560559</v>
      </c>
      <c r="AH125" s="426">
        <v>241.96154769560559</v>
      </c>
      <c r="AI125" s="426">
        <v>241.96154769560559</v>
      </c>
      <c r="AJ125" s="426">
        <v>241.96154769560559</v>
      </c>
      <c r="AK125" s="426">
        <v>0</v>
      </c>
      <c r="AL125" s="426">
        <v>0</v>
      </c>
      <c r="AM125" s="427">
        <v>0</v>
      </c>
      <c r="AN125" s="427">
        <v>0</v>
      </c>
      <c r="AO125" s="427">
        <v>0</v>
      </c>
      <c r="AP125" s="427">
        <v>428724.54448017152</v>
      </c>
      <c r="AQ125" s="427">
        <v>428724.54448017152</v>
      </c>
      <c r="AR125" s="427">
        <v>428724.54448017152</v>
      </c>
      <c r="AS125" s="427">
        <v>428724.54448017152</v>
      </c>
      <c r="AT125" s="427">
        <v>428724.54448017152</v>
      </c>
      <c r="AU125" s="427">
        <v>428724.54448017152</v>
      </c>
      <c r="AV125" s="427">
        <v>428724.54448017152</v>
      </c>
      <c r="AW125" s="427">
        <v>428724.54448017152</v>
      </c>
      <c r="AX125" s="427">
        <v>428724.54448017152</v>
      </c>
      <c r="AY125" s="427">
        <v>428724.54448017152</v>
      </c>
      <c r="AZ125" s="427">
        <v>428724.54448017152</v>
      </c>
      <c r="BA125" s="427">
        <v>428724.54448017152</v>
      </c>
      <c r="BB125" s="427">
        <v>428724.54448017152</v>
      </c>
      <c r="BC125" s="427">
        <v>428724.54448017152</v>
      </c>
      <c r="BD125" s="427">
        <v>428724.54448017152</v>
      </c>
      <c r="BE125" s="427">
        <v>428724.54448017152</v>
      </c>
      <c r="BF125" s="427">
        <v>428724.54448017152</v>
      </c>
      <c r="BG125" s="427">
        <v>428724.54448017152</v>
      </c>
      <c r="BH125" s="427">
        <v>428724.54448017152</v>
      </c>
      <c r="BI125" s="427">
        <v>428724.54448017152</v>
      </c>
      <c r="BJ125" s="427">
        <v>0</v>
      </c>
      <c r="BK125" s="427">
        <v>0</v>
      </c>
      <c r="BL125" s="427">
        <v>0</v>
      </c>
      <c r="BM125" s="427">
        <v>0</v>
      </c>
      <c r="BN125" s="427">
        <v>0</v>
      </c>
      <c r="BO125" s="427">
        <v>0</v>
      </c>
      <c r="BP125" s="427">
        <v>0</v>
      </c>
      <c r="BQ125" s="427">
        <v>0</v>
      </c>
      <c r="BR125" s="427">
        <v>0</v>
      </c>
      <c r="BS125" s="427">
        <v>0</v>
      </c>
      <c r="BT125" s="427">
        <v>0</v>
      </c>
      <c r="BU125" s="427">
        <v>0</v>
      </c>
      <c r="BV125" s="427">
        <v>0</v>
      </c>
      <c r="BW125" s="427">
        <v>0</v>
      </c>
      <c r="BX125" s="427">
        <v>0</v>
      </c>
      <c r="BY125" s="427">
        <v>0</v>
      </c>
      <c r="BZ125" s="427">
        <v>0</v>
      </c>
      <c r="CA125" s="427">
        <v>0</v>
      </c>
      <c r="CB125" s="427">
        <v>0</v>
      </c>
      <c r="CC125" s="427">
        <v>0</v>
      </c>
      <c r="CD125" s="427">
        <v>0</v>
      </c>
      <c r="CE125" s="427">
        <v>0</v>
      </c>
      <c r="CF125" s="427">
        <v>0</v>
      </c>
      <c r="CG125" s="427">
        <v>0</v>
      </c>
      <c r="CH125" s="427">
        <v>0</v>
      </c>
      <c r="CI125" s="427">
        <v>0</v>
      </c>
      <c r="CJ125" s="427">
        <v>0</v>
      </c>
      <c r="CK125" s="428">
        <v>0</v>
      </c>
      <c r="CL125" s="428">
        <v>0</v>
      </c>
      <c r="CM125" s="428">
        <v>0</v>
      </c>
      <c r="CN125" s="428">
        <v>0</v>
      </c>
      <c r="CO125" s="428">
        <v>0</v>
      </c>
      <c r="CP125" s="428">
        <v>0</v>
      </c>
      <c r="CQ125" s="428">
        <v>0</v>
      </c>
      <c r="CR125" s="428">
        <v>0</v>
      </c>
      <c r="CS125" s="428">
        <v>0</v>
      </c>
      <c r="CT125" s="428">
        <v>0</v>
      </c>
      <c r="CU125" s="428">
        <v>0</v>
      </c>
      <c r="CV125" s="428">
        <v>0</v>
      </c>
      <c r="CW125" s="428">
        <v>0</v>
      </c>
      <c r="CX125" s="428"/>
      <c r="CY125" s="428"/>
      <c r="CZ125" s="428"/>
      <c r="DA125" s="428"/>
      <c r="DB125" s="428"/>
      <c r="DC125" s="428"/>
      <c r="DD125" s="428"/>
      <c r="DE125" s="428"/>
      <c r="DF125" s="428"/>
      <c r="DG125" s="428"/>
      <c r="DH125" s="428"/>
      <c r="DI125" s="428"/>
    </row>
    <row r="126" spans="1:113" s="388" customFormat="1">
      <c r="A126" s="421" t="s">
        <v>1</v>
      </c>
      <c r="B126" s="421" t="s">
        <v>433</v>
      </c>
      <c r="C126" s="421" t="s">
        <v>150</v>
      </c>
      <c r="D126" s="422" t="s">
        <v>376</v>
      </c>
      <c r="E126" s="422">
        <v>2018</v>
      </c>
      <c r="F126" s="423">
        <v>56.437531</v>
      </c>
      <c r="G126" s="424">
        <v>100000</v>
      </c>
      <c r="H126" s="422">
        <v>20</v>
      </c>
      <c r="I126" s="425">
        <v>1</v>
      </c>
      <c r="J126" s="425">
        <v>1</v>
      </c>
      <c r="K126" s="422">
        <v>0</v>
      </c>
      <c r="L126" s="422">
        <v>0</v>
      </c>
      <c r="M126" s="422">
        <v>0</v>
      </c>
      <c r="N126" s="426">
        <v>4</v>
      </c>
      <c r="O126" s="426">
        <v>0</v>
      </c>
      <c r="P126" s="426">
        <v>0</v>
      </c>
      <c r="Q126" s="426">
        <v>0</v>
      </c>
      <c r="R126" s="426">
        <v>241.96154769560559</v>
      </c>
      <c r="S126" s="426">
        <v>241.96154769560559</v>
      </c>
      <c r="T126" s="426">
        <v>241.96154769560559</v>
      </c>
      <c r="U126" s="426">
        <v>241.96154769560559</v>
      </c>
      <c r="V126" s="426">
        <v>241.96154769560559</v>
      </c>
      <c r="W126" s="426">
        <v>241.96154769560559</v>
      </c>
      <c r="X126" s="426">
        <v>241.96154769560559</v>
      </c>
      <c r="Y126" s="426">
        <v>241.96154769560559</v>
      </c>
      <c r="Z126" s="426">
        <v>241.96154769560559</v>
      </c>
      <c r="AA126" s="426">
        <v>241.96154769560559</v>
      </c>
      <c r="AB126" s="426">
        <v>241.96154769560559</v>
      </c>
      <c r="AC126" s="426">
        <v>241.96154769560559</v>
      </c>
      <c r="AD126" s="426">
        <v>241.96154769560559</v>
      </c>
      <c r="AE126" s="426">
        <v>241.96154769560559</v>
      </c>
      <c r="AF126" s="426">
        <v>241.96154769560559</v>
      </c>
      <c r="AG126" s="426">
        <v>241.96154769560559</v>
      </c>
      <c r="AH126" s="426">
        <v>241.96154769560559</v>
      </c>
      <c r="AI126" s="426">
        <v>241.96154769560559</v>
      </c>
      <c r="AJ126" s="426">
        <v>241.96154769560559</v>
      </c>
      <c r="AK126" s="426">
        <v>241.96154769560559</v>
      </c>
      <c r="AL126" s="426">
        <v>0</v>
      </c>
      <c r="AM126" s="427">
        <v>0</v>
      </c>
      <c r="AN126" s="427">
        <v>0</v>
      </c>
      <c r="AO126" s="427">
        <v>0</v>
      </c>
      <c r="AP126" s="427">
        <v>0</v>
      </c>
      <c r="AQ126" s="427">
        <v>428724.54448017152</v>
      </c>
      <c r="AR126" s="427">
        <v>428724.54448017152</v>
      </c>
      <c r="AS126" s="427">
        <v>428724.54448017152</v>
      </c>
      <c r="AT126" s="427">
        <v>428724.54448017152</v>
      </c>
      <c r="AU126" s="427">
        <v>428724.54448017152</v>
      </c>
      <c r="AV126" s="427">
        <v>428724.54448017152</v>
      </c>
      <c r="AW126" s="427">
        <v>428724.54448017152</v>
      </c>
      <c r="AX126" s="427">
        <v>428724.54448017152</v>
      </c>
      <c r="AY126" s="427">
        <v>428724.54448017152</v>
      </c>
      <c r="AZ126" s="427">
        <v>428724.54448017152</v>
      </c>
      <c r="BA126" s="427">
        <v>428724.54448017152</v>
      </c>
      <c r="BB126" s="427">
        <v>428724.54448017152</v>
      </c>
      <c r="BC126" s="427">
        <v>428724.54448017152</v>
      </c>
      <c r="BD126" s="427">
        <v>428724.54448017152</v>
      </c>
      <c r="BE126" s="427">
        <v>428724.54448017152</v>
      </c>
      <c r="BF126" s="427">
        <v>428724.54448017152</v>
      </c>
      <c r="BG126" s="427">
        <v>428724.54448017152</v>
      </c>
      <c r="BH126" s="427">
        <v>428724.54448017152</v>
      </c>
      <c r="BI126" s="427">
        <v>428724.54448017152</v>
      </c>
      <c r="BJ126" s="427">
        <v>428724.54448017152</v>
      </c>
      <c r="BK126" s="427">
        <v>0</v>
      </c>
      <c r="BL126" s="427">
        <v>0</v>
      </c>
      <c r="BM126" s="427">
        <v>0</v>
      </c>
      <c r="BN126" s="427">
        <v>0</v>
      </c>
      <c r="BO126" s="427">
        <v>0</v>
      </c>
      <c r="BP126" s="427">
        <v>0</v>
      </c>
      <c r="BQ126" s="427">
        <v>0</v>
      </c>
      <c r="BR126" s="427">
        <v>0</v>
      </c>
      <c r="BS126" s="427">
        <v>0</v>
      </c>
      <c r="BT126" s="427">
        <v>0</v>
      </c>
      <c r="BU126" s="427">
        <v>0</v>
      </c>
      <c r="BV126" s="427">
        <v>0</v>
      </c>
      <c r="BW126" s="427">
        <v>0</v>
      </c>
      <c r="BX126" s="427">
        <v>0</v>
      </c>
      <c r="BY126" s="427">
        <v>0</v>
      </c>
      <c r="BZ126" s="427">
        <v>0</v>
      </c>
      <c r="CA126" s="427">
        <v>0</v>
      </c>
      <c r="CB126" s="427">
        <v>0</v>
      </c>
      <c r="CC126" s="427">
        <v>0</v>
      </c>
      <c r="CD126" s="427">
        <v>0</v>
      </c>
      <c r="CE126" s="427">
        <v>0</v>
      </c>
      <c r="CF126" s="427">
        <v>0</v>
      </c>
      <c r="CG126" s="427">
        <v>0</v>
      </c>
      <c r="CH126" s="427">
        <v>0</v>
      </c>
      <c r="CI126" s="427">
        <v>0</v>
      </c>
      <c r="CJ126" s="427">
        <v>0</v>
      </c>
      <c r="CK126" s="428">
        <v>0</v>
      </c>
      <c r="CL126" s="428">
        <v>0</v>
      </c>
      <c r="CM126" s="428">
        <v>0</v>
      </c>
      <c r="CN126" s="428">
        <v>0</v>
      </c>
      <c r="CO126" s="428">
        <v>0</v>
      </c>
      <c r="CP126" s="428">
        <v>0</v>
      </c>
      <c r="CQ126" s="428">
        <v>0</v>
      </c>
      <c r="CR126" s="428">
        <v>0</v>
      </c>
      <c r="CS126" s="428">
        <v>0</v>
      </c>
      <c r="CT126" s="428">
        <v>0</v>
      </c>
      <c r="CU126" s="428">
        <v>0</v>
      </c>
      <c r="CV126" s="428">
        <v>0</v>
      </c>
      <c r="CW126" s="428">
        <v>0</v>
      </c>
      <c r="CX126" s="428"/>
      <c r="CY126" s="428"/>
      <c r="CZ126" s="428"/>
      <c r="DA126" s="428"/>
      <c r="DB126" s="428"/>
      <c r="DC126" s="428"/>
      <c r="DD126" s="428"/>
      <c r="DE126" s="428"/>
      <c r="DF126" s="428"/>
      <c r="DG126" s="428"/>
      <c r="DH126" s="428"/>
      <c r="DI126" s="428"/>
    </row>
    <row r="127" spans="1:113" s="388" customFormat="1">
      <c r="A127" s="421" t="s">
        <v>1</v>
      </c>
      <c r="B127" s="421" t="s">
        <v>433</v>
      </c>
      <c r="C127" s="421" t="s">
        <v>150</v>
      </c>
      <c r="D127" s="422" t="s">
        <v>376</v>
      </c>
      <c r="E127" s="422">
        <v>2019</v>
      </c>
      <c r="F127" s="423">
        <v>56.437531</v>
      </c>
      <c r="G127" s="424">
        <v>100000</v>
      </c>
      <c r="H127" s="422">
        <v>20</v>
      </c>
      <c r="I127" s="425">
        <v>1</v>
      </c>
      <c r="J127" s="425">
        <v>1</v>
      </c>
      <c r="K127" s="422">
        <v>0</v>
      </c>
      <c r="L127" s="422">
        <v>0</v>
      </c>
      <c r="M127" s="422">
        <v>0</v>
      </c>
      <c r="N127" s="426">
        <v>3</v>
      </c>
      <c r="O127" s="426">
        <v>0</v>
      </c>
      <c r="P127" s="426">
        <v>0</v>
      </c>
      <c r="Q127" s="426">
        <v>0</v>
      </c>
      <c r="R127" s="426">
        <v>0</v>
      </c>
      <c r="S127" s="426">
        <v>181.47116077170418</v>
      </c>
      <c r="T127" s="426">
        <v>181.47116077170418</v>
      </c>
      <c r="U127" s="426">
        <v>181.47116077170418</v>
      </c>
      <c r="V127" s="426">
        <v>181.47116077170418</v>
      </c>
      <c r="W127" s="426">
        <v>181.47116077170418</v>
      </c>
      <c r="X127" s="426">
        <v>181.47116077170418</v>
      </c>
      <c r="Y127" s="426">
        <v>181.47116077170418</v>
      </c>
      <c r="Z127" s="426">
        <v>181.47116077170418</v>
      </c>
      <c r="AA127" s="426">
        <v>181.47116077170418</v>
      </c>
      <c r="AB127" s="426">
        <v>181.47116077170418</v>
      </c>
      <c r="AC127" s="426">
        <v>181.47116077170418</v>
      </c>
      <c r="AD127" s="426">
        <v>181.47116077170418</v>
      </c>
      <c r="AE127" s="426">
        <v>181.47116077170418</v>
      </c>
      <c r="AF127" s="426">
        <v>181.47116077170418</v>
      </c>
      <c r="AG127" s="426">
        <v>181.47116077170418</v>
      </c>
      <c r="AH127" s="426">
        <v>181.47116077170418</v>
      </c>
      <c r="AI127" s="426">
        <v>181.47116077170418</v>
      </c>
      <c r="AJ127" s="426">
        <v>181.47116077170418</v>
      </c>
      <c r="AK127" s="426">
        <v>181.47116077170418</v>
      </c>
      <c r="AL127" s="426">
        <v>181.47116077170418</v>
      </c>
      <c r="AM127" s="427">
        <v>0</v>
      </c>
      <c r="AN127" s="427">
        <v>0</v>
      </c>
      <c r="AO127" s="427">
        <v>0</v>
      </c>
      <c r="AP127" s="427">
        <v>0</v>
      </c>
      <c r="AQ127" s="427">
        <v>0</v>
      </c>
      <c r="AR127" s="427">
        <v>321543.40836012864</v>
      </c>
      <c r="AS127" s="427">
        <v>321543.40836012864</v>
      </c>
      <c r="AT127" s="427">
        <v>321543.40836012864</v>
      </c>
      <c r="AU127" s="427">
        <v>321543.40836012864</v>
      </c>
      <c r="AV127" s="427">
        <v>321543.40836012864</v>
      </c>
      <c r="AW127" s="427">
        <v>321543.40836012864</v>
      </c>
      <c r="AX127" s="427">
        <v>321543.40836012864</v>
      </c>
      <c r="AY127" s="427">
        <v>321543.40836012864</v>
      </c>
      <c r="AZ127" s="427">
        <v>321543.40836012864</v>
      </c>
      <c r="BA127" s="427">
        <v>321543.40836012864</v>
      </c>
      <c r="BB127" s="427">
        <v>321543.40836012864</v>
      </c>
      <c r="BC127" s="427">
        <v>321543.40836012864</v>
      </c>
      <c r="BD127" s="427">
        <v>321543.40836012864</v>
      </c>
      <c r="BE127" s="427">
        <v>321543.40836012864</v>
      </c>
      <c r="BF127" s="427">
        <v>321543.40836012864</v>
      </c>
      <c r="BG127" s="427">
        <v>321543.40836012864</v>
      </c>
      <c r="BH127" s="427">
        <v>321543.40836012864</v>
      </c>
      <c r="BI127" s="427">
        <v>321543.40836012864</v>
      </c>
      <c r="BJ127" s="427">
        <v>321543.40836012864</v>
      </c>
      <c r="BK127" s="427">
        <v>321543.40836012864</v>
      </c>
      <c r="BL127" s="427">
        <v>0</v>
      </c>
      <c r="BM127" s="427">
        <v>0</v>
      </c>
      <c r="BN127" s="427">
        <v>0</v>
      </c>
      <c r="BO127" s="427">
        <v>0</v>
      </c>
      <c r="BP127" s="427">
        <v>0</v>
      </c>
      <c r="BQ127" s="427">
        <v>0</v>
      </c>
      <c r="BR127" s="427">
        <v>0</v>
      </c>
      <c r="BS127" s="427">
        <v>0</v>
      </c>
      <c r="BT127" s="427">
        <v>0</v>
      </c>
      <c r="BU127" s="427">
        <v>0</v>
      </c>
      <c r="BV127" s="427">
        <v>0</v>
      </c>
      <c r="BW127" s="427">
        <v>0</v>
      </c>
      <c r="BX127" s="427">
        <v>0</v>
      </c>
      <c r="BY127" s="427">
        <v>0</v>
      </c>
      <c r="BZ127" s="427">
        <v>0</v>
      </c>
      <c r="CA127" s="427">
        <v>0</v>
      </c>
      <c r="CB127" s="427">
        <v>0</v>
      </c>
      <c r="CC127" s="427">
        <v>0</v>
      </c>
      <c r="CD127" s="427">
        <v>0</v>
      </c>
      <c r="CE127" s="427">
        <v>0</v>
      </c>
      <c r="CF127" s="427">
        <v>0</v>
      </c>
      <c r="CG127" s="427">
        <v>0</v>
      </c>
      <c r="CH127" s="427">
        <v>0</v>
      </c>
      <c r="CI127" s="427">
        <v>0</v>
      </c>
      <c r="CJ127" s="427">
        <v>0</v>
      </c>
      <c r="CK127" s="428">
        <v>0</v>
      </c>
      <c r="CL127" s="428">
        <v>0</v>
      </c>
      <c r="CM127" s="428">
        <v>0</v>
      </c>
      <c r="CN127" s="428">
        <v>0</v>
      </c>
      <c r="CO127" s="428">
        <v>0</v>
      </c>
      <c r="CP127" s="428">
        <v>0</v>
      </c>
      <c r="CQ127" s="428">
        <v>0</v>
      </c>
      <c r="CR127" s="428">
        <v>0</v>
      </c>
      <c r="CS127" s="428">
        <v>0</v>
      </c>
      <c r="CT127" s="428">
        <v>0</v>
      </c>
      <c r="CU127" s="428">
        <v>0</v>
      </c>
      <c r="CV127" s="428">
        <v>0</v>
      </c>
      <c r="CW127" s="428">
        <v>0</v>
      </c>
      <c r="CX127" s="428"/>
      <c r="CY127" s="428"/>
      <c r="CZ127" s="428"/>
      <c r="DA127" s="428"/>
      <c r="DB127" s="428"/>
      <c r="DC127" s="428"/>
      <c r="DD127" s="428"/>
      <c r="DE127" s="428"/>
      <c r="DF127" s="428"/>
      <c r="DG127" s="428"/>
      <c r="DH127" s="428"/>
      <c r="DI127" s="428"/>
    </row>
    <row r="128" spans="1:113" s="388" customFormat="1">
      <c r="A128" s="421" t="s">
        <v>1</v>
      </c>
      <c r="B128" s="421" t="s">
        <v>433</v>
      </c>
      <c r="C128" s="421" t="s">
        <v>150</v>
      </c>
      <c r="D128" s="422" t="s">
        <v>376</v>
      </c>
      <c r="E128" s="422">
        <v>2020</v>
      </c>
      <c r="F128" s="423">
        <v>56.437531</v>
      </c>
      <c r="G128" s="424">
        <v>100000</v>
      </c>
      <c r="H128" s="422">
        <v>20</v>
      </c>
      <c r="I128" s="425">
        <v>1</v>
      </c>
      <c r="J128" s="425">
        <v>1</v>
      </c>
      <c r="K128" s="422">
        <v>0</v>
      </c>
      <c r="L128" s="422">
        <v>0</v>
      </c>
      <c r="M128" s="422">
        <v>0</v>
      </c>
      <c r="N128" s="426">
        <v>3</v>
      </c>
      <c r="O128" s="426">
        <v>0</v>
      </c>
      <c r="P128" s="426">
        <v>0</v>
      </c>
      <c r="Q128" s="426">
        <v>0</v>
      </c>
      <c r="R128" s="426">
        <v>0</v>
      </c>
      <c r="S128" s="426">
        <v>0</v>
      </c>
      <c r="T128" s="426">
        <v>181.47116077170418</v>
      </c>
      <c r="U128" s="426">
        <v>181.47116077170418</v>
      </c>
      <c r="V128" s="426">
        <v>181.47116077170418</v>
      </c>
      <c r="W128" s="426">
        <v>181.47116077170418</v>
      </c>
      <c r="X128" s="426">
        <v>181.47116077170418</v>
      </c>
      <c r="Y128" s="426">
        <v>181.47116077170418</v>
      </c>
      <c r="Z128" s="426">
        <v>181.47116077170418</v>
      </c>
      <c r="AA128" s="426">
        <v>181.47116077170418</v>
      </c>
      <c r="AB128" s="426">
        <v>181.47116077170418</v>
      </c>
      <c r="AC128" s="426">
        <v>181.47116077170418</v>
      </c>
      <c r="AD128" s="426">
        <v>181.47116077170418</v>
      </c>
      <c r="AE128" s="426">
        <v>181.47116077170418</v>
      </c>
      <c r="AF128" s="426">
        <v>181.47116077170418</v>
      </c>
      <c r="AG128" s="426">
        <v>181.47116077170418</v>
      </c>
      <c r="AH128" s="426">
        <v>181.47116077170418</v>
      </c>
      <c r="AI128" s="426">
        <v>181.47116077170418</v>
      </c>
      <c r="AJ128" s="426">
        <v>181.47116077170418</v>
      </c>
      <c r="AK128" s="426">
        <v>181.47116077170418</v>
      </c>
      <c r="AL128" s="426">
        <v>181.47116077170418</v>
      </c>
      <c r="AM128" s="427">
        <v>181.47116077170418</v>
      </c>
      <c r="AN128" s="427">
        <v>0</v>
      </c>
      <c r="AO128" s="427">
        <v>0</v>
      </c>
      <c r="AP128" s="427">
        <v>0</v>
      </c>
      <c r="AQ128" s="427">
        <v>0</v>
      </c>
      <c r="AR128" s="427">
        <v>0</v>
      </c>
      <c r="AS128" s="427">
        <v>321543.40836012864</v>
      </c>
      <c r="AT128" s="427">
        <v>321543.40836012864</v>
      </c>
      <c r="AU128" s="427">
        <v>321543.40836012864</v>
      </c>
      <c r="AV128" s="427">
        <v>321543.40836012864</v>
      </c>
      <c r="AW128" s="427">
        <v>321543.40836012864</v>
      </c>
      <c r="AX128" s="427">
        <v>321543.40836012864</v>
      </c>
      <c r="AY128" s="427">
        <v>321543.40836012864</v>
      </c>
      <c r="AZ128" s="427">
        <v>321543.40836012864</v>
      </c>
      <c r="BA128" s="427">
        <v>321543.40836012864</v>
      </c>
      <c r="BB128" s="427">
        <v>321543.40836012864</v>
      </c>
      <c r="BC128" s="427">
        <v>321543.40836012864</v>
      </c>
      <c r="BD128" s="427">
        <v>321543.40836012864</v>
      </c>
      <c r="BE128" s="427">
        <v>321543.40836012864</v>
      </c>
      <c r="BF128" s="427">
        <v>321543.40836012864</v>
      </c>
      <c r="BG128" s="427">
        <v>321543.40836012864</v>
      </c>
      <c r="BH128" s="427">
        <v>321543.40836012864</v>
      </c>
      <c r="BI128" s="427">
        <v>321543.40836012864</v>
      </c>
      <c r="BJ128" s="427">
        <v>321543.40836012864</v>
      </c>
      <c r="BK128" s="427">
        <v>321543.40836012864</v>
      </c>
      <c r="BL128" s="427">
        <v>321543.40836012864</v>
      </c>
      <c r="BM128" s="427">
        <v>0</v>
      </c>
      <c r="BN128" s="427">
        <v>0</v>
      </c>
      <c r="BO128" s="427">
        <v>0</v>
      </c>
      <c r="BP128" s="427">
        <v>0</v>
      </c>
      <c r="BQ128" s="427">
        <v>0</v>
      </c>
      <c r="BR128" s="427">
        <v>0</v>
      </c>
      <c r="BS128" s="427">
        <v>0</v>
      </c>
      <c r="BT128" s="427">
        <v>0</v>
      </c>
      <c r="BU128" s="427">
        <v>0</v>
      </c>
      <c r="BV128" s="427">
        <v>0</v>
      </c>
      <c r="BW128" s="427">
        <v>0</v>
      </c>
      <c r="BX128" s="427">
        <v>0</v>
      </c>
      <c r="BY128" s="427">
        <v>0</v>
      </c>
      <c r="BZ128" s="427">
        <v>0</v>
      </c>
      <c r="CA128" s="427">
        <v>0</v>
      </c>
      <c r="CB128" s="427">
        <v>0</v>
      </c>
      <c r="CC128" s="427">
        <v>0</v>
      </c>
      <c r="CD128" s="427">
        <v>0</v>
      </c>
      <c r="CE128" s="427">
        <v>0</v>
      </c>
      <c r="CF128" s="427">
        <v>0</v>
      </c>
      <c r="CG128" s="427">
        <v>0</v>
      </c>
      <c r="CH128" s="427">
        <v>0</v>
      </c>
      <c r="CI128" s="427">
        <v>0</v>
      </c>
      <c r="CJ128" s="427">
        <v>0</v>
      </c>
      <c r="CK128" s="428">
        <v>0</v>
      </c>
      <c r="CL128" s="428">
        <v>0</v>
      </c>
      <c r="CM128" s="428">
        <v>0</v>
      </c>
      <c r="CN128" s="428">
        <v>0</v>
      </c>
      <c r="CO128" s="428">
        <v>0</v>
      </c>
      <c r="CP128" s="428">
        <v>0</v>
      </c>
      <c r="CQ128" s="428">
        <v>0</v>
      </c>
      <c r="CR128" s="428">
        <v>0</v>
      </c>
      <c r="CS128" s="428">
        <v>0</v>
      </c>
      <c r="CT128" s="428">
        <v>0</v>
      </c>
      <c r="CU128" s="428">
        <v>0</v>
      </c>
      <c r="CV128" s="428">
        <v>0</v>
      </c>
      <c r="CW128" s="428">
        <v>0</v>
      </c>
      <c r="CX128" s="428"/>
      <c r="CY128" s="428"/>
      <c r="CZ128" s="428"/>
      <c r="DA128" s="428"/>
      <c r="DB128" s="428"/>
      <c r="DC128" s="428"/>
      <c r="DD128" s="428"/>
      <c r="DE128" s="428"/>
      <c r="DF128" s="428"/>
      <c r="DG128" s="428"/>
      <c r="DH128" s="428"/>
      <c r="DI128" s="428"/>
    </row>
    <row r="129" spans="1:113" s="388" customFormat="1">
      <c r="A129" s="421" t="s">
        <v>1</v>
      </c>
      <c r="B129" s="421" t="s">
        <v>433</v>
      </c>
      <c r="C129" s="421" t="s">
        <v>443</v>
      </c>
      <c r="D129" s="422" t="s">
        <v>376</v>
      </c>
      <c r="E129" s="422">
        <v>2016</v>
      </c>
      <c r="F129" s="423">
        <v>856.15437199999997</v>
      </c>
      <c r="G129" s="424">
        <v>7520460</v>
      </c>
      <c r="H129" s="422">
        <v>20</v>
      </c>
      <c r="I129" s="425">
        <v>1</v>
      </c>
      <c r="J129" s="425">
        <v>1</v>
      </c>
      <c r="K129" s="422">
        <v>0</v>
      </c>
      <c r="L129" s="422">
        <v>0</v>
      </c>
      <c r="M129" s="422">
        <v>0</v>
      </c>
      <c r="N129" s="426">
        <v>1</v>
      </c>
      <c r="O129" s="426">
        <v>0</v>
      </c>
      <c r="P129" s="426">
        <v>917.63598285101818</v>
      </c>
      <c r="Q129" s="426">
        <v>917.63598285101818</v>
      </c>
      <c r="R129" s="426">
        <v>917.63598285101818</v>
      </c>
      <c r="S129" s="426">
        <v>917.63598285101818</v>
      </c>
      <c r="T129" s="426">
        <v>917.63598285101818</v>
      </c>
      <c r="U129" s="426">
        <v>917.63598285101818</v>
      </c>
      <c r="V129" s="426">
        <v>917.63598285101818</v>
      </c>
      <c r="W129" s="426">
        <v>917.63598285101818</v>
      </c>
      <c r="X129" s="426">
        <v>917.63598285101818</v>
      </c>
      <c r="Y129" s="426">
        <v>917.63598285101818</v>
      </c>
      <c r="Z129" s="426">
        <v>917.63598285101818</v>
      </c>
      <c r="AA129" s="426">
        <v>917.63598285101818</v>
      </c>
      <c r="AB129" s="426">
        <v>917.63598285101818</v>
      </c>
      <c r="AC129" s="426">
        <v>917.63598285101818</v>
      </c>
      <c r="AD129" s="426">
        <v>917.63598285101818</v>
      </c>
      <c r="AE129" s="426">
        <v>917.63598285101818</v>
      </c>
      <c r="AF129" s="426">
        <v>917.63598285101818</v>
      </c>
      <c r="AG129" s="426">
        <v>917.63598285101818</v>
      </c>
      <c r="AH129" s="426">
        <v>917.63598285101818</v>
      </c>
      <c r="AI129" s="426">
        <v>917.63598285101818</v>
      </c>
      <c r="AJ129" s="426">
        <v>0</v>
      </c>
      <c r="AK129" s="426">
        <v>0</v>
      </c>
      <c r="AL129" s="426">
        <v>0</v>
      </c>
      <c r="AM129" s="427">
        <v>0</v>
      </c>
      <c r="AN129" s="427">
        <v>0</v>
      </c>
      <c r="AO129" s="427">
        <v>8060514.4694533767</v>
      </c>
      <c r="AP129" s="427">
        <v>8060514.4694533767</v>
      </c>
      <c r="AQ129" s="427">
        <v>8060514.4694533767</v>
      </c>
      <c r="AR129" s="427">
        <v>8060514.4694533767</v>
      </c>
      <c r="AS129" s="427">
        <v>8060514.4694533767</v>
      </c>
      <c r="AT129" s="427">
        <v>8060514.4694533767</v>
      </c>
      <c r="AU129" s="427">
        <v>8060514.4694533767</v>
      </c>
      <c r="AV129" s="427">
        <v>8060514.4694533767</v>
      </c>
      <c r="AW129" s="427">
        <v>8060514.4694533767</v>
      </c>
      <c r="AX129" s="427">
        <v>8060514.4694533767</v>
      </c>
      <c r="AY129" s="427">
        <v>8060514.4694533767</v>
      </c>
      <c r="AZ129" s="427">
        <v>8060514.4694533767</v>
      </c>
      <c r="BA129" s="427">
        <v>8060514.4694533767</v>
      </c>
      <c r="BB129" s="427">
        <v>8060514.4694533767</v>
      </c>
      <c r="BC129" s="427">
        <v>8060514.4694533767</v>
      </c>
      <c r="BD129" s="427">
        <v>8060514.4694533767</v>
      </c>
      <c r="BE129" s="427">
        <v>8060514.4694533767</v>
      </c>
      <c r="BF129" s="427">
        <v>8060514.4694533767</v>
      </c>
      <c r="BG129" s="427">
        <v>8060514.4694533767</v>
      </c>
      <c r="BH129" s="427">
        <v>8060514.4694533767</v>
      </c>
      <c r="BI129" s="427">
        <v>0</v>
      </c>
      <c r="BJ129" s="427">
        <v>0</v>
      </c>
      <c r="BK129" s="427">
        <v>0</v>
      </c>
      <c r="BL129" s="427">
        <v>0</v>
      </c>
      <c r="BM129" s="427">
        <v>0</v>
      </c>
      <c r="BN129" s="427">
        <v>0</v>
      </c>
      <c r="BO129" s="427">
        <v>0</v>
      </c>
      <c r="BP129" s="427">
        <v>0</v>
      </c>
      <c r="BQ129" s="427">
        <v>0</v>
      </c>
      <c r="BR129" s="427">
        <v>0</v>
      </c>
      <c r="BS129" s="427">
        <v>0</v>
      </c>
      <c r="BT129" s="427">
        <v>0</v>
      </c>
      <c r="BU129" s="427">
        <v>0</v>
      </c>
      <c r="BV129" s="427">
        <v>0</v>
      </c>
      <c r="BW129" s="427">
        <v>0</v>
      </c>
      <c r="BX129" s="427">
        <v>0</v>
      </c>
      <c r="BY129" s="427">
        <v>0</v>
      </c>
      <c r="BZ129" s="427">
        <v>0</v>
      </c>
      <c r="CA129" s="427">
        <v>0</v>
      </c>
      <c r="CB129" s="427">
        <v>0</v>
      </c>
      <c r="CC129" s="427">
        <v>0</v>
      </c>
      <c r="CD129" s="427">
        <v>0</v>
      </c>
      <c r="CE129" s="427">
        <v>0</v>
      </c>
      <c r="CF129" s="427">
        <v>0</v>
      </c>
      <c r="CG129" s="427">
        <v>0</v>
      </c>
      <c r="CH129" s="427">
        <v>0</v>
      </c>
      <c r="CI129" s="427">
        <v>0</v>
      </c>
      <c r="CJ129" s="427">
        <v>0</v>
      </c>
      <c r="CK129" s="428">
        <v>0</v>
      </c>
      <c r="CL129" s="428">
        <v>0</v>
      </c>
      <c r="CM129" s="428">
        <v>0</v>
      </c>
      <c r="CN129" s="428">
        <v>0</v>
      </c>
      <c r="CO129" s="428">
        <v>0</v>
      </c>
      <c r="CP129" s="428">
        <v>0</v>
      </c>
      <c r="CQ129" s="428">
        <v>0</v>
      </c>
      <c r="CR129" s="428">
        <v>0</v>
      </c>
      <c r="CS129" s="428">
        <v>0</v>
      </c>
      <c r="CT129" s="428">
        <v>0</v>
      </c>
      <c r="CU129" s="428">
        <v>0</v>
      </c>
      <c r="CV129" s="428">
        <v>0</v>
      </c>
      <c r="CW129" s="428">
        <v>0</v>
      </c>
      <c r="CX129" s="428"/>
      <c r="CY129" s="428"/>
      <c r="CZ129" s="428"/>
      <c r="DA129" s="428"/>
      <c r="DB129" s="428"/>
      <c r="DC129" s="428"/>
      <c r="DD129" s="428"/>
      <c r="DE129" s="428"/>
      <c r="DF129" s="428"/>
      <c r="DG129" s="428"/>
      <c r="DH129" s="428"/>
      <c r="DI129" s="428"/>
    </row>
    <row r="130" spans="1:113" s="388" customFormat="1">
      <c r="A130" s="421" t="s">
        <v>445</v>
      </c>
      <c r="B130" s="421" t="s">
        <v>433</v>
      </c>
      <c r="C130" s="421" t="s">
        <v>150</v>
      </c>
      <c r="D130" s="422" t="s">
        <v>376</v>
      </c>
      <c r="E130" s="422">
        <v>2015</v>
      </c>
      <c r="F130" s="423">
        <v>11.384335</v>
      </c>
      <c r="G130" s="424">
        <v>100000</v>
      </c>
      <c r="H130" s="422">
        <v>10</v>
      </c>
      <c r="I130" s="425">
        <v>1</v>
      </c>
      <c r="J130" s="425">
        <v>1</v>
      </c>
      <c r="K130" s="422">
        <v>0</v>
      </c>
      <c r="L130" s="422">
        <v>0</v>
      </c>
      <c r="M130" s="422">
        <v>0</v>
      </c>
      <c r="N130" s="426">
        <v>1</v>
      </c>
      <c r="O130" s="426">
        <v>12.201859592711683</v>
      </c>
      <c r="P130" s="426">
        <v>12.201859592711683</v>
      </c>
      <c r="Q130" s="426">
        <v>12.201859592711683</v>
      </c>
      <c r="R130" s="426">
        <v>12.201859592711683</v>
      </c>
      <c r="S130" s="426">
        <v>12.201859592711683</v>
      </c>
      <c r="T130" s="426">
        <v>12.201859592711683</v>
      </c>
      <c r="U130" s="426">
        <v>12.201859592711683</v>
      </c>
      <c r="V130" s="426">
        <v>12.201859592711683</v>
      </c>
      <c r="W130" s="426">
        <v>12.201859592711683</v>
      </c>
      <c r="X130" s="426">
        <v>12.201859592711683</v>
      </c>
      <c r="Y130" s="426">
        <v>0</v>
      </c>
      <c r="Z130" s="426">
        <v>0</v>
      </c>
      <c r="AA130" s="426">
        <v>0</v>
      </c>
      <c r="AB130" s="426">
        <v>0</v>
      </c>
      <c r="AC130" s="426">
        <v>0</v>
      </c>
      <c r="AD130" s="426">
        <v>0</v>
      </c>
      <c r="AE130" s="426">
        <v>0</v>
      </c>
      <c r="AF130" s="426">
        <v>0</v>
      </c>
      <c r="AG130" s="426">
        <v>0</v>
      </c>
      <c r="AH130" s="426">
        <v>0</v>
      </c>
      <c r="AI130" s="426">
        <v>0</v>
      </c>
      <c r="AJ130" s="426">
        <v>0</v>
      </c>
      <c r="AK130" s="426">
        <v>0</v>
      </c>
      <c r="AL130" s="426">
        <v>0</v>
      </c>
      <c r="AM130" s="427">
        <v>0</v>
      </c>
      <c r="AN130" s="427">
        <v>107181.13612004288</v>
      </c>
      <c r="AO130" s="427">
        <v>107181.13612004288</v>
      </c>
      <c r="AP130" s="427">
        <v>107181.13612004288</v>
      </c>
      <c r="AQ130" s="427">
        <v>107181.13612004288</v>
      </c>
      <c r="AR130" s="427">
        <v>107181.13612004288</v>
      </c>
      <c r="AS130" s="427">
        <v>107181.13612004288</v>
      </c>
      <c r="AT130" s="427">
        <v>107181.13612004288</v>
      </c>
      <c r="AU130" s="427">
        <v>107181.13612004288</v>
      </c>
      <c r="AV130" s="427">
        <v>107181.13612004288</v>
      </c>
      <c r="AW130" s="427">
        <v>107181.13612004288</v>
      </c>
      <c r="AX130" s="427">
        <v>0</v>
      </c>
      <c r="AY130" s="427">
        <v>0</v>
      </c>
      <c r="AZ130" s="427">
        <v>0</v>
      </c>
      <c r="BA130" s="427">
        <v>0</v>
      </c>
      <c r="BB130" s="427">
        <v>0</v>
      </c>
      <c r="BC130" s="427">
        <v>0</v>
      </c>
      <c r="BD130" s="427">
        <v>0</v>
      </c>
      <c r="BE130" s="427">
        <v>0</v>
      </c>
      <c r="BF130" s="427">
        <v>0</v>
      </c>
      <c r="BG130" s="427">
        <v>0</v>
      </c>
      <c r="BH130" s="427">
        <v>0</v>
      </c>
      <c r="BI130" s="427">
        <v>0</v>
      </c>
      <c r="BJ130" s="427">
        <v>0</v>
      </c>
      <c r="BK130" s="427">
        <v>0</v>
      </c>
      <c r="BL130" s="427">
        <v>0</v>
      </c>
      <c r="BM130" s="427">
        <v>0</v>
      </c>
      <c r="BN130" s="427">
        <v>0</v>
      </c>
      <c r="BO130" s="427">
        <v>0</v>
      </c>
      <c r="BP130" s="427">
        <v>0</v>
      </c>
      <c r="BQ130" s="427">
        <v>0</v>
      </c>
      <c r="BR130" s="427">
        <v>0</v>
      </c>
      <c r="BS130" s="427">
        <v>0</v>
      </c>
      <c r="BT130" s="427">
        <v>0</v>
      </c>
      <c r="BU130" s="427">
        <v>0</v>
      </c>
      <c r="BV130" s="427">
        <v>0</v>
      </c>
      <c r="BW130" s="427">
        <v>0</v>
      </c>
      <c r="BX130" s="427">
        <v>0</v>
      </c>
      <c r="BY130" s="427">
        <v>0</v>
      </c>
      <c r="BZ130" s="427">
        <v>0</v>
      </c>
      <c r="CA130" s="427">
        <v>0</v>
      </c>
      <c r="CB130" s="427">
        <v>0</v>
      </c>
      <c r="CC130" s="427">
        <v>0</v>
      </c>
      <c r="CD130" s="427">
        <v>0</v>
      </c>
      <c r="CE130" s="427">
        <v>0</v>
      </c>
      <c r="CF130" s="427">
        <v>0</v>
      </c>
      <c r="CG130" s="427">
        <v>0</v>
      </c>
      <c r="CH130" s="427">
        <v>0</v>
      </c>
      <c r="CI130" s="427">
        <v>0</v>
      </c>
      <c r="CJ130" s="427">
        <v>0</v>
      </c>
      <c r="CK130" s="428">
        <v>0</v>
      </c>
      <c r="CL130" s="428">
        <v>0</v>
      </c>
      <c r="CM130" s="428">
        <v>0</v>
      </c>
      <c r="CN130" s="428">
        <v>0</v>
      </c>
      <c r="CO130" s="428">
        <v>0</v>
      </c>
      <c r="CP130" s="428">
        <v>0</v>
      </c>
      <c r="CQ130" s="428">
        <v>0</v>
      </c>
      <c r="CR130" s="428">
        <v>0</v>
      </c>
      <c r="CS130" s="428">
        <v>0</v>
      </c>
      <c r="CT130" s="428">
        <v>0</v>
      </c>
      <c r="CU130" s="428">
        <v>0</v>
      </c>
      <c r="CV130" s="428">
        <v>0</v>
      </c>
      <c r="CW130" s="428">
        <v>0</v>
      </c>
      <c r="CX130" s="428"/>
      <c r="CY130" s="428"/>
      <c r="CZ130" s="428"/>
      <c r="DA130" s="428"/>
      <c r="DB130" s="428"/>
      <c r="DC130" s="428"/>
      <c r="DD130" s="428"/>
      <c r="DE130" s="428"/>
      <c r="DF130" s="428"/>
      <c r="DG130" s="428"/>
      <c r="DH130" s="428"/>
      <c r="DI130" s="428"/>
    </row>
  </sheetData>
  <mergeCells count="3">
    <mergeCell ref="AN1:BL1"/>
    <mergeCell ref="BM1:CK1"/>
    <mergeCell ref="CL1:DJ1"/>
  </mergeCells>
  <pageMargins left="0.7" right="0.7" top="0.75" bottom="0.75" header="0.3" footer="0.3"/>
  <pageSetup scale="1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30"/>
  <sheetViews>
    <sheetView topLeftCell="A46" workbookViewId="0">
      <selection activeCell="AU23" sqref="AU23"/>
    </sheetView>
  </sheetViews>
  <sheetFormatPr defaultRowHeight="14.5"/>
  <cols>
    <col min="1" max="1" width="7.26953125" bestFit="1" customWidth="1"/>
    <col min="2" max="2" width="17.90625" bestFit="1" customWidth="1"/>
    <col min="3" max="3" width="36.81640625" bestFit="1" customWidth="1"/>
    <col min="4" max="4" width="24.453125" bestFit="1" customWidth="1"/>
    <col min="5" max="5" width="27.7265625" bestFit="1" customWidth="1"/>
    <col min="6" max="6" width="40.54296875" bestFit="1" customWidth="1"/>
    <col min="7" max="7" width="26.26953125" bestFit="1" customWidth="1"/>
    <col min="8" max="8" width="44.08984375" bestFit="1" customWidth="1"/>
    <col min="9" max="9" width="8.6328125" bestFit="1" customWidth="1"/>
    <col min="10" max="10" width="7.6328125" bestFit="1" customWidth="1"/>
    <col min="11" max="11" width="12.1796875" bestFit="1" customWidth="1"/>
    <col min="12" max="12" width="8.6328125" bestFit="1" customWidth="1"/>
    <col min="13" max="13" width="8" bestFit="1" customWidth="1"/>
    <col min="14" max="14" width="8.54296875" bestFit="1" customWidth="1"/>
    <col min="15" max="15" width="8.6328125" bestFit="1" customWidth="1"/>
    <col min="16" max="17" width="8.36328125" bestFit="1" customWidth="1"/>
    <col min="18" max="18" width="10.81640625" bestFit="1" customWidth="1"/>
    <col min="19" max="19" width="9.81640625" bestFit="1" customWidth="1"/>
    <col min="20" max="21" width="13.6328125" bestFit="1" customWidth="1"/>
    <col min="22" max="22" width="7.1796875" bestFit="1" customWidth="1"/>
    <col min="23" max="25" width="13.6328125" bestFit="1" customWidth="1"/>
    <col min="26" max="26" width="7.1796875" bestFit="1" customWidth="1"/>
    <col min="27" max="28" width="13.6328125" bestFit="1" customWidth="1"/>
    <col min="29" max="29" width="12.08984375" bestFit="1" customWidth="1"/>
    <col min="30" max="30" width="7.1796875" bestFit="1" customWidth="1"/>
    <col min="31" max="31" width="13.6328125" bestFit="1" customWidth="1"/>
    <col min="32" max="32" width="12.08984375" bestFit="1" customWidth="1"/>
    <col min="33" max="33" width="13.6328125" bestFit="1" customWidth="1"/>
    <col min="34" max="34" width="7.1796875" bestFit="1" customWidth="1"/>
    <col min="35" max="36" width="13.6328125" bestFit="1" customWidth="1"/>
    <col min="37" max="37" width="12.08984375" bestFit="1" customWidth="1"/>
    <col min="38" max="38" width="7.36328125" bestFit="1" customWidth="1"/>
    <col min="39" max="39" width="13.6328125" bestFit="1" customWidth="1"/>
    <col min="40" max="40" width="8.90625" bestFit="1" customWidth="1"/>
    <col min="41" max="41" width="12.453125" bestFit="1" customWidth="1"/>
    <col min="42" max="42" width="12.08984375" bestFit="1" customWidth="1"/>
    <col min="43" max="43" width="8.6328125" bestFit="1" customWidth="1"/>
    <col min="44" max="44" width="7.81640625" bestFit="1" customWidth="1"/>
  </cols>
  <sheetData>
    <row r="1" spans="1:44" s="388" customFormat="1" ht="20" customHeight="1">
      <c r="I1" s="389"/>
      <c r="J1" s="389"/>
      <c r="K1" s="389"/>
      <c r="L1" s="389"/>
      <c r="M1" s="387"/>
      <c r="N1" s="387"/>
      <c r="O1" s="387"/>
      <c r="P1" s="385"/>
      <c r="Q1" s="385"/>
      <c r="R1" s="386"/>
      <c r="S1" s="386"/>
      <c r="T1" s="968" t="s">
        <v>320</v>
      </c>
      <c r="U1" s="968"/>
      <c r="V1" s="968"/>
      <c r="W1" s="968"/>
      <c r="X1" s="968" t="s">
        <v>321</v>
      </c>
      <c r="Y1" s="968"/>
      <c r="Z1" s="968"/>
      <c r="AA1" s="968"/>
      <c r="AB1" s="968" t="s">
        <v>322</v>
      </c>
      <c r="AC1" s="968"/>
      <c r="AD1" s="968"/>
      <c r="AE1" s="968"/>
      <c r="AF1" s="968" t="s">
        <v>323</v>
      </c>
      <c r="AG1" s="968"/>
      <c r="AH1" s="968"/>
      <c r="AI1" s="968"/>
      <c r="AJ1" s="969" t="s">
        <v>324</v>
      </c>
      <c r="AK1" s="970"/>
      <c r="AL1" s="970"/>
      <c r="AM1" s="971"/>
      <c r="AN1" s="968" t="s">
        <v>325</v>
      </c>
      <c r="AO1" s="968"/>
      <c r="AP1" s="968"/>
      <c r="AQ1" s="968"/>
      <c r="AR1" s="968"/>
    </row>
    <row r="2" spans="1:44" s="388" customFormat="1" ht="104">
      <c r="A2" s="390" t="s">
        <v>326</v>
      </c>
      <c r="B2" s="390" t="s">
        <v>327</v>
      </c>
      <c r="C2" s="390" t="s">
        <v>328</v>
      </c>
      <c r="D2" s="390" t="s">
        <v>329</v>
      </c>
      <c r="E2" s="390" t="s">
        <v>330</v>
      </c>
      <c r="F2" s="390" t="s">
        <v>331</v>
      </c>
      <c r="G2" s="390" t="s">
        <v>332</v>
      </c>
      <c r="H2" s="391" t="s">
        <v>333</v>
      </c>
      <c r="I2" s="392" t="s">
        <v>334</v>
      </c>
      <c r="J2" s="393" t="s">
        <v>335</v>
      </c>
      <c r="K2" s="394" t="s">
        <v>336</v>
      </c>
      <c r="L2" s="394" t="s">
        <v>337</v>
      </c>
      <c r="M2" s="390" t="s">
        <v>338</v>
      </c>
      <c r="N2" s="395" t="s">
        <v>339</v>
      </c>
      <c r="O2" s="396" t="s">
        <v>340</v>
      </c>
      <c r="P2" s="397" t="s">
        <v>341</v>
      </c>
      <c r="Q2" s="397" t="s">
        <v>342</v>
      </c>
      <c r="R2" s="398" t="s">
        <v>343</v>
      </c>
      <c r="S2" s="398" t="s">
        <v>344</v>
      </c>
      <c r="T2" s="399" t="s">
        <v>345</v>
      </c>
      <c r="U2" s="400" t="s">
        <v>346</v>
      </c>
      <c r="V2" s="401" t="s">
        <v>347</v>
      </c>
      <c r="W2" s="400" t="s">
        <v>348</v>
      </c>
      <c r="X2" s="399" t="s">
        <v>349</v>
      </c>
      <c r="Y2" s="400" t="s">
        <v>350</v>
      </c>
      <c r="Z2" s="401" t="s">
        <v>351</v>
      </c>
      <c r="AA2" s="400" t="s">
        <v>352</v>
      </c>
      <c r="AB2" s="399" t="s">
        <v>353</v>
      </c>
      <c r="AC2" s="400" t="s">
        <v>354</v>
      </c>
      <c r="AD2" s="401" t="s">
        <v>355</v>
      </c>
      <c r="AE2" s="400" t="s">
        <v>356</v>
      </c>
      <c r="AF2" s="399" t="s">
        <v>357</v>
      </c>
      <c r="AG2" s="400" t="s">
        <v>358</v>
      </c>
      <c r="AH2" s="401" t="s">
        <v>359</v>
      </c>
      <c r="AI2" s="400" t="s">
        <v>360</v>
      </c>
      <c r="AJ2" s="399" t="s">
        <v>361</v>
      </c>
      <c r="AK2" s="400" t="s">
        <v>362</v>
      </c>
      <c r="AL2" s="401" t="s">
        <v>363</v>
      </c>
      <c r="AM2" s="400" t="s">
        <v>364</v>
      </c>
      <c r="AN2" s="390" t="s">
        <v>365</v>
      </c>
      <c r="AO2" s="390" t="s">
        <v>366</v>
      </c>
      <c r="AP2" s="390" t="s">
        <v>367</v>
      </c>
      <c r="AQ2" s="390" t="s">
        <v>368</v>
      </c>
      <c r="AR2" s="390" t="s">
        <v>369</v>
      </c>
    </row>
    <row r="3" spans="1:44" s="388" customFormat="1">
      <c r="A3" s="402" t="s">
        <v>231</v>
      </c>
      <c r="B3" s="402" t="s">
        <v>370</v>
      </c>
      <c r="C3" s="402" t="s">
        <v>12</v>
      </c>
      <c r="D3" s="402" t="s">
        <v>371</v>
      </c>
      <c r="E3" s="402" t="s">
        <v>372</v>
      </c>
      <c r="F3" s="402" t="s">
        <v>373</v>
      </c>
      <c r="G3" s="402" t="s">
        <v>374</v>
      </c>
      <c r="H3" s="402" t="s">
        <v>375</v>
      </c>
      <c r="I3" s="403">
        <v>2015</v>
      </c>
      <c r="J3" s="404">
        <v>52</v>
      </c>
      <c r="K3" s="405">
        <v>0</v>
      </c>
      <c r="L3" s="405">
        <v>0</v>
      </c>
      <c r="M3" s="406" t="s">
        <v>251</v>
      </c>
      <c r="N3" s="406" t="s">
        <v>251</v>
      </c>
      <c r="O3" s="406" t="s">
        <v>376</v>
      </c>
      <c r="P3" s="407">
        <v>0.77700000000000002</v>
      </c>
      <c r="Q3" s="407">
        <v>0.76700000000000002</v>
      </c>
      <c r="R3" s="408">
        <v>0</v>
      </c>
      <c r="S3" s="408">
        <v>0</v>
      </c>
      <c r="T3" s="409">
        <v>1669291.5003120485</v>
      </c>
      <c r="U3" s="409">
        <v>201457.17227999997</v>
      </c>
      <c r="V3" s="410">
        <v>8.2860862257708288</v>
      </c>
      <c r="W3" s="409">
        <v>1467834.3280320484</v>
      </c>
      <c r="X3" s="409">
        <v>1669291.5003120485</v>
      </c>
      <c r="Y3" s="409">
        <v>201457.17227999997</v>
      </c>
      <c r="Z3" s="410">
        <v>8.2860862257708288</v>
      </c>
      <c r="AA3" s="409">
        <v>1467834.3280320484</v>
      </c>
      <c r="AB3" s="409">
        <v>1372542.6104699362</v>
      </c>
      <c r="AC3" s="409">
        <v>0</v>
      </c>
      <c r="AD3" s="410" t="e">
        <v>#DIV/0!</v>
      </c>
      <c r="AE3" s="409">
        <v>1372542.6104699362</v>
      </c>
      <c r="AF3" s="409">
        <v>3418.4329069715986</v>
      </c>
      <c r="AG3" s="409">
        <v>259275.63999999993</v>
      </c>
      <c r="AH3" s="410">
        <v>1.3184551032143242E-2</v>
      </c>
      <c r="AI3" s="409">
        <v>-255857.20709302832</v>
      </c>
      <c r="AJ3" s="409">
        <v>1451557.8263583032</v>
      </c>
      <c r="AK3" s="409">
        <v>2656.1223687169322</v>
      </c>
      <c r="AL3" s="410">
        <v>546.4950875209463</v>
      </c>
      <c r="AM3" s="409">
        <v>1448901.7039895863</v>
      </c>
      <c r="AN3" s="411">
        <v>4901.1304640526332</v>
      </c>
      <c r="AO3" s="411">
        <v>24533064.550079435</v>
      </c>
      <c r="AP3" s="409">
        <v>0</v>
      </c>
      <c r="AQ3" s="409">
        <v>0</v>
      </c>
      <c r="AR3" s="409">
        <v>0</v>
      </c>
    </row>
    <row r="4" spans="1:44" s="388" customFormat="1">
      <c r="A4" s="402" t="s">
        <v>231</v>
      </c>
      <c r="B4" s="402" t="s">
        <v>370</v>
      </c>
      <c r="C4" s="402" t="s">
        <v>12</v>
      </c>
      <c r="D4" s="402" t="s">
        <v>371</v>
      </c>
      <c r="E4" s="402" t="s">
        <v>372</v>
      </c>
      <c r="F4" s="402" t="s">
        <v>373</v>
      </c>
      <c r="G4" s="402" t="s">
        <v>374</v>
      </c>
      <c r="H4" s="402" t="s">
        <v>375</v>
      </c>
      <c r="I4" s="403">
        <v>2016</v>
      </c>
      <c r="J4" s="404">
        <v>24</v>
      </c>
      <c r="K4" s="405">
        <v>5270.5</v>
      </c>
      <c r="L4" s="405">
        <v>0</v>
      </c>
      <c r="M4" s="406" t="s">
        <v>251</v>
      </c>
      <c r="N4" s="406" t="s">
        <v>251</v>
      </c>
      <c r="O4" s="406" t="s">
        <v>376</v>
      </c>
      <c r="P4" s="407">
        <v>0.77700000000000002</v>
      </c>
      <c r="Q4" s="407">
        <v>0.76700000000000002</v>
      </c>
      <c r="R4" s="408">
        <v>126492</v>
      </c>
      <c r="S4" s="408">
        <v>0</v>
      </c>
      <c r="T4" s="409">
        <v>805974.6592665955</v>
      </c>
      <c r="U4" s="409">
        <v>91157.091529411759</v>
      </c>
      <c r="V4" s="410">
        <v>8.8416013032463692</v>
      </c>
      <c r="W4" s="409">
        <v>714817.56773718377</v>
      </c>
      <c r="X4" s="409">
        <v>805974.6592665955</v>
      </c>
      <c r="Y4" s="409">
        <v>91157.091529411759</v>
      </c>
      <c r="Z4" s="410">
        <v>8.8416013032463692</v>
      </c>
      <c r="AA4" s="409">
        <v>714817.56773718377</v>
      </c>
      <c r="AB4" s="409">
        <v>664378.96861779317</v>
      </c>
      <c r="AC4" s="409">
        <v>124011.76470588235</v>
      </c>
      <c r="AD4" s="410">
        <v>5.3573866172576059</v>
      </c>
      <c r="AE4" s="409">
        <v>540367.20391191076</v>
      </c>
      <c r="AF4" s="409">
        <v>125587.6666329373</v>
      </c>
      <c r="AG4" s="409">
        <v>117319.29411764705</v>
      </c>
      <c r="AH4" s="410">
        <v>1.0704775167416092</v>
      </c>
      <c r="AI4" s="409">
        <v>8268.372515290248</v>
      </c>
      <c r="AJ4" s="409">
        <v>700847.52979703946</v>
      </c>
      <c r="AK4" s="409">
        <v>125236.24050320403</v>
      </c>
      <c r="AL4" s="410">
        <v>5.5962038382899966</v>
      </c>
      <c r="AM4" s="409">
        <v>575611.28929383541</v>
      </c>
      <c r="AN4" s="411">
        <v>2217.7060923315089</v>
      </c>
      <c r="AO4" s="411">
        <v>11100934.185556307</v>
      </c>
      <c r="AP4" s="409">
        <v>124011.76470588235</v>
      </c>
      <c r="AQ4" s="409">
        <v>55.91893584758423</v>
      </c>
      <c r="AR4" s="409">
        <v>1.1171290869126766E-2</v>
      </c>
    </row>
    <row r="5" spans="1:44" s="388" customFormat="1">
      <c r="A5" s="402" t="s">
        <v>231</v>
      </c>
      <c r="B5" s="402" t="s">
        <v>370</v>
      </c>
      <c r="C5" s="402" t="s">
        <v>12</v>
      </c>
      <c r="D5" s="402" t="s">
        <v>371</v>
      </c>
      <c r="E5" s="402" t="s">
        <v>372</v>
      </c>
      <c r="F5" s="402" t="s">
        <v>373</v>
      </c>
      <c r="G5" s="402" t="s">
        <v>374</v>
      </c>
      <c r="H5" s="402" t="s">
        <v>375</v>
      </c>
      <c r="I5" s="403">
        <v>2017</v>
      </c>
      <c r="J5" s="404">
        <v>24</v>
      </c>
      <c r="K5" s="405">
        <v>5270.5</v>
      </c>
      <c r="L5" s="405">
        <v>0</v>
      </c>
      <c r="M5" s="406" t="s">
        <v>251</v>
      </c>
      <c r="N5" s="406" t="s">
        <v>251</v>
      </c>
      <c r="O5" s="406" t="s">
        <v>376</v>
      </c>
      <c r="P5" s="407">
        <v>0.77700000000000002</v>
      </c>
      <c r="Q5" s="407">
        <v>0.76700000000000002</v>
      </c>
      <c r="R5" s="408">
        <v>126492</v>
      </c>
      <c r="S5" s="408">
        <v>0</v>
      </c>
      <c r="T5" s="409">
        <v>852130.65193629917</v>
      </c>
      <c r="U5" s="409">
        <v>89369.697577854677</v>
      </c>
      <c r="V5" s="410">
        <v>9.5348946570392386</v>
      </c>
      <c r="W5" s="409">
        <v>762760.95435844455</v>
      </c>
      <c r="X5" s="409">
        <v>852130.65193629917</v>
      </c>
      <c r="Y5" s="409">
        <v>89369.697577854677</v>
      </c>
      <c r="Z5" s="410">
        <v>9.5348946570392386</v>
      </c>
      <c r="AA5" s="409">
        <v>762760.95435844455</v>
      </c>
      <c r="AB5" s="409">
        <v>704514.61441753572</v>
      </c>
      <c r="AC5" s="409">
        <v>121580.16147635525</v>
      </c>
      <c r="AD5" s="410">
        <v>5.7946510833887057</v>
      </c>
      <c r="AE5" s="409">
        <v>582934.45294118044</v>
      </c>
      <c r="AF5" s="409">
        <v>123154.64415976609</v>
      </c>
      <c r="AG5" s="409">
        <v>115018.91580161476</v>
      </c>
      <c r="AH5" s="410">
        <v>1.0707338293136399</v>
      </c>
      <c r="AI5" s="409">
        <v>8135.7283581513329</v>
      </c>
      <c r="AJ5" s="409">
        <v>740983.17559678201</v>
      </c>
      <c r="AK5" s="409">
        <v>122803.53452136548</v>
      </c>
      <c r="AL5" s="410">
        <v>6.0338912758888466</v>
      </c>
      <c r="AM5" s="409">
        <v>618179.64107541647</v>
      </c>
      <c r="AN5" s="411">
        <v>2174.2216591485371</v>
      </c>
      <c r="AO5" s="411">
        <v>10883268.809368927</v>
      </c>
      <c r="AP5" s="409">
        <v>121580.16147635525</v>
      </c>
      <c r="AQ5" s="409">
        <v>55.918935847584258</v>
      </c>
      <c r="AR5" s="409">
        <v>1.1171290869126767E-2</v>
      </c>
    </row>
    <row r="6" spans="1:44" s="388" customFormat="1">
      <c r="A6" s="402" t="s">
        <v>231</v>
      </c>
      <c r="B6" s="402" t="s">
        <v>370</v>
      </c>
      <c r="C6" s="402" t="s">
        <v>12</v>
      </c>
      <c r="D6" s="402" t="s">
        <v>371</v>
      </c>
      <c r="E6" s="402" t="s">
        <v>372</v>
      </c>
      <c r="F6" s="402" t="s">
        <v>373</v>
      </c>
      <c r="G6" s="402" t="s">
        <v>374</v>
      </c>
      <c r="H6" s="402" t="s">
        <v>375</v>
      </c>
      <c r="I6" s="403">
        <v>2018</v>
      </c>
      <c r="J6" s="404">
        <v>26</v>
      </c>
      <c r="K6" s="405">
        <v>5270.5</v>
      </c>
      <c r="L6" s="405">
        <v>0</v>
      </c>
      <c r="M6" s="406" t="s">
        <v>251</v>
      </c>
      <c r="N6" s="406" t="s">
        <v>251</v>
      </c>
      <c r="O6" s="406" t="s">
        <v>376</v>
      </c>
      <c r="P6" s="407">
        <v>0.77700000000000002</v>
      </c>
      <c r="Q6" s="407">
        <v>0.76700000000000002</v>
      </c>
      <c r="R6" s="408">
        <v>137033</v>
      </c>
      <c r="S6" s="408">
        <v>0</v>
      </c>
      <c r="T6" s="409">
        <v>930654.61289255705</v>
      </c>
      <c r="U6" s="409">
        <v>94918.796447067871</v>
      </c>
      <c r="V6" s="410">
        <v>9.8047451898691431</v>
      </c>
      <c r="W6" s="409">
        <v>835735.81644548918</v>
      </c>
      <c r="X6" s="409">
        <v>930654.61289255705</v>
      </c>
      <c r="Y6" s="409">
        <v>94918.796447067871</v>
      </c>
      <c r="Z6" s="410">
        <v>9.8047451898691431</v>
      </c>
      <c r="AA6" s="409">
        <v>835735.81644548918</v>
      </c>
      <c r="AB6" s="409">
        <v>769757.27283195313</v>
      </c>
      <c r="AC6" s="409">
        <v>129129.25646998515</v>
      </c>
      <c r="AD6" s="410">
        <v>5.9611376528825266</v>
      </c>
      <c r="AE6" s="409">
        <v>640628.01636196801</v>
      </c>
      <c r="AF6" s="409">
        <v>130832.30657939801</v>
      </c>
      <c r="AG6" s="409">
        <v>122160.61318798954</v>
      </c>
      <c r="AH6" s="410">
        <v>1.0709860008484391</v>
      </c>
      <c r="AI6" s="409">
        <v>8671.6933914084657</v>
      </c>
      <c r="AJ6" s="409">
        <v>809264.88077613665</v>
      </c>
      <c r="AK6" s="409">
        <v>130452.52640499893</v>
      </c>
      <c r="AL6" s="410">
        <v>6.2035201852949751</v>
      </c>
      <c r="AM6" s="409">
        <v>678812.35437113768</v>
      </c>
      <c r="AN6" s="411">
        <v>2309.222350402858</v>
      </c>
      <c r="AO6" s="411">
        <v>11559027.330212098</v>
      </c>
      <c r="AP6" s="409">
        <v>129129.25646998515</v>
      </c>
      <c r="AQ6" s="409">
        <v>55.918935847584258</v>
      </c>
      <c r="AR6" s="409">
        <v>1.1171290869126766E-2</v>
      </c>
    </row>
    <row r="7" spans="1:44" s="388" customFormat="1">
      <c r="A7" s="402" t="s">
        <v>231</v>
      </c>
      <c r="B7" s="402" t="s">
        <v>370</v>
      </c>
      <c r="C7" s="402" t="s">
        <v>12</v>
      </c>
      <c r="D7" s="402" t="s">
        <v>371</v>
      </c>
      <c r="E7" s="402" t="s">
        <v>372</v>
      </c>
      <c r="F7" s="402" t="s">
        <v>373</v>
      </c>
      <c r="G7" s="402" t="s">
        <v>374</v>
      </c>
      <c r="H7" s="402" t="s">
        <v>375</v>
      </c>
      <c r="I7" s="403">
        <v>2019</v>
      </c>
      <c r="J7" s="404">
        <v>28</v>
      </c>
      <c r="K7" s="405">
        <v>5270.5</v>
      </c>
      <c r="L7" s="405">
        <v>0</v>
      </c>
      <c r="M7" s="406" t="s">
        <v>251</v>
      </c>
      <c r="N7" s="406" t="s">
        <v>251</v>
      </c>
      <c r="O7" s="406" t="s">
        <v>376</v>
      </c>
      <c r="P7" s="407">
        <v>0.77700000000000002</v>
      </c>
      <c r="Q7" s="407">
        <v>0.76700000000000002</v>
      </c>
      <c r="R7" s="408">
        <v>147574</v>
      </c>
      <c r="S7" s="408">
        <v>0</v>
      </c>
      <c r="T7" s="409">
        <v>1015081.5672665663</v>
      </c>
      <c r="U7" s="409">
        <v>100215.92385059956</v>
      </c>
      <c r="V7" s="410">
        <v>10.12894486488829</v>
      </c>
      <c r="W7" s="409">
        <v>914865.64341596677</v>
      </c>
      <c r="X7" s="409">
        <v>1015081.5672665663</v>
      </c>
      <c r="Y7" s="409">
        <v>100215.92385059956</v>
      </c>
      <c r="Z7" s="410">
        <v>10.12894486488829</v>
      </c>
      <c r="AA7" s="409">
        <v>914865.64341596677</v>
      </c>
      <c r="AB7" s="409">
        <v>840132.96900093707</v>
      </c>
      <c r="AC7" s="409">
        <v>136335.56490043682</v>
      </c>
      <c r="AD7" s="410">
        <v>6.1622436494429733</v>
      </c>
      <c r="AE7" s="409">
        <v>703797.40410050028</v>
      </c>
      <c r="AF7" s="409">
        <v>138165.60013613745</v>
      </c>
      <c r="AG7" s="409">
        <v>128978.02297374459</v>
      </c>
      <c r="AH7" s="410">
        <v>1.0712336640813849</v>
      </c>
      <c r="AI7" s="409">
        <v>9187.5771623928595</v>
      </c>
      <c r="AJ7" s="409">
        <v>882679.6237100577</v>
      </c>
      <c r="AK7" s="409">
        <v>137757.5022785762</v>
      </c>
      <c r="AL7" s="410">
        <v>6.4074885876275829</v>
      </c>
      <c r="AM7" s="409">
        <v>744922.12143148156</v>
      </c>
      <c r="AN7" s="411">
        <v>2438.0929793092018</v>
      </c>
      <c r="AO7" s="411">
        <v>12204101.253617598</v>
      </c>
      <c r="AP7" s="409">
        <v>136335.56490043682</v>
      </c>
      <c r="AQ7" s="409">
        <v>55.918935847584251</v>
      </c>
      <c r="AR7" s="409">
        <v>1.1171290869126769E-2</v>
      </c>
    </row>
    <row r="8" spans="1:44" s="388" customFormat="1">
      <c r="A8" s="402" t="s">
        <v>231</v>
      </c>
      <c r="B8" s="402" t="s">
        <v>370</v>
      </c>
      <c r="C8" s="402" t="s">
        <v>12</v>
      </c>
      <c r="D8" s="402" t="s">
        <v>371</v>
      </c>
      <c r="E8" s="402" t="s">
        <v>372</v>
      </c>
      <c r="F8" s="402" t="s">
        <v>373</v>
      </c>
      <c r="G8" s="402" t="s">
        <v>374</v>
      </c>
      <c r="H8" s="402" t="s">
        <v>375</v>
      </c>
      <c r="I8" s="403">
        <v>2020</v>
      </c>
      <c r="J8" s="404">
        <v>30</v>
      </c>
      <c r="K8" s="405">
        <v>5270.5</v>
      </c>
      <c r="L8" s="405">
        <v>0</v>
      </c>
      <c r="M8" s="406" t="s">
        <v>251</v>
      </c>
      <c r="N8" s="406" t="s">
        <v>251</v>
      </c>
      <c r="O8" s="406" t="s">
        <v>376</v>
      </c>
      <c r="P8" s="407">
        <v>0.77700000000000002</v>
      </c>
      <c r="Q8" s="407">
        <v>0.76700000000000002</v>
      </c>
      <c r="R8" s="408">
        <v>158115</v>
      </c>
      <c r="S8" s="408">
        <v>0</v>
      </c>
      <c r="T8" s="409">
        <v>1093131.0407723039</v>
      </c>
      <c r="U8" s="409">
        <v>105268.82757415918</v>
      </c>
      <c r="V8" s="410">
        <v>10.384185574805811</v>
      </c>
      <c r="W8" s="409">
        <v>987862.2131981448</v>
      </c>
      <c r="X8" s="409">
        <v>1093131.0407723039</v>
      </c>
      <c r="Y8" s="409">
        <v>105268.82757415918</v>
      </c>
      <c r="Z8" s="410">
        <v>10.384185574805811</v>
      </c>
      <c r="AA8" s="409">
        <v>987862.2131981448</v>
      </c>
      <c r="AB8" s="409">
        <v>904963.0296322935</v>
      </c>
      <c r="AC8" s="409">
        <v>143209.62699625714</v>
      </c>
      <c r="AD8" s="410">
        <v>6.319149407853323</v>
      </c>
      <c r="AE8" s="409">
        <v>761753.40263603639</v>
      </c>
      <c r="AF8" s="409">
        <v>145162.23737026547</v>
      </c>
      <c r="AG8" s="409">
        <v>135481.11656905944</v>
      </c>
      <c r="AH8" s="410">
        <v>1.0714573443618707</v>
      </c>
      <c r="AI8" s="409">
        <v>9681.1208012060379</v>
      </c>
      <c r="AJ8" s="409">
        <v>950548.73110635136</v>
      </c>
      <c r="AK8" s="409">
        <v>144726.80525686161</v>
      </c>
      <c r="AL8" s="410">
        <v>6.5678830498559986</v>
      </c>
      <c r="AM8" s="409">
        <v>805821.92584948975</v>
      </c>
      <c r="AN8" s="411">
        <v>2561.0220370894976</v>
      </c>
      <c r="AO8" s="411">
        <v>12819434.089934453</v>
      </c>
      <c r="AP8" s="409">
        <v>143209.62699625714</v>
      </c>
      <c r="AQ8" s="409">
        <v>55.918935847584244</v>
      </c>
      <c r="AR8" s="409">
        <v>1.1171290869126766E-2</v>
      </c>
    </row>
    <row r="9" spans="1:44" s="388" customFormat="1">
      <c r="A9" s="402" t="s">
        <v>231</v>
      </c>
      <c r="B9" s="402" t="s">
        <v>370</v>
      </c>
      <c r="C9" s="402" t="s">
        <v>12</v>
      </c>
      <c r="D9" s="402" t="s">
        <v>377</v>
      </c>
      <c r="E9" s="402" t="s">
        <v>378</v>
      </c>
      <c r="F9" s="402" t="s">
        <v>379</v>
      </c>
      <c r="G9" s="402" t="s">
        <v>374</v>
      </c>
      <c r="H9" s="402" t="s">
        <v>380</v>
      </c>
      <c r="I9" s="403">
        <v>2015</v>
      </c>
      <c r="J9" s="404">
        <v>0</v>
      </c>
      <c r="K9" s="405">
        <v>3923.6</v>
      </c>
      <c r="L9" s="405">
        <v>0</v>
      </c>
      <c r="M9" s="406" t="s">
        <v>251</v>
      </c>
      <c r="N9" s="406" t="s">
        <v>251</v>
      </c>
      <c r="O9" s="406" t="s">
        <v>376</v>
      </c>
      <c r="P9" s="407">
        <v>0.68200000000000005</v>
      </c>
      <c r="Q9" s="407">
        <v>0.69199999999999995</v>
      </c>
      <c r="R9" s="408">
        <v>0</v>
      </c>
      <c r="S9" s="408">
        <v>0</v>
      </c>
      <c r="T9" s="409">
        <v>0</v>
      </c>
      <c r="U9" s="409">
        <v>0</v>
      </c>
      <c r="V9" s="410" t="e">
        <v>#DIV/0!</v>
      </c>
      <c r="W9" s="409">
        <v>0</v>
      </c>
      <c r="X9" s="409">
        <v>0</v>
      </c>
      <c r="Y9" s="409">
        <v>0</v>
      </c>
      <c r="Z9" s="410" t="e">
        <v>#DIV/0!</v>
      </c>
      <c r="AA9" s="409">
        <v>0</v>
      </c>
      <c r="AB9" s="409">
        <v>0</v>
      </c>
      <c r="AC9" s="409">
        <v>0</v>
      </c>
      <c r="AD9" s="410" t="e">
        <v>#DIV/0!</v>
      </c>
      <c r="AE9" s="409">
        <v>0</v>
      </c>
      <c r="AF9" s="409">
        <v>0</v>
      </c>
      <c r="AG9" s="409">
        <v>0</v>
      </c>
      <c r="AH9" s="410" t="e">
        <v>#DIV/0!</v>
      </c>
      <c r="AI9" s="409">
        <v>0</v>
      </c>
      <c r="AJ9" s="409">
        <v>0</v>
      </c>
      <c r="AK9" s="409">
        <v>0</v>
      </c>
      <c r="AL9" s="410" t="e">
        <v>#DIV/0!</v>
      </c>
      <c r="AM9" s="409">
        <v>0</v>
      </c>
      <c r="AN9" s="411">
        <v>0</v>
      </c>
      <c r="AO9" s="411">
        <v>0</v>
      </c>
      <c r="AP9" s="409">
        <v>0</v>
      </c>
      <c r="AQ9" s="409" t="e">
        <v>#DIV/0!</v>
      </c>
      <c r="AR9" s="409" t="e">
        <v>#DIV/0!</v>
      </c>
    </row>
    <row r="10" spans="1:44" s="388" customFormat="1">
      <c r="A10" s="402" t="s">
        <v>231</v>
      </c>
      <c r="B10" s="402" t="s">
        <v>370</v>
      </c>
      <c r="C10" s="402" t="s">
        <v>12</v>
      </c>
      <c r="D10" s="402" t="s">
        <v>377</v>
      </c>
      <c r="E10" s="402" t="s">
        <v>378</v>
      </c>
      <c r="F10" s="402" t="s">
        <v>379</v>
      </c>
      <c r="G10" s="402" t="s">
        <v>374</v>
      </c>
      <c r="H10" s="402" t="s">
        <v>380</v>
      </c>
      <c r="I10" s="403">
        <v>2016</v>
      </c>
      <c r="J10" s="404">
        <v>10</v>
      </c>
      <c r="K10" s="405">
        <v>3923.6</v>
      </c>
      <c r="L10" s="405">
        <v>0</v>
      </c>
      <c r="M10" s="406" t="s">
        <v>251</v>
      </c>
      <c r="N10" s="406" t="s">
        <v>251</v>
      </c>
      <c r="O10" s="406" t="s">
        <v>376</v>
      </c>
      <c r="P10" s="407">
        <v>0.68200000000000005</v>
      </c>
      <c r="Q10" s="407">
        <v>0.69199999999999995</v>
      </c>
      <c r="R10" s="408">
        <v>39236</v>
      </c>
      <c r="S10" s="408">
        <v>0</v>
      </c>
      <c r="T10" s="409">
        <v>121634.25119151938</v>
      </c>
      <c r="U10" s="409">
        <v>512268.3866666666</v>
      </c>
      <c r="V10" s="410">
        <v>0.23744243126731704</v>
      </c>
      <c r="W10" s="409">
        <v>-390634.13547514722</v>
      </c>
      <c r="X10" s="409">
        <v>121634.25119151938</v>
      </c>
      <c r="Y10" s="409">
        <v>512268.3866666666</v>
      </c>
      <c r="Z10" s="410">
        <v>0.23744243126731704</v>
      </c>
      <c r="AA10" s="409">
        <v>-390634.13547514722</v>
      </c>
      <c r="AB10" s="409">
        <v>105768.91407958209</v>
      </c>
      <c r="AC10" s="409">
        <v>38466.666666666664</v>
      </c>
      <c r="AD10" s="410">
        <v>2.7496251493825499</v>
      </c>
      <c r="AE10" s="409">
        <v>67302.247412915429</v>
      </c>
      <c r="AF10" s="409">
        <v>38650.359518079735</v>
      </c>
      <c r="AG10" s="409">
        <v>751126.66666666651</v>
      </c>
      <c r="AH10" s="410">
        <v>5.1456513572606138E-2</v>
      </c>
      <c r="AI10" s="409">
        <v>-712476.30714858673</v>
      </c>
      <c r="AJ10" s="409">
        <v>105768.91407958209</v>
      </c>
      <c r="AK10" s="409">
        <v>38591.945191330378</v>
      </c>
      <c r="AL10" s="410">
        <v>2.7406992198813267</v>
      </c>
      <c r="AM10" s="409">
        <v>67176.968888251708</v>
      </c>
      <c r="AN10" s="411">
        <v>523.14408431876245</v>
      </c>
      <c r="AO10" s="411">
        <v>1248082.014844954</v>
      </c>
      <c r="AP10" s="409">
        <v>38466.666666666664</v>
      </c>
      <c r="AQ10" s="409">
        <v>73.529774721161019</v>
      </c>
      <c r="AR10" s="409">
        <v>3.0820624132978376E-2</v>
      </c>
    </row>
    <row r="11" spans="1:44" s="388" customFormat="1">
      <c r="A11" s="402" t="s">
        <v>231</v>
      </c>
      <c r="B11" s="402" t="s">
        <v>370</v>
      </c>
      <c r="C11" s="402" t="s">
        <v>12</v>
      </c>
      <c r="D11" s="402" t="s">
        <v>377</v>
      </c>
      <c r="E11" s="402" t="s">
        <v>378</v>
      </c>
      <c r="F11" s="402" t="s">
        <v>379</v>
      </c>
      <c r="G11" s="402" t="s">
        <v>374</v>
      </c>
      <c r="H11" s="402" t="s">
        <v>380</v>
      </c>
      <c r="I11" s="403">
        <v>2017</v>
      </c>
      <c r="J11" s="404">
        <v>12</v>
      </c>
      <c r="K11" s="405">
        <v>3923.6</v>
      </c>
      <c r="L11" s="405">
        <v>0</v>
      </c>
      <c r="M11" s="406" t="s">
        <v>251</v>
      </c>
      <c r="N11" s="406" t="s">
        <v>251</v>
      </c>
      <c r="O11" s="406" t="s">
        <v>376</v>
      </c>
      <c r="P11" s="407">
        <v>0.68200000000000005</v>
      </c>
      <c r="Q11" s="407">
        <v>0.69199999999999995</v>
      </c>
      <c r="R11" s="408">
        <v>47083.199999999997</v>
      </c>
      <c r="S11" s="408">
        <v>0</v>
      </c>
      <c r="T11" s="409">
        <v>154324.35453352885</v>
      </c>
      <c r="U11" s="409">
        <v>602668.6901960785</v>
      </c>
      <c r="V11" s="410">
        <v>0.25606831256377255</v>
      </c>
      <c r="W11" s="409">
        <v>-448344.33566254965</v>
      </c>
      <c r="X11" s="409">
        <v>154324.35453352885</v>
      </c>
      <c r="Y11" s="409">
        <v>602668.6901960785</v>
      </c>
      <c r="Z11" s="410">
        <v>0.25606831256377255</v>
      </c>
      <c r="AA11" s="409">
        <v>-448344.33566254965</v>
      </c>
      <c r="AB11" s="409">
        <v>134195.09089872078</v>
      </c>
      <c r="AC11" s="409">
        <v>45254.901960784315</v>
      </c>
      <c r="AD11" s="410">
        <v>2.9653161333772791</v>
      </c>
      <c r="AE11" s="409">
        <v>88940.188937936473</v>
      </c>
      <c r="AF11" s="409">
        <v>45475.183738431973</v>
      </c>
      <c r="AG11" s="409">
        <v>883678.43137254915</v>
      </c>
      <c r="AH11" s="410">
        <v>5.1461235358883771E-2</v>
      </c>
      <c r="AI11" s="409">
        <v>-838203.24763411714</v>
      </c>
      <c r="AJ11" s="409">
        <v>134195.09089872078</v>
      </c>
      <c r="AK11" s="409">
        <v>45405.134133140018</v>
      </c>
      <c r="AL11" s="410">
        <v>2.9555047784954191</v>
      </c>
      <c r="AM11" s="409">
        <v>88789.956765580762</v>
      </c>
      <c r="AN11" s="411">
        <v>615.46362861030843</v>
      </c>
      <c r="AO11" s="411">
        <v>1468331.7821705337</v>
      </c>
      <c r="AP11" s="409">
        <v>45254.901960784315</v>
      </c>
      <c r="AQ11" s="409">
        <v>73.529774721161061</v>
      </c>
      <c r="AR11" s="409">
        <v>3.0820624132978387E-2</v>
      </c>
    </row>
    <row r="12" spans="1:44" s="388" customFormat="1">
      <c r="A12" s="402" t="s">
        <v>231</v>
      </c>
      <c r="B12" s="402" t="s">
        <v>370</v>
      </c>
      <c r="C12" s="402" t="s">
        <v>12</v>
      </c>
      <c r="D12" s="402" t="s">
        <v>377</v>
      </c>
      <c r="E12" s="402" t="s">
        <v>378</v>
      </c>
      <c r="F12" s="402" t="s">
        <v>379</v>
      </c>
      <c r="G12" s="402" t="s">
        <v>374</v>
      </c>
      <c r="H12" s="402" t="s">
        <v>380</v>
      </c>
      <c r="I12" s="403">
        <v>2018</v>
      </c>
      <c r="J12" s="404">
        <v>14</v>
      </c>
      <c r="K12" s="405">
        <v>3923.6</v>
      </c>
      <c r="L12" s="405">
        <v>0</v>
      </c>
      <c r="M12" s="406" t="s">
        <v>251</v>
      </c>
      <c r="N12" s="406" t="s">
        <v>251</v>
      </c>
      <c r="O12" s="406" t="s">
        <v>376</v>
      </c>
      <c r="P12" s="407">
        <v>0.68200000000000005</v>
      </c>
      <c r="Q12" s="407">
        <v>0.69199999999999995</v>
      </c>
      <c r="R12" s="408">
        <v>54930.400000000001</v>
      </c>
      <c r="S12" s="408">
        <v>0</v>
      </c>
      <c r="T12" s="409">
        <v>180719.02239760003</v>
      </c>
      <c r="U12" s="409">
        <v>689326.93323080882</v>
      </c>
      <c r="V12" s="410">
        <v>0.2621673601966884</v>
      </c>
      <c r="W12" s="409">
        <v>-508607.91083320882</v>
      </c>
      <c r="X12" s="409">
        <v>180719.02239760003</v>
      </c>
      <c r="Y12" s="409">
        <v>689326.93323080882</v>
      </c>
      <c r="Z12" s="410">
        <v>0.2621673601966884</v>
      </c>
      <c r="AA12" s="409">
        <v>-508607.91083320882</v>
      </c>
      <c r="AB12" s="409">
        <v>157146.97599791308</v>
      </c>
      <c r="AC12" s="409">
        <v>51762.142765602977</v>
      </c>
      <c r="AD12" s="410">
        <v>3.0359441785385384</v>
      </c>
      <c r="AE12" s="409">
        <v>105384.83323231011</v>
      </c>
      <c r="AF12" s="409">
        <v>52018.838461665444</v>
      </c>
      <c r="AG12" s="409">
        <v>1010743.3038574908</v>
      </c>
      <c r="AH12" s="410">
        <v>5.1465924397555853E-2</v>
      </c>
      <c r="AI12" s="409">
        <v>-958724.46539582533</v>
      </c>
      <c r="AJ12" s="409">
        <v>157146.97599791308</v>
      </c>
      <c r="AK12" s="409">
        <v>51937.209230317581</v>
      </c>
      <c r="AL12" s="410">
        <v>3.0257108213311708</v>
      </c>
      <c r="AM12" s="409">
        <v>105209.76676759549</v>
      </c>
      <c r="AN12" s="411">
        <v>703.96166671113724</v>
      </c>
      <c r="AO12" s="411">
        <v>1679464.4567310025</v>
      </c>
      <c r="AP12" s="409">
        <v>51762.142765602977</v>
      </c>
      <c r="AQ12" s="409">
        <v>73.529774721161047</v>
      </c>
      <c r="AR12" s="409">
        <v>3.082062413297839E-2</v>
      </c>
    </row>
    <row r="13" spans="1:44" s="388" customFormat="1">
      <c r="A13" s="402" t="s">
        <v>231</v>
      </c>
      <c r="B13" s="402" t="s">
        <v>370</v>
      </c>
      <c r="C13" s="402" t="s">
        <v>12</v>
      </c>
      <c r="D13" s="402" t="s">
        <v>377</v>
      </c>
      <c r="E13" s="402" t="s">
        <v>378</v>
      </c>
      <c r="F13" s="402" t="s">
        <v>379</v>
      </c>
      <c r="G13" s="402" t="s">
        <v>374</v>
      </c>
      <c r="H13" s="402" t="s">
        <v>380</v>
      </c>
      <c r="I13" s="403">
        <v>2019</v>
      </c>
      <c r="J13" s="404">
        <v>16</v>
      </c>
      <c r="K13" s="405">
        <v>3923.6</v>
      </c>
      <c r="L13" s="405">
        <v>0</v>
      </c>
      <c r="M13" s="406" t="s">
        <v>251</v>
      </c>
      <c r="N13" s="406" t="s">
        <v>251</v>
      </c>
      <c r="O13" s="406" t="s">
        <v>376</v>
      </c>
      <c r="P13" s="407">
        <v>0.68200000000000005</v>
      </c>
      <c r="Q13" s="407">
        <v>0.69199999999999995</v>
      </c>
      <c r="R13" s="408">
        <v>62777.599999999999</v>
      </c>
      <c r="S13" s="408">
        <v>0</v>
      </c>
      <c r="T13" s="409">
        <v>207630.3141145503</v>
      </c>
      <c r="U13" s="409">
        <v>772355.10726141033</v>
      </c>
      <c r="V13" s="410">
        <v>0.26882752785924935</v>
      </c>
      <c r="W13" s="409">
        <v>-564724.79314686009</v>
      </c>
      <c r="X13" s="409">
        <v>207630.3141145503</v>
      </c>
      <c r="Y13" s="409">
        <v>772355.10726141033</v>
      </c>
      <c r="Z13" s="410">
        <v>0.26882752785924935</v>
      </c>
      <c r="AA13" s="409">
        <v>-564724.79314686009</v>
      </c>
      <c r="AB13" s="409">
        <v>180548.09923004376</v>
      </c>
      <c r="AC13" s="409">
        <v>57996.798616922097</v>
      </c>
      <c r="AD13" s="410">
        <v>3.1130700924130679</v>
      </c>
      <c r="AE13" s="409">
        <v>122551.30061312167</v>
      </c>
      <c r="AF13" s="409">
        <v>58289.680861709647</v>
      </c>
      <c r="AG13" s="409">
        <v>1132485.4945181969</v>
      </c>
      <c r="AH13" s="410">
        <v>5.1470576129991251E-2</v>
      </c>
      <c r="AI13" s="409">
        <v>-1074195.8136564873</v>
      </c>
      <c r="AJ13" s="409">
        <v>180548.09923004376</v>
      </c>
      <c r="AK13" s="409">
        <v>58196.544307867211</v>
      </c>
      <c r="AL13" s="410">
        <v>3.1023852253996576</v>
      </c>
      <c r="AM13" s="409">
        <v>122351.55492217655</v>
      </c>
      <c r="AN13" s="411">
        <v>788.75256774357103</v>
      </c>
      <c r="AO13" s="411">
        <v>1881752.8926958013</v>
      </c>
      <c r="AP13" s="409">
        <v>57996.798616922097</v>
      </c>
      <c r="AQ13" s="409">
        <v>73.529774721161047</v>
      </c>
      <c r="AR13" s="409">
        <v>3.0820624132978383E-2</v>
      </c>
    </row>
    <row r="14" spans="1:44" s="388" customFormat="1">
      <c r="A14" s="402" t="s">
        <v>231</v>
      </c>
      <c r="B14" s="402" t="s">
        <v>370</v>
      </c>
      <c r="C14" s="402" t="s">
        <v>12</v>
      </c>
      <c r="D14" s="402" t="s">
        <v>377</v>
      </c>
      <c r="E14" s="402" t="s">
        <v>378</v>
      </c>
      <c r="F14" s="402" t="s">
        <v>379</v>
      </c>
      <c r="G14" s="402" t="s">
        <v>374</v>
      </c>
      <c r="H14" s="402" t="s">
        <v>380</v>
      </c>
      <c r="I14" s="403">
        <v>2020</v>
      </c>
      <c r="J14" s="404">
        <v>18</v>
      </c>
      <c r="K14" s="405">
        <v>3923.6</v>
      </c>
      <c r="L14" s="405">
        <v>0</v>
      </c>
      <c r="M14" s="406" t="s">
        <v>251</v>
      </c>
      <c r="N14" s="406" t="s">
        <v>251</v>
      </c>
      <c r="O14" s="406" t="s">
        <v>376</v>
      </c>
      <c r="P14" s="407">
        <v>0.68200000000000005</v>
      </c>
      <c r="Q14" s="407">
        <v>0.69199999999999995</v>
      </c>
      <c r="R14" s="408">
        <v>70624.800000000003</v>
      </c>
      <c r="S14" s="408">
        <v>0</v>
      </c>
      <c r="T14" s="409">
        <v>234058.58699836599</v>
      </c>
      <c r="U14" s="409">
        <v>851862.25065596716</v>
      </c>
      <c r="V14" s="410">
        <v>0.2747610741268694</v>
      </c>
      <c r="W14" s="409">
        <v>-617803.66365760122</v>
      </c>
      <c r="X14" s="409">
        <v>234058.58699836599</v>
      </c>
      <c r="Y14" s="409">
        <v>851862.25065596716</v>
      </c>
      <c r="Z14" s="410">
        <v>0.2747610741268694</v>
      </c>
      <c r="AA14" s="409">
        <v>-617803.66365760122</v>
      </c>
      <c r="AB14" s="409">
        <v>203529.20608553567</v>
      </c>
      <c r="AC14" s="409">
        <v>63967.057298075837</v>
      </c>
      <c r="AD14" s="410">
        <v>3.1817816026321712</v>
      </c>
      <c r="AE14" s="409">
        <v>139562.14878745982</v>
      </c>
      <c r="AF14" s="409">
        <v>64295.519681865022</v>
      </c>
      <c r="AG14" s="409">
        <v>1249064.8836597758</v>
      </c>
      <c r="AH14" s="410">
        <v>5.1474923779362317E-2</v>
      </c>
      <c r="AI14" s="409">
        <v>-1184769.3639779107</v>
      </c>
      <c r="AJ14" s="409">
        <v>203529.20608553567</v>
      </c>
      <c r="AK14" s="409">
        <v>64191.068643820065</v>
      </c>
      <c r="AL14" s="410">
        <v>3.1706779523311495</v>
      </c>
      <c r="AM14" s="409">
        <v>139338.1374417156</v>
      </c>
      <c r="AN14" s="411">
        <v>869.94768501129158</v>
      </c>
      <c r="AO14" s="411">
        <v>2075462.7492968398</v>
      </c>
      <c r="AP14" s="409">
        <v>63967.057298075837</v>
      </c>
      <c r="AQ14" s="409">
        <v>73.529774721161047</v>
      </c>
      <c r="AR14" s="409">
        <v>3.082062413297838E-2</v>
      </c>
    </row>
    <row r="15" spans="1:44" s="388" customFormat="1">
      <c r="A15" s="402" t="s">
        <v>231</v>
      </c>
      <c r="B15" s="402" t="s">
        <v>370</v>
      </c>
      <c r="C15" s="402" t="s">
        <v>12</v>
      </c>
      <c r="D15" s="402" t="s">
        <v>371</v>
      </c>
      <c r="E15" s="402" t="s">
        <v>381</v>
      </c>
      <c r="F15" s="402" t="s">
        <v>382</v>
      </c>
      <c r="G15" s="402" t="s">
        <v>374</v>
      </c>
      <c r="H15" s="402" t="s">
        <v>375</v>
      </c>
      <c r="I15" s="403">
        <v>2015</v>
      </c>
      <c r="J15" s="404">
        <v>0</v>
      </c>
      <c r="K15" s="405">
        <v>5187.5</v>
      </c>
      <c r="L15" s="405">
        <v>0</v>
      </c>
      <c r="M15" s="406" t="s">
        <v>251</v>
      </c>
      <c r="N15" s="406" t="s">
        <v>251</v>
      </c>
      <c r="O15" s="406" t="s">
        <v>376</v>
      </c>
      <c r="P15" s="407">
        <v>0.73099999999999998</v>
      </c>
      <c r="Q15" s="407">
        <v>0.70799999999999996</v>
      </c>
      <c r="R15" s="408">
        <v>0</v>
      </c>
      <c r="S15" s="408">
        <v>0</v>
      </c>
      <c r="T15" s="409">
        <v>0</v>
      </c>
      <c r="U15" s="409">
        <v>0</v>
      </c>
      <c r="V15" s="410" t="e">
        <v>#DIV/0!</v>
      </c>
      <c r="W15" s="409">
        <v>0</v>
      </c>
      <c r="X15" s="409">
        <v>0</v>
      </c>
      <c r="Y15" s="409">
        <v>0</v>
      </c>
      <c r="Z15" s="410" t="e">
        <v>#DIV/0!</v>
      </c>
      <c r="AA15" s="409">
        <v>0</v>
      </c>
      <c r="AB15" s="409">
        <v>0</v>
      </c>
      <c r="AC15" s="409">
        <v>0</v>
      </c>
      <c r="AD15" s="410" t="e">
        <v>#DIV/0!</v>
      </c>
      <c r="AE15" s="409">
        <v>0</v>
      </c>
      <c r="AF15" s="409">
        <v>0</v>
      </c>
      <c r="AG15" s="409">
        <v>0</v>
      </c>
      <c r="AH15" s="410" t="e">
        <v>#DIV/0!</v>
      </c>
      <c r="AI15" s="409">
        <v>0</v>
      </c>
      <c r="AJ15" s="409">
        <v>0</v>
      </c>
      <c r="AK15" s="409">
        <v>0</v>
      </c>
      <c r="AL15" s="410" t="e">
        <v>#DIV/0!</v>
      </c>
      <c r="AM15" s="409">
        <v>0</v>
      </c>
      <c r="AN15" s="411">
        <v>0</v>
      </c>
      <c r="AO15" s="411">
        <v>0</v>
      </c>
      <c r="AP15" s="409">
        <v>0</v>
      </c>
      <c r="AQ15" s="409" t="e">
        <v>#DIV/0!</v>
      </c>
      <c r="AR15" s="409" t="e">
        <v>#DIV/0!</v>
      </c>
    </row>
    <row r="16" spans="1:44" s="388" customFormat="1">
      <c r="A16" s="402" t="s">
        <v>231</v>
      </c>
      <c r="B16" s="402" t="s">
        <v>370</v>
      </c>
      <c r="C16" s="402" t="s">
        <v>12</v>
      </c>
      <c r="D16" s="402" t="s">
        <v>371</v>
      </c>
      <c r="E16" s="402" t="s">
        <v>381</v>
      </c>
      <c r="F16" s="402" t="s">
        <v>382</v>
      </c>
      <c r="G16" s="402" t="s">
        <v>374</v>
      </c>
      <c r="H16" s="402" t="s">
        <v>375</v>
      </c>
      <c r="I16" s="403">
        <v>2016</v>
      </c>
      <c r="J16" s="404">
        <v>6</v>
      </c>
      <c r="K16" s="405">
        <v>5187.5</v>
      </c>
      <c r="L16" s="405">
        <v>0</v>
      </c>
      <c r="M16" s="406" t="s">
        <v>251</v>
      </c>
      <c r="N16" s="406" t="s">
        <v>251</v>
      </c>
      <c r="O16" s="406" t="s">
        <v>376</v>
      </c>
      <c r="P16" s="407">
        <v>0.73099999999999998</v>
      </c>
      <c r="Q16" s="407">
        <v>0.70799999999999996</v>
      </c>
      <c r="R16" s="408">
        <v>31125</v>
      </c>
      <c r="S16" s="408">
        <v>0</v>
      </c>
      <c r="T16" s="409">
        <v>191763.55627288442</v>
      </c>
      <c r="U16" s="409">
        <v>69236.01999999999</v>
      </c>
      <c r="V16" s="410">
        <v>2.7697079680906622</v>
      </c>
      <c r="W16" s="409">
        <v>122527.53627288443</v>
      </c>
      <c r="X16" s="409">
        <v>191763.55627288442</v>
      </c>
      <c r="Y16" s="409">
        <v>69236.01999999999</v>
      </c>
      <c r="Z16" s="410">
        <v>2.7697079680906622</v>
      </c>
      <c r="AA16" s="409">
        <v>122527.53627288443</v>
      </c>
      <c r="AB16" s="409">
        <v>158285.23461142398</v>
      </c>
      <c r="AC16" s="409">
        <v>30514.705882352944</v>
      </c>
      <c r="AD16" s="410">
        <v>5.1871787728081102</v>
      </c>
      <c r="AE16" s="409">
        <v>127770.52872907103</v>
      </c>
      <c r="AF16" s="409">
        <v>30956.693000535306</v>
      </c>
      <c r="AG16" s="409">
        <v>94714.117647058811</v>
      </c>
      <c r="AH16" s="410">
        <v>0.32684349249698802</v>
      </c>
      <c r="AI16" s="409">
        <v>-63757.424646523505</v>
      </c>
      <c r="AJ16" s="409">
        <v>166750.91849816038</v>
      </c>
      <c r="AK16" s="409">
        <v>30837.798465744247</v>
      </c>
      <c r="AL16" s="410">
        <v>5.4073548305788881</v>
      </c>
      <c r="AM16" s="409">
        <v>135913.12003241613</v>
      </c>
      <c r="AN16" s="411">
        <v>523.00517425162752</v>
      </c>
      <c r="AO16" s="411">
        <v>3154874.3619398098</v>
      </c>
      <c r="AP16" s="409">
        <v>30514.705882352944</v>
      </c>
      <c r="AQ16" s="409">
        <v>58.344940709270595</v>
      </c>
      <c r="AR16" s="409">
        <v>9.672241231055121E-3</v>
      </c>
    </row>
    <row r="17" spans="1:44" s="388" customFormat="1">
      <c r="A17" s="402" t="s">
        <v>231</v>
      </c>
      <c r="B17" s="402" t="s">
        <v>370</v>
      </c>
      <c r="C17" s="402" t="s">
        <v>12</v>
      </c>
      <c r="D17" s="402" t="s">
        <v>371</v>
      </c>
      <c r="E17" s="402" t="s">
        <v>381</v>
      </c>
      <c r="F17" s="402" t="s">
        <v>382</v>
      </c>
      <c r="G17" s="402" t="s">
        <v>374</v>
      </c>
      <c r="H17" s="402" t="s">
        <v>375</v>
      </c>
      <c r="I17" s="403">
        <v>2017</v>
      </c>
      <c r="J17" s="404">
        <v>8</v>
      </c>
      <c r="K17" s="405">
        <v>5187.5</v>
      </c>
      <c r="L17" s="405">
        <v>0</v>
      </c>
      <c r="M17" s="406" t="s">
        <v>251</v>
      </c>
      <c r="N17" s="406" t="s">
        <v>251</v>
      </c>
      <c r="O17" s="406" t="s">
        <v>376</v>
      </c>
      <c r="P17" s="407">
        <v>0.73099999999999998</v>
      </c>
      <c r="Q17" s="407">
        <v>0.70799999999999996</v>
      </c>
      <c r="R17" s="408">
        <v>41500</v>
      </c>
      <c r="S17" s="408">
        <v>0</v>
      </c>
      <c r="T17" s="409">
        <v>271422.2907239201</v>
      </c>
      <c r="U17" s="409">
        <v>90504.601307189543</v>
      </c>
      <c r="V17" s="410">
        <v>2.9989888558556497</v>
      </c>
      <c r="W17" s="409">
        <v>180917.68941673054</v>
      </c>
      <c r="X17" s="409">
        <v>271422.2907239201</v>
      </c>
      <c r="Y17" s="409">
        <v>90504.601307189543</v>
      </c>
      <c r="Z17" s="410">
        <v>2.9989888558556497</v>
      </c>
      <c r="AA17" s="409">
        <v>180917.68941673054</v>
      </c>
      <c r="AB17" s="409">
        <v>224731.80472254293</v>
      </c>
      <c r="AC17" s="409">
        <v>39888.504421376398</v>
      </c>
      <c r="AD17" s="410">
        <v>5.6339992682730999</v>
      </c>
      <c r="AE17" s="409">
        <v>184843.30030116654</v>
      </c>
      <c r="AF17" s="409">
        <v>40476.305024900299</v>
      </c>
      <c r="AG17" s="409">
        <v>123809.30411380238</v>
      </c>
      <c r="AH17" s="410">
        <v>0.32692458224056814</v>
      </c>
      <c r="AI17" s="409">
        <v>-83332.999088902085</v>
      </c>
      <c r="AJ17" s="409">
        <v>236019.38323819143</v>
      </c>
      <c r="AK17" s="409">
        <v>40318.186662552369</v>
      </c>
      <c r="AL17" s="410">
        <v>5.8539186103180283</v>
      </c>
      <c r="AM17" s="409">
        <v>195701.19657563907</v>
      </c>
      <c r="AN17" s="411">
        <v>683.66689444657163</v>
      </c>
      <c r="AO17" s="411">
        <v>4124018.7737775273</v>
      </c>
      <c r="AP17" s="409">
        <v>39888.504421376398</v>
      </c>
      <c r="AQ17" s="409">
        <v>58.344940709270624</v>
      </c>
      <c r="AR17" s="409">
        <v>9.6722412310551245E-3</v>
      </c>
    </row>
    <row r="18" spans="1:44" s="388" customFormat="1">
      <c r="A18" s="402" t="s">
        <v>231</v>
      </c>
      <c r="B18" s="402" t="s">
        <v>370</v>
      </c>
      <c r="C18" s="402" t="s">
        <v>12</v>
      </c>
      <c r="D18" s="402" t="s">
        <v>371</v>
      </c>
      <c r="E18" s="402" t="s">
        <v>381</v>
      </c>
      <c r="F18" s="402" t="s">
        <v>382</v>
      </c>
      <c r="G18" s="402" t="s">
        <v>374</v>
      </c>
      <c r="H18" s="402" t="s">
        <v>375</v>
      </c>
      <c r="I18" s="403">
        <v>2018</v>
      </c>
      <c r="J18" s="404">
        <v>10</v>
      </c>
      <c r="K18" s="405">
        <v>5187.5</v>
      </c>
      <c r="L18" s="405">
        <v>0</v>
      </c>
      <c r="M18" s="406" t="s">
        <v>251</v>
      </c>
      <c r="N18" s="406" t="s">
        <v>251</v>
      </c>
      <c r="O18" s="406" t="s">
        <v>376</v>
      </c>
      <c r="P18" s="407">
        <v>0.73099999999999998</v>
      </c>
      <c r="Q18" s="407">
        <v>0.70799999999999996</v>
      </c>
      <c r="R18" s="408">
        <v>51875</v>
      </c>
      <c r="S18" s="408">
        <v>0</v>
      </c>
      <c r="T18" s="409">
        <v>342066.22849878029</v>
      </c>
      <c r="U18" s="409">
        <v>110912.501601948</v>
      </c>
      <c r="V18" s="410">
        <v>3.0841088566049661</v>
      </c>
      <c r="W18" s="409">
        <v>231153.72689683229</v>
      </c>
      <c r="X18" s="409">
        <v>342066.22849878029</v>
      </c>
      <c r="Y18" s="409">
        <v>110912.501601948</v>
      </c>
      <c r="Z18" s="410">
        <v>3.0841088566049661</v>
      </c>
      <c r="AA18" s="409">
        <v>231153.72689683229</v>
      </c>
      <c r="AB18" s="409">
        <v>283339.42120220477</v>
      </c>
      <c r="AC18" s="409">
        <v>48882.971104627941</v>
      </c>
      <c r="AD18" s="410">
        <v>5.7962806842438415</v>
      </c>
      <c r="AE18" s="409">
        <v>234456.45009757683</v>
      </c>
      <c r="AF18" s="409">
        <v>49616.009937347539</v>
      </c>
      <c r="AG18" s="409">
        <v>151727.08837475785</v>
      </c>
      <c r="AH18" s="410">
        <v>0.32700825191345284</v>
      </c>
      <c r="AI18" s="409">
        <v>-102111.07843741031</v>
      </c>
      <c r="AJ18" s="409">
        <v>297448.89434676548</v>
      </c>
      <c r="AK18" s="409">
        <v>49418.822491345963</v>
      </c>
      <c r="AL18" s="410">
        <v>6.0189393302289549</v>
      </c>
      <c r="AM18" s="409">
        <v>248030.07185541952</v>
      </c>
      <c r="AN18" s="411">
        <v>837.82707652766157</v>
      </c>
      <c r="AO18" s="411">
        <v>5053944.575707756</v>
      </c>
      <c r="AP18" s="409">
        <v>48882.971104627941</v>
      </c>
      <c r="AQ18" s="409">
        <v>58.344940709270602</v>
      </c>
      <c r="AR18" s="409">
        <v>9.672241231055121E-3</v>
      </c>
    </row>
    <row r="19" spans="1:44" s="388" customFormat="1">
      <c r="A19" s="402" t="s">
        <v>231</v>
      </c>
      <c r="B19" s="402" t="s">
        <v>370</v>
      </c>
      <c r="C19" s="402" t="s">
        <v>12</v>
      </c>
      <c r="D19" s="402" t="s">
        <v>371</v>
      </c>
      <c r="E19" s="402" t="s">
        <v>381</v>
      </c>
      <c r="F19" s="402" t="s">
        <v>382</v>
      </c>
      <c r="G19" s="402" t="s">
        <v>374</v>
      </c>
      <c r="H19" s="402" t="s">
        <v>375</v>
      </c>
      <c r="I19" s="403">
        <v>2019</v>
      </c>
      <c r="J19" s="404">
        <v>12</v>
      </c>
      <c r="K19" s="405">
        <v>5187.5</v>
      </c>
      <c r="L19" s="405">
        <v>0</v>
      </c>
      <c r="M19" s="406" t="s">
        <v>251</v>
      </c>
      <c r="N19" s="406" t="s">
        <v>251</v>
      </c>
      <c r="O19" s="406" t="s">
        <v>376</v>
      </c>
      <c r="P19" s="407">
        <v>0.73099999999999998</v>
      </c>
      <c r="Q19" s="407">
        <v>0.70799999999999996</v>
      </c>
      <c r="R19" s="408">
        <v>62250</v>
      </c>
      <c r="S19" s="408">
        <v>0</v>
      </c>
      <c r="T19" s="409">
        <v>417102.35022293346</v>
      </c>
      <c r="U19" s="409">
        <v>130485.29600229173</v>
      </c>
      <c r="V19" s="410">
        <v>3.1965467604534372</v>
      </c>
      <c r="W19" s="409">
        <v>286617.05422064173</v>
      </c>
      <c r="X19" s="409">
        <v>417102.35022293346</v>
      </c>
      <c r="Y19" s="409">
        <v>130485.29600229173</v>
      </c>
      <c r="Z19" s="410">
        <v>3.1965467604534372</v>
      </c>
      <c r="AA19" s="409">
        <v>286617.05422064173</v>
      </c>
      <c r="AB19" s="409">
        <v>345766.32807255641</v>
      </c>
      <c r="AC19" s="409">
        <v>57509.377770150502</v>
      </c>
      <c r="AD19" s="410">
        <v>6.0123468811380869</v>
      </c>
      <c r="AE19" s="409">
        <v>288256.95030240592</v>
      </c>
      <c r="AF19" s="409">
        <v>58386.755455504928</v>
      </c>
      <c r="AG19" s="409">
        <v>178502.45691147976</v>
      </c>
      <c r="AH19" s="410">
        <v>0.32709216705324795</v>
      </c>
      <c r="AI19" s="409">
        <v>-120115.70145597483</v>
      </c>
      <c r="AJ19" s="409">
        <v>362697.69584602909</v>
      </c>
      <c r="AK19" s="409">
        <v>58150.740858144592</v>
      </c>
      <c r="AL19" s="410">
        <v>6.2371981937566261</v>
      </c>
      <c r="AM19" s="409">
        <v>304546.9549878845</v>
      </c>
      <c r="AN19" s="411">
        <v>985.67891356195491</v>
      </c>
      <c r="AO19" s="411">
        <v>5945817.1478914768</v>
      </c>
      <c r="AP19" s="409">
        <v>57509.377770150502</v>
      </c>
      <c r="AQ19" s="409">
        <v>58.344940709270581</v>
      </c>
      <c r="AR19" s="409">
        <v>9.672241231055121E-3</v>
      </c>
    </row>
    <row r="20" spans="1:44" s="388" customFormat="1">
      <c r="A20" s="402" t="s">
        <v>231</v>
      </c>
      <c r="B20" s="402" t="s">
        <v>370</v>
      </c>
      <c r="C20" s="402" t="s">
        <v>12</v>
      </c>
      <c r="D20" s="402" t="s">
        <v>371</v>
      </c>
      <c r="E20" s="402" t="s">
        <v>381</v>
      </c>
      <c r="F20" s="402" t="s">
        <v>382</v>
      </c>
      <c r="G20" s="402" t="s">
        <v>374</v>
      </c>
      <c r="H20" s="402" t="s">
        <v>375</v>
      </c>
      <c r="I20" s="403">
        <v>2020</v>
      </c>
      <c r="J20" s="404">
        <v>14</v>
      </c>
      <c r="K20" s="405">
        <v>5187.5</v>
      </c>
      <c r="L20" s="405">
        <v>0</v>
      </c>
      <c r="M20" s="406" t="s">
        <v>251</v>
      </c>
      <c r="N20" s="406" t="s">
        <v>251</v>
      </c>
      <c r="O20" s="406" t="s">
        <v>376</v>
      </c>
      <c r="P20" s="407">
        <v>0.73099999999999998</v>
      </c>
      <c r="Q20" s="407">
        <v>0.70799999999999996</v>
      </c>
      <c r="R20" s="408">
        <v>72625</v>
      </c>
      <c r="S20" s="408">
        <v>0</v>
      </c>
      <c r="T20" s="409">
        <v>489685.99379819905</v>
      </c>
      <c r="U20" s="409">
        <v>149247.88758432059</v>
      </c>
      <c r="V20" s="410">
        <v>3.2810246210120804</v>
      </c>
      <c r="W20" s="409">
        <v>340438.10621387849</v>
      </c>
      <c r="X20" s="409">
        <v>489685.99379819905</v>
      </c>
      <c r="Y20" s="409">
        <v>149247.88758432059</v>
      </c>
      <c r="Z20" s="410">
        <v>3.2810246210120804</v>
      </c>
      <c r="AA20" s="409">
        <v>340438.10621387849</v>
      </c>
      <c r="AB20" s="409">
        <v>406060.64524822304</v>
      </c>
      <c r="AC20" s="409">
        <v>65778.700063897631</v>
      </c>
      <c r="AD20" s="410">
        <v>6.1731327139906149</v>
      </c>
      <c r="AE20" s="409">
        <v>340281.94518432539</v>
      </c>
      <c r="AF20" s="409">
        <v>66797.302109392564</v>
      </c>
      <c r="AG20" s="409">
        <v>204169.4768595357</v>
      </c>
      <c r="AH20" s="410">
        <v>0.32716595613039506</v>
      </c>
      <c r="AI20" s="409">
        <v>-137372.17475014314</v>
      </c>
      <c r="AJ20" s="409">
        <v>425813.90765060793</v>
      </c>
      <c r="AK20" s="409">
        <v>66523.298159154423</v>
      </c>
      <c r="AL20" s="410">
        <v>6.400974086279736</v>
      </c>
      <c r="AM20" s="409">
        <v>359290.60949145351</v>
      </c>
      <c r="AN20" s="411">
        <v>1127.4105220479878</v>
      </c>
      <c r="AO20" s="411">
        <v>6800771.2475882927</v>
      </c>
      <c r="AP20" s="409">
        <v>65778.700063897631</v>
      </c>
      <c r="AQ20" s="409">
        <v>58.344940709270574</v>
      </c>
      <c r="AR20" s="409">
        <v>9.6722412310551176E-3</v>
      </c>
    </row>
    <row r="21" spans="1:44" s="388" customFormat="1">
      <c r="A21" s="402" t="s">
        <v>231</v>
      </c>
      <c r="B21" s="402" t="s">
        <v>370</v>
      </c>
      <c r="C21" s="402" t="s">
        <v>12</v>
      </c>
      <c r="D21" s="402" t="s">
        <v>377</v>
      </c>
      <c r="E21" s="402" t="s">
        <v>383</v>
      </c>
      <c r="F21" s="402" t="s">
        <v>384</v>
      </c>
      <c r="G21" s="402" t="s">
        <v>374</v>
      </c>
      <c r="H21" s="402" t="s">
        <v>380</v>
      </c>
      <c r="I21" s="403">
        <v>2015</v>
      </c>
      <c r="J21" s="404">
        <v>0</v>
      </c>
      <c r="K21" s="405">
        <v>7833.36</v>
      </c>
      <c r="L21" s="405">
        <v>0</v>
      </c>
      <c r="M21" s="406" t="s">
        <v>251</v>
      </c>
      <c r="N21" s="406" t="s">
        <v>251</v>
      </c>
      <c r="O21" s="406" t="s">
        <v>376</v>
      </c>
      <c r="P21" s="407">
        <v>0.70099999999999996</v>
      </c>
      <c r="Q21" s="407">
        <v>0.68200000000000005</v>
      </c>
      <c r="R21" s="408">
        <v>0</v>
      </c>
      <c r="S21" s="408">
        <v>0</v>
      </c>
      <c r="T21" s="409">
        <v>0</v>
      </c>
      <c r="U21" s="409">
        <v>0</v>
      </c>
      <c r="V21" s="410" t="e">
        <v>#DIV/0!</v>
      </c>
      <c r="W21" s="409">
        <v>0</v>
      </c>
      <c r="X21" s="409">
        <v>0</v>
      </c>
      <c r="Y21" s="409">
        <v>0</v>
      </c>
      <c r="Z21" s="410" t="e">
        <v>#DIV/0!</v>
      </c>
      <c r="AA21" s="409">
        <v>0</v>
      </c>
      <c r="AB21" s="409">
        <v>0</v>
      </c>
      <c r="AC21" s="409">
        <v>0</v>
      </c>
      <c r="AD21" s="410" t="e">
        <v>#DIV/0!</v>
      </c>
      <c r="AE21" s="409">
        <v>0</v>
      </c>
      <c r="AF21" s="409">
        <v>0</v>
      </c>
      <c r="AG21" s="409">
        <v>0</v>
      </c>
      <c r="AH21" s="410" t="e">
        <v>#DIV/0!</v>
      </c>
      <c r="AI21" s="409">
        <v>0</v>
      </c>
      <c r="AJ21" s="409">
        <v>0</v>
      </c>
      <c r="AK21" s="409">
        <v>0</v>
      </c>
      <c r="AL21" s="410" t="e">
        <v>#DIV/0!</v>
      </c>
      <c r="AM21" s="409">
        <v>0</v>
      </c>
      <c r="AN21" s="411">
        <v>0</v>
      </c>
      <c r="AO21" s="411">
        <v>0</v>
      </c>
      <c r="AP21" s="409">
        <v>0</v>
      </c>
      <c r="AQ21" s="409" t="e">
        <v>#DIV/0!</v>
      </c>
      <c r="AR21" s="409" t="e">
        <v>#DIV/0!</v>
      </c>
    </row>
    <row r="22" spans="1:44" s="388" customFormat="1">
      <c r="A22" s="402" t="s">
        <v>231</v>
      </c>
      <c r="B22" s="402" t="s">
        <v>370</v>
      </c>
      <c r="C22" s="402" t="s">
        <v>12</v>
      </c>
      <c r="D22" s="402" t="s">
        <v>377</v>
      </c>
      <c r="E22" s="402" t="s">
        <v>383</v>
      </c>
      <c r="F22" s="402" t="s">
        <v>384</v>
      </c>
      <c r="G22" s="402" t="s">
        <v>374</v>
      </c>
      <c r="H22" s="402" t="s">
        <v>380</v>
      </c>
      <c r="I22" s="403">
        <v>2016</v>
      </c>
      <c r="J22" s="404">
        <v>14</v>
      </c>
      <c r="K22" s="405">
        <v>7833.36</v>
      </c>
      <c r="L22" s="405">
        <v>0</v>
      </c>
      <c r="M22" s="406" t="s">
        <v>251</v>
      </c>
      <c r="N22" s="406" t="s">
        <v>251</v>
      </c>
      <c r="O22" s="406" t="s">
        <v>376</v>
      </c>
      <c r="P22" s="407">
        <v>0.70099999999999996</v>
      </c>
      <c r="Q22" s="407">
        <v>0.68200000000000005</v>
      </c>
      <c r="R22" s="408">
        <v>109667.04</v>
      </c>
      <c r="S22" s="408">
        <v>0</v>
      </c>
      <c r="T22" s="409">
        <v>202130.72863743125</v>
      </c>
      <c r="U22" s="409">
        <v>279196.46547058818</v>
      </c>
      <c r="V22" s="410">
        <v>0.72397309291411716</v>
      </c>
      <c r="W22" s="409">
        <v>-77065.736833156931</v>
      </c>
      <c r="X22" s="409">
        <v>202130.72863743125</v>
      </c>
      <c r="Y22" s="409">
        <v>279196.46547058818</v>
      </c>
      <c r="Z22" s="410">
        <v>0.72397309291411716</v>
      </c>
      <c r="AA22" s="409">
        <v>-77065.736833156931</v>
      </c>
      <c r="AB22" s="409">
        <v>175765.85098907066</v>
      </c>
      <c r="AC22" s="409">
        <v>107516.70588235294</v>
      </c>
      <c r="AD22" s="410">
        <v>1.6347771218120968</v>
      </c>
      <c r="AE22" s="409">
        <v>68249.145106717726</v>
      </c>
      <c r="AF22" s="409">
        <v>107916.66986378445</v>
      </c>
      <c r="AG22" s="409">
        <v>398283.11764705885</v>
      </c>
      <c r="AH22" s="410">
        <v>0.27095466787878142</v>
      </c>
      <c r="AI22" s="409">
        <v>-290366.4477832744</v>
      </c>
      <c r="AJ22" s="409">
        <v>175765.85098907066</v>
      </c>
      <c r="AK22" s="409">
        <v>107797.08063333643</v>
      </c>
      <c r="AL22" s="410">
        <v>1.6305251492563591</v>
      </c>
      <c r="AM22" s="409">
        <v>67968.770355734232</v>
      </c>
      <c r="AN22" s="411">
        <v>707.62672967457036</v>
      </c>
      <c r="AO22" s="411">
        <v>2717513.7626229753</v>
      </c>
      <c r="AP22" s="409">
        <v>107516.70588235294</v>
      </c>
      <c r="AQ22" s="409">
        <v>151.93985949597845</v>
      </c>
      <c r="AR22" s="409">
        <v>3.9564364810640955E-2</v>
      </c>
    </row>
    <row r="23" spans="1:44" s="388" customFormat="1">
      <c r="A23" s="402" t="s">
        <v>231</v>
      </c>
      <c r="B23" s="402" t="s">
        <v>370</v>
      </c>
      <c r="C23" s="402" t="s">
        <v>12</v>
      </c>
      <c r="D23" s="402" t="s">
        <v>377</v>
      </c>
      <c r="E23" s="402" t="s">
        <v>383</v>
      </c>
      <c r="F23" s="402" t="s">
        <v>384</v>
      </c>
      <c r="G23" s="402" t="s">
        <v>374</v>
      </c>
      <c r="H23" s="402" t="s">
        <v>380</v>
      </c>
      <c r="I23" s="403">
        <v>2017</v>
      </c>
      <c r="J23" s="404">
        <v>16</v>
      </c>
      <c r="K23" s="405">
        <v>7833.36</v>
      </c>
      <c r="L23" s="405">
        <v>0</v>
      </c>
      <c r="M23" s="406" t="s">
        <v>251</v>
      </c>
      <c r="N23" s="406" t="s">
        <v>251</v>
      </c>
      <c r="O23" s="406" t="s">
        <v>376</v>
      </c>
      <c r="P23" s="407">
        <v>0.70099999999999996</v>
      </c>
      <c r="Q23" s="407">
        <v>0.68200000000000005</v>
      </c>
      <c r="R23" s="408">
        <v>125333.75999999999</v>
      </c>
      <c r="S23" s="408">
        <v>0</v>
      </c>
      <c r="T23" s="409">
        <v>242019.76990305682</v>
      </c>
      <c r="U23" s="409">
        <v>312825.17139561707</v>
      </c>
      <c r="V23" s="410">
        <v>0.77365823480037166</v>
      </c>
      <c r="W23" s="409">
        <v>-70805.401492560253</v>
      </c>
      <c r="X23" s="409">
        <v>242019.76990305682</v>
      </c>
      <c r="Y23" s="409">
        <v>312825.17139561707</v>
      </c>
      <c r="Z23" s="410">
        <v>0.77365823480037166</v>
      </c>
      <c r="AA23" s="409">
        <v>-70805.401492560253</v>
      </c>
      <c r="AB23" s="409">
        <v>210451.97382874507</v>
      </c>
      <c r="AC23" s="409">
        <v>120466.89734717416</v>
      </c>
      <c r="AD23" s="410">
        <v>1.746969320727523</v>
      </c>
      <c r="AE23" s="409">
        <v>89985.076481570912</v>
      </c>
      <c r="AF23" s="409">
        <v>120923.68872809189</v>
      </c>
      <c r="AG23" s="409">
        <v>446255.59400230681</v>
      </c>
      <c r="AH23" s="410">
        <v>0.27097405691561327</v>
      </c>
      <c r="AI23" s="409">
        <v>-325331.90527421492</v>
      </c>
      <c r="AJ23" s="409">
        <v>210451.97382874507</v>
      </c>
      <c r="AK23" s="409">
        <v>120787.10810519749</v>
      </c>
      <c r="AL23" s="410">
        <v>1.7423380452610513</v>
      </c>
      <c r="AM23" s="409">
        <v>89664.865723547584</v>
      </c>
      <c r="AN23" s="411">
        <v>792.85908086786583</v>
      </c>
      <c r="AO23" s="411">
        <v>3044833.3474767217</v>
      </c>
      <c r="AP23" s="409">
        <v>120466.89734717416</v>
      </c>
      <c r="AQ23" s="409">
        <v>151.93985949597845</v>
      </c>
      <c r="AR23" s="409">
        <v>3.9564364810640969E-2</v>
      </c>
    </row>
    <row r="24" spans="1:44" s="388" customFormat="1">
      <c r="A24" s="402" t="s">
        <v>231</v>
      </c>
      <c r="B24" s="402" t="s">
        <v>370</v>
      </c>
      <c r="C24" s="402" t="s">
        <v>12</v>
      </c>
      <c r="D24" s="402" t="s">
        <v>377</v>
      </c>
      <c r="E24" s="402" t="s">
        <v>383</v>
      </c>
      <c r="F24" s="402" t="s">
        <v>384</v>
      </c>
      <c r="G24" s="402" t="s">
        <v>374</v>
      </c>
      <c r="H24" s="402" t="s">
        <v>380</v>
      </c>
      <c r="I24" s="403">
        <v>2018</v>
      </c>
      <c r="J24" s="404">
        <v>18</v>
      </c>
      <c r="K24" s="405">
        <v>7833.36</v>
      </c>
      <c r="L24" s="405">
        <v>0</v>
      </c>
      <c r="M24" s="406" t="s">
        <v>251</v>
      </c>
      <c r="N24" s="406" t="s">
        <v>251</v>
      </c>
      <c r="O24" s="406" t="s">
        <v>376</v>
      </c>
      <c r="P24" s="407">
        <v>0.70099999999999996</v>
      </c>
      <c r="Q24" s="407">
        <v>0.68200000000000005</v>
      </c>
      <c r="R24" s="408">
        <v>141000.47999999998</v>
      </c>
      <c r="S24" s="408">
        <v>0</v>
      </c>
      <c r="T24" s="409">
        <v>273657.40546241327</v>
      </c>
      <c r="U24" s="409">
        <v>345027.76256869535</v>
      </c>
      <c r="V24" s="410">
        <v>0.79314604548069612</v>
      </c>
      <c r="W24" s="409">
        <v>-71370.357106282085</v>
      </c>
      <c r="X24" s="409">
        <v>273657.40546241327</v>
      </c>
      <c r="Y24" s="409">
        <v>345027.76256869535</v>
      </c>
      <c r="Z24" s="410">
        <v>0.79314604548069612</v>
      </c>
      <c r="AA24" s="409">
        <v>-71370.357106282085</v>
      </c>
      <c r="AB24" s="409">
        <v>237962.96127166372</v>
      </c>
      <c r="AC24" s="409">
        <v>132867.90148585389</v>
      </c>
      <c r="AD24" s="410">
        <v>1.7909740321818739</v>
      </c>
      <c r="AE24" s="409">
        <v>105095.05978580983</v>
      </c>
      <c r="AF24" s="409">
        <v>133381.19248421717</v>
      </c>
      <c r="AG24" s="409">
        <v>492193.66985548555</v>
      </c>
      <c r="AH24" s="410">
        <v>0.27099331148118916</v>
      </c>
      <c r="AI24" s="409">
        <v>-358812.47737126838</v>
      </c>
      <c r="AJ24" s="409">
        <v>237962.96127166372</v>
      </c>
      <c r="AK24" s="409">
        <v>133227.71847570656</v>
      </c>
      <c r="AL24" s="410">
        <v>1.7861370290977034</v>
      </c>
      <c r="AM24" s="409">
        <v>104735.24279595717</v>
      </c>
      <c r="AN24" s="411">
        <v>874.47692742779316</v>
      </c>
      <c r="AO24" s="411">
        <v>3358272.0744228549</v>
      </c>
      <c r="AP24" s="409">
        <v>132867.90148585389</v>
      </c>
      <c r="AQ24" s="409">
        <v>151.93985949597851</v>
      </c>
      <c r="AR24" s="409">
        <v>3.9564364810640983E-2</v>
      </c>
    </row>
    <row r="25" spans="1:44" s="388" customFormat="1">
      <c r="A25" s="402" t="s">
        <v>231</v>
      </c>
      <c r="B25" s="402" t="s">
        <v>370</v>
      </c>
      <c r="C25" s="402" t="s">
        <v>12</v>
      </c>
      <c r="D25" s="402" t="s">
        <v>377</v>
      </c>
      <c r="E25" s="402" t="s">
        <v>383</v>
      </c>
      <c r="F25" s="402" t="s">
        <v>384</v>
      </c>
      <c r="G25" s="402" t="s">
        <v>374</v>
      </c>
      <c r="H25" s="402" t="s">
        <v>380</v>
      </c>
      <c r="I25" s="403">
        <v>2019</v>
      </c>
      <c r="J25" s="404">
        <v>20</v>
      </c>
      <c r="K25" s="405">
        <v>7833.36</v>
      </c>
      <c r="L25" s="405">
        <v>0</v>
      </c>
      <c r="M25" s="406" t="s">
        <v>251</v>
      </c>
      <c r="N25" s="406" t="s">
        <v>251</v>
      </c>
      <c r="O25" s="406" t="s">
        <v>376</v>
      </c>
      <c r="P25" s="407">
        <v>0.70099999999999996</v>
      </c>
      <c r="Q25" s="407">
        <v>0.68200000000000005</v>
      </c>
      <c r="R25" s="408">
        <v>156667.19999999998</v>
      </c>
      <c r="S25" s="408">
        <v>0</v>
      </c>
      <c r="T25" s="409">
        <v>306250.41781334911</v>
      </c>
      <c r="U25" s="409">
        <v>375847.23591361142</v>
      </c>
      <c r="V25" s="410">
        <v>0.8148268459894723</v>
      </c>
      <c r="W25" s="409">
        <v>-69596.818100262317</v>
      </c>
      <c r="X25" s="409">
        <v>306250.41781334911</v>
      </c>
      <c r="Y25" s="409">
        <v>375847.23591361142</v>
      </c>
      <c r="Z25" s="410">
        <v>0.8148268459894723</v>
      </c>
      <c r="AA25" s="409">
        <v>-69596.818100262317</v>
      </c>
      <c r="AB25" s="409">
        <v>266304.71114204271</v>
      </c>
      <c r="AC25" s="409">
        <v>144736.27612838111</v>
      </c>
      <c r="AD25" s="410">
        <v>1.839930653638141</v>
      </c>
      <c r="AE25" s="409">
        <v>121568.4350136616</v>
      </c>
      <c r="AF25" s="409">
        <v>145305.65801764579</v>
      </c>
      <c r="AG25" s="409">
        <v>536158.68175978807</v>
      </c>
      <c r="AH25" s="410">
        <v>0.27101241285643529</v>
      </c>
      <c r="AI25" s="409">
        <v>-390853.02374214225</v>
      </c>
      <c r="AJ25" s="409">
        <v>266304.71114204271</v>
      </c>
      <c r="AK25" s="409">
        <v>145135.41283275565</v>
      </c>
      <c r="AL25" s="410">
        <v>1.8348706628127653</v>
      </c>
      <c r="AM25" s="409">
        <v>121169.29830928706</v>
      </c>
      <c r="AN25" s="411">
        <v>952.58924556404486</v>
      </c>
      <c r="AO25" s="411">
        <v>3658248.4470837191</v>
      </c>
      <c r="AP25" s="409">
        <v>144736.27612838111</v>
      </c>
      <c r="AQ25" s="409">
        <v>151.93985949597848</v>
      </c>
      <c r="AR25" s="409">
        <v>3.9564364810640983E-2</v>
      </c>
    </row>
    <row r="26" spans="1:44" s="388" customFormat="1">
      <c r="A26" s="402" t="s">
        <v>231</v>
      </c>
      <c r="B26" s="402" t="s">
        <v>370</v>
      </c>
      <c r="C26" s="402" t="s">
        <v>12</v>
      </c>
      <c r="D26" s="402" t="s">
        <v>377</v>
      </c>
      <c r="E26" s="402" t="s">
        <v>383</v>
      </c>
      <c r="F26" s="402" t="s">
        <v>384</v>
      </c>
      <c r="G26" s="402" t="s">
        <v>374</v>
      </c>
      <c r="H26" s="402" t="s">
        <v>380</v>
      </c>
      <c r="I26" s="403">
        <v>2020</v>
      </c>
      <c r="J26" s="404">
        <v>22</v>
      </c>
      <c r="K26" s="405">
        <v>7833.36</v>
      </c>
      <c r="L26" s="405">
        <v>0</v>
      </c>
      <c r="M26" s="406" t="s">
        <v>251</v>
      </c>
      <c r="N26" s="406" t="s">
        <v>251</v>
      </c>
      <c r="O26" s="406" t="s">
        <v>376</v>
      </c>
      <c r="P26" s="407">
        <v>0.70099999999999996</v>
      </c>
      <c r="Q26" s="407">
        <v>0.68200000000000005</v>
      </c>
      <c r="R26" s="408">
        <v>172333.91999999998</v>
      </c>
      <c r="S26" s="408">
        <v>0</v>
      </c>
      <c r="T26" s="409">
        <v>337802.51488070661</v>
      </c>
      <c r="U26" s="409">
        <v>405325.45049507107</v>
      </c>
      <c r="V26" s="410">
        <v>0.8334105703653919</v>
      </c>
      <c r="W26" s="409">
        <v>-67522.935614364455</v>
      </c>
      <c r="X26" s="409">
        <v>337802.51488070661</v>
      </c>
      <c r="Y26" s="409">
        <v>405325.45049507107</v>
      </c>
      <c r="Z26" s="410">
        <v>0.8334105703653919</v>
      </c>
      <c r="AA26" s="409">
        <v>-67522.935614364455</v>
      </c>
      <c r="AB26" s="409">
        <v>293741.31728757103</v>
      </c>
      <c r="AC26" s="409">
        <v>156088.14092276394</v>
      </c>
      <c r="AD26" s="410">
        <v>1.8818938809254004</v>
      </c>
      <c r="AE26" s="409">
        <v>137653.17636480709</v>
      </c>
      <c r="AF26" s="409">
        <v>156712.50284313437</v>
      </c>
      <c r="AG26" s="409">
        <v>578210.34307428123</v>
      </c>
      <c r="AH26" s="410">
        <v>0.2710302655775943</v>
      </c>
      <c r="AI26" s="409">
        <v>-421497.8402311469</v>
      </c>
      <c r="AJ26" s="409">
        <v>293741.31728757103</v>
      </c>
      <c r="AK26" s="409">
        <v>156525.81862894358</v>
      </c>
      <c r="AL26" s="410">
        <v>1.8766317267051469</v>
      </c>
      <c r="AM26" s="409">
        <v>137215.49865862745</v>
      </c>
      <c r="AN26" s="411">
        <v>1027.302127569068</v>
      </c>
      <c r="AO26" s="411">
        <v>3945169.8939138162</v>
      </c>
      <c r="AP26" s="409">
        <v>156088.14092276394</v>
      </c>
      <c r="AQ26" s="409">
        <v>151.93985949597845</v>
      </c>
      <c r="AR26" s="409">
        <v>3.9564364810640962E-2</v>
      </c>
    </row>
    <row r="27" spans="1:44" s="388" customFormat="1">
      <c r="A27" s="402" t="s">
        <v>231</v>
      </c>
      <c r="B27" s="402" t="s">
        <v>370</v>
      </c>
      <c r="C27" s="402" t="s">
        <v>12</v>
      </c>
      <c r="D27" s="402" t="s">
        <v>371</v>
      </c>
      <c r="E27" s="402" t="s">
        <v>385</v>
      </c>
      <c r="F27" s="402" t="s">
        <v>386</v>
      </c>
      <c r="G27" s="402" t="s">
        <v>374</v>
      </c>
      <c r="H27" s="402" t="s">
        <v>375</v>
      </c>
      <c r="I27" s="403">
        <v>2015</v>
      </c>
      <c r="J27" s="404">
        <v>0</v>
      </c>
      <c r="K27" s="405">
        <v>4690.04</v>
      </c>
      <c r="L27" s="405">
        <v>0</v>
      </c>
      <c r="M27" s="406" t="s">
        <v>251</v>
      </c>
      <c r="N27" s="406" t="s">
        <v>251</v>
      </c>
      <c r="O27" s="406" t="s">
        <v>376</v>
      </c>
      <c r="P27" s="407">
        <v>0.68</v>
      </c>
      <c r="Q27" s="407">
        <v>0.73099999999999998</v>
      </c>
      <c r="R27" s="408">
        <v>0</v>
      </c>
      <c r="S27" s="408">
        <v>0</v>
      </c>
      <c r="T27" s="409">
        <v>0</v>
      </c>
      <c r="U27" s="409">
        <v>0</v>
      </c>
      <c r="V27" s="410" t="e">
        <v>#DIV/0!</v>
      </c>
      <c r="W27" s="409">
        <v>0</v>
      </c>
      <c r="X27" s="409">
        <v>0</v>
      </c>
      <c r="Y27" s="409">
        <v>0</v>
      </c>
      <c r="Z27" s="410" t="e">
        <v>#DIV/0!</v>
      </c>
      <c r="AA27" s="409">
        <v>0</v>
      </c>
      <c r="AB27" s="409">
        <v>0</v>
      </c>
      <c r="AC27" s="409">
        <v>0</v>
      </c>
      <c r="AD27" s="410" t="e">
        <v>#DIV/0!</v>
      </c>
      <c r="AE27" s="409">
        <v>0</v>
      </c>
      <c r="AF27" s="409">
        <v>0</v>
      </c>
      <c r="AG27" s="409">
        <v>0</v>
      </c>
      <c r="AH27" s="410" t="e">
        <v>#DIV/0!</v>
      </c>
      <c r="AI27" s="409">
        <v>0</v>
      </c>
      <c r="AJ27" s="409">
        <v>0</v>
      </c>
      <c r="AK27" s="409">
        <v>0</v>
      </c>
      <c r="AL27" s="410" t="e">
        <v>#DIV/0!</v>
      </c>
      <c r="AM27" s="409">
        <v>0</v>
      </c>
      <c r="AN27" s="411">
        <v>0</v>
      </c>
      <c r="AO27" s="411">
        <v>0</v>
      </c>
      <c r="AP27" s="409">
        <v>0</v>
      </c>
      <c r="AQ27" s="409" t="e">
        <v>#DIV/0!</v>
      </c>
      <c r="AR27" s="409" t="e">
        <v>#DIV/0!</v>
      </c>
    </row>
    <row r="28" spans="1:44" s="388" customFormat="1">
      <c r="A28" s="402" t="s">
        <v>231</v>
      </c>
      <c r="B28" s="402" t="s">
        <v>370</v>
      </c>
      <c r="C28" s="402" t="s">
        <v>12</v>
      </c>
      <c r="D28" s="402" t="s">
        <v>371</v>
      </c>
      <c r="E28" s="402" t="s">
        <v>385</v>
      </c>
      <c r="F28" s="402" t="s">
        <v>386</v>
      </c>
      <c r="G28" s="402" t="s">
        <v>374</v>
      </c>
      <c r="H28" s="402" t="s">
        <v>375</v>
      </c>
      <c r="I28" s="403">
        <v>2016</v>
      </c>
      <c r="J28" s="404">
        <v>22</v>
      </c>
      <c r="K28" s="405">
        <v>4690.04</v>
      </c>
      <c r="L28" s="405">
        <v>0</v>
      </c>
      <c r="M28" s="406" t="s">
        <v>251</v>
      </c>
      <c r="N28" s="406" t="s">
        <v>251</v>
      </c>
      <c r="O28" s="406" t="s">
        <v>376</v>
      </c>
      <c r="P28" s="407">
        <v>0.68</v>
      </c>
      <c r="Q28" s="407">
        <v>0.73099999999999998</v>
      </c>
      <c r="R28" s="408">
        <v>103180.88</v>
      </c>
      <c r="S28" s="408">
        <v>0</v>
      </c>
      <c r="T28" s="409">
        <v>394013.43008437561</v>
      </c>
      <c r="U28" s="409">
        <v>734963.38666666672</v>
      </c>
      <c r="V28" s="410">
        <v>0.53609939927943018</v>
      </c>
      <c r="W28" s="409">
        <v>-340949.95658229111</v>
      </c>
      <c r="X28" s="409">
        <v>394013.43008437561</v>
      </c>
      <c r="Y28" s="409">
        <v>734963.38666666672</v>
      </c>
      <c r="Z28" s="410">
        <v>0.53609939927943018</v>
      </c>
      <c r="AA28" s="409">
        <v>-340949.95658229111</v>
      </c>
      <c r="AB28" s="409">
        <v>310506.00046196498</v>
      </c>
      <c r="AC28" s="409">
        <v>101157.72549019608</v>
      </c>
      <c r="AD28" s="410">
        <v>3.0695233503649537</v>
      </c>
      <c r="AE28" s="409">
        <v>209348.2749717689</v>
      </c>
      <c r="AF28" s="409">
        <v>102230.48447000018</v>
      </c>
      <c r="AG28" s="409">
        <v>1080828.5098039214</v>
      </c>
      <c r="AH28" s="410">
        <v>9.4585295949073667E-2</v>
      </c>
      <c r="AI28" s="409">
        <v>-978598.02533392131</v>
      </c>
      <c r="AJ28" s="409">
        <v>342620.37398641359</v>
      </c>
      <c r="AK28" s="409">
        <v>101887.20159646287</v>
      </c>
      <c r="AL28" s="410">
        <v>3.3627420188004069</v>
      </c>
      <c r="AM28" s="409">
        <v>240733.17238995072</v>
      </c>
      <c r="AN28" s="411">
        <v>732.25631525972699</v>
      </c>
      <c r="AO28" s="411">
        <v>7608387.2009869814</v>
      </c>
      <c r="AP28" s="409">
        <v>101157.72549019608</v>
      </c>
      <c r="AQ28" s="409">
        <v>138.14524147096776</v>
      </c>
      <c r="AR28" s="409">
        <v>1.3295554342590979E-2</v>
      </c>
    </row>
    <row r="29" spans="1:44" s="388" customFormat="1">
      <c r="A29" s="402" t="s">
        <v>231</v>
      </c>
      <c r="B29" s="402" t="s">
        <v>370</v>
      </c>
      <c r="C29" s="402" t="s">
        <v>12</v>
      </c>
      <c r="D29" s="402" t="s">
        <v>371</v>
      </c>
      <c r="E29" s="402" t="s">
        <v>385</v>
      </c>
      <c r="F29" s="402" t="s">
        <v>386</v>
      </c>
      <c r="G29" s="402" t="s">
        <v>374</v>
      </c>
      <c r="H29" s="402" t="s">
        <v>375</v>
      </c>
      <c r="I29" s="403">
        <v>2017</v>
      </c>
      <c r="J29" s="404">
        <v>24</v>
      </c>
      <c r="K29" s="405">
        <v>4690.04</v>
      </c>
      <c r="L29" s="405">
        <v>0</v>
      </c>
      <c r="M29" s="406" t="s">
        <v>251</v>
      </c>
      <c r="N29" s="406" t="s">
        <v>251</v>
      </c>
      <c r="O29" s="406" t="s">
        <v>376</v>
      </c>
      <c r="P29" s="407">
        <v>0.68</v>
      </c>
      <c r="Q29" s="407">
        <v>0.73099999999999998</v>
      </c>
      <c r="R29" s="408">
        <v>112560.95999999999</v>
      </c>
      <c r="S29" s="408">
        <v>0</v>
      </c>
      <c r="T29" s="409">
        <v>447312.42339687783</v>
      </c>
      <c r="U29" s="409">
        <v>786057.09803921578</v>
      </c>
      <c r="V29" s="410">
        <v>0.56905843673783829</v>
      </c>
      <c r="W29" s="409">
        <v>-338744.67464233795</v>
      </c>
      <c r="X29" s="409">
        <v>447312.42339687783</v>
      </c>
      <c r="Y29" s="409">
        <v>786057.09803921578</v>
      </c>
      <c r="Z29" s="410">
        <v>0.56905843673783829</v>
      </c>
      <c r="AA29" s="409">
        <v>-338744.67464233795</v>
      </c>
      <c r="AB29" s="409">
        <v>353933.46266626602</v>
      </c>
      <c r="AC29" s="409">
        <v>108190.08073817762</v>
      </c>
      <c r="AD29" s="410">
        <v>3.2714039979579348</v>
      </c>
      <c r="AE29" s="409">
        <v>245743.38192808838</v>
      </c>
      <c r="AF29" s="409">
        <v>109358.70095687181</v>
      </c>
      <c r="AG29" s="409">
        <v>1155966.3206459056</v>
      </c>
      <c r="AH29" s="410">
        <v>9.4603708606118164E-2</v>
      </c>
      <c r="AI29" s="409">
        <v>-1046607.6196890337</v>
      </c>
      <c r="AJ29" s="409">
        <v>388967.32469293725</v>
      </c>
      <c r="AK29" s="409">
        <v>108984.74248688968</v>
      </c>
      <c r="AL29" s="410">
        <v>3.5690071455619403</v>
      </c>
      <c r="AM29" s="409">
        <v>279982.58220604761</v>
      </c>
      <c r="AN29" s="411">
        <v>783.16183450238168</v>
      </c>
      <c r="AO29" s="411">
        <v>8137312.5144245792</v>
      </c>
      <c r="AP29" s="409">
        <v>108190.08073817762</v>
      </c>
      <c r="AQ29" s="409">
        <v>138.14524147096779</v>
      </c>
      <c r="AR29" s="409">
        <v>1.3295554342590978E-2</v>
      </c>
    </row>
    <row r="30" spans="1:44" s="388" customFormat="1">
      <c r="A30" s="402" t="s">
        <v>231</v>
      </c>
      <c r="B30" s="402" t="s">
        <v>370</v>
      </c>
      <c r="C30" s="402" t="s">
        <v>12</v>
      </c>
      <c r="D30" s="402" t="s">
        <v>371</v>
      </c>
      <c r="E30" s="402" t="s">
        <v>385</v>
      </c>
      <c r="F30" s="402" t="s">
        <v>386</v>
      </c>
      <c r="G30" s="402" t="s">
        <v>374</v>
      </c>
      <c r="H30" s="402" t="s">
        <v>375</v>
      </c>
      <c r="I30" s="403">
        <v>2018</v>
      </c>
      <c r="J30" s="404">
        <v>26</v>
      </c>
      <c r="K30" s="405">
        <v>4690.04</v>
      </c>
      <c r="L30" s="405">
        <v>0</v>
      </c>
      <c r="M30" s="406" t="s">
        <v>251</v>
      </c>
      <c r="N30" s="406" t="s">
        <v>251</v>
      </c>
      <c r="O30" s="406" t="s">
        <v>376</v>
      </c>
      <c r="P30" s="407">
        <v>0.68</v>
      </c>
      <c r="Q30" s="407">
        <v>0.73099999999999998</v>
      </c>
      <c r="R30" s="408">
        <v>121941.04</v>
      </c>
      <c r="S30" s="408">
        <v>0</v>
      </c>
      <c r="T30" s="409">
        <v>490579.01755866368</v>
      </c>
      <c r="U30" s="409">
        <v>834864.56491093186</v>
      </c>
      <c r="V30" s="410">
        <v>0.58761509133041412</v>
      </c>
      <c r="W30" s="409">
        <v>-344285.54735226819</v>
      </c>
      <c r="X30" s="409">
        <v>490579.01755866368</v>
      </c>
      <c r="Y30" s="409">
        <v>834864.56491093186</v>
      </c>
      <c r="Z30" s="410">
        <v>0.58761509133041412</v>
      </c>
      <c r="AA30" s="409">
        <v>-344285.54735226819</v>
      </c>
      <c r="AB30" s="409">
        <v>388637.09952211805</v>
      </c>
      <c r="AC30" s="409">
        <v>114907.76548989455</v>
      </c>
      <c r="AD30" s="410">
        <v>3.3821656688319846</v>
      </c>
      <c r="AE30" s="409">
        <v>273729.3340322235</v>
      </c>
      <c r="AF30" s="409">
        <v>116171.65661089856</v>
      </c>
      <c r="AG30" s="409">
        <v>1227742.0072219586</v>
      </c>
      <c r="AH30" s="410">
        <v>9.4622205583535388E-2</v>
      </c>
      <c r="AI30" s="409">
        <v>-1111570.3506110599</v>
      </c>
      <c r="AJ30" s="409">
        <v>426590.45005101187</v>
      </c>
      <c r="AK30" s="409">
        <v>115767.21145217727</v>
      </c>
      <c r="AL30" s="410">
        <v>3.6848987265036937</v>
      </c>
      <c r="AM30" s="409">
        <v>310823.23859883461</v>
      </c>
      <c r="AN30" s="411">
        <v>831.78953010873886</v>
      </c>
      <c r="AO30" s="411">
        <v>8642570.4810064975</v>
      </c>
      <c r="AP30" s="409">
        <v>114907.76548989455</v>
      </c>
      <c r="AQ30" s="409">
        <v>138.14524147096776</v>
      </c>
      <c r="AR30" s="409">
        <v>1.3295554342590979E-2</v>
      </c>
    </row>
    <row r="31" spans="1:44" s="388" customFormat="1">
      <c r="A31" s="402" t="s">
        <v>231</v>
      </c>
      <c r="B31" s="402" t="s">
        <v>370</v>
      </c>
      <c r="C31" s="402" t="s">
        <v>12</v>
      </c>
      <c r="D31" s="402" t="s">
        <v>371</v>
      </c>
      <c r="E31" s="402" t="s">
        <v>385</v>
      </c>
      <c r="F31" s="402" t="s">
        <v>386</v>
      </c>
      <c r="G31" s="402" t="s">
        <v>374</v>
      </c>
      <c r="H31" s="402" t="s">
        <v>375</v>
      </c>
      <c r="I31" s="403">
        <v>2019</v>
      </c>
      <c r="J31" s="404">
        <v>28</v>
      </c>
      <c r="K31" s="405">
        <v>4690.04</v>
      </c>
      <c r="L31" s="405">
        <v>0</v>
      </c>
      <c r="M31" s="406" t="s">
        <v>251</v>
      </c>
      <c r="N31" s="406" t="s">
        <v>251</v>
      </c>
      <c r="O31" s="406" t="s">
        <v>376</v>
      </c>
      <c r="P31" s="407">
        <v>0.68</v>
      </c>
      <c r="Q31" s="407">
        <v>0.73099999999999998</v>
      </c>
      <c r="R31" s="408">
        <v>131321.12</v>
      </c>
      <c r="S31" s="408">
        <v>0</v>
      </c>
      <c r="T31" s="409">
        <v>536245.07923313766</v>
      </c>
      <c r="U31" s="409">
        <v>881455.8000567907</v>
      </c>
      <c r="V31" s="410">
        <v>0.60836298223755325</v>
      </c>
      <c r="W31" s="409">
        <v>-345210.72082365304</v>
      </c>
      <c r="X31" s="409">
        <v>536245.07923313766</v>
      </c>
      <c r="Y31" s="409">
        <v>881455.8000567907</v>
      </c>
      <c r="Z31" s="410">
        <v>0.60836298223755325</v>
      </c>
      <c r="AA31" s="409">
        <v>-345210.72082365304</v>
      </c>
      <c r="AB31" s="409">
        <v>425427.22986726416</v>
      </c>
      <c r="AC31" s="409">
        <v>121320.41605267901</v>
      </c>
      <c r="AD31" s="410">
        <v>3.5066416989745384</v>
      </c>
      <c r="AE31" s="409">
        <v>304106.81381458516</v>
      </c>
      <c r="AF31" s="409">
        <v>122678.3107108573</v>
      </c>
      <c r="AG31" s="409">
        <v>1296258.5294952802</v>
      </c>
      <c r="AH31" s="410">
        <v>9.4640311264624147E-2</v>
      </c>
      <c r="AI31" s="409">
        <v>-1173580.2187844228</v>
      </c>
      <c r="AJ31" s="409">
        <v>466300.06889838062</v>
      </c>
      <c r="AK31" s="409">
        <v>122243.78442024023</v>
      </c>
      <c r="AL31" s="410">
        <v>3.8145094338324008</v>
      </c>
      <c r="AM31" s="409">
        <v>344056.28447814041</v>
      </c>
      <c r="AN31" s="411">
        <v>878.20915697755242</v>
      </c>
      <c r="AO31" s="411">
        <v>9124885.8773824275</v>
      </c>
      <c r="AP31" s="409">
        <v>121320.41605267901</v>
      </c>
      <c r="AQ31" s="409">
        <v>138.14524147096776</v>
      </c>
      <c r="AR31" s="409">
        <v>1.3295554342590978E-2</v>
      </c>
    </row>
    <row r="32" spans="1:44" s="388" customFormat="1">
      <c r="A32" s="402" t="s">
        <v>231</v>
      </c>
      <c r="B32" s="402" t="s">
        <v>370</v>
      </c>
      <c r="C32" s="402" t="s">
        <v>12</v>
      </c>
      <c r="D32" s="402" t="s">
        <v>371</v>
      </c>
      <c r="E32" s="402" t="s">
        <v>385</v>
      </c>
      <c r="F32" s="402" t="s">
        <v>386</v>
      </c>
      <c r="G32" s="402" t="s">
        <v>374</v>
      </c>
      <c r="H32" s="402" t="s">
        <v>375</v>
      </c>
      <c r="I32" s="403">
        <v>2020</v>
      </c>
      <c r="J32" s="404">
        <v>30</v>
      </c>
      <c r="K32" s="405">
        <v>4690.04</v>
      </c>
      <c r="L32" s="405">
        <v>0</v>
      </c>
      <c r="M32" s="406" t="s">
        <v>251</v>
      </c>
      <c r="N32" s="406" t="s">
        <v>251</v>
      </c>
      <c r="O32" s="406" t="s">
        <v>376</v>
      </c>
      <c r="P32" s="407">
        <v>0.68</v>
      </c>
      <c r="Q32" s="407">
        <v>0.73099999999999998</v>
      </c>
      <c r="R32" s="408">
        <v>140701.20000000001</v>
      </c>
      <c r="S32" s="408">
        <v>0</v>
      </c>
      <c r="T32" s="409">
        <v>579457.15381571627</v>
      </c>
      <c r="U32" s="409">
        <v>925898.94963948592</v>
      </c>
      <c r="V32" s="410">
        <v>0.62583195935294833</v>
      </c>
      <c r="W32" s="409">
        <v>-346441.79582376964</v>
      </c>
      <c r="X32" s="409">
        <v>579457.15381571627</v>
      </c>
      <c r="Y32" s="409">
        <v>925898.94963948592</v>
      </c>
      <c r="Z32" s="410">
        <v>0.62583195935294833</v>
      </c>
      <c r="AA32" s="409">
        <v>-346441.79582376964</v>
      </c>
      <c r="AB32" s="409">
        <v>460083.45839337085</v>
      </c>
      <c r="AC32" s="409">
        <v>127437.41182004096</v>
      </c>
      <c r="AD32" s="410">
        <v>3.610269949950581</v>
      </c>
      <c r="AE32" s="409">
        <v>332646.04657332989</v>
      </c>
      <c r="AF32" s="409">
        <v>128885.77777370527</v>
      </c>
      <c r="AG32" s="409">
        <v>1361616.1024110084</v>
      </c>
      <c r="AH32" s="410">
        <v>9.4656472955547244E-2</v>
      </c>
      <c r="AI32" s="409">
        <v>-1232730.3246373031</v>
      </c>
      <c r="AJ32" s="409">
        <v>503875.78592670982</v>
      </c>
      <c r="AK32" s="409">
        <v>128422.3006685327</v>
      </c>
      <c r="AL32" s="410">
        <v>3.9235847925451037</v>
      </c>
      <c r="AM32" s="409">
        <v>375453.48525817716</v>
      </c>
      <c r="AN32" s="411">
        <v>922.4886102705384</v>
      </c>
      <c r="AO32" s="411">
        <v>9584964.1569143161</v>
      </c>
      <c r="AP32" s="409">
        <v>127437.41182004096</v>
      </c>
      <c r="AQ32" s="409">
        <v>138.1452414709677</v>
      </c>
      <c r="AR32" s="409">
        <v>1.3295554342590972E-2</v>
      </c>
    </row>
    <row r="33" spans="1:44" s="388" customFormat="1">
      <c r="A33" s="402" t="s">
        <v>231</v>
      </c>
      <c r="B33" s="402" t="s">
        <v>370</v>
      </c>
      <c r="C33" s="402" t="s">
        <v>12</v>
      </c>
      <c r="D33" s="402" t="s">
        <v>377</v>
      </c>
      <c r="E33" s="402" t="s">
        <v>387</v>
      </c>
      <c r="F33" s="402" t="s">
        <v>388</v>
      </c>
      <c r="G33" s="402" t="s">
        <v>374</v>
      </c>
      <c r="H33" s="402" t="s">
        <v>380</v>
      </c>
      <c r="I33" s="403">
        <v>2015</v>
      </c>
      <c r="J33" s="404">
        <v>0</v>
      </c>
      <c r="K33" s="405">
        <v>17310.060000000001</v>
      </c>
      <c r="L33" s="405">
        <v>0</v>
      </c>
      <c r="M33" s="406" t="s">
        <v>251</v>
      </c>
      <c r="N33" s="406" t="s">
        <v>251</v>
      </c>
      <c r="O33" s="406" t="s">
        <v>376</v>
      </c>
      <c r="P33" s="407">
        <v>0.65600000000000003</v>
      </c>
      <c r="Q33" s="407">
        <v>0.65</v>
      </c>
      <c r="R33" s="408">
        <v>0</v>
      </c>
      <c r="S33" s="408">
        <v>0</v>
      </c>
      <c r="T33" s="409">
        <v>0</v>
      </c>
      <c r="U33" s="409">
        <v>0</v>
      </c>
      <c r="V33" s="410" t="e">
        <v>#DIV/0!</v>
      </c>
      <c r="W33" s="409">
        <v>0</v>
      </c>
      <c r="X33" s="409">
        <v>0</v>
      </c>
      <c r="Y33" s="409">
        <v>0</v>
      </c>
      <c r="Z33" s="410" t="e">
        <v>#DIV/0!</v>
      </c>
      <c r="AA33" s="409">
        <v>0</v>
      </c>
      <c r="AB33" s="409">
        <v>0</v>
      </c>
      <c r="AC33" s="409">
        <v>0</v>
      </c>
      <c r="AD33" s="410" t="e">
        <v>#DIV/0!</v>
      </c>
      <c r="AE33" s="409">
        <v>0</v>
      </c>
      <c r="AF33" s="409">
        <v>0</v>
      </c>
      <c r="AG33" s="409">
        <v>0</v>
      </c>
      <c r="AH33" s="410" t="e">
        <v>#DIV/0!</v>
      </c>
      <c r="AI33" s="409">
        <v>0</v>
      </c>
      <c r="AJ33" s="409">
        <v>0</v>
      </c>
      <c r="AK33" s="409">
        <v>0</v>
      </c>
      <c r="AL33" s="410" t="e">
        <v>#DIV/0!</v>
      </c>
      <c r="AM33" s="409">
        <v>0</v>
      </c>
      <c r="AN33" s="411">
        <v>0</v>
      </c>
      <c r="AO33" s="411">
        <v>0</v>
      </c>
      <c r="AP33" s="409">
        <v>0</v>
      </c>
      <c r="AQ33" s="409" t="e">
        <v>#DIV/0!</v>
      </c>
      <c r="AR33" s="409" t="e">
        <v>#DIV/0!</v>
      </c>
    </row>
    <row r="34" spans="1:44" s="388" customFormat="1">
      <c r="A34" s="402" t="s">
        <v>231</v>
      </c>
      <c r="B34" s="402" t="s">
        <v>370</v>
      </c>
      <c r="C34" s="402" t="s">
        <v>12</v>
      </c>
      <c r="D34" s="402" t="s">
        <v>377</v>
      </c>
      <c r="E34" s="402" t="s">
        <v>387</v>
      </c>
      <c r="F34" s="402" t="s">
        <v>388</v>
      </c>
      <c r="G34" s="402" t="s">
        <v>374</v>
      </c>
      <c r="H34" s="402" t="s">
        <v>380</v>
      </c>
      <c r="I34" s="403">
        <v>2016</v>
      </c>
      <c r="J34" s="404">
        <v>8</v>
      </c>
      <c r="K34" s="405">
        <v>17310.060000000001</v>
      </c>
      <c r="L34" s="405">
        <v>0</v>
      </c>
      <c r="M34" s="406" t="s">
        <v>251</v>
      </c>
      <c r="N34" s="406" t="s">
        <v>251</v>
      </c>
      <c r="O34" s="406" t="s">
        <v>376</v>
      </c>
      <c r="P34" s="407">
        <v>0.65600000000000003</v>
      </c>
      <c r="Q34" s="407">
        <v>0.65</v>
      </c>
      <c r="R34" s="408">
        <v>138480.48000000001</v>
      </c>
      <c r="S34" s="408">
        <v>0</v>
      </c>
      <c r="T34" s="409">
        <v>606263.47343358421</v>
      </c>
      <c r="U34" s="409">
        <v>134866.70556862745</v>
      </c>
      <c r="V34" s="410">
        <v>4.4952790303392165</v>
      </c>
      <c r="W34" s="409">
        <v>471396.76786495675</v>
      </c>
      <c r="X34" s="409">
        <v>606263.47343358421</v>
      </c>
      <c r="Y34" s="409">
        <v>134866.70556862745</v>
      </c>
      <c r="Z34" s="410">
        <v>4.4952790303392165</v>
      </c>
      <c r="AA34" s="409">
        <v>471396.76786495675</v>
      </c>
      <c r="AB34" s="409">
        <v>527185.629072682</v>
      </c>
      <c r="AC34" s="409">
        <v>135765.17647058825</v>
      </c>
      <c r="AD34" s="410">
        <v>3.8830695969145657</v>
      </c>
      <c r="AE34" s="409">
        <v>391420.45260209375</v>
      </c>
      <c r="AF34" s="409">
        <v>137300.87070647805</v>
      </c>
      <c r="AG34" s="409">
        <v>205589.49019607843</v>
      </c>
      <c r="AH34" s="410">
        <v>0.66783992983069829</v>
      </c>
      <c r="AI34" s="409">
        <v>-68288.619489600387</v>
      </c>
      <c r="AJ34" s="409">
        <v>527185.629072682</v>
      </c>
      <c r="AK34" s="409">
        <v>136772.59188933196</v>
      </c>
      <c r="AL34" s="410">
        <v>3.8544683681892091</v>
      </c>
      <c r="AM34" s="409">
        <v>390413.03718335007</v>
      </c>
      <c r="AN34" s="411">
        <v>1804.7569891928911</v>
      </c>
      <c r="AO34" s="411">
        <v>10434115.107751876</v>
      </c>
      <c r="AP34" s="409">
        <v>135765.17647058825</v>
      </c>
      <c r="AQ34" s="409">
        <v>75.226292117757126</v>
      </c>
      <c r="AR34" s="409">
        <v>1.3011661752679291E-2</v>
      </c>
    </row>
    <row r="35" spans="1:44" s="388" customFormat="1">
      <c r="A35" s="402" t="s">
        <v>231</v>
      </c>
      <c r="B35" s="402" t="s">
        <v>370</v>
      </c>
      <c r="C35" s="402" t="s">
        <v>12</v>
      </c>
      <c r="D35" s="402" t="s">
        <v>377</v>
      </c>
      <c r="E35" s="402" t="s">
        <v>387</v>
      </c>
      <c r="F35" s="402" t="s">
        <v>388</v>
      </c>
      <c r="G35" s="402" t="s">
        <v>374</v>
      </c>
      <c r="H35" s="402" t="s">
        <v>380</v>
      </c>
      <c r="I35" s="403">
        <v>2017</v>
      </c>
      <c r="J35" s="404">
        <v>10</v>
      </c>
      <c r="K35" s="405">
        <v>17310.060000000001</v>
      </c>
      <c r="L35" s="405">
        <v>0</v>
      </c>
      <c r="M35" s="406" t="s">
        <v>251</v>
      </c>
      <c r="N35" s="406" t="s">
        <v>251</v>
      </c>
      <c r="O35" s="406" t="s">
        <v>376</v>
      </c>
      <c r="P35" s="407">
        <v>0.65600000000000003</v>
      </c>
      <c r="Q35" s="407">
        <v>0.65</v>
      </c>
      <c r="R35" s="408">
        <v>173100.6</v>
      </c>
      <c r="S35" s="408">
        <v>0</v>
      </c>
      <c r="T35" s="409">
        <v>788351.97433668422</v>
      </c>
      <c r="U35" s="409">
        <v>165277.82545174935</v>
      </c>
      <c r="V35" s="410">
        <v>4.7698593092080159</v>
      </c>
      <c r="W35" s="409">
        <v>623074.14888493484</v>
      </c>
      <c r="X35" s="409">
        <v>788351.97433668422</v>
      </c>
      <c r="Y35" s="409">
        <v>165277.82545174935</v>
      </c>
      <c r="Z35" s="410">
        <v>4.7698593092080159</v>
      </c>
      <c r="AA35" s="409">
        <v>623074.14888493484</v>
      </c>
      <c r="AB35" s="409">
        <v>685523.45594494278</v>
      </c>
      <c r="AC35" s="409">
        <v>166378.89273356402</v>
      </c>
      <c r="AD35" s="410">
        <v>4.1202549474994221</v>
      </c>
      <c r="AE35" s="409">
        <v>519144.56321137876</v>
      </c>
      <c r="AF35" s="409">
        <v>168297.20735950751</v>
      </c>
      <c r="AG35" s="409">
        <v>251947.9046520569</v>
      </c>
      <c r="AH35" s="410">
        <v>0.66798415169170777</v>
      </c>
      <c r="AI35" s="409">
        <v>-83650.69729254939</v>
      </c>
      <c r="AJ35" s="409">
        <v>685523.45594494278</v>
      </c>
      <c r="AK35" s="409">
        <v>167637.30712818296</v>
      </c>
      <c r="AL35" s="410">
        <v>4.0893251489703362</v>
      </c>
      <c r="AM35" s="409">
        <v>517886.14881675981</v>
      </c>
      <c r="AN35" s="411">
        <v>2211.7119965599145</v>
      </c>
      <c r="AO35" s="411">
        <v>12786905.769303765</v>
      </c>
      <c r="AP35" s="409">
        <v>166378.89273356402</v>
      </c>
      <c r="AQ35" s="409">
        <v>75.22629211775714</v>
      </c>
      <c r="AR35" s="409">
        <v>1.3011661752679295E-2</v>
      </c>
    </row>
    <row r="36" spans="1:44" s="388" customFormat="1">
      <c r="A36" s="402" t="s">
        <v>231</v>
      </c>
      <c r="B36" s="402" t="s">
        <v>370</v>
      </c>
      <c r="C36" s="402" t="s">
        <v>12</v>
      </c>
      <c r="D36" s="402" t="s">
        <v>377</v>
      </c>
      <c r="E36" s="402" t="s">
        <v>387</v>
      </c>
      <c r="F36" s="402" t="s">
        <v>388</v>
      </c>
      <c r="G36" s="402" t="s">
        <v>374</v>
      </c>
      <c r="H36" s="402" t="s">
        <v>380</v>
      </c>
      <c r="I36" s="403">
        <v>2018</v>
      </c>
      <c r="J36" s="404">
        <v>12</v>
      </c>
      <c r="K36" s="405">
        <v>17310.060000000001</v>
      </c>
      <c r="L36" s="405">
        <v>0</v>
      </c>
      <c r="M36" s="406" t="s">
        <v>251</v>
      </c>
      <c r="N36" s="406" t="s">
        <v>251</v>
      </c>
      <c r="O36" s="406" t="s">
        <v>376</v>
      </c>
      <c r="P36" s="407">
        <v>0.65600000000000003</v>
      </c>
      <c r="Q36" s="407">
        <v>0.65</v>
      </c>
      <c r="R36" s="408">
        <v>207720.72000000003</v>
      </c>
      <c r="S36" s="408">
        <v>0</v>
      </c>
      <c r="T36" s="409">
        <v>951828.91397452517</v>
      </c>
      <c r="U36" s="409">
        <v>194444.50053146982</v>
      </c>
      <c r="V36" s="410">
        <v>4.895118717026798</v>
      </c>
      <c r="W36" s="409">
        <v>757384.41344305535</v>
      </c>
      <c r="X36" s="409">
        <v>951828.91397452517</v>
      </c>
      <c r="Y36" s="409">
        <v>194444.50053146982</v>
      </c>
      <c r="Z36" s="410">
        <v>4.895118717026798</v>
      </c>
      <c r="AA36" s="409">
        <v>757384.41344305535</v>
      </c>
      <c r="AB36" s="409">
        <v>827677.31649958715</v>
      </c>
      <c r="AC36" s="409">
        <v>195739.87380419299</v>
      </c>
      <c r="AD36" s="410">
        <v>4.228455349509157</v>
      </c>
      <c r="AE36" s="409">
        <v>631937.44269539416</v>
      </c>
      <c r="AF36" s="409">
        <v>198039.16676089683</v>
      </c>
      <c r="AG36" s="409">
        <v>296409.2995906552</v>
      </c>
      <c r="AH36" s="410">
        <v>0.6681273733124814</v>
      </c>
      <c r="AI36" s="409">
        <v>-98370.132829758368</v>
      </c>
      <c r="AJ36" s="409">
        <v>827677.31649958715</v>
      </c>
      <c r="AK36" s="409">
        <v>197248.2099837907</v>
      </c>
      <c r="AL36" s="410">
        <v>4.1961207991068887</v>
      </c>
      <c r="AM36" s="409">
        <v>630429.10651579639</v>
      </c>
      <c r="AN36" s="411">
        <v>2602.0141135998992</v>
      </c>
      <c r="AO36" s="411">
        <v>15043418.552122075</v>
      </c>
      <c r="AP36" s="409">
        <v>195739.87380419299</v>
      </c>
      <c r="AQ36" s="409">
        <v>75.226292117757168</v>
      </c>
      <c r="AR36" s="409">
        <v>1.3011661752679298E-2</v>
      </c>
    </row>
    <row r="37" spans="1:44" s="388" customFormat="1">
      <c r="A37" s="402" t="s">
        <v>231</v>
      </c>
      <c r="B37" s="402" t="s">
        <v>370</v>
      </c>
      <c r="C37" s="402" t="s">
        <v>12</v>
      </c>
      <c r="D37" s="402" t="s">
        <v>377</v>
      </c>
      <c r="E37" s="402" t="s">
        <v>387</v>
      </c>
      <c r="F37" s="402" t="s">
        <v>388</v>
      </c>
      <c r="G37" s="402" t="s">
        <v>374</v>
      </c>
      <c r="H37" s="402" t="s">
        <v>380</v>
      </c>
      <c r="I37" s="403">
        <v>2019</v>
      </c>
      <c r="J37" s="404">
        <v>14</v>
      </c>
      <c r="K37" s="405">
        <v>17310.060000000001</v>
      </c>
      <c r="L37" s="405">
        <v>0</v>
      </c>
      <c r="M37" s="406" t="s">
        <v>251</v>
      </c>
      <c r="N37" s="406" t="s">
        <v>251</v>
      </c>
      <c r="O37" s="406" t="s">
        <v>376</v>
      </c>
      <c r="P37" s="407">
        <v>0.65600000000000003</v>
      </c>
      <c r="Q37" s="407">
        <v>0.65</v>
      </c>
      <c r="R37" s="408">
        <v>242340.84000000003</v>
      </c>
      <c r="S37" s="408">
        <v>0</v>
      </c>
      <c r="T37" s="409">
        <v>1120091.6481788307</v>
      </c>
      <c r="U37" s="409">
        <v>222403.84047717132</v>
      </c>
      <c r="V37" s="410">
        <v>5.0362963417162874</v>
      </c>
      <c r="W37" s="409">
        <v>897687.80770165939</v>
      </c>
      <c r="X37" s="409">
        <v>1120091.6481788307</v>
      </c>
      <c r="Y37" s="409">
        <v>222403.84047717132</v>
      </c>
      <c r="Z37" s="410">
        <v>5.0362963417162874</v>
      </c>
      <c r="AA37" s="409">
        <v>897687.80770165939</v>
      </c>
      <c r="AB37" s="409">
        <v>973992.73754680937</v>
      </c>
      <c r="AC37" s="409">
        <v>223885.47657342334</v>
      </c>
      <c r="AD37" s="410">
        <v>4.3504060757035665</v>
      </c>
      <c r="AE37" s="409">
        <v>750107.260973386</v>
      </c>
      <c r="AF37" s="409">
        <v>226563.55696140468</v>
      </c>
      <c r="AG37" s="409">
        <v>339030.24462983431</v>
      </c>
      <c r="AH37" s="410">
        <v>0.66826945545455718</v>
      </c>
      <c r="AI37" s="409">
        <v>-112466.68766842963</v>
      </c>
      <c r="AJ37" s="409">
        <v>973992.73754680937</v>
      </c>
      <c r="AK37" s="409">
        <v>225642.29730793909</v>
      </c>
      <c r="AL37" s="410">
        <v>4.316534396109164</v>
      </c>
      <c r="AM37" s="409">
        <v>748350.44023887021</v>
      </c>
      <c r="AN37" s="411">
        <v>2976.1599338560936</v>
      </c>
      <c r="AO37" s="411">
        <v>17206524.487721331</v>
      </c>
      <c r="AP37" s="409">
        <v>223885.47657342334</v>
      </c>
      <c r="AQ37" s="409">
        <v>75.226292117757168</v>
      </c>
      <c r="AR37" s="409">
        <v>1.3011661752679295E-2</v>
      </c>
    </row>
    <row r="38" spans="1:44" s="388" customFormat="1">
      <c r="A38" s="402" t="s">
        <v>231</v>
      </c>
      <c r="B38" s="402" t="s">
        <v>370</v>
      </c>
      <c r="C38" s="402" t="s">
        <v>12</v>
      </c>
      <c r="D38" s="402" t="s">
        <v>377</v>
      </c>
      <c r="E38" s="402" t="s">
        <v>387</v>
      </c>
      <c r="F38" s="402" t="s">
        <v>388</v>
      </c>
      <c r="G38" s="402" t="s">
        <v>374</v>
      </c>
      <c r="H38" s="402" t="s">
        <v>380</v>
      </c>
      <c r="I38" s="403">
        <v>2020</v>
      </c>
      <c r="J38" s="404">
        <v>16</v>
      </c>
      <c r="K38" s="405">
        <v>17310.060000000001</v>
      </c>
      <c r="L38" s="405">
        <v>0</v>
      </c>
      <c r="M38" s="406" t="s">
        <v>251</v>
      </c>
      <c r="N38" s="406" t="s">
        <v>251</v>
      </c>
      <c r="O38" s="406" t="s">
        <v>376</v>
      </c>
      <c r="P38" s="407">
        <v>0.65600000000000003</v>
      </c>
      <c r="Q38" s="407">
        <v>0.65</v>
      </c>
      <c r="R38" s="408">
        <v>276960.96000000002</v>
      </c>
      <c r="S38" s="408">
        <v>0</v>
      </c>
      <c r="T38" s="409">
        <v>1284344.2021014635</v>
      </c>
      <c r="U38" s="409">
        <v>249191.97812568216</v>
      </c>
      <c r="V38" s="410">
        <v>5.1540351008156984</v>
      </c>
      <c r="W38" s="409">
        <v>1035152.2239757814</v>
      </c>
      <c r="X38" s="409">
        <v>1284344.2021014635</v>
      </c>
      <c r="Y38" s="409">
        <v>249191.97812568216</v>
      </c>
      <c r="Z38" s="410">
        <v>5.1540351008156984</v>
      </c>
      <c r="AA38" s="409">
        <v>1035152.2239757814</v>
      </c>
      <c r="AB38" s="409">
        <v>1116821.0453056204</v>
      </c>
      <c r="AC38" s="409">
        <v>250852.07459207095</v>
      </c>
      <c r="AD38" s="410">
        <v>4.4521100617635527</v>
      </c>
      <c r="AE38" s="409">
        <v>865968.97071354953</v>
      </c>
      <c r="AF38" s="409">
        <v>253903.16888471707</v>
      </c>
      <c r="AG38" s="409">
        <v>379865.82031353988</v>
      </c>
      <c r="AH38" s="410">
        <v>0.66840224970792661</v>
      </c>
      <c r="AI38" s="409">
        <v>-125962.65142882281</v>
      </c>
      <c r="AJ38" s="409">
        <v>1116821.0453056204</v>
      </c>
      <c r="AK38" s="409">
        <v>252853.59244804681</v>
      </c>
      <c r="AL38" s="410">
        <v>4.416868411846238</v>
      </c>
      <c r="AM38" s="409">
        <v>863967.45285757363</v>
      </c>
      <c r="AN38" s="411">
        <v>3334.6329791104695</v>
      </c>
      <c r="AO38" s="411">
        <v>19279019.033861432</v>
      </c>
      <c r="AP38" s="409">
        <v>250852.07459207095</v>
      </c>
      <c r="AQ38" s="409">
        <v>75.226292117757154</v>
      </c>
      <c r="AR38" s="409">
        <v>1.3011661752679296E-2</v>
      </c>
    </row>
    <row r="39" spans="1:44" s="388" customFormat="1">
      <c r="A39" s="402" t="s">
        <v>231</v>
      </c>
      <c r="B39" s="402" t="s">
        <v>370</v>
      </c>
      <c r="C39" s="402" t="s">
        <v>241</v>
      </c>
      <c r="D39" s="402" t="s">
        <v>389</v>
      </c>
      <c r="E39" s="402" t="s">
        <v>390</v>
      </c>
      <c r="F39" s="402" t="s">
        <v>391</v>
      </c>
      <c r="G39" s="402" t="s">
        <v>374</v>
      </c>
      <c r="H39" s="402" t="s">
        <v>392</v>
      </c>
      <c r="I39" s="403">
        <v>2015</v>
      </c>
      <c r="J39" s="404">
        <v>50</v>
      </c>
      <c r="K39" s="405">
        <v>0</v>
      </c>
      <c r="L39" s="405">
        <v>0</v>
      </c>
      <c r="M39" s="406" t="s">
        <v>251</v>
      </c>
      <c r="N39" s="406" t="s">
        <v>251</v>
      </c>
      <c r="O39" s="406" t="s">
        <v>376</v>
      </c>
      <c r="P39" s="407">
        <v>0.51364279715878636</v>
      </c>
      <c r="Q39" s="407">
        <v>0.51364279715878636</v>
      </c>
      <c r="R39" s="408">
        <v>0</v>
      </c>
      <c r="S39" s="408">
        <v>0</v>
      </c>
      <c r="T39" s="409">
        <v>52376.872585984907</v>
      </c>
      <c r="U39" s="409">
        <v>12199.016432521175</v>
      </c>
      <c r="V39" s="410">
        <v>4.2935324233480161</v>
      </c>
      <c r="W39" s="409">
        <v>40177.856153463734</v>
      </c>
      <c r="X39" s="409">
        <v>52376.872585984907</v>
      </c>
      <c r="Y39" s="409">
        <v>12199.016432521175</v>
      </c>
      <c r="Z39" s="410">
        <v>4.2935324233480161</v>
      </c>
      <c r="AA39" s="409">
        <v>40177.856153463734</v>
      </c>
      <c r="AB39" s="409">
        <v>45545.106596508616</v>
      </c>
      <c r="AC39" s="409">
        <v>0</v>
      </c>
      <c r="AD39" s="410" t="e">
        <v>#DIV/0!</v>
      </c>
      <c r="AE39" s="409">
        <v>45545.106596508616</v>
      </c>
      <c r="AF39" s="409">
        <v>12.686592791706291</v>
      </c>
      <c r="AG39" s="409">
        <v>23749.999999999996</v>
      </c>
      <c r="AH39" s="410">
        <v>5.3417232807184386E-4</v>
      </c>
      <c r="AI39" s="409">
        <v>-23737.31340720829</v>
      </c>
      <c r="AJ39" s="409">
        <v>45545.106596508616</v>
      </c>
      <c r="AK39" s="409">
        <v>6.5163770079465149</v>
      </c>
      <c r="AL39" s="410">
        <v>6989.3295831361211</v>
      </c>
      <c r="AM39" s="409">
        <v>45538.590219500671</v>
      </c>
      <c r="AN39" s="411">
        <v>491.41771871376341</v>
      </c>
      <c r="AO39" s="411">
        <v>86658.259624733051</v>
      </c>
      <c r="AP39" s="409">
        <v>0</v>
      </c>
      <c r="AQ39" s="409">
        <v>0</v>
      </c>
      <c r="AR39" s="409">
        <v>0</v>
      </c>
    </row>
    <row r="40" spans="1:44" s="388" customFormat="1">
      <c r="A40" s="402" t="s">
        <v>231</v>
      </c>
      <c r="B40" s="402" t="s">
        <v>370</v>
      </c>
      <c r="C40" s="402" t="s">
        <v>241</v>
      </c>
      <c r="D40" s="402" t="s">
        <v>389</v>
      </c>
      <c r="E40" s="402" t="s">
        <v>390</v>
      </c>
      <c r="F40" s="402" t="s">
        <v>391</v>
      </c>
      <c r="G40" s="402" t="s">
        <v>374</v>
      </c>
      <c r="H40" s="402" t="s">
        <v>392</v>
      </c>
      <c r="I40" s="403">
        <v>2016</v>
      </c>
      <c r="J40" s="404">
        <v>10</v>
      </c>
      <c r="K40" s="405">
        <v>250</v>
      </c>
      <c r="L40" s="405">
        <v>13</v>
      </c>
      <c r="M40" s="406" t="s">
        <v>251</v>
      </c>
      <c r="N40" s="406" t="s">
        <v>251</v>
      </c>
      <c r="O40" s="406" t="s">
        <v>376</v>
      </c>
      <c r="P40" s="407">
        <v>0.51364279715878636</v>
      </c>
      <c r="Q40" s="407">
        <v>0.51364279715878636</v>
      </c>
      <c r="R40" s="408">
        <v>2500</v>
      </c>
      <c r="S40" s="408">
        <v>130</v>
      </c>
      <c r="T40" s="409">
        <v>11288.654856771211</v>
      </c>
      <c r="U40" s="409">
        <v>2519.4149867688579</v>
      </c>
      <c r="V40" s="410">
        <v>4.4806651210918123</v>
      </c>
      <c r="W40" s="409">
        <v>8769.2398700023532</v>
      </c>
      <c r="X40" s="409">
        <v>11288.654856771211</v>
      </c>
      <c r="Y40" s="409">
        <v>2519.4149867688579</v>
      </c>
      <c r="Z40" s="410">
        <v>4.4806651210918123</v>
      </c>
      <c r="AA40" s="409">
        <v>8769.2398700023532</v>
      </c>
      <c r="AB40" s="409">
        <v>9816.2216145836628</v>
      </c>
      <c r="AC40" s="409">
        <v>2578.4313725490192</v>
      </c>
      <c r="AD40" s="410">
        <v>3.8070517288499381</v>
      </c>
      <c r="AE40" s="409">
        <v>7237.7902420346436</v>
      </c>
      <c r="AF40" s="409">
        <v>2453.5163641504396</v>
      </c>
      <c r="AG40" s="409">
        <v>4656.8627450980393</v>
      </c>
      <c r="AH40" s="410">
        <v>0.52686035609125226</v>
      </c>
      <c r="AI40" s="409">
        <v>-2203.3463809475998</v>
      </c>
      <c r="AJ40" s="409">
        <v>9816.2216145836628</v>
      </c>
      <c r="AK40" s="409">
        <v>2579.7339562973161</v>
      </c>
      <c r="AL40" s="410">
        <v>3.8051294361659114</v>
      </c>
      <c r="AM40" s="409">
        <v>7236.4876582863471</v>
      </c>
      <c r="AN40" s="411">
        <v>96.356415434071295</v>
      </c>
      <c r="AO40" s="411">
        <v>16991.815612692757</v>
      </c>
      <c r="AP40" s="409">
        <v>2578.4313725490192</v>
      </c>
      <c r="AQ40" s="409">
        <v>26.759311883215769</v>
      </c>
      <c r="AR40" s="409">
        <v>0.15174548920028008</v>
      </c>
    </row>
    <row r="41" spans="1:44" s="388" customFormat="1">
      <c r="A41" s="402" t="s">
        <v>231</v>
      </c>
      <c r="B41" s="402" t="s">
        <v>370</v>
      </c>
      <c r="C41" s="402" t="s">
        <v>241</v>
      </c>
      <c r="D41" s="402" t="s">
        <v>389</v>
      </c>
      <c r="E41" s="402" t="s">
        <v>390</v>
      </c>
      <c r="F41" s="402" t="s">
        <v>391</v>
      </c>
      <c r="G41" s="402" t="s">
        <v>374</v>
      </c>
      <c r="H41" s="402" t="s">
        <v>392</v>
      </c>
      <c r="I41" s="403">
        <v>2017</v>
      </c>
      <c r="J41" s="404">
        <v>10</v>
      </c>
      <c r="K41" s="405">
        <v>250</v>
      </c>
      <c r="L41" s="405">
        <v>13</v>
      </c>
      <c r="M41" s="406" t="s">
        <v>251</v>
      </c>
      <c r="N41" s="406" t="s">
        <v>251</v>
      </c>
      <c r="O41" s="406" t="s">
        <v>376</v>
      </c>
      <c r="P41" s="407">
        <v>0.51364279715878636</v>
      </c>
      <c r="Q41" s="407">
        <v>0.51364279715878636</v>
      </c>
      <c r="R41" s="408">
        <v>2500</v>
      </c>
      <c r="S41" s="408">
        <v>130</v>
      </c>
      <c r="T41" s="409">
        <v>12136.668403565578</v>
      </c>
      <c r="U41" s="409">
        <v>2470.0146929106454</v>
      </c>
      <c r="V41" s="410">
        <v>4.9136017038278528</v>
      </c>
      <c r="W41" s="409">
        <v>9666.6537106549331</v>
      </c>
      <c r="X41" s="409">
        <v>12136.668403565578</v>
      </c>
      <c r="Y41" s="409">
        <v>2470.0146929106454</v>
      </c>
      <c r="Z41" s="410">
        <v>4.9136017038278528</v>
      </c>
      <c r="AA41" s="409">
        <v>9666.6537106549331</v>
      </c>
      <c r="AB41" s="409">
        <v>10553.624698752676</v>
      </c>
      <c r="AC41" s="409">
        <v>2527.8738946559015</v>
      </c>
      <c r="AD41" s="410">
        <v>4.1749015728449752</v>
      </c>
      <c r="AE41" s="409">
        <v>8025.7508040967741</v>
      </c>
      <c r="AF41" s="409">
        <v>2405.4563396859312</v>
      </c>
      <c r="AG41" s="409">
        <v>4565.5517108804306</v>
      </c>
      <c r="AH41" s="410">
        <v>0.52687090017036686</v>
      </c>
      <c r="AI41" s="409">
        <v>-2160.0953711944994</v>
      </c>
      <c r="AJ41" s="409">
        <v>10553.624698752676</v>
      </c>
      <c r="AK41" s="409">
        <v>2529.175664073568</v>
      </c>
      <c r="AL41" s="410">
        <v>4.1727527465429919</v>
      </c>
      <c r="AM41" s="409">
        <v>8024.4490346791081</v>
      </c>
      <c r="AN41" s="411">
        <v>94.467073954971823</v>
      </c>
      <c r="AO41" s="411">
        <v>16658.642757541911</v>
      </c>
      <c r="AP41" s="409">
        <v>2527.8738946559015</v>
      </c>
      <c r="AQ41" s="409">
        <v>26.75931188321578</v>
      </c>
      <c r="AR41" s="409">
        <v>0.15174548920028016</v>
      </c>
    </row>
    <row r="42" spans="1:44" s="388" customFormat="1">
      <c r="A42" s="402" t="s">
        <v>231</v>
      </c>
      <c r="B42" s="402" t="s">
        <v>370</v>
      </c>
      <c r="C42" s="402" t="s">
        <v>241</v>
      </c>
      <c r="D42" s="402" t="s">
        <v>389</v>
      </c>
      <c r="E42" s="402" t="s">
        <v>390</v>
      </c>
      <c r="F42" s="402" t="s">
        <v>391</v>
      </c>
      <c r="G42" s="402" t="s">
        <v>374</v>
      </c>
      <c r="H42" s="402" t="s">
        <v>392</v>
      </c>
      <c r="I42" s="403">
        <v>2018</v>
      </c>
      <c r="J42" s="404">
        <v>10</v>
      </c>
      <c r="K42" s="405">
        <v>250</v>
      </c>
      <c r="L42" s="405">
        <v>13</v>
      </c>
      <c r="M42" s="406" t="s">
        <v>251</v>
      </c>
      <c r="N42" s="406" t="s">
        <v>251</v>
      </c>
      <c r="O42" s="406" t="s">
        <v>376</v>
      </c>
      <c r="P42" s="407">
        <v>0.51364279715878636</v>
      </c>
      <c r="Q42" s="407">
        <v>0.51364279715878636</v>
      </c>
      <c r="R42" s="408">
        <v>2500</v>
      </c>
      <c r="S42" s="408">
        <v>130</v>
      </c>
      <c r="T42" s="409">
        <v>12143.780161576142</v>
      </c>
      <c r="U42" s="409">
        <v>2421.5830322653387</v>
      </c>
      <c r="V42" s="410">
        <v>5.0148105597749817</v>
      </c>
      <c r="W42" s="409">
        <v>9722.1971293108036</v>
      </c>
      <c r="X42" s="409">
        <v>12143.780161576142</v>
      </c>
      <c r="Y42" s="409">
        <v>2421.5830322653387</v>
      </c>
      <c r="Z42" s="410">
        <v>5.0148105597749817</v>
      </c>
      <c r="AA42" s="409">
        <v>9722.1971293108036</v>
      </c>
      <c r="AB42" s="409">
        <v>10559.808836153168</v>
      </c>
      <c r="AC42" s="409">
        <v>2478.3077398587275</v>
      </c>
      <c r="AD42" s="410">
        <v>4.2608949107971217</v>
      </c>
      <c r="AE42" s="409">
        <v>8081.5010962944407</v>
      </c>
      <c r="AF42" s="409">
        <v>2358.337501283394</v>
      </c>
      <c r="AG42" s="409">
        <v>4476.031089098462</v>
      </c>
      <c r="AH42" s="410">
        <v>0.52688139432883108</v>
      </c>
      <c r="AI42" s="409">
        <v>-2117.693587815068</v>
      </c>
      <c r="AJ42" s="409">
        <v>10559.808836153168</v>
      </c>
      <c r="AK42" s="409">
        <v>2479.6081113075384</v>
      </c>
      <c r="AL42" s="410">
        <v>4.2586603858884811</v>
      </c>
      <c r="AM42" s="409">
        <v>8080.2007248456302</v>
      </c>
      <c r="AN42" s="411">
        <v>92.614778387227261</v>
      </c>
      <c r="AO42" s="411">
        <v>16332.002703472464</v>
      </c>
      <c r="AP42" s="409">
        <v>2478.3077398587275</v>
      </c>
      <c r="AQ42" s="409">
        <v>26.759311883215791</v>
      </c>
      <c r="AR42" s="409">
        <v>0.15174548920028016</v>
      </c>
    </row>
    <row r="43" spans="1:44" s="388" customFormat="1">
      <c r="A43" s="402" t="s">
        <v>231</v>
      </c>
      <c r="B43" s="402" t="s">
        <v>370</v>
      </c>
      <c r="C43" s="402" t="s">
        <v>241</v>
      </c>
      <c r="D43" s="402" t="s">
        <v>389</v>
      </c>
      <c r="E43" s="402" t="s">
        <v>390</v>
      </c>
      <c r="F43" s="402" t="s">
        <v>391</v>
      </c>
      <c r="G43" s="402" t="s">
        <v>374</v>
      </c>
      <c r="H43" s="402" t="s">
        <v>392</v>
      </c>
      <c r="I43" s="403">
        <v>2019</v>
      </c>
      <c r="J43" s="404">
        <v>10</v>
      </c>
      <c r="K43" s="405">
        <v>250</v>
      </c>
      <c r="L43" s="405">
        <v>13</v>
      </c>
      <c r="M43" s="406" t="s">
        <v>251</v>
      </c>
      <c r="N43" s="406" t="s">
        <v>251</v>
      </c>
      <c r="O43" s="406" t="s">
        <v>376</v>
      </c>
      <c r="P43" s="407">
        <v>0.51364279715878636</v>
      </c>
      <c r="Q43" s="407">
        <v>0.51364279715878636</v>
      </c>
      <c r="R43" s="408">
        <v>2500</v>
      </c>
      <c r="S43" s="408">
        <v>130</v>
      </c>
      <c r="T43" s="409">
        <v>12152.850088867035</v>
      </c>
      <c r="U43" s="409">
        <v>2374.1010120248416</v>
      </c>
      <c r="V43" s="410">
        <v>5.118927133813072</v>
      </c>
      <c r="W43" s="409">
        <v>9778.749076842194</v>
      </c>
      <c r="X43" s="409">
        <v>12152.850088867035</v>
      </c>
      <c r="Y43" s="409">
        <v>2374.1010120248416</v>
      </c>
      <c r="Z43" s="410">
        <v>5.118927133813072</v>
      </c>
      <c r="AA43" s="409">
        <v>9778.749076842194</v>
      </c>
      <c r="AB43" s="409">
        <v>10567.695729449597</v>
      </c>
      <c r="AC43" s="409">
        <v>2429.7134704497325</v>
      </c>
      <c r="AD43" s="410">
        <v>4.3493588268634609</v>
      </c>
      <c r="AE43" s="409">
        <v>8137.9822589998639</v>
      </c>
      <c r="AF43" s="409">
        <v>2312.1413820759785</v>
      </c>
      <c r="AG43" s="409">
        <v>4388.2657736259425</v>
      </c>
      <c r="AH43" s="410">
        <v>0.52689182956334457</v>
      </c>
      <c r="AI43" s="409">
        <v>-2076.124391549964</v>
      </c>
      <c r="AJ43" s="409">
        <v>10567.695729449597</v>
      </c>
      <c r="AK43" s="409">
        <v>2431.0118654492962</v>
      </c>
      <c r="AL43" s="410">
        <v>4.347035849410176</v>
      </c>
      <c r="AM43" s="409">
        <v>8136.6838640003007</v>
      </c>
      <c r="AN43" s="411">
        <v>90.798802340418888</v>
      </c>
      <c r="AO43" s="411">
        <v>16011.767356345554</v>
      </c>
      <c r="AP43" s="409">
        <v>2429.7134704497325</v>
      </c>
      <c r="AQ43" s="409">
        <v>26.759311883215787</v>
      </c>
      <c r="AR43" s="409">
        <v>0.15174548920028016</v>
      </c>
    </row>
    <row r="44" spans="1:44" s="388" customFormat="1">
      <c r="A44" s="402" t="s">
        <v>231</v>
      </c>
      <c r="B44" s="402" t="s">
        <v>370</v>
      </c>
      <c r="C44" s="402" t="s">
        <v>241</v>
      </c>
      <c r="D44" s="402" t="s">
        <v>389</v>
      </c>
      <c r="E44" s="402" t="s">
        <v>390</v>
      </c>
      <c r="F44" s="402" t="s">
        <v>391</v>
      </c>
      <c r="G44" s="402" t="s">
        <v>374</v>
      </c>
      <c r="H44" s="402" t="s">
        <v>392</v>
      </c>
      <c r="I44" s="403">
        <v>2020</v>
      </c>
      <c r="J44" s="404">
        <v>10</v>
      </c>
      <c r="K44" s="405">
        <v>250</v>
      </c>
      <c r="L44" s="405">
        <v>13</v>
      </c>
      <c r="M44" s="406" t="s">
        <v>251</v>
      </c>
      <c r="N44" s="406" t="s">
        <v>251</v>
      </c>
      <c r="O44" s="406" t="s">
        <v>376</v>
      </c>
      <c r="P44" s="407">
        <v>0.51364279715878636</v>
      </c>
      <c r="Q44" s="407">
        <v>0.51364279715878636</v>
      </c>
      <c r="R44" s="408">
        <v>2500</v>
      </c>
      <c r="S44" s="408">
        <v>130</v>
      </c>
      <c r="T44" s="409">
        <v>12155.521582322235</v>
      </c>
      <c r="U44" s="409">
        <v>2327.5500117890601</v>
      </c>
      <c r="V44" s="410">
        <v>5.2224534470814454</v>
      </c>
      <c r="W44" s="409">
        <v>9827.9715705331746</v>
      </c>
      <c r="X44" s="409">
        <v>12155.521582322235</v>
      </c>
      <c r="Y44" s="409">
        <v>2327.5500117890601</v>
      </c>
      <c r="Z44" s="410">
        <v>5.2224534470814454</v>
      </c>
      <c r="AA44" s="409">
        <v>9827.9715705331746</v>
      </c>
      <c r="AB44" s="409">
        <v>10570.018767236726</v>
      </c>
      <c r="AC44" s="409">
        <v>2382.072029852679</v>
      </c>
      <c r="AD44" s="410">
        <v>4.4373212206729269</v>
      </c>
      <c r="AE44" s="409">
        <v>8187.9467373840471</v>
      </c>
      <c r="AF44" s="409">
        <v>2266.8475657001563</v>
      </c>
      <c r="AG44" s="409">
        <v>4302.2213466921003</v>
      </c>
      <c r="AH44" s="410">
        <v>0.52690165917267229</v>
      </c>
      <c r="AI44" s="409">
        <v>-2035.3737809919439</v>
      </c>
      <c r="AJ44" s="409">
        <v>10570.018767236726</v>
      </c>
      <c r="AK44" s="409">
        <v>2383.3666876466659</v>
      </c>
      <c r="AL44" s="410">
        <v>4.4349108435653912</v>
      </c>
      <c r="AM44" s="409">
        <v>8186.6520795900606</v>
      </c>
      <c r="AN44" s="411">
        <v>89.01843366707736</v>
      </c>
      <c r="AO44" s="411">
        <v>15697.811133672112</v>
      </c>
      <c r="AP44" s="409">
        <v>2382.072029852679</v>
      </c>
      <c r="AQ44" s="409">
        <v>26.75931188321578</v>
      </c>
      <c r="AR44" s="409">
        <v>0.15174548920028014</v>
      </c>
    </row>
    <row r="45" spans="1:44" s="388" customFormat="1">
      <c r="A45" s="402" t="s">
        <v>231</v>
      </c>
      <c r="B45" s="402" t="s">
        <v>370</v>
      </c>
      <c r="C45" s="402" t="s">
        <v>241</v>
      </c>
      <c r="D45" s="402" t="s">
        <v>389</v>
      </c>
      <c r="E45" s="402" t="s">
        <v>393</v>
      </c>
      <c r="F45" s="402" t="s">
        <v>394</v>
      </c>
      <c r="G45" s="402" t="s">
        <v>374</v>
      </c>
      <c r="H45" s="402" t="s">
        <v>392</v>
      </c>
      <c r="I45" s="403">
        <v>2015</v>
      </c>
      <c r="J45" s="404">
        <v>40</v>
      </c>
      <c r="K45" s="405">
        <v>0</v>
      </c>
      <c r="L45" s="405">
        <v>0</v>
      </c>
      <c r="M45" s="406" t="s">
        <v>251</v>
      </c>
      <c r="N45" s="406" t="s">
        <v>251</v>
      </c>
      <c r="O45" s="406" t="s">
        <v>376</v>
      </c>
      <c r="P45" s="407">
        <v>0.56653086399822961</v>
      </c>
      <c r="Q45" s="407">
        <v>0.56653086399822961</v>
      </c>
      <c r="R45" s="408">
        <v>0</v>
      </c>
      <c r="S45" s="408">
        <v>0</v>
      </c>
      <c r="T45" s="409">
        <v>43439.753358893831</v>
      </c>
      <c r="U45" s="409">
        <v>10764.08641596636</v>
      </c>
      <c r="V45" s="410">
        <v>4.0356191580234517</v>
      </c>
      <c r="W45" s="409">
        <v>32675.66694292747</v>
      </c>
      <c r="X45" s="409">
        <v>43439.753358893831</v>
      </c>
      <c r="Y45" s="409">
        <v>10764.08641596636</v>
      </c>
      <c r="Z45" s="410">
        <v>4.0356191580234517</v>
      </c>
      <c r="AA45" s="409">
        <v>32675.66694292747</v>
      </c>
      <c r="AB45" s="409">
        <v>37773.698572951165</v>
      </c>
      <c r="AC45" s="409">
        <v>0</v>
      </c>
      <c r="AD45" s="410" t="e">
        <v>#DIV/0!</v>
      </c>
      <c r="AE45" s="409">
        <v>37773.698572951165</v>
      </c>
      <c r="AF45" s="409">
        <v>14.393796810537008</v>
      </c>
      <c r="AG45" s="409">
        <v>18999.999999999996</v>
      </c>
      <c r="AH45" s="410">
        <v>7.5756825318615848E-4</v>
      </c>
      <c r="AI45" s="409">
        <v>-18985.606203189458</v>
      </c>
      <c r="AJ45" s="409">
        <v>37773.698572951165</v>
      </c>
      <c r="AK45" s="409">
        <v>8.1545301432884916</v>
      </c>
      <c r="AL45" s="410">
        <v>4632.2348325660978</v>
      </c>
      <c r="AM45" s="409">
        <v>37765.54404280788</v>
      </c>
      <c r="AN45" s="411">
        <v>360.71270400947674</v>
      </c>
      <c r="AO45" s="411">
        <v>98319.65142040381</v>
      </c>
      <c r="AP45" s="409">
        <v>0</v>
      </c>
      <c r="AQ45" s="409">
        <v>0</v>
      </c>
      <c r="AR45" s="409">
        <v>0</v>
      </c>
    </row>
    <row r="46" spans="1:44" s="388" customFormat="1">
      <c r="A46" s="402" t="s">
        <v>231</v>
      </c>
      <c r="B46" s="402" t="s">
        <v>370</v>
      </c>
      <c r="C46" s="402" t="s">
        <v>241</v>
      </c>
      <c r="D46" s="402" t="s">
        <v>389</v>
      </c>
      <c r="E46" s="402" t="s">
        <v>393</v>
      </c>
      <c r="F46" s="402" t="s">
        <v>394</v>
      </c>
      <c r="G46" s="402" t="s">
        <v>374</v>
      </c>
      <c r="H46" s="402" t="s">
        <v>392</v>
      </c>
      <c r="I46" s="403">
        <v>2016</v>
      </c>
      <c r="J46" s="404">
        <v>5</v>
      </c>
      <c r="K46" s="405">
        <v>400</v>
      </c>
      <c r="L46" s="405">
        <v>13</v>
      </c>
      <c r="M46" s="406" t="s">
        <v>251</v>
      </c>
      <c r="N46" s="406" t="s">
        <v>251</v>
      </c>
      <c r="O46" s="406" t="s">
        <v>376</v>
      </c>
      <c r="P46" s="407">
        <v>0.56653086399822961</v>
      </c>
      <c r="Q46" s="407">
        <v>0.56653086399822961</v>
      </c>
      <c r="R46" s="408">
        <v>2000</v>
      </c>
      <c r="S46" s="408">
        <v>65</v>
      </c>
      <c r="T46" s="409">
        <v>5842.7728422091959</v>
      </c>
      <c r="U46" s="409">
        <v>1382.8537274468581</v>
      </c>
      <c r="V46" s="410">
        <v>4.2251560857391759</v>
      </c>
      <c r="W46" s="409">
        <v>4459.9191147623378</v>
      </c>
      <c r="X46" s="409">
        <v>5842.7728422091959</v>
      </c>
      <c r="Y46" s="409">
        <v>1382.8537274468581</v>
      </c>
      <c r="Z46" s="410">
        <v>4.2251560857391759</v>
      </c>
      <c r="AA46" s="409">
        <v>4459.9191147623378</v>
      </c>
      <c r="AB46" s="409">
        <v>5080.6720367036487</v>
      </c>
      <c r="AC46" s="409">
        <v>2024.5098039215686</v>
      </c>
      <c r="AD46" s="410">
        <v>2.5095813450061608</v>
      </c>
      <c r="AE46" s="409">
        <v>3056.1622327820801</v>
      </c>
      <c r="AF46" s="409">
        <v>1962.582583471358</v>
      </c>
      <c r="AG46" s="409">
        <v>2328.4313725490197</v>
      </c>
      <c r="AH46" s="410">
        <v>0.84287757269085695</v>
      </c>
      <c r="AI46" s="409">
        <v>-365.84878907766165</v>
      </c>
      <c r="AJ46" s="409">
        <v>5080.6720367036487</v>
      </c>
      <c r="AK46" s="409">
        <v>2025.5285792343968</v>
      </c>
      <c r="AL46" s="410">
        <v>2.508319106820021</v>
      </c>
      <c r="AM46" s="409">
        <v>3055.1434574692521</v>
      </c>
      <c r="AN46" s="411">
        <v>44.204988236455485</v>
      </c>
      <c r="AO46" s="411">
        <v>12048.976889755373</v>
      </c>
      <c r="AP46" s="409">
        <v>2024.5098039215686</v>
      </c>
      <c r="AQ46" s="409">
        <v>45.798220623707174</v>
      </c>
      <c r="AR46" s="409">
        <v>0.16802337845322829</v>
      </c>
    </row>
    <row r="47" spans="1:44" s="388" customFormat="1">
      <c r="A47" s="402" t="s">
        <v>231</v>
      </c>
      <c r="B47" s="402" t="s">
        <v>370</v>
      </c>
      <c r="C47" s="402" t="s">
        <v>241</v>
      </c>
      <c r="D47" s="402" t="s">
        <v>389</v>
      </c>
      <c r="E47" s="402" t="s">
        <v>393</v>
      </c>
      <c r="F47" s="402" t="s">
        <v>394</v>
      </c>
      <c r="G47" s="402" t="s">
        <v>374</v>
      </c>
      <c r="H47" s="402" t="s">
        <v>392</v>
      </c>
      <c r="I47" s="403">
        <v>2017</v>
      </c>
      <c r="J47" s="404">
        <v>5</v>
      </c>
      <c r="K47" s="405">
        <v>400</v>
      </c>
      <c r="L47" s="405">
        <v>13</v>
      </c>
      <c r="M47" s="406" t="s">
        <v>251</v>
      </c>
      <c r="N47" s="406" t="s">
        <v>251</v>
      </c>
      <c r="O47" s="406" t="s">
        <v>376</v>
      </c>
      <c r="P47" s="407">
        <v>0.56653086399822961</v>
      </c>
      <c r="Q47" s="407">
        <v>0.56653086399822961</v>
      </c>
      <c r="R47" s="408">
        <v>2000</v>
      </c>
      <c r="S47" s="408">
        <v>65</v>
      </c>
      <c r="T47" s="409">
        <v>6273.8108821979658</v>
      </c>
      <c r="U47" s="409">
        <v>1355.7389484773121</v>
      </c>
      <c r="V47" s="410">
        <v>4.6275950759136553</v>
      </c>
      <c r="W47" s="409">
        <v>4918.0719337206538</v>
      </c>
      <c r="X47" s="409">
        <v>6273.8108821979658</v>
      </c>
      <c r="Y47" s="409">
        <v>1355.7389484773121</v>
      </c>
      <c r="Z47" s="410">
        <v>4.6275950759136553</v>
      </c>
      <c r="AA47" s="409">
        <v>4918.0719337206538</v>
      </c>
      <c r="AB47" s="409">
        <v>5455.4877236504044</v>
      </c>
      <c r="AC47" s="409">
        <v>1984.81353325644</v>
      </c>
      <c r="AD47" s="410">
        <v>2.7486147349568428</v>
      </c>
      <c r="AE47" s="409">
        <v>3470.6741903939646</v>
      </c>
      <c r="AF47" s="409">
        <v>1924.1347080053436</v>
      </c>
      <c r="AG47" s="409">
        <v>2282.7758554402153</v>
      </c>
      <c r="AH47" s="410">
        <v>0.84289252640368817</v>
      </c>
      <c r="AI47" s="409">
        <v>-358.64114743487175</v>
      </c>
      <c r="AJ47" s="409">
        <v>5455.4877236504044</v>
      </c>
      <c r="AK47" s="409">
        <v>1985.831671665926</v>
      </c>
      <c r="AL47" s="410">
        <v>2.747205516706138</v>
      </c>
      <c r="AM47" s="409">
        <v>3469.6560519844784</v>
      </c>
      <c r="AN47" s="411">
        <v>43.33822376123085</v>
      </c>
      <c r="AO47" s="411">
        <v>11812.722440936635</v>
      </c>
      <c r="AP47" s="409">
        <v>1984.81353325644</v>
      </c>
      <c r="AQ47" s="409">
        <v>45.798220623707195</v>
      </c>
      <c r="AR47" s="409">
        <v>0.16802337845322837</v>
      </c>
    </row>
    <row r="48" spans="1:44" s="388" customFormat="1">
      <c r="A48" s="402" t="s">
        <v>231</v>
      </c>
      <c r="B48" s="402" t="s">
        <v>370</v>
      </c>
      <c r="C48" s="402" t="s">
        <v>241</v>
      </c>
      <c r="D48" s="402" t="s">
        <v>389</v>
      </c>
      <c r="E48" s="402" t="s">
        <v>393</v>
      </c>
      <c r="F48" s="402" t="s">
        <v>394</v>
      </c>
      <c r="G48" s="402" t="s">
        <v>374</v>
      </c>
      <c r="H48" s="402" t="s">
        <v>392</v>
      </c>
      <c r="I48" s="403">
        <v>2018</v>
      </c>
      <c r="J48" s="404">
        <v>5</v>
      </c>
      <c r="K48" s="405">
        <v>400</v>
      </c>
      <c r="L48" s="405">
        <v>13</v>
      </c>
      <c r="M48" s="406" t="s">
        <v>251</v>
      </c>
      <c r="N48" s="406" t="s">
        <v>251</v>
      </c>
      <c r="O48" s="406" t="s">
        <v>376</v>
      </c>
      <c r="P48" s="407">
        <v>0.56653086399822961</v>
      </c>
      <c r="Q48" s="407">
        <v>0.56653086399822961</v>
      </c>
      <c r="R48" s="408">
        <v>2000</v>
      </c>
      <c r="S48" s="408">
        <v>65</v>
      </c>
      <c r="T48" s="409">
        <v>6279.3731222469778</v>
      </c>
      <c r="U48" s="409">
        <v>1329.1558318405021</v>
      </c>
      <c r="V48" s="410">
        <v>4.724331768948292</v>
      </c>
      <c r="W48" s="409">
        <v>4950.2172904064755</v>
      </c>
      <c r="X48" s="409">
        <v>6279.3731222469778</v>
      </c>
      <c r="Y48" s="409">
        <v>1329.1558318405021</v>
      </c>
      <c r="Z48" s="410">
        <v>4.724331768948292</v>
      </c>
      <c r="AA48" s="409">
        <v>4950.2172904064755</v>
      </c>
      <c r="AB48" s="409">
        <v>5460.3244541278073</v>
      </c>
      <c r="AC48" s="409">
        <v>1945.8956208396469</v>
      </c>
      <c r="AD48" s="410">
        <v>2.8060726359884076</v>
      </c>
      <c r="AE48" s="409">
        <v>3514.4288332881606</v>
      </c>
      <c r="AF48" s="409">
        <v>1886.4398846707033</v>
      </c>
      <c r="AG48" s="409">
        <v>2238.015544549231</v>
      </c>
      <c r="AH48" s="410">
        <v>0.84290740931857999</v>
      </c>
      <c r="AI48" s="409">
        <v>-351.57565987852763</v>
      </c>
      <c r="AJ48" s="409">
        <v>5460.3244541278073</v>
      </c>
      <c r="AK48" s="409">
        <v>1946.9126658713294</v>
      </c>
      <c r="AL48" s="410">
        <v>2.8046067755607678</v>
      </c>
      <c r="AM48" s="409">
        <v>3513.4117882564778</v>
      </c>
      <c r="AN48" s="411">
        <v>42.488454667873384</v>
      </c>
      <c r="AO48" s="411">
        <v>11581.100432290819</v>
      </c>
      <c r="AP48" s="409">
        <v>1945.8956208396469</v>
      </c>
      <c r="AQ48" s="409">
        <v>45.798220623707188</v>
      </c>
      <c r="AR48" s="409">
        <v>0.16802337845322837</v>
      </c>
    </row>
    <row r="49" spans="1:44" s="388" customFormat="1">
      <c r="A49" s="402" t="s">
        <v>231</v>
      </c>
      <c r="B49" s="402" t="s">
        <v>370</v>
      </c>
      <c r="C49" s="402" t="s">
        <v>241</v>
      </c>
      <c r="D49" s="402" t="s">
        <v>389</v>
      </c>
      <c r="E49" s="402" t="s">
        <v>393</v>
      </c>
      <c r="F49" s="402" t="s">
        <v>394</v>
      </c>
      <c r="G49" s="402" t="s">
        <v>374</v>
      </c>
      <c r="H49" s="402" t="s">
        <v>392</v>
      </c>
      <c r="I49" s="403">
        <v>2019</v>
      </c>
      <c r="J49" s="404">
        <v>5</v>
      </c>
      <c r="K49" s="405">
        <v>400</v>
      </c>
      <c r="L49" s="405">
        <v>13</v>
      </c>
      <c r="M49" s="406" t="s">
        <v>251</v>
      </c>
      <c r="N49" s="406" t="s">
        <v>251</v>
      </c>
      <c r="O49" s="406" t="s">
        <v>376</v>
      </c>
      <c r="P49" s="407">
        <v>0.56653086399822961</v>
      </c>
      <c r="Q49" s="407">
        <v>0.56653086399822961</v>
      </c>
      <c r="R49" s="408">
        <v>2000</v>
      </c>
      <c r="S49" s="408">
        <v>65</v>
      </c>
      <c r="T49" s="409">
        <v>6286.4668834160339</v>
      </c>
      <c r="U49" s="409">
        <v>1303.0939527848059</v>
      </c>
      <c r="V49" s="410">
        <v>4.8242621876814029</v>
      </c>
      <c r="W49" s="409">
        <v>4983.372930631228</v>
      </c>
      <c r="X49" s="409">
        <v>6286.4668834160339</v>
      </c>
      <c r="Y49" s="409">
        <v>1303.0939527848059</v>
      </c>
      <c r="Z49" s="410">
        <v>4.8242621876814029</v>
      </c>
      <c r="AA49" s="409">
        <v>4983.372930631228</v>
      </c>
      <c r="AB49" s="409">
        <v>5466.4929421008992</v>
      </c>
      <c r="AC49" s="409">
        <v>1907.740804744752</v>
      </c>
      <c r="AD49" s="410">
        <v>2.8654274881080051</v>
      </c>
      <c r="AE49" s="409">
        <v>3558.7521373561472</v>
      </c>
      <c r="AF49" s="409">
        <v>1849.4833390612189</v>
      </c>
      <c r="AG49" s="409">
        <v>2194.1328868129713</v>
      </c>
      <c r="AH49" s="410">
        <v>0.84292220866696743</v>
      </c>
      <c r="AI49" s="409">
        <v>-344.64954775175238</v>
      </c>
      <c r="AJ49" s="409">
        <v>5466.4929421008992</v>
      </c>
      <c r="AK49" s="409">
        <v>1908.7563039582076</v>
      </c>
      <c r="AL49" s="410">
        <v>2.8639030193456212</v>
      </c>
      <c r="AM49" s="409">
        <v>3557.7366381426918</v>
      </c>
      <c r="AN49" s="411">
        <v>41.655347713601365</v>
      </c>
      <c r="AO49" s="411">
        <v>11354.02003165767</v>
      </c>
      <c r="AP49" s="409">
        <v>1907.740804744752</v>
      </c>
      <c r="AQ49" s="409">
        <v>45.798220623707188</v>
      </c>
      <c r="AR49" s="409">
        <v>0.16802337845322832</v>
      </c>
    </row>
    <row r="50" spans="1:44" s="388" customFormat="1">
      <c r="A50" s="402" t="s">
        <v>231</v>
      </c>
      <c r="B50" s="402" t="s">
        <v>370</v>
      </c>
      <c r="C50" s="402" t="s">
        <v>241</v>
      </c>
      <c r="D50" s="402" t="s">
        <v>389</v>
      </c>
      <c r="E50" s="402" t="s">
        <v>393</v>
      </c>
      <c r="F50" s="402" t="s">
        <v>394</v>
      </c>
      <c r="G50" s="402" t="s">
        <v>374</v>
      </c>
      <c r="H50" s="402" t="s">
        <v>392</v>
      </c>
      <c r="I50" s="403">
        <v>2020</v>
      </c>
      <c r="J50" s="404">
        <v>5</v>
      </c>
      <c r="K50" s="405">
        <v>400</v>
      </c>
      <c r="L50" s="405">
        <v>13</v>
      </c>
      <c r="M50" s="406" t="s">
        <v>251</v>
      </c>
      <c r="N50" s="406" t="s">
        <v>251</v>
      </c>
      <c r="O50" s="406" t="s">
        <v>376</v>
      </c>
      <c r="P50" s="407">
        <v>0.56653086399822961</v>
      </c>
      <c r="Q50" s="407">
        <v>0.56653086399822961</v>
      </c>
      <c r="R50" s="408">
        <v>2000</v>
      </c>
      <c r="S50" s="408">
        <v>65</v>
      </c>
      <c r="T50" s="409">
        <v>6288.5563088246472</v>
      </c>
      <c r="U50" s="409">
        <v>1277.5430909654958</v>
      </c>
      <c r="V50" s="410">
        <v>4.9223829343181738</v>
      </c>
      <c r="W50" s="409">
        <v>5011.0132178591512</v>
      </c>
      <c r="X50" s="409">
        <v>6288.5563088246472</v>
      </c>
      <c r="Y50" s="409">
        <v>1277.5430909654958</v>
      </c>
      <c r="Z50" s="410">
        <v>4.9223829343181738</v>
      </c>
      <c r="AA50" s="409">
        <v>5011.0132178591512</v>
      </c>
      <c r="AB50" s="409">
        <v>5468.3098337605634</v>
      </c>
      <c r="AC50" s="409">
        <v>1870.3341222987763</v>
      </c>
      <c r="AD50" s="410">
        <v>2.9237074641185576</v>
      </c>
      <c r="AE50" s="409">
        <v>3597.9757114617869</v>
      </c>
      <c r="AF50" s="409">
        <v>1813.2489473040027</v>
      </c>
      <c r="AG50" s="409">
        <v>2151.1106733460501</v>
      </c>
      <c r="AH50" s="410">
        <v>0.84293614911198234</v>
      </c>
      <c r="AI50" s="409">
        <v>-337.86172604204739</v>
      </c>
      <c r="AJ50" s="409">
        <v>5468.3098337605634</v>
      </c>
      <c r="AK50" s="409">
        <v>1871.3466985732762</v>
      </c>
      <c r="AL50" s="410">
        <v>2.9221254607335077</v>
      </c>
      <c r="AM50" s="409">
        <v>3596.9631351872872</v>
      </c>
      <c r="AN50" s="411">
        <v>40.838576189805266</v>
      </c>
      <c r="AO50" s="411">
        <v>11131.392187899673</v>
      </c>
      <c r="AP50" s="409">
        <v>1870.3341222987763</v>
      </c>
      <c r="AQ50" s="409">
        <v>45.798220623707174</v>
      </c>
      <c r="AR50" s="409">
        <v>0.16802337845322834</v>
      </c>
    </row>
    <row r="51" spans="1:44" s="388" customFormat="1">
      <c r="A51" s="402" t="s">
        <v>231</v>
      </c>
      <c r="B51" s="402" t="s">
        <v>370</v>
      </c>
      <c r="C51" s="402" t="s">
        <v>241</v>
      </c>
      <c r="D51" s="402" t="s">
        <v>395</v>
      </c>
      <c r="E51" s="402" t="s">
        <v>396</v>
      </c>
      <c r="F51" s="402" t="s">
        <v>397</v>
      </c>
      <c r="G51" s="402" t="s">
        <v>374</v>
      </c>
      <c r="H51" s="402" t="s">
        <v>398</v>
      </c>
      <c r="I51" s="403">
        <v>2015</v>
      </c>
      <c r="J51" s="404">
        <v>180</v>
      </c>
      <c r="K51" s="405">
        <v>0</v>
      </c>
      <c r="L51" s="405">
        <v>0</v>
      </c>
      <c r="M51" s="406" t="s">
        <v>251</v>
      </c>
      <c r="N51" s="406" t="s">
        <v>251</v>
      </c>
      <c r="O51" s="406" t="s">
        <v>376</v>
      </c>
      <c r="P51" s="407">
        <v>0.46860120183473908</v>
      </c>
      <c r="Q51" s="407">
        <v>0.46860120183473908</v>
      </c>
      <c r="R51" s="408">
        <v>0</v>
      </c>
      <c r="S51" s="408">
        <v>0</v>
      </c>
      <c r="T51" s="409">
        <v>149225.5942215648</v>
      </c>
      <c r="U51" s="409">
        <v>80889.939460712645</v>
      </c>
      <c r="V51" s="410">
        <v>1.8447979466475188</v>
      </c>
      <c r="W51" s="409">
        <v>68335.654760852151</v>
      </c>
      <c r="X51" s="409">
        <v>149225.5942215648</v>
      </c>
      <c r="Y51" s="409">
        <v>80889.939460712645</v>
      </c>
      <c r="Z51" s="410">
        <v>1.8447979466475188</v>
      </c>
      <c r="AA51" s="409">
        <v>68335.654760852151</v>
      </c>
      <c r="AB51" s="409">
        <v>129761.38627962157</v>
      </c>
      <c r="AC51" s="409">
        <v>0</v>
      </c>
      <c r="AD51" s="410" t="e">
        <v>#DIV/0!</v>
      </c>
      <c r="AE51" s="409">
        <v>129761.38627962157</v>
      </c>
      <c r="AF51" s="409">
        <v>350.41354967849816</v>
      </c>
      <c r="AG51" s="409">
        <v>172619.99999999997</v>
      </c>
      <c r="AH51" s="410">
        <v>2.0299707431265103E-3</v>
      </c>
      <c r="AI51" s="409">
        <v>-172269.58645032148</v>
      </c>
      <c r="AJ51" s="409">
        <v>129761.38627962157</v>
      </c>
      <c r="AK51" s="409">
        <v>164.20421051852128</v>
      </c>
      <c r="AL51" s="410">
        <v>790.24396432870549</v>
      </c>
      <c r="AM51" s="409">
        <v>129597.18206910304</v>
      </c>
      <c r="AN51" s="411">
        <v>957.69154672377294</v>
      </c>
      <c r="AO51" s="411">
        <v>2377426.8274082495</v>
      </c>
      <c r="AP51" s="409">
        <v>0</v>
      </c>
      <c r="AQ51" s="409">
        <v>0</v>
      </c>
      <c r="AR51" s="409">
        <v>0</v>
      </c>
    </row>
    <row r="52" spans="1:44" s="388" customFormat="1">
      <c r="A52" s="402" t="s">
        <v>231</v>
      </c>
      <c r="B52" s="402" t="s">
        <v>370</v>
      </c>
      <c r="C52" s="402" t="s">
        <v>241</v>
      </c>
      <c r="D52" s="402" t="s">
        <v>395</v>
      </c>
      <c r="E52" s="402" t="s">
        <v>396</v>
      </c>
      <c r="F52" s="402" t="s">
        <v>397</v>
      </c>
      <c r="G52" s="402" t="s">
        <v>374</v>
      </c>
      <c r="H52" s="402" t="s">
        <v>398</v>
      </c>
      <c r="I52" s="403">
        <v>2016</v>
      </c>
      <c r="J52" s="404">
        <v>200</v>
      </c>
      <c r="K52" s="405">
        <v>250</v>
      </c>
      <c r="L52" s="405">
        <v>13</v>
      </c>
      <c r="M52" s="406" t="s">
        <v>251</v>
      </c>
      <c r="N52" s="406" t="s">
        <v>251</v>
      </c>
      <c r="O52" s="406" t="s">
        <v>376</v>
      </c>
      <c r="P52" s="407">
        <v>0.46860120183473908</v>
      </c>
      <c r="Q52" s="407">
        <v>0.46860120183473908</v>
      </c>
      <c r="R52" s="408">
        <v>50000</v>
      </c>
      <c r="S52" s="408">
        <v>2600</v>
      </c>
      <c r="T52" s="409">
        <v>173690.52397510182</v>
      </c>
      <c r="U52" s="409">
        <v>90664.422070493078</v>
      </c>
      <c r="V52" s="410">
        <v>1.9157517360013014</v>
      </c>
      <c r="W52" s="409">
        <v>83026.101904608746</v>
      </c>
      <c r="X52" s="409">
        <v>173690.52397510182</v>
      </c>
      <c r="Y52" s="409">
        <v>90664.422070493078</v>
      </c>
      <c r="Z52" s="410">
        <v>1.9157517360013014</v>
      </c>
      <c r="AA52" s="409">
        <v>83026.101904608746</v>
      </c>
      <c r="AB52" s="409">
        <v>151035.238239219</v>
      </c>
      <c r="AC52" s="409">
        <v>51568.627450980384</v>
      </c>
      <c r="AD52" s="410">
        <v>2.9288202092015858</v>
      </c>
      <c r="AE52" s="409">
        <v>99466.610788238613</v>
      </c>
      <c r="AF52" s="409">
        <v>49408.757026686035</v>
      </c>
      <c r="AG52" s="409">
        <v>188039.21568627449</v>
      </c>
      <c r="AH52" s="410">
        <v>0.26275772767059313</v>
      </c>
      <c r="AI52" s="409">
        <v>-138630.45865958845</v>
      </c>
      <c r="AJ52" s="409">
        <v>151035.238239219</v>
      </c>
      <c r="AK52" s="409">
        <v>51750.983226084347</v>
      </c>
      <c r="AL52" s="410">
        <v>2.9184998781451528</v>
      </c>
      <c r="AM52" s="409">
        <v>99284.255013134651</v>
      </c>
      <c r="AN52" s="411">
        <v>1043.2369790019316</v>
      </c>
      <c r="AO52" s="411">
        <v>2589789.572340142</v>
      </c>
      <c r="AP52" s="409">
        <v>51568.627450980384</v>
      </c>
      <c r="AQ52" s="409">
        <v>49.431364578656201</v>
      </c>
      <c r="AR52" s="409">
        <v>1.9912284766975416E-2</v>
      </c>
    </row>
    <row r="53" spans="1:44" s="388" customFormat="1">
      <c r="A53" s="402" t="s">
        <v>231</v>
      </c>
      <c r="B53" s="402" t="s">
        <v>370</v>
      </c>
      <c r="C53" s="402" t="s">
        <v>241</v>
      </c>
      <c r="D53" s="402" t="s">
        <v>395</v>
      </c>
      <c r="E53" s="402" t="s">
        <v>396</v>
      </c>
      <c r="F53" s="402" t="s">
        <v>397</v>
      </c>
      <c r="G53" s="402" t="s">
        <v>374</v>
      </c>
      <c r="H53" s="402" t="s">
        <v>398</v>
      </c>
      <c r="I53" s="403">
        <v>2017</v>
      </c>
      <c r="J53" s="404">
        <v>20</v>
      </c>
      <c r="K53" s="405">
        <v>250</v>
      </c>
      <c r="L53" s="405">
        <v>13</v>
      </c>
      <c r="M53" s="406" t="s">
        <v>251</v>
      </c>
      <c r="N53" s="406" t="s">
        <v>251</v>
      </c>
      <c r="O53" s="406" t="s">
        <v>376</v>
      </c>
      <c r="P53" s="407">
        <v>0.46860120183473908</v>
      </c>
      <c r="Q53" s="407">
        <v>0.46860120183473908</v>
      </c>
      <c r="R53" s="408">
        <v>5000</v>
      </c>
      <c r="S53" s="408">
        <v>260</v>
      </c>
      <c r="T53" s="409">
        <v>18250.532189749945</v>
      </c>
      <c r="U53" s="409">
        <v>8888.6688304404997</v>
      </c>
      <c r="V53" s="410">
        <v>2.05323570243144</v>
      </c>
      <c r="W53" s="409">
        <v>9361.8633593094455</v>
      </c>
      <c r="X53" s="409">
        <v>18250.532189749945</v>
      </c>
      <c r="Y53" s="409">
        <v>8888.6688304404997</v>
      </c>
      <c r="Z53" s="410">
        <v>2.05323570243144</v>
      </c>
      <c r="AA53" s="409">
        <v>9361.8633593094455</v>
      </c>
      <c r="AB53" s="409">
        <v>15870.02799108691</v>
      </c>
      <c r="AC53" s="409">
        <v>5055.747789311803</v>
      </c>
      <c r="AD53" s="410">
        <v>3.1390070574005366</v>
      </c>
      <c r="AE53" s="409">
        <v>10814.280201775107</v>
      </c>
      <c r="AF53" s="409">
        <v>4844.7353707824677</v>
      </c>
      <c r="AG53" s="409">
        <v>18435.217224144559</v>
      </c>
      <c r="AH53" s="410">
        <v>0.262797845660171</v>
      </c>
      <c r="AI53" s="409">
        <v>-13590.481853362091</v>
      </c>
      <c r="AJ53" s="409">
        <v>15870.02799108691</v>
      </c>
      <c r="AK53" s="409">
        <v>5073.9723763609809</v>
      </c>
      <c r="AL53" s="410">
        <v>3.1277324380052671</v>
      </c>
      <c r="AM53" s="409">
        <v>10796.05561472593</v>
      </c>
      <c r="AN53" s="411">
        <v>102.27813519626778</v>
      </c>
      <c r="AO53" s="411">
        <v>253900.93846471977</v>
      </c>
      <c r="AP53" s="409">
        <v>5055.747789311803</v>
      </c>
      <c r="AQ53" s="409">
        <v>49.431364578656215</v>
      </c>
      <c r="AR53" s="409">
        <v>1.991228476697542E-2</v>
      </c>
    </row>
    <row r="54" spans="1:44" s="388" customFormat="1">
      <c r="A54" s="402" t="s">
        <v>231</v>
      </c>
      <c r="B54" s="402" t="s">
        <v>370</v>
      </c>
      <c r="C54" s="402" t="s">
        <v>241</v>
      </c>
      <c r="D54" s="402" t="s">
        <v>395</v>
      </c>
      <c r="E54" s="402" t="s">
        <v>396</v>
      </c>
      <c r="F54" s="402" t="s">
        <v>397</v>
      </c>
      <c r="G54" s="402" t="s">
        <v>374</v>
      </c>
      <c r="H54" s="402" t="s">
        <v>398</v>
      </c>
      <c r="I54" s="403">
        <v>2018</v>
      </c>
      <c r="J54" s="404">
        <v>20</v>
      </c>
      <c r="K54" s="405">
        <v>250</v>
      </c>
      <c r="L54" s="405">
        <v>13</v>
      </c>
      <c r="M54" s="406" t="s">
        <v>251</v>
      </c>
      <c r="N54" s="406" t="s">
        <v>251</v>
      </c>
      <c r="O54" s="406" t="s">
        <v>376</v>
      </c>
      <c r="P54" s="407">
        <v>0.46860120183473908</v>
      </c>
      <c r="Q54" s="407">
        <v>0.46860120183473908</v>
      </c>
      <c r="R54" s="408">
        <v>5000</v>
      </c>
      <c r="S54" s="408">
        <v>260</v>
      </c>
      <c r="T54" s="409">
        <v>18331.962640054404</v>
      </c>
      <c r="U54" s="409">
        <v>8714.3812063142141</v>
      </c>
      <c r="V54" s="410">
        <v>2.103644791987243</v>
      </c>
      <c r="W54" s="409">
        <v>9617.5814337401898</v>
      </c>
      <c r="X54" s="409">
        <v>18331.962640054404</v>
      </c>
      <c r="Y54" s="409">
        <v>8714.3812063142141</v>
      </c>
      <c r="Z54" s="410">
        <v>2.103644791987243</v>
      </c>
      <c r="AA54" s="409">
        <v>9617.5814337401898</v>
      </c>
      <c r="AB54" s="409">
        <v>15940.837078308177</v>
      </c>
      <c r="AC54" s="409">
        <v>4956.6154797174549</v>
      </c>
      <c r="AD54" s="410">
        <v>3.2160729722808483</v>
      </c>
      <c r="AE54" s="409">
        <v>10984.221598590722</v>
      </c>
      <c r="AF54" s="409">
        <v>4750.4628740390572</v>
      </c>
      <c r="AG54" s="409">
        <v>18073.742376612314</v>
      </c>
      <c r="AH54" s="410">
        <v>0.26283781051268196</v>
      </c>
      <c r="AI54" s="409">
        <v>-13323.279502573256</v>
      </c>
      <c r="AJ54" s="409">
        <v>15940.837078308177</v>
      </c>
      <c r="AK54" s="409">
        <v>4974.8211993411551</v>
      </c>
      <c r="AL54" s="410">
        <v>3.2043035195756011</v>
      </c>
      <c r="AM54" s="409">
        <v>10966.015878967022</v>
      </c>
      <c r="AN54" s="411">
        <v>100.27268156496842</v>
      </c>
      <c r="AO54" s="411">
        <v>248922.48869090166</v>
      </c>
      <c r="AP54" s="409">
        <v>4956.6154797174549</v>
      </c>
      <c r="AQ54" s="409">
        <v>49.431364578656222</v>
      </c>
      <c r="AR54" s="409">
        <v>1.991228476697543E-2</v>
      </c>
    </row>
    <row r="55" spans="1:44" s="388" customFormat="1">
      <c r="A55" s="402" t="s">
        <v>231</v>
      </c>
      <c r="B55" s="402" t="s">
        <v>370</v>
      </c>
      <c r="C55" s="402" t="s">
        <v>241</v>
      </c>
      <c r="D55" s="402" t="s">
        <v>395</v>
      </c>
      <c r="E55" s="402" t="s">
        <v>396</v>
      </c>
      <c r="F55" s="402" t="s">
        <v>397</v>
      </c>
      <c r="G55" s="402" t="s">
        <v>374</v>
      </c>
      <c r="H55" s="402" t="s">
        <v>398</v>
      </c>
      <c r="I55" s="403">
        <v>2019</v>
      </c>
      <c r="J55" s="404">
        <v>20</v>
      </c>
      <c r="K55" s="405">
        <v>250</v>
      </c>
      <c r="L55" s="405">
        <v>13</v>
      </c>
      <c r="M55" s="406" t="s">
        <v>251</v>
      </c>
      <c r="N55" s="406" t="s">
        <v>251</v>
      </c>
      <c r="O55" s="406" t="s">
        <v>376</v>
      </c>
      <c r="P55" s="407">
        <v>0.46860120183473908</v>
      </c>
      <c r="Q55" s="407">
        <v>0.46860120183473908</v>
      </c>
      <c r="R55" s="408">
        <v>5000</v>
      </c>
      <c r="S55" s="408">
        <v>260</v>
      </c>
      <c r="T55" s="409">
        <v>18427.703752447229</v>
      </c>
      <c r="U55" s="409">
        <v>8543.5109865825652</v>
      </c>
      <c r="V55" s="410">
        <v>2.1569239837565162</v>
      </c>
      <c r="W55" s="409">
        <v>9884.1927658646637</v>
      </c>
      <c r="X55" s="409">
        <v>18427.703752447229</v>
      </c>
      <c r="Y55" s="409">
        <v>8543.5109865825652</v>
      </c>
      <c r="Z55" s="410">
        <v>2.1569239837565162</v>
      </c>
      <c r="AA55" s="409">
        <v>9884.1927658646637</v>
      </c>
      <c r="AB55" s="409">
        <v>16024.090219519332</v>
      </c>
      <c r="AC55" s="409">
        <v>4859.4269408994651</v>
      </c>
      <c r="AD55" s="410">
        <v>3.2975267278230387</v>
      </c>
      <c r="AE55" s="409">
        <v>11164.663278619868</v>
      </c>
      <c r="AF55" s="409">
        <v>4658.0214071735072</v>
      </c>
      <c r="AG55" s="409">
        <v>17719.355271188542</v>
      </c>
      <c r="AH55" s="410">
        <v>0.26287758983801141</v>
      </c>
      <c r="AI55" s="409">
        <v>-13061.333864015036</v>
      </c>
      <c r="AJ55" s="409">
        <v>16024.090219519332</v>
      </c>
      <c r="AK55" s="409">
        <v>4877.6059857451573</v>
      </c>
      <c r="AL55" s="410">
        <v>3.2852367055374838</v>
      </c>
      <c r="AM55" s="409">
        <v>11146.484233774176</v>
      </c>
      <c r="AN55" s="411">
        <v>98.306550553890588</v>
      </c>
      <c r="AO55" s="411">
        <v>244041.65557931541</v>
      </c>
      <c r="AP55" s="409">
        <v>4859.4269408994651</v>
      </c>
      <c r="AQ55" s="409">
        <v>49.431364578656229</v>
      </c>
      <c r="AR55" s="409">
        <v>1.9912284766975423E-2</v>
      </c>
    </row>
    <row r="56" spans="1:44" s="388" customFormat="1">
      <c r="A56" s="402" t="s">
        <v>231</v>
      </c>
      <c r="B56" s="402" t="s">
        <v>370</v>
      </c>
      <c r="C56" s="402" t="s">
        <v>241</v>
      </c>
      <c r="D56" s="402" t="s">
        <v>395</v>
      </c>
      <c r="E56" s="402" t="s">
        <v>396</v>
      </c>
      <c r="F56" s="402" t="s">
        <v>397</v>
      </c>
      <c r="G56" s="402" t="s">
        <v>374</v>
      </c>
      <c r="H56" s="402" t="s">
        <v>398</v>
      </c>
      <c r="I56" s="403">
        <v>2020</v>
      </c>
      <c r="J56" s="404">
        <v>20</v>
      </c>
      <c r="K56" s="405">
        <v>250</v>
      </c>
      <c r="L56" s="405">
        <v>13</v>
      </c>
      <c r="M56" s="406" t="s">
        <v>251</v>
      </c>
      <c r="N56" s="406" t="s">
        <v>251</v>
      </c>
      <c r="O56" s="406" t="s">
        <v>376</v>
      </c>
      <c r="P56" s="407">
        <v>0.46860120183473908</v>
      </c>
      <c r="Q56" s="407">
        <v>0.46860120183473908</v>
      </c>
      <c r="R56" s="408">
        <v>5000</v>
      </c>
      <c r="S56" s="408">
        <v>260</v>
      </c>
      <c r="T56" s="409">
        <v>18465.914353083856</v>
      </c>
      <c r="U56" s="409">
        <v>8375.9911633162374</v>
      </c>
      <c r="V56" s="410">
        <v>2.2046243833157053</v>
      </c>
      <c r="W56" s="409">
        <v>10089.923189767618</v>
      </c>
      <c r="X56" s="409">
        <v>18465.914353083856</v>
      </c>
      <c r="Y56" s="409">
        <v>8375.9911633162374</v>
      </c>
      <c r="Z56" s="410">
        <v>2.2046243833157053</v>
      </c>
      <c r="AA56" s="409">
        <v>10089.923189767618</v>
      </c>
      <c r="AB56" s="409">
        <v>16057.316828768571</v>
      </c>
      <c r="AC56" s="409">
        <v>4764.1440597053579</v>
      </c>
      <c r="AD56" s="410">
        <v>3.3704515706356806</v>
      </c>
      <c r="AE56" s="409">
        <v>11293.172769063214</v>
      </c>
      <c r="AF56" s="409">
        <v>4567.3406898962357</v>
      </c>
      <c r="AG56" s="409">
        <v>17371.916932537784</v>
      </c>
      <c r="AH56" s="410">
        <v>0.26291518130285085</v>
      </c>
      <c r="AI56" s="409">
        <v>-12804.576242641549</v>
      </c>
      <c r="AJ56" s="409">
        <v>16057.316828768571</v>
      </c>
      <c r="AK56" s="409">
        <v>4782.2726660541894</v>
      </c>
      <c r="AL56" s="410">
        <v>3.3576748859904137</v>
      </c>
      <c r="AM56" s="409">
        <v>11275.044162714381</v>
      </c>
      <c r="AN56" s="411">
        <v>96.378971131265288</v>
      </c>
      <c r="AO56" s="411">
        <v>239256.52507776016</v>
      </c>
      <c r="AP56" s="409">
        <v>4764.1440597053579</v>
      </c>
      <c r="AQ56" s="409">
        <v>49.431364578656229</v>
      </c>
      <c r="AR56" s="409">
        <v>1.9912284766975426E-2</v>
      </c>
    </row>
    <row r="57" spans="1:44" s="388" customFormat="1">
      <c r="A57" s="402" t="s">
        <v>231</v>
      </c>
      <c r="B57" s="402" t="s">
        <v>370</v>
      </c>
      <c r="C57" s="402" t="s">
        <v>21</v>
      </c>
      <c r="D57" s="402" t="s">
        <v>389</v>
      </c>
      <c r="E57" s="402" t="s">
        <v>399</v>
      </c>
      <c r="F57" s="402" t="s">
        <v>400</v>
      </c>
      <c r="G57" s="402" t="s">
        <v>374</v>
      </c>
      <c r="H57" s="402" t="s">
        <v>401</v>
      </c>
      <c r="I57" s="403">
        <v>2015</v>
      </c>
      <c r="J57" s="404">
        <v>0</v>
      </c>
      <c r="K57" s="405">
        <v>76.430000000000007</v>
      </c>
      <c r="L57" s="405">
        <v>0</v>
      </c>
      <c r="M57" s="406" t="s">
        <v>251</v>
      </c>
      <c r="N57" s="406" t="s">
        <v>251</v>
      </c>
      <c r="O57" s="406" t="s">
        <v>376</v>
      </c>
      <c r="P57" s="407">
        <v>0.38322222222222518</v>
      </c>
      <c r="Q57" s="407">
        <v>0.38322222222222518</v>
      </c>
      <c r="R57" s="408">
        <v>0</v>
      </c>
      <c r="S57" s="408">
        <v>0</v>
      </c>
      <c r="T57" s="409">
        <v>0</v>
      </c>
      <c r="U57" s="409">
        <v>0</v>
      </c>
      <c r="V57" s="410" t="e">
        <v>#DIV/0!</v>
      </c>
      <c r="W57" s="409">
        <v>0</v>
      </c>
      <c r="X57" s="409">
        <v>0</v>
      </c>
      <c r="Y57" s="409">
        <v>0</v>
      </c>
      <c r="Z57" s="410" t="e">
        <v>#DIV/0!</v>
      </c>
      <c r="AA57" s="409">
        <v>0</v>
      </c>
      <c r="AB57" s="409">
        <v>0</v>
      </c>
      <c r="AC57" s="409">
        <v>0</v>
      </c>
      <c r="AD57" s="410" t="e">
        <v>#DIV/0!</v>
      </c>
      <c r="AE57" s="409">
        <v>0</v>
      </c>
      <c r="AF57" s="409">
        <v>0</v>
      </c>
      <c r="AG57" s="409">
        <v>0</v>
      </c>
      <c r="AH57" s="410" t="e">
        <v>#DIV/0!</v>
      </c>
      <c r="AI57" s="409">
        <v>0</v>
      </c>
      <c r="AJ57" s="409">
        <v>0</v>
      </c>
      <c r="AK57" s="409">
        <v>0</v>
      </c>
      <c r="AL57" s="410" t="e">
        <v>#DIV/0!</v>
      </c>
      <c r="AM57" s="409">
        <v>0</v>
      </c>
      <c r="AN57" s="411">
        <v>0</v>
      </c>
      <c r="AO57" s="411">
        <v>0</v>
      </c>
      <c r="AP57" s="409">
        <v>0</v>
      </c>
      <c r="AQ57" s="409" t="e">
        <v>#DIV/0!</v>
      </c>
      <c r="AR57" s="409" t="e">
        <v>#DIV/0!</v>
      </c>
    </row>
    <row r="58" spans="1:44" s="388" customFormat="1">
      <c r="A58" s="402" t="s">
        <v>231</v>
      </c>
      <c r="B58" s="402" t="s">
        <v>370</v>
      </c>
      <c r="C58" s="402" t="s">
        <v>21</v>
      </c>
      <c r="D58" s="402" t="s">
        <v>389</v>
      </c>
      <c r="E58" s="402" t="s">
        <v>399</v>
      </c>
      <c r="F58" s="402" t="s">
        <v>400</v>
      </c>
      <c r="G58" s="402" t="s">
        <v>374</v>
      </c>
      <c r="H58" s="402" t="s">
        <v>401</v>
      </c>
      <c r="I58" s="403">
        <v>2016</v>
      </c>
      <c r="J58" s="404">
        <v>0</v>
      </c>
      <c r="K58" s="405">
        <v>76.430000000000007</v>
      </c>
      <c r="L58" s="405">
        <v>0</v>
      </c>
      <c r="M58" s="406" t="s">
        <v>251</v>
      </c>
      <c r="N58" s="406" t="s">
        <v>251</v>
      </c>
      <c r="O58" s="406" t="s">
        <v>376</v>
      </c>
      <c r="P58" s="407">
        <v>0.38322222222222518</v>
      </c>
      <c r="Q58" s="407">
        <v>0.38322222222222518</v>
      </c>
      <c r="R58" s="408">
        <v>0</v>
      </c>
      <c r="S58" s="408">
        <v>0</v>
      </c>
      <c r="T58" s="409">
        <v>0</v>
      </c>
      <c r="U58" s="409">
        <v>0</v>
      </c>
      <c r="V58" s="410" t="e">
        <v>#DIV/0!</v>
      </c>
      <c r="W58" s="409">
        <v>0</v>
      </c>
      <c r="X58" s="409">
        <v>0</v>
      </c>
      <c r="Y58" s="409">
        <v>0</v>
      </c>
      <c r="Z58" s="410" t="e">
        <v>#DIV/0!</v>
      </c>
      <c r="AA58" s="409">
        <v>0</v>
      </c>
      <c r="AB58" s="409">
        <v>0</v>
      </c>
      <c r="AC58" s="409">
        <v>0</v>
      </c>
      <c r="AD58" s="410" t="e">
        <v>#DIV/0!</v>
      </c>
      <c r="AE58" s="409">
        <v>0</v>
      </c>
      <c r="AF58" s="409">
        <v>0</v>
      </c>
      <c r="AG58" s="409">
        <v>0</v>
      </c>
      <c r="AH58" s="410" t="e">
        <v>#DIV/0!</v>
      </c>
      <c r="AI58" s="409">
        <v>0</v>
      </c>
      <c r="AJ58" s="409">
        <v>0</v>
      </c>
      <c r="AK58" s="409">
        <v>0</v>
      </c>
      <c r="AL58" s="410" t="e">
        <v>#DIV/0!</v>
      </c>
      <c r="AM58" s="409">
        <v>0</v>
      </c>
      <c r="AN58" s="411">
        <v>0</v>
      </c>
      <c r="AO58" s="411">
        <v>0</v>
      </c>
      <c r="AP58" s="409">
        <v>0</v>
      </c>
      <c r="AQ58" s="409" t="e">
        <v>#DIV/0!</v>
      </c>
      <c r="AR58" s="409" t="e">
        <v>#DIV/0!</v>
      </c>
    </row>
    <row r="59" spans="1:44" s="388" customFormat="1">
      <c r="A59" s="402" t="s">
        <v>231</v>
      </c>
      <c r="B59" s="402" t="s">
        <v>370</v>
      </c>
      <c r="C59" s="402" t="s">
        <v>21</v>
      </c>
      <c r="D59" s="402" t="s">
        <v>389</v>
      </c>
      <c r="E59" s="402" t="s">
        <v>399</v>
      </c>
      <c r="F59" s="402" t="s">
        <v>400</v>
      </c>
      <c r="G59" s="402" t="s">
        <v>374</v>
      </c>
      <c r="H59" s="402" t="s">
        <v>401</v>
      </c>
      <c r="I59" s="403">
        <v>2017</v>
      </c>
      <c r="J59" s="404">
        <v>0</v>
      </c>
      <c r="K59" s="405">
        <v>76.430000000000007</v>
      </c>
      <c r="L59" s="405">
        <v>0</v>
      </c>
      <c r="M59" s="406" t="s">
        <v>251</v>
      </c>
      <c r="N59" s="406" t="s">
        <v>251</v>
      </c>
      <c r="O59" s="406" t="s">
        <v>376</v>
      </c>
      <c r="P59" s="407">
        <v>0.38322222222222518</v>
      </c>
      <c r="Q59" s="407">
        <v>0.38322222222222518</v>
      </c>
      <c r="R59" s="408">
        <v>0</v>
      </c>
      <c r="S59" s="408">
        <v>0</v>
      </c>
      <c r="T59" s="409">
        <v>0</v>
      </c>
      <c r="U59" s="409">
        <v>0</v>
      </c>
      <c r="V59" s="410" t="e">
        <v>#DIV/0!</v>
      </c>
      <c r="W59" s="409">
        <v>0</v>
      </c>
      <c r="X59" s="409">
        <v>0</v>
      </c>
      <c r="Y59" s="409">
        <v>0</v>
      </c>
      <c r="Z59" s="410" t="e">
        <v>#DIV/0!</v>
      </c>
      <c r="AA59" s="409">
        <v>0</v>
      </c>
      <c r="AB59" s="409">
        <v>0</v>
      </c>
      <c r="AC59" s="409">
        <v>0</v>
      </c>
      <c r="AD59" s="410" t="e">
        <v>#DIV/0!</v>
      </c>
      <c r="AE59" s="409">
        <v>0</v>
      </c>
      <c r="AF59" s="409">
        <v>0</v>
      </c>
      <c r="AG59" s="409">
        <v>0</v>
      </c>
      <c r="AH59" s="410" t="e">
        <v>#DIV/0!</v>
      </c>
      <c r="AI59" s="409">
        <v>0</v>
      </c>
      <c r="AJ59" s="409">
        <v>0</v>
      </c>
      <c r="AK59" s="409">
        <v>0</v>
      </c>
      <c r="AL59" s="410" t="e">
        <v>#DIV/0!</v>
      </c>
      <c r="AM59" s="409">
        <v>0</v>
      </c>
      <c r="AN59" s="411">
        <v>0</v>
      </c>
      <c r="AO59" s="411">
        <v>0</v>
      </c>
      <c r="AP59" s="409">
        <v>0</v>
      </c>
      <c r="AQ59" s="409" t="e">
        <v>#DIV/0!</v>
      </c>
      <c r="AR59" s="409" t="e">
        <v>#DIV/0!</v>
      </c>
    </row>
    <row r="60" spans="1:44" s="388" customFormat="1">
      <c r="A60" s="402" t="s">
        <v>231</v>
      </c>
      <c r="B60" s="402" t="s">
        <v>370</v>
      </c>
      <c r="C60" s="402" t="s">
        <v>21</v>
      </c>
      <c r="D60" s="402" t="s">
        <v>389</v>
      </c>
      <c r="E60" s="402" t="s">
        <v>399</v>
      </c>
      <c r="F60" s="402" t="s">
        <v>400</v>
      </c>
      <c r="G60" s="402" t="s">
        <v>374</v>
      </c>
      <c r="H60" s="402" t="s">
        <v>401</v>
      </c>
      <c r="I60" s="403">
        <v>2018</v>
      </c>
      <c r="J60" s="404">
        <v>0</v>
      </c>
      <c r="K60" s="405">
        <v>76.430000000000007</v>
      </c>
      <c r="L60" s="405">
        <v>0</v>
      </c>
      <c r="M60" s="406" t="s">
        <v>251</v>
      </c>
      <c r="N60" s="406" t="s">
        <v>251</v>
      </c>
      <c r="O60" s="406" t="s">
        <v>376</v>
      </c>
      <c r="P60" s="407">
        <v>0.38322222222222518</v>
      </c>
      <c r="Q60" s="407">
        <v>0.38322222222222518</v>
      </c>
      <c r="R60" s="408">
        <v>0</v>
      </c>
      <c r="S60" s="408">
        <v>0</v>
      </c>
      <c r="T60" s="409">
        <v>0</v>
      </c>
      <c r="U60" s="409">
        <v>0</v>
      </c>
      <c r="V60" s="410" t="e">
        <v>#DIV/0!</v>
      </c>
      <c r="W60" s="409">
        <v>0</v>
      </c>
      <c r="X60" s="409">
        <v>0</v>
      </c>
      <c r="Y60" s="409">
        <v>0</v>
      </c>
      <c r="Z60" s="410" t="e">
        <v>#DIV/0!</v>
      </c>
      <c r="AA60" s="409">
        <v>0</v>
      </c>
      <c r="AB60" s="409">
        <v>0</v>
      </c>
      <c r="AC60" s="409">
        <v>0</v>
      </c>
      <c r="AD60" s="410" t="e">
        <v>#DIV/0!</v>
      </c>
      <c r="AE60" s="409">
        <v>0</v>
      </c>
      <c r="AF60" s="409">
        <v>0</v>
      </c>
      <c r="AG60" s="409">
        <v>0</v>
      </c>
      <c r="AH60" s="410" t="e">
        <v>#DIV/0!</v>
      </c>
      <c r="AI60" s="409">
        <v>0</v>
      </c>
      <c r="AJ60" s="409">
        <v>0</v>
      </c>
      <c r="AK60" s="409">
        <v>0</v>
      </c>
      <c r="AL60" s="410" t="e">
        <v>#DIV/0!</v>
      </c>
      <c r="AM60" s="409">
        <v>0</v>
      </c>
      <c r="AN60" s="411">
        <v>0</v>
      </c>
      <c r="AO60" s="411">
        <v>0</v>
      </c>
      <c r="AP60" s="409">
        <v>0</v>
      </c>
      <c r="AQ60" s="409" t="e">
        <v>#DIV/0!</v>
      </c>
      <c r="AR60" s="409" t="e">
        <v>#DIV/0!</v>
      </c>
    </row>
    <row r="61" spans="1:44" s="388" customFormat="1">
      <c r="A61" s="402" t="s">
        <v>231</v>
      </c>
      <c r="B61" s="402" t="s">
        <v>370</v>
      </c>
      <c r="C61" s="402" t="s">
        <v>21</v>
      </c>
      <c r="D61" s="402" t="s">
        <v>389</v>
      </c>
      <c r="E61" s="402" t="s">
        <v>399</v>
      </c>
      <c r="F61" s="402" t="s">
        <v>400</v>
      </c>
      <c r="G61" s="402" t="s">
        <v>374</v>
      </c>
      <c r="H61" s="402" t="s">
        <v>401</v>
      </c>
      <c r="I61" s="403">
        <v>2019</v>
      </c>
      <c r="J61" s="404">
        <v>0</v>
      </c>
      <c r="K61" s="405">
        <v>76.430000000000007</v>
      </c>
      <c r="L61" s="405">
        <v>0</v>
      </c>
      <c r="M61" s="406" t="s">
        <v>251</v>
      </c>
      <c r="N61" s="406" t="s">
        <v>251</v>
      </c>
      <c r="O61" s="406" t="s">
        <v>376</v>
      </c>
      <c r="P61" s="407">
        <v>0.38322222222222518</v>
      </c>
      <c r="Q61" s="407">
        <v>0.38322222222222518</v>
      </c>
      <c r="R61" s="408">
        <v>0</v>
      </c>
      <c r="S61" s="408">
        <v>0</v>
      </c>
      <c r="T61" s="409">
        <v>0</v>
      </c>
      <c r="U61" s="409">
        <v>0</v>
      </c>
      <c r="V61" s="410" t="e">
        <v>#DIV/0!</v>
      </c>
      <c r="W61" s="409">
        <v>0</v>
      </c>
      <c r="X61" s="409">
        <v>0</v>
      </c>
      <c r="Y61" s="409">
        <v>0</v>
      </c>
      <c r="Z61" s="410" t="e">
        <v>#DIV/0!</v>
      </c>
      <c r="AA61" s="409">
        <v>0</v>
      </c>
      <c r="AB61" s="409">
        <v>0</v>
      </c>
      <c r="AC61" s="409">
        <v>0</v>
      </c>
      <c r="AD61" s="410" t="e">
        <v>#DIV/0!</v>
      </c>
      <c r="AE61" s="409">
        <v>0</v>
      </c>
      <c r="AF61" s="409">
        <v>0</v>
      </c>
      <c r="AG61" s="409">
        <v>0</v>
      </c>
      <c r="AH61" s="410" t="e">
        <v>#DIV/0!</v>
      </c>
      <c r="AI61" s="409">
        <v>0</v>
      </c>
      <c r="AJ61" s="409">
        <v>0</v>
      </c>
      <c r="AK61" s="409">
        <v>0</v>
      </c>
      <c r="AL61" s="410" t="e">
        <v>#DIV/0!</v>
      </c>
      <c r="AM61" s="409">
        <v>0</v>
      </c>
      <c r="AN61" s="411">
        <v>0</v>
      </c>
      <c r="AO61" s="411">
        <v>0</v>
      </c>
      <c r="AP61" s="409">
        <v>0</v>
      </c>
      <c r="AQ61" s="409" t="e">
        <v>#DIV/0!</v>
      </c>
      <c r="AR61" s="409" t="e">
        <v>#DIV/0!</v>
      </c>
    </row>
    <row r="62" spans="1:44" s="388" customFormat="1">
      <c r="A62" s="402" t="s">
        <v>231</v>
      </c>
      <c r="B62" s="402" t="s">
        <v>370</v>
      </c>
      <c r="C62" s="402" t="s">
        <v>21</v>
      </c>
      <c r="D62" s="402" t="s">
        <v>389</v>
      </c>
      <c r="E62" s="402" t="s">
        <v>399</v>
      </c>
      <c r="F62" s="402" t="s">
        <v>400</v>
      </c>
      <c r="G62" s="402" t="s">
        <v>374</v>
      </c>
      <c r="H62" s="402" t="s">
        <v>401</v>
      </c>
      <c r="I62" s="403">
        <v>2020</v>
      </c>
      <c r="J62" s="404">
        <v>0</v>
      </c>
      <c r="K62" s="405">
        <v>76.430000000000007</v>
      </c>
      <c r="L62" s="405">
        <v>0</v>
      </c>
      <c r="M62" s="406" t="s">
        <v>251</v>
      </c>
      <c r="N62" s="406" t="s">
        <v>251</v>
      </c>
      <c r="O62" s="406" t="s">
        <v>376</v>
      </c>
      <c r="P62" s="407">
        <v>0.38322222222222518</v>
      </c>
      <c r="Q62" s="407">
        <v>0.38322222222222518</v>
      </c>
      <c r="R62" s="408">
        <v>0</v>
      </c>
      <c r="S62" s="408">
        <v>0</v>
      </c>
      <c r="T62" s="409">
        <v>0</v>
      </c>
      <c r="U62" s="409">
        <v>0</v>
      </c>
      <c r="V62" s="410" t="e">
        <v>#DIV/0!</v>
      </c>
      <c r="W62" s="409">
        <v>0</v>
      </c>
      <c r="X62" s="409">
        <v>0</v>
      </c>
      <c r="Y62" s="409">
        <v>0</v>
      </c>
      <c r="Z62" s="410" t="e">
        <v>#DIV/0!</v>
      </c>
      <c r="AA62" s="409">
        <v>0</v>
      </c>
      <c r="AB62" s="409">
        <v>0</v>
      </c>
      <c r="AC62" s="409">
        <v>0</v>
      </c>
      <c r="AD62" s="410" t="e">
        <v>#DIV/0!</v>
      </c>
      <c r="AE62" s="409">
        <v>0</v>
      </c>
      <c r="AF62" s="409">
        <v>0</v>
      </c>
      <c r="AG62" s="409">
        <v>0</v>
      </c>
      <c r="AH62" s="410" t="e">
        <v>#DIV/0!</v>
      </c>
      <c r="AI62" s="409">
        <v>0</v>
      </c>
      <c r="AJ62" s="409">
        <v>0</v>
      </c>
      <c r="AK62" s="409">
        <v>0</v>
      </c>
      <c r="AL62" s="410" t="e">
        <v>#DIV/0!</v>
      </c>
      <c r="AM62" s="409">
        <v>0</v>
      </c>
      <c r="AN62" s="411">
        <v>0</v>
      </c>
      <c r="AO62" s="411">
        <v>0</v>
      </c>
      <c r="AP62" s="409">
        <v>0</v>
      </c>
      <c r="AQ62" s="409" t="e">
        <v>#DIV/0!</v>
      </c>
      <c r="AR62" s="409" t="e">
        <v>#DIV/0!</v>
      </c>
    </row>
    <row r="63" spans="1:44" s="388" customFormat="1">
      <c r="A63" s="402" t="s">
        <v>231</v>
      </c>
      <c r="B63" s="402" t="s">
        <v>370</v>
      </c>
      <c r="C63" s="402" t="s">
        <v>21</v>
      </c>
      <c r="D63" s="402" t="s">
        <v>395</v>
      </c>
      <c r="E63" s="402" t="s">
        <v>402</v>
      </c>
      <c r="F63" s="402" t="s">
        <v>403</v>
      </c>
      <c r="G63" s="402" t="s">
        <v>374</v>
      </c>
      <c r="H63" s="402" t="s">
        <v>404</v>
      </c>
      <c r="I63" s="403">
        <v>2015</v>
      </c>
      <c r="J63" s="404">
        <v>0</v>
      </c>
      <c r="K63" s="405">
        <v>76.430000000000007</v>
      </c>
      <c r="L63" s="405">
        <v>0</v>
      </c>
      <c r="M63" s="406" t="s">
        <v>251</v>
      </c>
      <c r="N63" s="406" t="s">
        <v>251</v>
      </c>
      <c r="O63" s="406" t="s">
        <v>376</v>
      </c>
      <c r="P63" s="407">
        <v>0.38322222222222602</v>
      </c>
      <c r="Q63" s="407">
        <v>0.38322222222222602</v>
      </c>
      <c r="R63" s="408">
        <v>0</v>
      </c>
      <c r="S63" s="408">
        <v>0</v>
      </c>
      <c r="T63" s="409">
        <v>0</v>
      </c>
      <c r="U63" s="409">
        <v>0</v>
      </c>
      <c r="V63" s="410" t="e">
        <v>#DIV/0!</v>
      </c>
      <c r="W63" s="409">
        <v>0</v>
      </c>
      <c r="X63" s="409">
        <v>0</v>
      </c>
      <c r="Y63" s="409">
        <v>0</v>
      </c>
      <c r="Z63" s="410" t="e">
        <v>#DIV/0!</v>
      </c>
      <c r="AA63" s="409">
        <v>0</v>
      </c>
      <c r="AB63" s="409">
        <v>0</v>
      </c>
      <c r="AC63" s="409">
        <v>0</v>
      </c>
      <c r="AD63" s="410" t="e">
        <v>#DIV/0!</v>
      </c>
      <c r="AE63" s="409">
        <v>0</v>
      </c>
      <c r="AF63" s="409">
        <v>0</v>
      </c>
      <c r="AG63" s="409">
        <v>0</v>
      </c>
      <c r="AH63" s="410" t="e">
        <v>#DIV/0!</v>
      </c>
      <c r="AI63" s="409">
        <v>0</v>
      </c>
      <c r="AJ63" s="409">
        <v>0</v>
      </c>
      <c r="AK63" s="409">
        <v>0</v>
      </c>
      <c r="AL63" s="410" t="e">
        <v>#DIV/0!</v>
      </c>
      <c r="AM63" s="409">
        <v>0</v>
      </c>
      <c r="AN63" s="411">
        <v>0</v>
      </c>
      <c r="AO63" s="411">
        <v>0</v>
      </c>
      <c r="AP63" s="409">
        <v>0</v>
      </c>
      <c r="AQ63" s="409" t="e">
        <v>#DIV/0!</v>
      </c>
      <c r="AR63" s="409" t="e">
        <v>#DIV/0!</v>
      </c>
    </row>
    <row r="64" spans="1:44" s="388" customFormat="1">
      <c r="A64" s="402" t="s">
        <v>231</v>
      </c>
      <c r="B64" s="402" t="s">
        <v>370</v>
      </c>
      <c r="C64" s="402" t="s">
        <v>21</v>
      </c>
      <c r="D64" s="402" t="s">
        <v>395</v>
      </c>
      <c r="E64" s="402" t="s">
        <v>402</v>
      </c>
      <c r="F64" s="402" t="s">
        <v>403</v>
      </c>
      <c r="G64" s="402" t="s">
        <v>374</v>
      </c>
      <c r="H64" s="402" t="s">
        <v>404</v>
      </c>
      <c r="I64" s="403">
        <v>2016</v>
      </c>
      <c r="J64" s="404">
        <v>0</v>
      </c>
      <c r="K64" s="405">
        <v>76.430000000000007</v>
      </c>
      <c r="L64" s="405">
        <v>0</v>
      </c>
      <c r="M64" s="406" t="s">
        <v>251</v>
      </c>
      <c r="N64" s="406" t="s">
        <v>251</v>
      </c>
      <c r="O64" s="406" t="s">
        <v>376</v>
      </c>
      <c r="P64" s="407">
        <v>0.38322222222222602</v>
      </c>
      <c r="Q64" s="407">
        <v>0.38322222222222602</v>
      </c>
      <c r="R64" s="408">
        <v>0</v>
      </c>
      <c r="S64" s="408">
        <v>0</v>
      </c>
      <c r="T64" s="409">
        <v>0</v>
      </c>
      <c r="U64" s="409">
        <v>0</v>
      </c>
      <c r="V64" s="410" t="e">
        <v>#DIV/0!</v>
      </c>
      <c r="W64" s="409">
        <v>0</v>
      </c>
      <c r="X64" s="409">
        <v>0</v>
      </c>
      <c r="Y64" s="409">
        <v>0</v>
      </c>
      <c r="Z64" s="410" t="e">
        <v>#DIV/0!</v>
      </c>
      <c r="AA64" s="409">
        <v>0</v>
      </c>
      <c r="AB64" s="409">
        <v>0</v>
      </c>
      <c r="AC64" s="409">
        <v>0</v>
      </c>
      <c r="AD64" s="410" t="e">
        <v>#DIV/0!</v>
      </c>
      <c r="AE64" s="409">
        <v>0</v>
      </c>
      <c r="AF64" s="409">
        <v>0</v>
      </c>
      <c r="AG64" s="409">
        <v>0</v>
      </c>
      <c r="AH64" s="410" t="e">
        <v>#DIV/0!</v>
      </c>
      <c r="AI64" s="409">
        <v>0</v>
      </c>
      <c r="AJ64" s="409">
        <v>0</v>
      </c>
      <c r="AK64" s="409">
        <v>0</v>
      </c>
      <c r="AL64" s="410" t="e">
        <v>#DIV/0!</v>
      </c>
      <c r="AM64" s="409">
        <v>0</v>
      </c>
      <c r="AN64" s="411">
        <v>0</v>
      </c>
      <c r="AO64" s="411">
        <v>0</v>
      </c>
      <c r="AP64" s="409">
        <v>0</v>
      </c>
      <c r="AQ64" s="409" t="e">
        <v>#DIV/0!</v>
      </c>
      <c r="AR64" s="409" t="e">
        <v>#DIV/0!</v>
      </c>
    </row>
    <row r="65" spans="1:44" s="388" customFormat="1">
      <c r="A65" s="402" t="s">
        <v>231</v>
      </c>
      <c r="B65" s="402" t="s">
        <v>370</v>
      </c>
      <c r="C65" s="402" t="s">
        <v>21</v>
      </c>
      <c r="D65" s="402" t="s">
        <v>395</v>
      </c>
      <c r="E65" s="402" t="s">
        <v>402</v>
      </c>
      <c r="F65" s="402" t="s">
        <v>403</v>
      </c>
      <c r="G65" s="402" t="s">
        <v>374</v>
      </c>
      <c r="H65" s="402" t="s">
        <v>404</v>
      </c>
      <c r="I65" s="403">
        <v>2017</v>
      </c>
      <c r="J65" s="404">
        <v>0</v>
      </c>
      <c r="K65" s="405">
        <v>76.430000000000007</v>
      </c>
      <c r="L65" s="405">
        <v>0</v>
      </c>
      <c r="M65" s="406" t="s">
        <v>251</v>
      </c>
      <c r="N65" s="406" t="s">
        <v>251</v>
      </c>
      <c r="O65" s="406" t="s">
        <v>376</v>
      </c>
      <c r="P65" s="407">
        <v>0.38322222222222602</v>
      </c>
      <c r="Q65" s="407">
        <v>0.38322222222222602</v>
      </c>
      <c r="R65" s="408">
        <v>0</v>
      </c>
      <c r="S65" s="408">
        <v>0</v>
      </c>
      <c r="T65" s="409">
        <v>0</v>
      </c>
      <c r="U65" s="409">
        <v>0</v>
      </c>
      <c r="V65" s="410" t="e">
        <v>#DIV/0!</v>
      </c>
      <c r="W65" s="409">
        <v>0</v>
      </c>
      <c r="X65" s="409">
        <v>0</v>
      </c>
      <c r="Y65" s="409">
        <v>0</v>
      </c>
      <c r="Z65" s="410" t="e">
        <v>#DIV/0!</v>
      </c>
      <c r="AA65" s="409">
        <v>0</v>
      </c>
      <c r="AB65" s="409">
        <v>0</v>
      </c>
      <c r="AC65" s="409">
        <v>0</v>
      </c>
      <c r="AD65" s="410" t="e">
        <v>#DIV/0!</v>
      </c>
      <c r="AE65" s="409">
        <v>0</v>
      </c>
      <c r="AF65" s="409">
        <v>0</v>
      </c>
      <c r="AG65" s="409">
        <v>0</v>
      </c>
      <c r="AH65" s="410" t="e">
        <v>#DIV/0!</v>
      </c>
      <c r="AI65" s="409">
        <v>0</v>
      </c>
      <c r="AJ65" s="409">
        <v>0</v>
      </c>
      <c r="AK65" s="409">
        <v>0</v>
      </c>
      <c r="AL65" s="410" t="e">
        <v>#DIV/0!</v>
      </c>
      <c r="AM65" s="409">
        <v>0</v>
      </c>
      <c r="AN65" s="411">
        <v>0</v>
      </c>
      <c r="AO65" s="411">
        <v>0</v>
      </c>
      <c r="AP65" s="409">
        <v>0</v>
      </c>
      <c r="AQ65" s="409" t="e">
        <v>#DIV/0!</v>
      </c>
      <c r="AR65" s="409" t="e">
        <v>#DIV/0!</v>
      </c>
    </row>
    <row r="66" spans="1:44" s="388" customFormat="1">
      <c r="A66" s="402" t="s">
        <v>231</v>
      </c>
      <c r="B66" s="402" t="s">
        <v>370</v>
      </c>
      <c r="C66" s="402" t="s">
        <v>21</v>
      </c>
      <c r="D66" s="402" t="s">
        <v>395</v>
      </c>
      <c r="E66" s="402" t="s">
        <v>402</v>
      </c>
      <c r="F66" s="402" t="s">
        <v>403</v>
      </c>
      <c r="G66" s="402" t="s">
        <v>374</v>
      </c>
      <c r="H66" s="402" t="s">
        <v>404</v>
      </c>
      <c r="I66" s="403">
        <v>2018</v>
      </c>
      <c r="J66" s="404">
        <v>0</v>
      </c>
      <c r="K66" s="405">
        <v>76.430000000000007</v>
      </c>
      <c r="L66" s="405">
        <v>0</v>
      </c>
      <c r="M66" s="406" t="s">
        <v>251</v>
      </c>
      <c r="N66" s="406" t="s">
        <v>251</v>
      </c>
      <c r="O66" s="406" t="s">
        <v>376</v>
      </c>
      <c r="P66" s="407">
        <v>0.38322222222222602</v>
      </c>
      <c r="Q66" s="407">
        <v>0.38322222222222602</v>
      </c>
      <c r="R66" s="408">
        <v>0</v>
      </c>
      <c r="S66" s="408">
        <v>0</v>
      </c>
      <c r="T66" s="409">
        <v>0</v>
      </c>
      <c r="U66" s="409">
        <v>0</v>
      </c>
      <c r="V66" s="410" t="e">
        <v>#DIV/0!</v>
      </c>
      <c r="W66" s="409">
        <v>0</v>
      </c>
      <c r="X66" s="409">
        <v>0</v>
      </c>
      <c r="Y66" s="409">
        <v>0</v>
      </c>
      <c r="Z66" s="410" t="e">
        <v>#DIV/0!</v>
      </c>
      <c r="AA66" s="409">
        <v>0</v>
      </c>
      <c r="AB66" s="409">
        <v>0</v>
      </c>
      <c r="AC66" s="409">
        <v>0</v>
      </c>
      <c r="AD66" s="410" t="e">
        <v>#DIV/0!</v>
      </c>
      <c r="AE66" s="409">
        <v>0</v>
      </c>
      <c r="AF66" s="409">
        <v>0</v>
      </c>
      <c r="AG66" s="409">
        <v>0</v>
      </c>
      <c r="AH66" s="410" t="e">
        <v>#DIV/0!</v>
      </c>
      <c r="AI66" s="409">
        <v>0</v>
      </c>
      <c r="AJ66" s="409">
        <v>0</v>
      </c>
      <c r="AK66" s="409">
        <v>0</v>
      </c>
      <c r="AL66" s="410" t="e">
        <v>#DIV/0!</v>
      </c>
      <c r="AM66" s="409">
        <v>0</v>
      </c>
      <c r="AN66" s="411">
        <v>0</v>
      </c>
      <c r="AO66" s="411">
        <v>0</v>
      </c>
      <c r="AP66" s="409">
        <v>0</v>
      </c>
      <c r="AQ66" s="409" t="e">
        <v>#DIV/0!</v>
      </c>
      <c r="AR66" s="409" t="e">
        <v>#DIV/0!</v>
      </c>
    </row>
    <row r="67" spans="1:44" s="388" customFormat="1">
      <c r="A67" s="402" t="s">
        <v>231</v>
      </c>
      <c r="B67" s="402" t="s">
        <v>370</v>
      </c>
      <c r="C67" s="402" t="s">
        <v>21</v>
      </c>
      <c r="D67" s="402" t="s">
        <v>395</v>
      </c>
      <c r="E67" s="402" t="s">
        <v>402</v>
      </c>
      <c r="F67" s="402" t="s">
        <v>403</v>
      </c>
      <c r="G67" s="402" t="s">
        <v>374</v>
      </c>
      <c r="H67" s="402" t="s">
        <v>404</v>
      </c>
      <c r="I67" s="403">
        <v>2019</v>
      </c>
      <c r="J67" s="404">
        <v>0</v>
      </c>
      <c r="K67" s="405">
        <v>76.430000000000007</v>
      </c>
      <c r="L67" s="405">
        <v>0</v>
      </c>
      <c r="M67" s="406" t="s">
        <v>251</v>
      </c>
      <c r="N67" s="406" t="s">
        <v>251</v>
      </c>
      <c r="O67" s="406" t="s">
        <v>376</v>
      </c>
      <c r="P67" s="407">
        <v>0.38322222222222602</v>
      </c>
      <c r="Q67" s="407">
        <v>0.38322222222222602</v>
      </c>
      <c r="R67" s="408">
        <v>0</v>
      </c>
      <c r="S67" s="408">
        <v>0</v>
      </c>
      <c r="T67" s="409">
        <v>0</v>
      </c>
      <c r="U67" s="409">
        <v>0</v>
      </c>
      <c r="V67" s="410" t="e">
        <v>#DIV/0!</v>
      </c>
      <c r="W67" s="409">
        <v>0</v>
      </c>
      <c r="X67" s="409">
        <v>0</v>
      </c>
      <c r="Y67" s="409">
        <v>0</v>
      </c>
      <c r="Z67" s="410" t="e">
        <v>#DIV/0!</v>
      </c>
      <c r="AA67" s="409">
        <v>0</v>
      </c>
      <c r="AB67" s="409">
        <v>0</v>
      </c>
      <c r="AC67" s="409">
        <v>0</v>
      </c>
      <c r="AD67" s="410" t="e">
        <v>#DIV/0!</v>
      </c>
      <c r="AE67" s="409">
        <v>0</v>
      </c>
      <c r="AF67" s="409">
        <v>0</v>
      </c>
      <c r="AG67" s="409">
        <v>0</v>
      </c>
      <c r="AH67" s="410" t="e">
        <v>#DIV/0!</v>
      </c>
      <c r="AI67" s="409">
        <v>0</v>
      </c>
      <c r="AJ67" s="409">
        <v>0</v>
      </c>
      <c r="AK67" s="409">
        <v>0</v>
      </c>
      <c r="AL67" s="410" t="e">
        <v>#DIV/0!</v>
      </c>
      <c r="AM67" s="409">
        <v>0</v>
      </c>
      <c r="AN67" s="411">
        <v>0</v>
      </c>
      <c r="AO67" s="411">
        <v>0</v>
      </c>
      <c r="AP67" s="409">
        <v>0</v>
      </c>
      <c r="AQ67" s="409" t="e">
        <v>#DIV/0!</v>
      </c>
      <c r="AR67" s="409" t="e">
        <v>#DIV/0!</v>
      </c>
    </row>
    <row r="68" spans="1:44" s="388" customFormat="1">
      <c r="A68" s="402" t="s">
        <v>231</v>
      </c>
      <c r="B68" s="402" t="s">
        <v>370</v>
      </c>
      <c r="C68" s="402" t="s">
        <v>21</v>
      </c>
      <c r="D68" s="402" t="s">
        <v>395</v>
      </c>
      <c r="E68" s="402" t="s">
        <v>402</v>
      </c>
      <c r="F68" s="402" t="s">
        <v>403</v>
      </c>
      <c r="G68" s="402" t="s">
        <v>374</v>
      </c>
      <c r="H68" s="402" t="s">
        <v>404</v>
      </c>
      <c r="I68" s="403">
        <v>2020</v>
      </c>
      <c r="J68" s="404">
        <v>0</v>
      </c>
      <c r="K68" s="405">
        <v>76.430000000000007</v>
      </c>
      <c r="L68" s="405">
        <v>0</v>
      </c>
      <c r="M68" s="406" t="s">
        <v>251</v>
      </c>
      <c r="N68" s="406" t="s">
        <v>251</v>
      </c>
      <c r="O68" s="406" t="s">
        <v>376</v>
      </c>
      <c r="P68" s="407">
        <v>0.38322222222222602</v>
      </c>
      <c r="Q68" s="407">
        <v>0.38322222222222602</v>
      </c>
      <c r="R68" s="408">
        <v>0</v>
      </c>
      <c r="S68" s="408">
        <v>0</v>
      </c>
      <c r="T68" s="409">
        <v>0</v>
      </c>
      <c r="U68" s="409">
        <v>0</v>
      </c>
      <c r="V68" s="410" t="e">
        <v>#DIV/0!</v>
      </c>
      <c r="W68" s="409">
        <v>0</v>
      </c>
      <c r="X68" s="409">
        <v>0</v>
      </c>
      <c r="Y68" s="409">
        <v>0</v>
      </c>
      <c r="Z68" s="410" t="e">
        <v>#DIV/0!</v>
      </c>
      <c r="AA68" s="409">
        <v>0</v>
      </c>
      <c r="AB68" s="409">
        <v>0</v>
      </c>
      <c r="AC68" s="409">
        <v>0</v>
      </c>
      <c r="AD68" s="410" t="e">
        <v>#DIV/0!</v>
      </c>
      <c r="AE68" s="409">
        <v>0</v>
      </c>
      <c r="AF68" s="409">
        <v>0</v>
      </c>
      <c r="AG68" s="409">
        <v>0</v>
      </c>
      <c r="AH68" s="410" t="e">
        <v>#DIV/0!</v>
      </c>
      <c r="AI68" s="409">
        <v>0</v>
      </c>
      <c r="AJ68" s="409">
        <v>0</v>
      </c>
      <c r="AK68" s="409">
        <v>0</v>
      </c>
      <c r="AL68" s="410" t="e">
        <v>#DIV/0!</v>
      </c>
      <c r="AM68" s="409">
        <v>0</v>
      </c>
      <c r="AN68" s="411">
        <v>0</v>
      </c>
      <c r="AO68" s="411">
        <v>0</v>
      </c>
      <c r="AP68" s="409">
        <v>0</v>
      </c>
      <c r="AQ68" s="409" t="e">
        <v>#DIV/0!</v>
      </c>
      <c r="AR68" s="409" t="e">
        <v>#DIV/0!</v>
      </c>
    </row>
    <row r="69" spans="1:44" s="388" customFormat="1">
      <c r="A69" s="402" t="s">
        <v>231</v>
      </c>
      <c r="B69" s="402" t="s">
        <v>370</v>
      </c>
      <c r="C69" s="402" t="s">
        <v>21</v>
      </c>
      <c r="D69" s="402" t="s">
        <v>405</v>
      </c>
      <c r="E69" s="402" t="s">
        <v>406</v>
      </c>
      <c r="F69" s="402" t="s">
        <v>407</v>
      </c>
      <c r="G69" s="402" t="s">
        <v>374</v>
      </c>
      <c r="H69" s="402" t="s">
        <v>408</v>
      </c>
      <c r="I69" s="403">
        <v>2015</v>
      </c>
      <c r="J69" s="404">
        <v>0</v>
      </c>
      <c r="K69" s="405">
        <v>76.430000000000007</v>
      </c>
      <c r="L69" s="405">
        <v>0</v>
      </c>
      <c r="M69" s="406" t="s">
        <v>251</v>
      </c>
      <c r="N69" s="406" t="s">
        <v>251</v>
      </c>
      <c r="O69" s="406" t="s">
        <v>376</v>
      </c>
      <c r="P69" s="407">
        <v>0.48452941176478675</v>
      </c>
      <c r="Q69" s="407">
        <v>0.48452941176478675</v>
      </c>
      <c r="R69" s="408">
        <v>0</v>
      </c>
      <c r="S69" s="408">
        <v>0</v>
      </c>
      <c r="T69" s="409">
        <v>0</v>
      </c>
      <c r="U69" s="409">
        <v>0</v>
      </c>
      <c r="V69" s="410" t="e">
        <v>#DIV/0!</v>
      </c>
      <c r="W69" s="409">
        <v>0</v>
      </c>
      <c r="X69" s="409">
        <v>0</v>
      </c>
      <c r="Y69" s="409">
        <v>0</v>
      </c>
      <c r="Z69" s="410" t="e">
        <v>#DIV/0!</v>
      </c>
      <c r="AA69" s="409">
        <v>0</v>
      </c>
      <c r="AB69" s="409">
        <v>0</v>
      </c>
      <c r="AC69" s="409">
        <v>0</v>
      </c>
      <c r="AD69" s="410" t="e">
        <v>#DIV/0!</v>
      </c>
      <c r="AE69" s="409">
        <v>0</v>
      </c>
      <c r="AF69" s="409">
        <v>0</v>
      </c>
      <c r="AG69" s="409">
        <v>0</v>
      </c>
      <c r="AH69" s="410" t="e">
        <v>#DIV/0!</v>
      </c>
      <c r="AI69" s="409">
        <v>0</v>
      </c>
      <c r="AJ69" s="409">
        <v>0</v>
      </c>
      <c r="AK69" s="409">
        <v>0</v>
      </c>
      <c r="AL69" s="410" t="e">
        <v>#DIV/0!</v>
      </c>
      <c r="AM69" s="409">
        <v>0</v>
      </c>
      <c r="AN69" s="411">
        <v>0</v>
      </c>
      <c r="AO69" s="411">
        <v>0</v>
      </c>
      <c r="AP69" s="409">
        <v>0</v>
      </c>
      <c r="AQ69" s="409" t="e">
        <v>#DIV/0!</v>
      </c>
      <c r="AR69" s="409" t="e">
        <v>#DIV/0!</v>
      </c>
    </row>
    <row r="70" spans="1:44" s="388" customFormat="1">
      <c r="A70" s="402" t="s">
        <v>231</v>
      </c>
      <c r="B70" s="402" t="s">
        <v>370</v>
      </c>
      <c r="C70" s="402" t="s">
        <v>21</v>
      </c>
      <c r="D70" s="402" t="s">
        <v>405</v>
      </c>
      <c r="E70" s="402" t="s">
        <v>406</v>
      </c>
      <c r="F70" s="402" t="s">
        <v>407</v>
      </c>
      <c r="G70" s="402" t="s">
        <v>374</v>
      </c>
      <c r="H70" s="402" t="s">
        <v>408</v>
      </c>
      <c r="I70" s="403">
        <v>2016</v>
      </c>
      <c r="J70" s="404">
        <v>0</v>
      </c>
      <c r="K70" s="405">
        <v>76.430000000000007</v>
      </c>
      <c r="L70" s="405">
        <v>0</v>
      </c>
      <c r="M70" s="406" t="s">
        <v>251</v>
      </c>
      <c r="N70" s="406" t="s">
        <v>251</v>
      </c>
      <c r="O70" s="406" t="s">
        <v>376</v>
      </c>
      <c r="P70" s="407">
        <v>0.48452941176478675</v>
      </c>
      <c r="Q70" s="407">
        <v>0.48452941176478675</v>
      </c>
      <c r="R70" s="408">
        <v>0</v>
      </c>
      <c r="S70" s="408">
        <v>0</v>
      </c>
      <c r="T70" s="409">
        <v>0</v>
      </c>
      <c r="U70" s="409">
        <v>0</v>
      </c>
      <c r="V70" s="410" t="e">
        <v>#DIV/0!</v>
      </c>
      <c r="W70" s="409">
        <v>0</v>
      </c>
      <c r="X70" s="409">
        <v>0</v>
      </c>
      <c r="Y70" s="409">
        <v>0</v>
      </c>
      <c r="Z70" s="410" t="e">
        <v>#DIV/0!</v>
      </c>
      <c r="AA70" s="409">
        <v>0</v>
      </c>
      <c r="AB70" s="409">
        <v>0</v>
      </c>
      <c r="AC70" s="409">
        <v>0</v>
      </c>
      <c r="AD70" s="410" t="e">
        <v>#DIV/0!</v>
      </c>
      <c r="AE70" s="409">
        <v>0</v>
      </c>
      <c r="AF70" s="409">
        <v>0</v>
      </c>
      <c r="AG70" s="409">
        <v>0</v>
      </c>
      <c r="AH70" s="410" t="e">
        <v>#DIV/0!</v>
      </c>
      <c r="AI70" s="409">
        <v>0</v>
      </c>
      <c r="AJ70" s="409">
        <v>0</v>
      </c>
      <c r="AK70" s="409">
        <v>0</v>
      </c>
      <c r="AL70" s="410" t="e">
        <v>#DIV/0!</v>
      </c>
      <c r="AM70" s="409">
        <v>0</v>
      </c>
      <c r="AN70" s="411">
        <v>0</v>
      </c>
      <c r="AO70" s="411">
        <v>0</v>
      </c>
      <c r="AP70" s="409">
        <v>0</v>
      </c>
      <c r="AQ70" s="409" t="e">
        <v>#DIV/0!</v>
      </c>
      <c r="AR70" s="409" t="e">
        <v>#DIV/0!</v>
      </c>
    </row>
    <row r="71" spans="1:44" s="388" customFormat="1">
      <c r="A71" s="402" t="s">
        <v>231</v>
      </c>
      <c r="B71" s="402" t="s">
        <v>370</v>
      </c>
      <c r="C71" s="402" t="s">
        <v>21</v>
      </c>
      <c r="D71" s="402" t="s">
        <v>405</v>
      </c>
      <c r="E71" s="402" t="s">
        <v>406</v>
      </c>
      <c r="F71" s="402" t="s">
        <v>407</v>
      </c>
      <c r="G71" s="402" t="s">
        <v>374</v>
      </c>
      <c r="H71" s="402" t="s">
        <v>408</v>
      </c>
      <c r="I71" s="403">
        <v>2017</v>
      </c>
      <c r="J71" s="404">
        <v>0</v>
      </c>
      <c r="K71" s="405">
        <v>76.430000000000007</v>
      </c>
      <c r="L71" s="405">
        <v>0</v>
      </c>
      <c r="M71" s="406" t="s">
        <v>251</v>
      </c>
      <c r="N71" s="406" t="s">
        <v>251</v>
      </c>
      <c r="O71" s="406" t="s">
        <v>376</v>
      </c>
      <c r="P71" s="407">
        <v>0.48452941176478675</v>
      </c>
      <c r="Q71" s="407">
        <v>0.48452941176478675</v>
      </c>
      <c r="R71" s="408">
        <v>0</v>
      </c>
      <c r="S71" s="408">
        <v>0</v>
      </c>
      <c r="T71" s="409">
        <v>0</v>
      </c>
      <c r="U71" s="409">
        <v>0</v>
      </c>
      <c r="V71" s="410" t="e">
        <v>#DIV/0!</v>
      </c>
      <c r="W71" s="409">
        <v>0</v>
      </c>
      <c r="X71" s="409">
        <v>0</v>
      </c>
      <c r="Y71" s="409">
        <v>0</v>
      </c>
      <c r="Z71" s="410" t="e">
        <v>#DIV/0!</v>
      </c>
      <c r="AA71" s="409">
        <v>0</v>
      </c>
      <c r="AB71" s="409">
        <v>0</v>
      </c>
      <c r="AC71" s="409">
        <v>0</v>
      </c>
      <c r="AD71" s="410" t="e">
        <v>#DIV/0!</v>
      </c>
      <c r="AE71" s="409">
        <v>0</v>
      </c>
      <c r="AF71" s="409">
        <v>0</v>
      </c>
      <c r="AG71" s="409">
        <v>0</v>
      </c>
      <c r="AH71" s="410" t="e">
        <v>#DIV/0!</v>
      </c>
      <c r="AI71" s="409">
        <v>0</v>
      </c>
      <c r="AJ71" s="409">
        <v>0</v>
      </c>
      <c r="AK71" s="409">
        <v>0</v>
      </c>
      <c r="AL71" s="410" t="e">
        <v>#DIV/0!</v>
      </c>
      <c r="AM71" s="409">
        <v>0</v>
      </c>
      <c r="AN71" s="411">
        <v>0</v>
      </c>
      <c r="AO71" s="411">
        <v>0</v>
      </c>
      <c r="AP71" s="409">
        <v>0</v>
      </c>
      <c r="AQ71" s="409" t="e">
        <v>#DIV/0!</v>
      </c>
      <c r="AR71" s="409" t="e">
        <v>#DIV/0!</v>
      </c>
    </row>
    <row r="72" spans="1:44" s="388" customFormat="1">
      <c r="A72" s="402" t="s">
        <v>231</v>
      </c>
      <c r="B72" s="402" t="s">
        <v>370</v>
      </c>
      <c r="C72" s="402" t="s">
        <v>21</v>
      </c>
      <c r="D72" s="402" t="s">
        <v>405</v>
      </c>
      <c r="E72" s="402" t="s">
        <v>406</v>
      </c>
      <c r="F72" s="402" t="s">
        <v>407</v>
      </c>
      <c r="G72" s="402" t="s">
        <v>374</v>
      </c>
      <c r="H72" s="402" t="s">
        <v>408</v>
      </c>
      <c r="I72" s="403">
        <v>2018</v>
      </c>
      <c r="J72" s="404">
        <v>0</v>
      </c>
      <c r="K72" s="405">
        <v>76.430000000000007</v>
      </c>
      <c r="L72" s="405">
        <v>0</v>
      </c>
      <c r="M72" s="406" t="s">
        <v>251</v>
      </c>
      <c r="N72" s="406" t="s">
        <v>251</v>
      </c>
      <c r="O72" s="406" t="s">
        <v>376</v>
      </c>
      <c r="P72" s="407">
        <v>0.48452941176478675</v>
      </c>
      <c r="Q72" s="407">
        <v>0.48452941176478675</v>
      </c>
      <c r="R72" s="408">
        <v>0</v>
      </c>
      <c r="S72" s="408">
        <v>0</v>
      </c>
      <c r="T72" s="409">
        <v>0</v>
      </c>
      <c r="U72" s="409">
        <v>0</v>
      </c>
      <c r="V72" s="410" t="e">
        <v>#DIV/0!</v>
      </c>
      <c r="W72" s="409">
        <v>0</v>
      </c>
      <c r="X72" s="409">
        <v>0</v>
      </c>
      <c r="Y72" s="409">
        <v>0</v>
      </c>
      <c r="Z72" s="410" t="e">
        <v>#DIV/0!</v>
      </c>
      <c r="AA72" s="409">
        <v>0</v>
      </c>
      <c r="AB72" s="409">
        <v>0</v>
      </c>
      <c r="AC72" s="409">
        <v>0</v>
      </c>
      <c r="AD72" s="410" t="e">
        <v>#DIV/0!</v>
      </c>
      <c r="AE72" s="409">
        <v>0</v>
      </c>
      <c r="AF72" s="409">
        <v>0</v>
      </c>
      <c r="AG72" s="409">
        <v>0</v>
      </c>
      <c r="AH72" s="410" t="e">
        <v>#DIV/0!</v>
      </c>
      <c r="AI72" s="409">
        <v>0</v>
      </c>
      <c r="AJ72" s="409">
        <v>0</v>
      </c>
      <c r="AK72" s="409">
        <v>0</v>
      </c>
      <c r="AL72" s="410" t="e">
        <v>#DIV/0!</v>
      </c>
      <c r="AM72" s="409">
        <v>0</v>
      </c>
      <c r="AN72" s="411">
        <v>0</v>
      </c>
      <c r="AO72" s="411">
        <v>0</v>
      </c>
      <c r="AP72" s="409">
        <v>0</v>
      </c>
      <c r="AQ72" s="409" t="e">
        <v>#DIV/0!</v>
      </c>
      <c r="AR72" s="409" t="e">
        <v>#DIV/0!</v>
      </c>
    </row>
    <row r="73" spans="1:44" s="388" customFormat="1">
      <c r="A73" s="402" t="s">
        <v>231</v>
      </c>
      <c r="B73" s="402" t="s">
        <v>370</v>
      </c>
      <c r="C73" s="402" t="s">
        <v>21</v>
      </c>
      <c r="D73" s="402" t="s">
        <v>405</v>
      </c>
      <c r="E73" s="402" t="s">
        <v>406</v>
      </c>
      <c r="F73" s="402" t="s">
        <v>407</v>
      </c>
      <c r="G73" s="402" t="s">
        <v>374</v>
      </c>
      <c r="H73" s="402" t="s">
        <v>408</v>
      </c>
      <c r="I73" s="403">
        <v>2019</v>
      </c>
      <c r="J73" s="404">
        <v>0</v>
      </c>
      <c r="K73" s="405">
        <v>76.430000000000007</v>
      </c>
      <c r="L73" s="405">
        <v>0</v>
      </c>
      <c r="M73" s="406" t="s">
        <v>251</v>
      </c>
      <c r="N73" s="406" t="s">
        <v>251</v>
      </c>
      <c r="O73" s="406" t="s">
        <v>376</v>
      </c>
      <c r="P73" s="407">
        <v>0.48452941176478675</v>
      </c>
      <c r="Q73" s="407">
        <v>0.48452941176478675</v>
      </c>
      <c r="R73" s="408">
        <v>0</v>
      </c>
      <c r="S73" s="408">
        <v>0</v>
      </c>
      <c r="T73" s="409">
        <v>0</v>
      </c>
      <c r="U73" s="409">
        <v>0</v>
      </c>
      <c r="V73" s="410" t="e">
        <v>#DIV/0!</v>
      </c>
      <c r="W73" s="409">
        <v>0</v>
      </c>
      <c r="X73" s="409">
        <v>0</v>
      </c>
      <c r="Y73" s="409">
        <v>0</v>
      </c>
      <c r="Z73" s="410" t="e">
        <v>#DIV/0!</v>
      </c>
      <c r="AA73" s="409">
        <v>0</v>
      </c>
      <c r="AB73" s="409">
        <v>0</v>
      </c>
      <c r="AC73" s="409">
        <v>0</v>
      </c>
      <c r="AD73" s="410" t="e">
        <v>#DIV/0!</v>
      </c>
      <c r="AE73" s="409">
        <v>0</v>
      </c>
      <c r="AF73" s="409">
        <v>0</v>
      </c>
      <c r="AG73" s="409">
        <v>0</v>
      </c>
      <c r="AH73" s="410" t="e">
        <v>#DIV/0!</v>
      </c>
      <c r="AI73" s="409">
        <v>0</v>
      </c>
      <c r="AJ73" s="409">
        <v>0</v>
      </c>
      <c r="AK73" s="409">
        <v>0</v>
      </c>
      <c r="AL73" s="410" t="e">
        <v>#DIV/0!</v>
      </c>
      <c r="AM73" s="409">
        <v>0</v>
      </c>
      <c r="AN73" s="411">
        <v>0</v>
      </c>
      <c r="AO73" s="411">
        <v>0</v>
      </c>
      <c r="AP73" s="409">
        <v>0</v>
      </c>
      <c r="AQ73" s="409" t="e">
        <v>#DIV/0!</v>
      </c>
      <c r="AR73" s="409" t="e">
        <v>#DIV/0!</v>
      </c>
    </row>
    <row r="74" spans="1:44" s="388" customFormat="1">
      <c r="A74" s="402" t="s">
        <v>231</v>
      </c>
      <c r="B74" s="402" t="s">
        <v>370</v>
      </c>
      <c r="C74" s="402" t="s">
        <v>21</v>
      </c>
      <c r="D74" s="402" t="s">
        <v>405</v>
      </c>
      <c r="E74" s="402" t="s">
        <v>406</v>
      </c>
      <c r="F74" s="402" t="s">
        <v>407</v>
      </c>
      <c r="G74" s="402" t="s">
        <v>374</v>
      </c>
      <c r="H74" s="402" t="s">
        <v>408</v>
      </c>
      <c r="I74" s="403">
        <v>2020</v>
      </c>
      <c r="J74" s="404">
        <v>0</v>
      </c>
      <c r="K74" s="405">
        <v>76.430000000000007</v>
      </c>
      <c r="L74" s="405">
        <v>0</v>
      </c>
      <c r="M74" s="406" t="s">
        <v>251</v>
      </c>
      <c r="N74" s="406" t="s">
        <v>251</v>
      </c>
      <c r="O74" s="406" t="s">
        <v>376</v>
      </c>
      <c r="P74" s="407">
        <v>0.48452941176478675</v>
      </c>
      <c r="Q74" s="407">
        <v>0.48452941176478675</v>
      </c>
      <c r="R74" s="408">
        <v>0</v>
      </c>
      <c r="S74" s="408">
        <v>0</v>
      </c>
      <c r="T74" s="409">
        <v>0</v>
      </c>
      <c r="U74" s="409">
        <v>0</v>
      </c>
      <c r="V74" s="410" t="e">
        <v>#DIV/0!</v>
      </c>
      <c r="W74" s="409">
        <v>0</v>
      </c>
      <c r="X74" s="409">
        <v>0</v>
      </c>
      <c r="Y74" s="409">
        <v>0</v>
      </c>
      <c r="Z74" s="410" t="e">
        <v>#DIV/0!</v>
      </c>
      <c r="AA74" s="409">
        <v>0</v>
      </c>
      <c r="AB74" s="409">
        <v>0</v>
      </c>
      <c r="AC74" s="409">
        <v>0</v>
      </c>
      <c r="AD74" s="410" t="e">
        <v>#DIV/0!</v>
      </c>
      <c r="AE74" s="409">
        <v>0</v>
      </c>
      <c r="AF74" s="409">
        <v>0</v>
      </c>
      <c r="AG74" s="409">
        <v>0</v>
      </c>
      <c r="AH74" s="410" t="e">
        <v>#DIV/0!</v>
      </c>
      <c r="AI74" s="409">
        <v>0</v>
      </c>
      <c r="AJ74" s="409">
        <v>0</v>
      </c>
      <c r="AK74" s="409">
        <v>0</v>
      </c>
      <c r="AL74" s="410" t="e">
        <v>#DIV/0!</v>
      </c>
      <c r="AM74" s="409">
        <v>0</v>
      </c>
      <c r="AN74" s="411">
        <v>0</v>
      </c>
      <c r="AO74" s="411">
        <v>0</v>
      </c>
      <c r="AP74" s="409">
        <v>0</v>
      </c>
      <c r="AQ74" s="409" t="e">
        <v>#DIV/0!</v>
      </c>
      <c r="AR74" s="409" t="e">
        <v>#DIV/0!</v>
      </c>
    </row>
    <row r="75" spans="1:44" s="388" customFormat="1">
      <c r="A75" s="402" t="s">
        <v>231</v>
      </c>
      <c r="B75" s="402" t="s">
        <v>370</v>
      </c>
      <c r="C75" s="402" t="s">
        <v>21</v>
      </c>
      <c r="D75" s="402" t="s">
        <v>405</v>
      </c>
      <c r="E75" s="402" t="s">
        <v>409</v>
      </c>
      <c r="F75" s="402" t="s">
        <v>410</v>
      </c>
      <c r="G75" s="402" t="s">
        <v>374</v>
      </c>
      <c r="H75" s="402" t="s">
        <v>411</v>
      </c>
      <c r="I75" s="403">
        <v>2015</v>
      </c>
      <c r="J75" s="404">
        <v>0</v>
      </c>
      <c r="K75" s="405">
        <v>76.430000000000007</v>
      </c>
      <c r="L75" s="405">
        <v>0</v>
      </c>
      <c r="M75" s="406" t="s">
        <v>251</v>
      </c>
      <c r="N75" s="406" t="s">
        <v>251</v>
      </c>
      <c r="O75" s="406" t="s">
        <v>376</v>
      </c>
      <c r="P75" s="407">
        <v>0.46536965252313928</v>
      </c>
      <c r="Q75" s="407">
        <v>0.46536965252313928</v>
      </c>
      <c r="R75" s="408">
        <v>0</v>
      </c>
      <c r="S75" s="408">
        <v>0</v>
      </c>
      <c r="T75" s="409">
        <v>0</v>
      </c>
      <c r="U75" s="409">
        <v>0</v>
      </c>
      <c r="V75" s="410" t="e">
        <v>#DIV/0!</v>
      </c>
      <c r="W75" s="409">
        <v>0</v>
      </c>
      <c r="X75" s="409">
        <v>0</v>
      </c>
      <c r="Y75" s="409">
        <v>0</v>
      </c>
      <c r="Z75" s="410" t="e">
        <v>#DIV/0!</v>
      </c>
      <c r="AA75" s="409">
        <v>0</v>
      </c>
      <c r="AB75" s="409">
        <v>0</v>
      </c>
      <c r="AC75" s="409">
        <v>0</v>
      </c>
      <c r="AD75" s="410" t="e">
        <v>#DIV/0!</v>
      </c>
      <c r="AE75" s="409">
        <v>0</v>
      </c>
      <c r="AF75" s="409">
        <v>0</v>
      </c>
      <c r="AG75" s="409">
        <v>0</v>
      </c>
      <c r="AH75" s="410" t="e">
        <v>#DIV/0!</v>
      </c>
      <c r="AI75" s="409">
        <v>0</v>
      </c>
      <c r="AJ75" s="409">
        <v>0</v>
      </c>
      <c r="AK75" s="409">
        <v>0</v>
      </c>
      <c r="AL75" s="410" t="e">
        <v>#DIV/0!</v>
      </c>
      <c r="AM75" s="409">
        <v>0</v>
      </c>
      <c r="AN75" s="411">
        <v>0</v>
      </c>
      <c r="AO75" s="411">
        <v>0</v>
      </c>
      <c r="AP75" s="409">
        <v>0</v>
      </c>
      <c r="AQ75" s="409" t="e">
        <v>#DIV/0!</v>
      </c>
      <c r="AR75" s="409" t="e">
        <v>#DIV/0!</v>
      </c>
    </row>
    <row r="76" spans="1:44" s="388" customFormat="1">
      <c r="A76" s="402" t="s">
        <v>231</v>
      </c>
      <c r="B76" s="402" t="s">
        <v>370</v>
      </c>
      <c r="C76" s="402" t="s">
        <v>21</v>
      </c>
      <c r="D76" s="402" t="s">
        <v>405</v>
      </c>
      <c r="E76" s="402" t="s">
        <v>409</v>
      </c>
      <c r="F76" s="402" t="s">
        <v>410</v>
      </c>
      <c r="G76" s="402" t="s">
        <v>374</v>
      </c>
      <c r="H76" s="402" t="s">
        <v>411</v>
      </c>
      <c r="I76" s="403">
        <v>2016</v>
      </c>
      <c r="J76" s="404">
        <v>0</v>
      </c>
      <c r="K76" s="405">
        <v>76.430000000000007</v>
      </c>
      <c r="L76" s="405">
        <v>0</v>
      </c>
      <c r="M76" s="406" t="s">
        <v>251</v>
      </c>
      <c r="N76" s="406" t="s">
        <v>251</v>
      </c>
      <c r="O76" s="406" t="s">
        <v>376</v>
      </c>
      <c r="P76" s="407">
        <v>0.46536965252313928</v>
      </c>
      <c r="Q76" s="407">
        <v>0.46536965252313928</v>
      </c>
      <c r="R76" s="408">
        <v>0</v>
      </c>
      <c r="S76" s="408">
        <v>0</v>
      </c>
      <c r="T76" s="409">
        <v>0</v>
      </c>
      <c r="U76" s="409">
        <v>0</v>
      </c>
      <c r="V76" s="410" t="e">
        <v>#DIV/0!</v>
      </c>
      <c r="W76" s="409">
        <v>0</v>
      </c>
      <c r="X76" s="409">
        <v>0</v>
      </c>
      <c r="Y76" s="409">
        <v>0</v>
      </c>
      <c r="Z76" s="410" t="e">
        <v>#DIV/0!</v>
      </c>
      <c r="AA76" s="409">
        <v>0</v>
      </c>
      <c r="AB76" s="409">
        <v>0</v>
      </c>
      <c r="AC76" s="409">
        <v>0</v>
      </c>
      <c r="AD76" s="410" t="e">
        <v>#DIV/0!</v>
      </c>
      <c r="AE76" s="409">
        <v>0</v>
      </c>
      <c r="AF76" s="409">
        <v>0</v>
      </c>
      <c r="AG76" s="409">
        <v>0</v>
      </c>
      <c r="AH76" s="410" t="e">
        <v>#DIV/0!</v>
      </c>
      <c r="AI76" s="409">
        <v>0</v>
      </c>
      <c r="AJ76" s="409">
        <v>0</v>
      </c>
      <c r="AK76" s="409">
        <v>0</v>
      </c>
      <c r="AL76" s="410" t="e">
        <v>#DIV/0!</v>
      </c>
      <c r="AM76" s="409">
        <v>0</v>
      </c>
      <c r="AN76" s="411">
        <v>0</v>
      </c>
      <c r="AO76" s="411">
        <v>0</v>
      </c>
      <c r="AP76" s="409">
        <v>0</v>
      </c>
      <c r="AQ76" s="409" t="e">
        <v>#DIV/0!</v>
      </c>
      <c r="AR76" s="409" t="e">
        <v>#DIV/0!</v>
      </c>
    </row>
    <row r="77" spans="1:44" s="388" customFormat="1">
      <c r="A77" s="402" t="s">
        <v>231</v>
      </c>
      <c r="B77" s="402" t="s">
        <v>370</v>
      </c>
      <c r="C77" s="402" t="s">
        <v>21</v>
      </c>
      <c r="D77" s="402" t="s">
        <v>405</v>
      </c>
      <c r="E77" s="402" t="s">
        <v>409</v>
      </c>
      <c r="F77" s="402" t="s">
        <v>410</v>
      </c>
      <c r="G77" s="402" t="s">
        <v>374</v>
      </c>
      <c r="H77" s="402" t="s">
        <v>411</v>
      </c>
      <c r="I77" s="403">
        <v>2017</v>
      </c>
      <c r="J77" s="404">
        <v>0</v>
      </c>
      <c r="K77" s="405">
        <v>76.430000000000007</v>
      </c>
      <c r="L77" s="405">
        <v>0</v>
      </c>
      <c r="M77" s="406" t="s">
        <v>251</v>
      </c>
      <c r="N77" s="406" t="s">
        <v>251</v>
      </c>
      <c r="O77" s="406" t="s">
        <v>376</v>
      </c>
      <c r="P77" s="407">
        <v>0.46536965252313928</v>
      </c>
      <c r="Q77" s="407">
        <v>0.46536965252313928</v>
      </c>
      <c r="R77" s="408">
        <v>0</v>
      </c>
      <c r="S77" s="408">
        <v>0</v>
      </c>
      <c r="T77" s="409">
        <v>0</v>
      </c>
      <c r="U77" s="409">
        <v>0</v>
      </c>
      <c r="V77" s="410" t="e">
        <v>#DIV/0!</v>
      </c>
      <c r="W77" s="409">
        <v>0</v>
      </c>
      <c r="X77" s="409">
        <v>0</v>
      </c>
      <c r="Y77" s="409">
        <v>0</v>
      </c>
      <c r="Z77" s="410" t="e">
        <v>#DIV/0!</v>
      </c>
      <c r="AA77" s="409">
        <v>0</v>
      </c>
      <c r="AB77" s="409">
        <v>0</v>
      </c>
      <c r="AC77" s="409">
        <v>0</v>
      </c>
      <c r="AD77" s="410" t="e">
        <v>#DIV/0!</v>
      </c>
      <c r="AE77" s="409">
        <v>0</v>
      </c>
      <c r="AF77" s="409">
        <v>0</v>
      </c>
      <c r="AG77" s="409">
        <v>0</v>
      </c>
      <c r="AH77" s="410" t="e">
        <v>#DIV/0!</v>
      </c>
      <c r="AI77" s="409">
        <v>0</v>
      </c>
      <c r="AJ77" s="409">
        <v>0</v>
      </c>
      <c r="AK77" s="409">
        <v>0</v>
      </c>
      <c r="AL77" s="410" t="e">
        <v>#DIV/0!</v>
      </c>
      <c r="AM77" s="409">
        <v>0</v>
      </c>
      <c r="AN77" s="411">
        <v>0</v>
      </c>
      <c r="AO77" s="411">
        <v>0</v>
      </c>
      <c r="AP77" s="409">
        <v>0</v>
      </c>
      <c r="AQ77" s="409" t="e">
        <v>#DIV/0!</v>
      </c>
      <c r="AR77" s="409" t="e">
        <v>#DIV/0!</v>
      </c>
    </row>
    <row r="78" spans="1:44" s="388" customFormat="1">
      <c r="A78" s="402" t="s">
        <v>231</v>
      </c>
      <c r="B78" s="402" t="s">
        <v>370</v>
      </c>
      <c r="C78" s="402" t="s">
        <v>21</v>
      </c>
      <c r="D78" s="402" t="s">
        <v>405</v>
      </c>
      <c r="E78" s="402" t="s">
        <v>409</v>
      </c>
      <c r="F78" s="402" t="s">
        <v>410</v>
      </c>
      <c r="G78" s="402" t="s">
        <v>374</v>
      </c>
      <c r="H78" s="402" t="s">
        <v>411</v>
      </c>
      <c r="I78" s="403">
        <v>2018</v>
      </c>
      <c r="J78" s="404">
        <v>0</v>
      </c>
      <c r="K78" s="405">
        <v>76.430000000000007</v>
      </c>
      <c r="L78" s="405">
        <v>0</v>
      </c>
      <c r="M78" s="406" t="s">
        <v>251</v>
      </c>
      <c r="N78" s="406" t="s">
        <v>251</v>
      </c>
      <c r="O78" s="406" t="s">
        <v>376</v>
      </c>
      <c r="P78" s="407">
        <v>0.46536965252313928</v>
      </c>
      <c r="Q78" s="407">
        <v>0.46536965252313928</v>
      </c>
      <c r="R78" s="408">
        <v>0</v>
      </c>
      <c r="S78" s="408">
        <v>0</v>
      </c>
      <c r="T78" s="409">
        <v>0</v>
      </c>
      <c r="U78" s="409">
        <v>0</v>
      </c>
      <c r="V78" s="410" t="e">
        <v>#DIV/0!</v>
      </c>
      <c r="W78" s="409">
        <v>0</v>
      </c>
      <c r="X78" s="409">
        <v>0</v>
      </c>
      <c r="Y78" s="409">
        <v>0</v>
      </c>
      <c r="Z78" s="410" t="e">
        <v>#DIV/0!</v>
      </c>
      <c r="AA78" s="409">
        <v>0</v>
      </c>
      <c r="AB78" s="409">
        <v>0</v>
      </c>
      <c r="AC78" s="409">
        <v>0</v>
      </c>
      <c r="AD78" s="410" t="e">
        <v>#DIV/0!</v>
      </c>
      <c r="AE78" s="409">
        <v>0</v>
      </c>
      <c r="AF78" s="409">
        <v>0</v>
      </c>
      <c r="AG78" s="409">
        <v>0</v>
      </c>
      <c r="AH78" s="410" t="e">
        <v>#DIV/0!</v>
      </c>
      <c r="AI78" s="409">
        <v>0</v>
      </c>
      <c r="AJ78" s="409">
        <v>0</v>
      </c>
      <c r="AK78" s="409">
        <v>0</v>
      </c>
      <c r="AL78" s="410" t="e">
        <v>#DIV/0!</v>
      </c>
      <c r="AM78" s="409">
        <v>0</v>
      </c>
      <c r="AN78" s="411">
        <v>0</v>
      </c>
      <c r="AO78" s="411">
        <v>0</v>
      </c>
      <c r="AP78" s="409">
        <v>0</v>
      </c>
      <c r="AQ78" s="409" t="e">
        <v>#DIV/0!</v>
      </c>
      <c r="AR78" s="409" t="e">
        <v>#DIV/0!</v>
      </c>
    </row>
    <row r="79" spans="1:44" s="388" customFormat="1">
      <c r="A79" s="402" t="s">
        <v>231</v>
      </c>
      <c r="B79" s="402" t="s">
        <v>370</v>
      </c>
      <c r="C79" s="402" t="s">
        <v>21</v>
      </c>
      <c r="D79" s="402" t="s">
        <v>405</v>
      </c>
      <c r="E79" s="402" t="s">
        <v>409</v>
      </c>
      <c r="F79" s="402" t="s">
        <v>410</v>
      </c>
      <c r="G79" s="402" t="s">
        <v>374</v>
      </c>
      <c r="H79" s="402" t="s">
        <v>411</v>
      </c>
      <c r="I79" s="403">
        <v>2019</v>
      </c>
      <c r="J79" s="404">
        <v>0</v>
      </c>
      <c r="K79" s="405">
        <v>76.430000000000007</v>
      </c>
      <c r="L79" s="405">
        <v>0</v>
      </c>
      <c r="M79" s="406" t="s">
        <v>251</v>
      </c>
      <c r="N79" s="406" t="s">
        <v>251</v>
      </c>
      <c r="O79" s="406" t="s">
        <v>376</v>
      </c>
      <c r="P79" s="407">
        <v>0.46536965252313928</v>
      </c>
      <c r="Q79" s="407">
        <v>0.46536965252313928</v>
      </c>
      <c r="R79" s="408">
        <v>0</v>
      </c>
      <c r="S79" s="408">
        <v>0</v>
      </c>
      <c r="T79" s="409">
        <v>0</v>
      </c>
      <c r="U79" s="409">
        <v>0</v>
      </c>
      <c r="V79" s="410" t="e">
        <v>#DIV/0!</v>
      </c>
      <c r="W79" s="409">
        <v>0</v>
      </c>
      <c r="X79" s="409">
        <v>0</v>
      </c>
      <c r="Y79" s="409">
        <v>0</v>
      </c>
      <c r="Z79" s="410" t="e">
        <v>#DIV/0!</v>
      </c>
      <c r="AA79" s="409">
        <v>0</v>
      </c>
      <c r="AB79" s="409">
        <v>0</v>
      </c>
      <c r="AC79" s="409">
        <v>0</v>
      </c>
      <c r="AD79" s="410" t="e">
        <v>#DIV/0!</v>
      </c>
      <c r="AE79" s="409">
        <v>0</v>
      </c>
      <c r="AF79" s="409">
        <v>0</v>
      </c>
      <c r="AG79" s="409">
        <v>0</v>
      </c>
      <c r="AH79" s="410" t="e">
        <v>#DIV/0!</v>
      </c>
      <c r="AI79" s="409">
        <v>0</v>
      </c>
      <c r="AJ79" s="409">
        <v>0</v>
      </c>
      <c r="AK79" s="409">
        <v>0</v>
      </c>
      <c r="AL79" s="410" t="e">
        <v>#DIV/0!</v>
      </c>
      <c r="AM79" s="409">
        <v>0</v>
      </c>
      <c r="AN79" s="411">
        <v>0</v>
      </c>
      <c r="AO79" s="411">
        <v>0</v>
      </c>
      <c r="AP79" s="409">
        <v>0</v>
      </c>
      <c r="AQ79" s="409" t="e">
        <v>#DIV/0!</v>
      </c>
      <c r="AR79" s="409" t="e">
        <v>#DIV/0!</v>
      </c>
    </row>
    <row r="80" spans="1:44" s="388" customFormat="1">
      <c r="A80" s="402" t="s">
        <v>231</v>
      </c>
      <c r="B80" s="402" t="s">
        <v>370</v>
      </c>
      <c r="C80" s="402" t="s">
        <v>21</v>
      </c>
      <c r="D80" s="402" t="s">
        <v>405</v>
      </c>
      <c r="E80" s="402" t="s">
        <v>409</v>
      </c>
      <c r="F80" s="402" t="s">
        <v>410</v>
      </c>
      <c r="G80" s="402" t="s">
        <v>374</v>
      </c>
      <c r="H80" s="402" t="s">
        <v>411</v>
      </c>
      <c r="I80" s="403">
        <v>2020</v>
      </c>
      <c r="J80" s="404">
        <v>0</v>
      </c>
      <c r="K80" s="405">
        <v>76.430000000000007</v>
      </c>
      <c r="L80" s="405">
        <v>0</v>
      </c>
      <c r="M80" s="406" t="s">
        <v>251</v>
      </c>
      <c r="N80" s="406" t="s">
        <v>251</v>
      </c>
      <c r="O80" s="406" t="s">
        <v>376</v>
      </c>
      <c r="P80" s="407">
        <v>0.46536965252313928</v>
      </c>
      <c r="Q80" s="407">
        <v>0.46536965252313928</v>
      </c>
      <c r="R80" s="408">
        <v>0</v>
      </c>
      <c r="S80" s="408">
        <v>0</v>
      </c>
      <c r="T80" s="409">
        <v>0</v>
      </c>
      <c r="U80" s="409">
        <v>0</v>
      </c>
      <c r="V80" s="410" t="e">
        <v>#DIV/0!</v>
      </c>
      <c r="W80" s="409">
        <v>0</v>
      </c>
      <c r="X80" s="409">
        <v>0</v>
      </c>
      <c r="Y80" s="409">
        <v>0</v>
      </c>
      <c r="Z80" s="410" t="e">
        <v>#DIV/0!</v>
      </c>
      <c r="AA80" s="409">
        <v>0</v>
      </c>
      <c r="AB80" s="409">
        <v>0</v>
      </c>
      <c r="AC80" s="409">
        <v>0</v>
      </c>
      <c r="AD80" s="410" t="e">
        <v>#DIV/0!</v>
      </c>
      <c r="AE80" s="409">
        <v>0</v>
      </c>
      <c r="AF80" s="409">
        <v>0</v>
      </c>
      <c r="AG80" s="409">
        <v>0</v>
      </c>
      <c r="AH80" s="410" t="e">
        <v>#DIV/0!</v>
      </c>
      <c r="AI80" s="409">
        <v>0</v>
      </c>
      <c r="AJ80" s="409">
        <v>0</v>
      </c>
      <c r="AK80" s="409">
        <v>0</v>
      </c>
      <c r="AL80" s="410" t="e">
        <v>#DIV/0!</v>
      </c>
      <c r="AM80" s="409">
        <v>0</v>
      </c>
      <c r="AN80" s="411">
        <v>0</v>
      </c>
      <c r="AO80" s="411">
        <v>0</v>
      </c>
      <c r="AP80" s="409">
        <v>0</v>
      </c>
      <c r="AQ80" s="409" t="e">
        <v>#DIV/0!</v>
      </c>
      <c r="AR80" s="409" t="e">
        <v>#DIV/0!</v>
      </c>
    </row>
    <row r="81" spans="1:44" s="388" customFormat="1">
      <c r="A81" s="402" t="s">
        <v>231</v>
      </c>
      <c r="B81" s="402" t="s">
        <v>370</v>
      </c>
      <c r="C81" s="402" t="s">
        <v>412</v>
      </c>
      <c r="D81" s="402" t="s">
        <v>413</v>
      </c>
      <c r="E81" s="402" t="s">
        <v>414</v>
      </c>
      <c r="F81" s="402" t="s">
        <v>415</v>
      </c>
      <c r="G81" s="402" t="s">
        <v>374</v>
      </c>
      <c r="H81" s="402" t="s">
        <v>416</v>
      </c>
      <c r="I81" s="403">
        <v>2015</v>
      </c>
      <c r="J81" s="404">
        <v>9000</v>
      </c>
      <c r="K81" s="405">
        <v>0</v>
      </c>
      <c r="L81" s="405">
        <v>0</v>
      </c>
      <c r="M81" s="406" t="s">
        <v>251</v>
      </c>
      <c r="N81" s="406" t="s">
        <v>251</v>
      </c>
      <c r="O81" s="406" t="s">
        <v>376</v>
      </c>
      <c r="P81" s="407">
        <v>1</v>
      </c>
      <c r="Q81" s="407">
        <v>1</v>
      </c>
      <c r="R81" s="408">
        <v>0</v>
      </c>
      <c r="S81" s="408">
        <v>0</v>
      </c>
      <c r="T81" s="409">
        <v>124527.43176419866</v>
      </c>
      <c r="U81" s="409">
        <v>44999.999999999993</v>
      </c>
      <c r="V81" s="410">
        <v>2.7672762614266371</v>
      </c>
      <c r="W81" s="409">
        <v>79527.431764198671</v>
      </c>
      <c r="X81" s="409">
        <v>124527.43176419866</v>
      </c>
      <c r="Y81" s="409">
        <v>44999.999999999993</v>
      </c>
      <c r="Z81" s="410">
        <v>2.7672762614266371</v>
      </c>
      <c r="AA81" s="409">
        <v>79527.431764198671</v>
      </c>
      <c r="AB81" s="409">
        <v>108284.72327321624</v>
      </c>
      <c r="AC81" s="409">
        <v>0</v>
      </c>
      <c r="AD81" s="410" t="e">
        <v>#DIV/0!</v>
      </c>
      <c r="AE81" s="409">
        <v>108284.72327321624</v>
      </c>
      <c r="AF81" s="409">
        <v>288.75397952915534</v>
      </c>
      <c r="AG81" s="409">
        <v>44999.999999999993</v>
      </c>
      <c r="AH81" s="410">
        <v>6.4167551006478977E-3</v>
      </c>
      <c r="AI81" s="409">
        <v>-44711.24602047084</v>
      </c>
      <c r="AJ81" s="409">
        <v>108284.72327321624</v>
      </c>
      <c r="AK81" s="409">
        <v>288.75397952915534</v>
      </c>
      <c r="AL81" s="410">
        <v>375.00686033760024</v>
      </c>
      <c r="AM81" s="409">
        <v>107995.96929368709</v>
      </c>
      <c r="AN81" s="411">
        <v>141.4088992444691</v>
      </c>
      <c r="AO81" s="411">
        <v>2086401.2768805567</v>
      </c>
      <c r="AP81" s="409">
        <v>0</v>
      </c>
      <c r="AQ81" s="409">
        <v>0</v>
      </c>
      <c r="AR81" s="409">
        <v>0</v>
      </c>
    </row>
    <row r="82" spans="1:44" s="388" customFormat="1">
      <c r="A82" s="402" t="s">
        <v>231</v>
      </c>
      <c r="B82" s="402" t="s">
        <v>370</v>
      </c>
      <c r="C82" s="402" t="s">
        <v>412</v>
      </c>
      <c r="D82" s="402" t="s">
        <v>413</v>
      </c>
      <c r="E82" s="402" t="s">
        <v>414</v>
      </c>
      <c r="F82" s="402" t="s">
        <v>415</v>
      </c>
      <c r="G82" s="402" t="s">
        <v>374</v>
      </c>
      <c r="H82" s="402" t="s">
        <v>416</v>
      </c>
      <c r="I82" s="403">
        <v>2016</v>
      </c>
      <c r="J82" s="404">
        <v>300</v>
      </c>
      <c r="K82" s="405">
        <v>5</v>
      </c>
      <c r="L82" s="405">
        <v>1.75</v>
      </c>
      <c r="M82" s="406" t="s">
        <v>251</v>
      </c>
      <c r="N82" s="406" t="s">
        <v>251</v>
      </c>
      <c r="O82" s="406" t="s">
        <v>376</v>
      </c>
      <c r="P82" s="407">
        <v>1</v>
      </c>
      <c r="Q82" s="407">
        <v>1</v>
      </c>
      <c r="R82" s="408">
        <v>1500</v>
      </c>
      <c r="S82" s="408">
        <v>525</v>
      </c>
      <c r="T82" s="409">
        <v>4251.3111104284262</v>
      </c>
      <c r="U82" s="409">
        <v>1985.2941176470588</v>
      </c>
      <c r="V82" s="410">
        <v>2.1414011519195038</v>
      </c>
      <c r="W82" s="409">
        <v>2266.0169927813677</v>
      </c>
      <c r="X82" s="409">
        <v>4251.3111104284262</v>
      </c>
      <c r="Y82" s="409">
        <v>1985.2941176470588</v>
      </c>
      <c r="Z82" s="410">
        <v>2.1414011519195038</v>
      </c>
      <c r="AA82" s="409">
        <v>2266.0169927813677</v>
      </c>
      <c r="AB82" s="409">
        <v>3696.7922699377623</v>
      </c>
      <c r="AC82" s="409">
        <v>1985.2941176470588</v>
      </c>
      <c r="AD82" s="410">
        <v>1.8620879581908729</v>
      </c>
      <c r="AE82" s="409">
        <v>1711.4981522907035</v>
      </c>
      <c r="AF82" s="409">
        <v>1480.1925801558896</v>
      </c>
      <c r="AG82" s="409">
        <v>1470.5882352941176</v>
      </c>
      <c r="AH82" s="410">
        <v>1.006530954506005</v>
      </c>
      <c r="AI82" s="409">
        <v>9.604344861772006</v>
      </c>
      <c r="AJ82" s="409">
        <v>3696.7922699377623</v>
      </c>
      <c r="AK82" s="409">
        <v>1994.8984625088306</v>
      </c>
      <c r="AL82" s="410">
        <v>1.853123023258332</v>
      </c>
      <c r="AM82" s="409">
        <v>1701.8938074289317</v>
      </c>
      <c r="AN82" s="411">
        <v>4.6212058576623907</v>
      </c>
      <c r="AO82" s="411">
        <v>68183.048264070487</v>
      </c>
      <c r="AP82" s="409">
        <v>1985.2941176470588</v>
      </c>
      <c r="AQ82" s="409">
        <v>429.6052110198155</v>
      </c>
      <c r="AR82" s="409">
        <v>2.9117121750821207E-2</v>
      </c>
    </row>
    <row r="83" spans="1:44" s="388" customFormat="1">
      <c r="A83" s="402" t="s">
        <v>231</v>
      </c>
      <c r="B83" s="402" t="s">
        <v>370</v>
      </c>
      <c r="C83" s="402" t="s">
        <v>412</v>
      </c>
      <c r="D83" s="402" t="s">
        <v>413</v>
      </c>
      <c r="E83" s="402" t="s">
        <v>414</v>
      </c>
      <c r="F83" s="402" t="s">
        <v>415</v>
      </c>
      <c r="G83" s="402" t="s">
        <v>374</v>
      </c>
      <c r="H83" s="402" t="s">
        <v>416</v>
      </c>
      <c r="I83" s="403">
        <v>2017</v>
      </c>
      <c r="J83" s="404">
        <v>300</v>
      </c>
      <c r="K83" s="405">
        <v>5</v>
      </c>
      <c r="L83" s="405">
        <v>1.75</v>
      </c>
      <c r="M83" s="406" t="s">
        <v>251</v>
      </c>
      <c r="N83" s="406" t="s">
        <v>251</v>
      </c>
      <c r="O83" s="406" t="s">
        <v>376</v>
      </c>
      <c r="P83" s="407">
        <v>1</v>
      </c>
      <c r="Q83" s="407">
        <v>1</v>
      </c>
      <c r="R83" s="408">
        <v>1500</v>
      </c>
      <c r="S83" s="408">
        <v>525</v>
      </c>
      <c r="T83" s="409">
        <v>4401.3587691953426</v>
      </c>
      <c r="U83" s="409">
        <v>1946.3667820069204</v>
      </c>
      <c r="V83" s="410">
        <v>2.2613203276399183</v>
      </c>
      <c r="W83" s="409">
        <v>2454.9919871884222</v>
      </c>
      <c r="X83" s="409">
        <v>4401.3587691953426</v>
      </c>
      <c r="Y83" s="409">
        <v>1946.3667820069204</v>
      </c>
      <c r="Z83" s="410">
        <v>2.2613203276399183</v>
      </c>
      <c r="AA83" s="409">
        <v>2454.9919871884222</v>
      </c>
      <c r="AB83" s="409">
        <v>3827.2684949524719</v>
      </c>
      <c r="AC83" s="409">
        <v>1946.3667820069204</v>
      </c>
      <c r="AD83" s="410">
        <v>1.966365502295581</v>
      </c>
      <c r="AE83" s="409">
        <v>1880.9017129455515</v>
      </c>
      <c r="AF83" s="409">
        <v>1451.3438612728376</v>
      </c>
      <c r="AG83" s="409">
        <v>1441.753171856978</v>
      </c>
      <c r="AH83" s="410">
        <v>1.0066521021788402</v>
      </c>
      <c r="AI83" s="409">
        <v>9.5906894158595151</v>
      </c>
      <c r="AJ83" s="409">
        <v>3827.2684949524719</v>
      </c>
      <c r="AK83" s="409">
        <v>1955.9574714227799</v>
      </c>
      <c r="AL83" s="410">
        <v>1.9567237789523535</v>
      </c>
      <c r="AM83" s="409">
        <v>1871.311023529692</v>
      </c>
      <c r="AN83" s="411">
        <v>4.5305939781003826</v>
      </c>
      <c r="AO83" s="411">
        <v>66846.125749088707</v>
      </c>
      <c r="AP83" s="409">
        <v>1946.3667820069204</v>
      </c>
      <c r="AQ83" s="409">
        <v>429.60521101981556</v>
      </c>
      <c r="AR83" s="409">
        <v>2.9117121750821207E-2</v>
      </c>
    </row>
    <row r="84" spans="1:44" s="388" customFormat="1">
      <c r="A84" s="402" t="s">
        <v>231</v>
      </c>
      <c r="B84" s="402" t="s">
        <v>370</v>
      </c>
      <c r="C84" s="402" t="s">
        <v>412</v>
      </c>
      <c r="D84" s="402" t="s">
        <v>413</v>
      </c>
      <c r="E84" s="402" t="s">
        <v>414</v>
      </c>
      <c r="F84" s="402" t="s">
        <v>415</v>
      </c>
      <c r="G84" s="402" t="s">
        <v>374</v>
      </c>
      <c r="H84" s="402" t="s">
        <v>416</v>
      </c>
      <c r="I84" s="403">
        <v>2018</v>
      </c>
      <c r="J84" s="404">
        <v>300</v>
      </c>
      <c r="K84" s="405">
        <v>5</v>
      </c>
      <c r="L84" s="405">
        <v>1.75</v>
      </c>
      <c r="M84" s="406" t="s">
        <v>251</v>
      </c>
      <c r="N84" s="406" t="s">
        <v>251</v>
      </c>
      <c r="O84" s="406" t="s">
        <v>376</v>
      </c>
      <c r="P84" s="407">
        <v>1</v>
      </c>
      <c r="Q84" s="407">
        <v>1</v>
      </c>
      <c r="R84" s="408">
        <v>1500</v>
      </c>
      <c r="S84" s="408">
        <v>525</v>
      </c>
      <c r="T84" s="409">
        <v>4465.8074533459703</v>
      </c>
      <c r="U84" s="409">
        <v>1908.2027274577654</v>
      </c>
      <c r="V84" s="410">
        <v>2.3403212819507999</v>
      </c>
      <c r="W84" s="409">
        <v>2557.6047258882049</v>
      </c>
      <c r="X84" s="409">
        <v>4465.8074533459703</v>
      </c>
      <c r="Y84" s="409">
        <v>1908.2027274577654</v>
      </c>
      <c r="Z84" s="410">
        <v>2.3403212819507999</v>
      </c>
      <c r="AA84" s="409">
        <v>2557.6047258882049</v>
      </c>
      <c r="AB84" s="409">
        <v>3883.3108289964962</v>
      </c>
      <c r="AC84" s="409">
        <v>1908.2027274577654</v>
      </c>
      <c r="AD84" s="410">
        <v>2.0350619843050435</v>
      </c>
      <c r="AE84" s="409">
        <v>1975.1081015387308</v>
      </c>
      <c r="AF84" s="409">
        <v>1423.0581601876536</v>
      </c>
      <c r="AG84" s="409">
        <v>1413.483501820567</v>
      </c>
      <c r="AH84" s="410">
        <v>1.0067738027042794</v>
      </c>
      <c r="AI84" s="409">
        <v>9.574658367086613</v>
      </c>
      <c r="AJ84" s="409">
        <v>3883.3108289964962</v>
      </c>
      <c r="AK84" s="409">
        <v>1917.7773858248518</v>
      </c>
      <c r="AL84" s="410">
        <v>2.0249017731149501</v>
      </c>
      <c r="AM84" s="409">
        <v>1965.5334431716444</v>
      </c>
      <c r="AN84" s="411">
        <v>4.4417588020591987</v>
      </c>
      <c r="AO84" s="411">
        <v>65535.417401067367</v>
      </c>
      <c r="AP84" s="409">
        <v>1908.2027274577654</v>
      </c>
      <c r="AQ84" s="409">
        <v>429.60521101981561</v>
      </c>
      <c r="AR84" s="409">
        <v>2.911712175082121E-2</v>
      </c>
    </row>
    <row r="85" spans="1:44" s="388" customFormat="1">
      <c r="A85" s="402" t="s">
        <v>231</v>
      </c>
      <c r="B85" s="402" t="s">
        <v>370</v>
      </c>
      <c r="C85" s="402" t="s">
        <v>412</v>
      </c>
      <c r="D85" s="402" t="s">
        <v>413</v>
      </c>
      <c r="E85" s="402" t="s">
        <v>414</v>
      </c>
      <c r="F85" s="402" t="s">
        <v>415</v>
      </c>
      <c r="G85" s="402" t="s">
        <v>374</v>
      </c>
      <c r="H85" s="402" t="s">
        <v>416</v>
      </c>
      <c r="I85" s="403">
        <v>2019</v>
      </c>
      <c r="J85" s="404">
        <v>300</v>
      </c>
      <c r="K85" s="405">
        <v>5</v>
      </c>
      <c r="L85" s="405">
        <v>1.75</v>
      </c>
      <c r="M85" s="406" t="s">
        <v>251</v>
      </c>
      <c r="N85" s="406" t="s">
        <v>251</v>
      </c>
      <c r="O85" s="406" t="s">
        <v>376</v>
      </c>
      <c r="P85" s="407">
        <v>1</v>
      </c>
      <c r="Q85" s="407">
        <v>1</v>
      </c>
      <c r="R85" s="408">
        <v>1500</v>
      </c>
      <c r="S85" s="408">
        <v>525</v>
      </c>
      <c r="T85" s="409">
        <v>4542.4218316534307</v>
      </c>
      <c r="U85" s="409">
        <v>1870.7869877036912</v>
      </c>
      <c r="V85" s="410">
        <v>2.4280807283297676</v>
      </c>
      <c r="W85" s="409">
        <v>2671.6348439497397</v>
      </c>
      <c r="X85" s="409">
        <v>4542.4218316534307</v>
      </c>
      <c r="Y85" s="409">
        <v>1870.7869877036912</v>
      </c>
      <c r="Z85" s="410">
        <v>2.4280807283297676</v>
      </c>
      <c r="AA85" s="409">
        <v>2671.6348439497397</v>
      </c>
      <c r="AB85" s="409">
        <v>3949.9320275247223</v>
      </c>
      <c r="AC85" s="409">
        <v>1870.7869877036912</v>
      </c>
      <c r="AD85" s="410">
        <v>2.1113745463737108</v>
      </c>
      <c r="AE85" s="409">
        <v>2079.1450398210309</v>
      </c>
      <c r="AF85" s="409">
        <v>1395.3201327000202</v>
      </c>
      <c r="AG85" s="409">
        <v>1385.7681390397713</v>
      </c>
      <c r="AH85" s="410">
        <v>1.0068929234199797</v>
      </c>
      <c r="AI85" s="409">
        <v>9.5519936602488542</v>
      </c>
      <c r="AJ85" s="409">
        <v>3949.9320275247223</v>
      </c>
      <c r="AK85" s="409">
        <v>1880.3389813639401</v>
      </c>
      <c r="AL85" s="410">
        <v>2.100648907815315</v>
      </c>
      <c r="AM85" s="409">
        <v>2069.5930461607823</v>
      </c>
      <c r="AN85" s="411">
        <v>4.3546654922149006</v>
      </c>
      <c r="AO85" s="411">
        <v>64250.409216732718</v>
      </c>
      <c r="AP85" s="409">
        <v>1870.7869877036912</v>
      </c>
      <c r="AQ85" s="409">
        <v>429.60521101981556</v>
      </c>
      <c r="AR85" s="409">
        <v>2.9117121750821203E-2</v>
      </c>
    </row>
    <row r="86" spans="1:44" s="388" customFormat="1">
      <c r="A86" s="402" t="s">
        <v>231</v>
      </c>
      <c r="B86" s="402" t="s">
        <v>370</v>
      </c>
      <c r="C86" s="402" t="s">
        <v>412</v>
      </c>
      <c r="D86" s="402" t="s">
        <v>413</v>
      </c>
      <c r="E86" s="402" t="s">
        <v>414</v>
      </c>
      <c r="F86" s="402" t="s">
        <v>415</v>
      </c>
      <c r="G86" s="402" t="s">
        <v>374</v>
      </c>
      <c r="H86" s="402" t="s">
        <v>416</v>
      </c>
      <c r="I86" s="403">
        <v>2020</v>
      </c>
      <c r="J86" s="404">
        <v>300</v>
      </c>
      <c r="K86" s="405">
        <v>5</v>
      </c>
      <c r="L86" s="405">
        <v>1.75</v>
      </c>
      <c r="M86" s="406" t="s">
        <v>251</v>
      </c>
      <c r="N86" s="406" t="s">
        <v>251</v>
      </c>
      <c r="O86" s="406" t="s">
        <v>376</v>
      </c>
      <c r="P86" s="407">
        <v>1</v>
      </c>
      <c r="Q86" s="407">
        <v>1</v>
      </c>
      <c r="R86" s="408">
        <v>1500</v>
      </c>
      <c r="S86" s="408">
        <v>525</v>
      </c>
      <c r="T86" s="409">
        <v>4589.9179186920137</v>
      </c>
      <c r="U86" s="409">
        <v>1834.1048899055795</v>
      </c>
      <c r="V86" s="410">
        <v>2.5025384011316301</v>
      </c>
      <c r="W86" s="409">
        <v>2755.8130287864342</v>
      </c>
      <c r="X86" s="409">
        <v>4589.9179186920137</v>
      </c>
      <c r="Y86" s="409">
        <v>1834.1048899055795</v>
      </c>
      <c r="Z86" s="410">
        <v>2.5025384011316301</v>
      </c>
      <c r="AA86" s="409">
        <v>2755.8130287864342</v>
      </c>
      <c r="AB86" s="409">
        <v>3991.2329727756646</v>
      </c>
      <c r="AC86" s="409">
        <v>1834.1048899055795</v>
      </c>
      <c r="AD86" s="410">
        <v>2.1761203488101137</v>
      </c>
      <c r="AE86" s="409">
        <v>2157.1280828700851</v>
      </c>
      <c r="AF86" s="409">
        <v>1368.1053524254266</v>
      </c>
      <c r="AG86" s="409">
        <v>1358.5962147448738</v>
      </c>
      <c r="AH86" s="410">
        <v>1.0069992375787227</v>
      </c>
      <c r="AI86" s="409">
        <v>9.5091376805528398</v>
      </c>
      <c r="AJ86" s="409">
        <v>3991.2329727756646</v>
      </c>
      <c r="AK86" s="409">
        <v>1843.6140275861324</v>
      </c>
      <c r="AL86" s="410">
        <v>2.1648961838294523</v>
      </c>
      <c r="AM86" s="409">
        <v>2147.6189451895325</v>
      </c>
      <c r="AN86" s="411">
        <v>4.269279894328335</v>
      </c>
      <c r="AO86" s="411">
        <v>62990.5972713066</v>
      </c>
      <c r="AP86" s="409">
        <v>1834.1048899055795</v>
      </c>
      <c r="AQ86" s="409">
        <v>429.60521101981539</v>
      </c>
      <c r="AR86" s="409">
        <v>2.9117121750821193E-2</v>
      </c>
    </row>
    <row r="87" spans="1:44" s="388" customFormat="1">
      <c r="A87" s="402" t="s">
        <v>231</v>
      </c>
      <c r="B87" s="402" t="s">
        <v>370</v>
      </c>
      <c r="C87" s="402" t="s">
        <v>412</v>
      </c>
      <c r="D87" s="402" t="s">
        <v>413</v>
      </c>
      <c r="E87" s="402" t="s">
        <v>417</v>
      </c>
      <c r="F87" s="402" t="s">
        <v>418</v>
      </c>
      <c r="G87" s="402" t="s">
        <v>374</v>
      </c>
      <c r="H87" s="402" t="s">
        <v>416</v>
      </c>
      <c r="I87" s="403">
        <v>2015</v>
      </c>
      <c r="J87" s="404">
        <v>0</v>
      </c>
      <c r="K87" s="405">
        <v>5</v>
      </c>
      <c r="L87" s="405">
        <v>1.75</v>
      </c>
      <c r="M87" s="406" t="s">
        <v>251</v>
      </c>
      <c r="N87" s="406" t="s">
        <v>251</v>
      </c>
      <c r="O87" s="406" t="s">
        <v>376</v>
      </c>
      <c r="P87" s="407">
        <v>0.99</v>
      </c>
      <c r="Q87" s="407">
        <v>0.99</v>
      </c>
      <c r="R87" s="408">
        <v>0</v>
      </c>
      <c r="S87" s="408">
        <v>0</v>
      </c>
      <c r="T87" s="409">
        <v>0</v>
      </c>
      <c r="U87" s="409">
        <v>0</v>
      </c>
      <c r="V87" s="410" t="e">
        <v>#DIV/0!</v>
      </c>
      <c r="W87" s="409">
        <v>0</v>
      </c>
      <c r="X87" s="409">
        <v>0</v>
      </c>
      <c r="Y87" s="409">
        <v>0</v>
      </c>
      <c r="Z87" s="410" t="e">
        <v>#DIV/0!</v>
      </c>
      <c r="AA87" s="409">
        <v>0</v>
      </c>
      <c r="AB87" s="409">
        <v>0</v>
      </c>
      <c r="AC87" s="409">
        <v>0</v>
      </c>
      <c r="AD87" s="410" t="e">
        <v>#DIV/0!</v>
      </c>
      <c r="AE87" s="409">
        <v>0</v>
      </c>
      <c r="AF87" s="409">
        <v>0</v>
      </c>
      <c r="AG87" s="409">
        <v>0</v>
      </c>
      <c r="AH87" s="410" t="e">
        <v>#DIV/0!</v>
      </c>
      <c r="AI87" s="409">
        <v>0</v>
      </c>
      <c r="AJ87" s="409">
        <v>0</v>
      </c>
      <c r="AK87" s="409">
        <v>0</v>
      </c>
      <c r="AL87" s="410" t="e">
        <v>#DIV/0!</v>
      </c>
      <c r="AM87" s="409">
        <v>0</v>
      </c>
      <c r="AN87" s="411">
        <v>0</v>
      </c>
      <c r="AO87" s="411">
        <v>0</v>
      </c>
      <c r="AP87" s="409">
        <v>0</v>
      </c>
      <c r="AQ87" s="409" t="e">
        <v>#DIV/0!</v>
      </c>
      <c r="AR87" s="409" t="e">
        <v>#DIV/0!</v>
      </c>
    </row>
    <row r="88" spans="1:44" s="388" customFormat="1">
      <c r="A88" s="402" t="s">
        <v>231</v>
      </c>
      <c r="B88" s="402" t="s">
        <v>370</v>
      </c>
      <c r="C88" s="402" t="s">
        <v>412</v>
      </c>
      <c r="D88" s="402" t="s">
        <v>413</v>
      </c>
      <c r="E88" s="402" t="s">
        <v>417</v>
      </c>
      <c r="F88" s="402" t="s">
        <v>418</v>
      </c>
      <c r="G88" s="402" t="s">
        <v>374</v>
      </c>
      <c r="H88" s="402" t="s">
        <v>416</v>
      </c>
      <c r="I88" s="403">
        <v>2016</v>
      </c>
      <c r="J88" s="404">
        <v>0</v>
      </c>
      <c r="K88" s="405">
        <v>5</v>
      </c>
      <c r="L88" s="405">
        <v>1.75</v>
      </c>
      <c r="M88" s="406" t="s">
        <v>251</v>
      </c>
      <c r="N88" s="406" t="s">
        <v>251</v>
      </c>
      <c r="O88" s="406" t="s">
        <v>376</v>
      </c>
      <c r="P88" s="407">
        <v>0.99</v>
      </c>
      <c r="Q88" s="407">
        <v>0.99</v>
      </c>
      <c r="R88" s="408">
        <v>0</v>
      </c>
      <c r="S88" s="408">
        <v>0</v>
      </c>
      <c r="T88" s="409">
        <v>0</v>
      </c>
      <c r="U88" s="409">
        <v>0</v>
      </c>
      <c r="V88" s="410" t="e">
        <v>#DIV/0!</v>
      </c>
      <c r="W88" s="409">
        <v>0</v>
      </c>
      <c r="X88" s="409">
        <v>0</v>
      </c>
      <c r="Y88" s="409">
        <v>0</v>
      </c>
      <c r="Z88" s="410" t="e">
        <v>#DIV/0!</v>
      </c>
      <c r="AA88" s="409">
        <v>0</v>
      </c>
      <c r="AB88" s="409">
        <v>0</v>
      </c>
      <c r="AC88" s="409">
        <v>0</v>
      </c>
      <c r="AD88" s="410" t="e">
        <v>#DIV/0!</v>
      </c>
      <c r="AE88" s="409">
        <v>0</v>
      </c>
      <c r="AF88" s="409">
        <v>0</v>
      </c>
      <c r="AG88" s="409">
        <v>0</v>
      </c>
      <c r="AH88" s="410" t="e">
        <v>#DIV/0!</v>
      </c>
      <c r="AI88" s="409">
        <v>0</v>
      </c>
      <c r="AJ88" s="409">
        <v>0</v>
      </c>
      <c r="AK88" s="409">
        <v>0</v>
      </c>
      <c r="AL88" s="410" t="e">
        <v>#DIV/0!</v>
      </c>
      <c r="AM88" s="409">
        <v>0</v>
      </c>
      <c r="AN88" s="411">
        <v>0</v>
      </c>
      <c r="AO88" s="411">
        <v>0</v>
      </c>
      <c r="AP88" s="409">
        <v>0</v>
      </c>
      <c r="AQ88" s="409" t="e">
        <v>#DIV/0!</v>
      </c>
      <c r="AR88" s="409" t="e">
        <v>#DIV/0!</v>
      </c>
    </row>
    <row r="89" spans="1:44" s="388" customFormat="1">
      <c r="A89" s="402" t="s">
        <v>231</v>
      </c>
      <c r="B89" s="402" t="s">
        <v>370</v>
      </c>
      <c r="C89" s="402" t="s">
        <v>412</v>
      </c>
      <c r="D89" s="402" t="s">
        <v>413</v>
      </c>
      <c r="E89" s="402" t="s">
        <v>417</v>
      </c>
      <c r="F89" s="402" t="s">
        <v>418</v>
      </c>
      <c r="G89" s="402" t="s">
        <v>374</v>
      </c>
      <c r="H89" s="402" t="s">
        <v>416</v>
      </c>
      <c r="I89" s="403">
        <v>2017</v>
      </c>
      <c r="J89" s="404">
        <v>0</v>
      </c>
      <c r="K89" s="405">
        <v>5</v>
      </c>
      <c r="L89" s="405">
        <v>1.75</v>
      </c>
      <c r="M89" s="406" t="s">
        <v>251</v>
      </c>
      <c r="N89" s="406" t="s">
        <v>251</v>
      </c>
      <c r="O89" s="406" t="s">
        <v>376</v>
      </c>
      <c r="P89" s="407">
        <v>0.99</v>
      </c>
      <c r="Q89" s="407">
        <v>0.99</v>
      </c>
      <c r="R89" s="408">
        <v>0</v>
      </c>
      <c r="S89" s="408">
        <v>0</v>
      </c>
      <c r="T89" s="409">
        <v>0</v>
      </c>
      <c r="U89" s="409">
        <v>0</v>
      </c>
      <c r="V89" s="410" t="e">
        <v>#DIV/0!</v>
      </c>
      <c r="W89" s="409">
        <v>0</v>
      </c>
      <c r="X89" s="409">
        <v>0</v>
      </c>
      <c r="Y89" s="409">
        <v>0</v>
      </c>
      <c r="Z89" s="410" t="e">
        <v>#DIV/0!</v>
      </c>
      <c r="AA89" s="409">
        <v>0</v>
      </c>
      <c r="AB89" s="409">
        <v>0</v>
      </c>
      <c r="AC89" s="409">
        <v>0</v>
      </c>
      <c r="AD89" s="410" t="e">
        <v>#DIV/0!</v>
      </c>
      <c r="AE89" s="409">
        <v>0</v>
      </c>
      <c r="AF89" s="409">
        <v>0</v>
      </c>
      <c r="AG89" s="409">
        <v>0</v>
      </c>
      <c r="AH89" s="410" t="e">
        <v>#DIV/0!</v>
      </c>
      <c r="AI89" s="409">
        <v>0</v>
      </c>
      <c r="AJ89" s="409">
        <v>0</v>
      </c>
      <c r="AK89" s="409">
        <v>0</v>
      </c>
      <c r="AL89" s="410" t="e">
        <v>#DIV/0!</v>
      </c>
      <c r="AM89" s="409">
        <v>0</v>
      </c>
      <c r="AN89" s="411">
        <v>0</v>
      </c>
      <c r="AO89" s="411">
        <v>0</v>
      </c>
      <c r="AP89" s="409">
        <v>0</v>
      </c>
      <c r="AQ89" s="409" t="e">
        <v>#DIV/0!</v>
      </c>
      <c r="AR89" s="409" t="e">
        <v>#DIV/0!</v>
      </c>
    </row>
    <row r="90" spans="1:44" s="388" customFormat="1">
      <c r="A90" s="402" t="s">
        <v>231</v>
      </c>
      <c r="B90" s="402" t="s">
        <v>370</v>
      </c>
      <c r="C90" s="402" t="s">
        <v>412</v>
      </c>
      <c r="D90" s="402" t="s">
        <v>413</v>
      </c>
      <c r="E90" s="402" t="s">
        <v>417</v>
      </c>
      <c r="F90" s="402" t="s">
        <v>418</v>
      </c>
      <c r="G90" s="402" t="s">
        <v>374</v>
      </c>
      <c r="H90" s="402" t="s">
        <v>416</v>
      </c>
      <c r="I90" s="403">
        <v>2018</v>
      </c>
      <c r="J90" s="404">
        <v>0</v>
      </c>
      <c r="K90" s="405">
        <v>5</v>
      </c>
      <c r="L90" s="405">
        <v>1.75</v>
      </c>
      <c r="M90" s="406" t="s">
        <v>251</v>
      </c>
      <c r="N90" s="406" t="s">
        <v>251</v>
      </c>
      <c r="O90" s="406" t="s">
        <v>376</v>
      </c>
      <c r="P90" s="407">
        <v>0.99</v>
      </c>
      <c r="Q90" s="407">
        <v>0.99</v>
      </c>
      <c r="R90" s="408">
        <v>0</v>
      </c>
      <c r="S90" s="408">
        <v>0</v>
      </c>
      <c r="T90" s="409">
        <v>0</v>
      </c>
      <c r="U90" s="409">
        <v>0</v>
      </c>
      <c r="V90" s="410" t="e">
        <v>#DIV/0!</v>
      </c>
      <c r="W90" s="409">
        <v>0</v>
      </c>
      <c r="X90" s="409">
        <v>0</v>
      </c>
      <c r="Y90" s="409">
        <v>0</v>
      </c>
      <c r="Z90" s="410" t="e">
        <v>#DIV/0!</v>
      </c>
      <c r="AA90" s="409">
        <v>0</v>
      </c>
      <c r="AB90" s="409">
        <v>0</v>
      </c>
      <c r="AC90" s="409">
        <v>0</v>
      </c>
      <c r="AD90" s="410" t="e">
        <v>#DIV/0!</v>
      </c>
      <c r="AE90" s="409">
        <v>0</v>
      </c>
      <c r="AF90" s="409">
        <v>0</v>
      </c>
      <c r="AG90" s="409">
        <v>0</v>
      </c>
      <c r="AH90" s="410" t="e">
        <v>#DIV/0!</v>
      </c>
      <c r="AI90" s="409">
        <v>0</v>
      </c>
      <c r="AJ90" s="409">
        <v>0</v>
      </c>
      <c r="AK90" s="409">
        <v>0</v>
      </c>
      <c r="AL90" s="410" t="e">
        <v>#DIV/0!</v>
      </c>
      <c r="AM90" s="409">
        <v>0</v>
      </c>
      <c r="AN90" s="411">
        <v>0</v>
      </c>
      <c r="AO90" s="411">
        <v>0</v>
      </c>
      <c r="AP90" s="409">
        <v>0</v>
      </c>
      <c r="AQ90" s="409" t="e">
        <v>#DIV/0!</v>
      </c>
      <c r="AR90" s="409" t="e">
        <v>#DIV/0!</v>
      </c>
    </row>
    <row r="91" spans="1:44" s="388" customFormat="1">
      <c r="A91" s="402" t="s">
        <v>231</v>
      </c>
      <c r="B91" s="402" t="s">
        <v>370</v>
      </c>
      <c r="C91" s="402" t="s">
        <v>412</v>
      </c>
      <c r="D91" s="402" t="s">
        <v>413</v>
      </c>
      <c r="E91" s="402" t="s">
        <v>417</v>
      </c>
      <c r="F91" s="402" t="s">
        <v>418</v>
      </c>
      <c r="G91" s="402" t="s">
        <v>374</v>
      </c>
      <c r="H91" s="402" t="s">
        <v>416</v>
      </c>
      <c r="I91" s="403">
        <v>2019</v>
      </c>
      <c r="J91" s="404">
        <v>0</v>
      </c>
      <c r="K91" s="405">
        <v>5</v>
      </c>
      <c r="L91" s="405">
        <v>1.75</v>
      </c>
      <c r="M91" s="406" t="s">
        <v>251</v>
      </c>
      <c r="N91" s="406" t="s">
        <v>251</v>
      </c>
      <c r="O91" s="406" t="s">
        <v>376</v>
      </c>
      <c r="P91" s="407">
        <v>0.99</v>
      </c>
      <c r="Q91" s="407">
        <v>0.99</v>
      </c>
      <c r="R91" s="408">
        <v>0</v>
      </c>
      <c r="S91" s="408">
        <v>0</v>
      </c>
      <c r="T91" s="409">
        <v>0</v>
      </c>
      <c r="U91" s="409">
        <v>0</v>
      </c>
      <c r="V91" s="410" t="e">
        <v>#DIV/0!</v>
      </c>
      <c r="W91" s="409">
        <v>0</v>
      </c>
      <c r="X91" s="409">
        <v>0</v>
      </c>
      <c r="Y91" s="409">
        <v>0</v>
      </c>
      <c r="Z91" s="410" t="e">
        <v>#DIV/0!</v>
      </c>
      <c r="AA91" s="409">
        <v>0</v>
      </c>
      <c r="AB91" s="409">
        <v>0</v>
      </c>
      <c r="AC91" s="409">
        <v>0</v>
      </c>
      <c r="AD91" s="410" t="e">
        <v>#DIV/0!</v>
      </c>
      <c r="AE91" s="409">
        <v>0</v>
      </c>
      <c r="AF91" s="409">
        <v>0</v>
      </c>
      <c r="AG91" s="409">
        <v>0</v>
      </c>
      <c r="AH91" s="410" t="e">
        <v>#DIV/0!</v>
      </c>
      <c r="AI91" s="409">
        <v>0</v>
      </c>
      <c r="AJ91" s="409">
        <v>0</v>
      </c>
      <c r="AK91" s="409">
        <v>0</v>
      </c>
      <c r="AL91" s="410" t="e">
        <v>#DIV/0!</v>
      </c>
      <c r="AM91" s="409">
        <v>0</v>
      </c>
      <c r="AN91" s="411">
        <v>0</v>
      </c>
      <c r="AO91" s="411">
        <v>0</v>
      </c>
      <c r="AP91" s="409">
        <v>0</v>
      </c>
      <c r="AQ91" s="409" t="e">
        <v>#DIV/0!</v>
      </c>
      <c r="AR91" s="409" t="e">
        <v>#DIV/0!</v>
      </c>
    </row>
    <row r="92" spans="1:44" s="388" customFormat="1">
      <c r="A92" s="402" t="s">
        <v>231</v>
      </c>
      <c r="B92" s="402" t="s">
        <v>370</v>
      </c>
      <c r="C92" s="402" t="s">
        <v>412</v>
      </c>
      <c r="D92" s="402" t="s">
        <v>413</v>
      </c>
      <c r="E92" s="402" t="s">
        <v>417</v>
      </c>
      <c r="F92" s="402" t="s">
        <v>418</v>
      </c>
      <c r="G92" s="402" t="s">
        <v>374</v>
      </c>
      <c r="H92" s="402" t="s">
        <v>416</v>
      </c>
      <c r="I92" s="403">
        <v>2020</v>
      </c>
      <c r="J92" s="404">
        <v>0</v>
      </c>
      <c r="K92" s="405">
        <v>5</v>
      </c>
      <c r="L92" s="405">
        <v>1.75</v>
      </c>
      <c r="M92" s="406" t="s">
        <v>251</v>
      </c>
      <c r="N92" s="406" t="s">
        <v>251</v>
      </c>
      <c r="O92" s="406" t="s">
        <v>376</v>
      </c>
      <c r="P92" s="407">
        <v>0.99</v>
      </c>
      <c r="Q92" s="407">
        <v>0.99</v>
      </c>
      <c r="R92" s="408">
        <v>0</v>
      </c>
      <c r="S92" s="408">
        <v>0</v>
      </c>
      <c r="T92" s="409">
        <v>0</v>
      </c>
      <c r="U92" s="409">
        <v>0</v>
      </c>
      <c r="V92" s="410" t="e">
        <v>#DIV/0!</v>
      </c>
      <c r="W92" s="409">
        <v>0</v>
      </c>
      <c r="X92" s="409">
        <v>0</v>
      </c>
      <c r="Y92" s="409">
        <v>0</v>
      </c>
      <c r="Z92" s="410" t="e">
        <v>#DIV/0!</v>
      </c>
      <c r="AA92" s="409">
        <v>0</v>
      </c>
      <c r="AB92" s="409">
        <v>0</v>
      </c>
      <c r="AC92" s="409">
        <v>0</v>
      </c>
      <c r="AD92" s="410" t="e">
        <v>#DIV/0!</v>
      </c>
      <c r="AE92" s="409">
        <v>0</v>
      </c>
      <c r="AF92" s="409">
        <v>0</v>
      </c>
      <c r="AG92" s="409">
        <v>0</v>
      </c>
      <c r="AH92" s="410" t="e">
        <v>#DIV/0!</v>
      </c>
      <c r="AI92" s="409">
        <v>0</v>
      </c>
      <c r="AJ92" s="409">
        <v>0</v>
      </c>
      <c r="AK92" s="409">
        <v>0</v>
      </c>
      <c r="AL92" s="410" t="e">
        <v>#DIV/0!</v>
      </c>
      <c r="AM92" s="409">
        <v>0</v>
      </c>
      <c r="AN92" s="411">
        <v>0</v>
      </c>
      <c r="AO92" s="411">
        <v>0</v>
      </c>
      <c r="AP92" s="409">
        <v>0</v>
      </c>
      <c r="AQ92" s="409" t="e">
        <v>#DIV/0!</v>
      </c>
      <c r="AR92" s="409" t="e">
        <v>#DIV/0!</v>
      </c>
    </row>
    <row r="93" spans="1:44" s="388" customFormat="1">
      <c r="A93" s="402" t="s">
        <v>231</v>
      </c>
      <c r="B93" s="402" t="s">
        <v>370</v>
      </c>
      <c r="C93" s="402" t="s">
        <v>11</v>
      </c>
      <c r="D93" s="402" t="s">
        <v>419</v>
      </c>
      <c r="E93" s="402" t="s">
        <v>420</v>
      </c>
      <c r="F93" s="402" t="s">
        <v>421</v>
      </c>
      <c r="G93" s="402" t="s">
        <v>374</v>
      </c>
      <c r="H93" s="402" t="s">
        <v>398</v>
      </c>
      <c r="I93" s="403">
        <v>2015</v>
      </c>
      <c r="J93" s="404">
        <v>0</v>
      </c>
      <c r="K93" s="405">
        <v>750</v>
      </c>
      <c r="L93" s="405">
        <v>0</v>
      </c>
      <c r="M93" s="406" t="s">
        <v>251</v>
      </c>
      <c r="N93" s="406" t="s">
        <v>251</v>
      </c>
      <c r="O93" s="406" t="s">
        <v>376</v>
      </c>
      <c r="P93" s="407">
        <v>0.62999999999999978</v>
      </c>
      <c r="Q93" s="407">
        <v>0.62999999999999978</v>
      </c>
      <c r="R93" s="408">
        <v>0</v>
      </c>
      <c r="S93" s="408">
        <v>0</v>
      </c>
      <c r="T93" s="409">
        <v>0</v>
      </c>
      <c r="U93" s="409">
        <v>0</v>
      </c>
      <c r="V93" s="410" t="e">
        <v>#DIV/0!</v>
      </c>
      <c r="W93" s="409">
        <v>0</v>
      </c>
      <c r="X93" s="409">
        <v>0</v>
      </c>
      <c r="Y93" s="409">
        <v>0</v>
      </c>
      <c r="Z93" s="410" t="e">
        <v>#DIV/0!</v>
      </c>
      <c r="AA93" s="409">
        <v>0</v>
      </c>
      <c r="AB93" s="409">
        <v>0</v>
      </c>
      <c r="AC93" s="409">
        <v>0</v>
      </c>
      <c r="AD93" s="410" t="e">
        <v>#DIV/0!</v>
      </c>
      <c r="AE93" s="409">
        <v>0</v>
      </c>
      <c r="AF93" s="409">
        <v>0</v>
      </c>
      <c r="AG93" s="409">
        <v>0</v>
      </c>
      <c r="AH93" s="410" t="e">
        <v>#DIV/0!</v>
      </c>
      <c r="AI93" s="409">
        <v>0</v>
      </c>
      <c r="AJ93" s="409">
        <v>0</v>
      </c>
      <c r="AK93" s="409">
        <v>0</v>
      </c>
      <c r="AL93" s="410" t="e">
        <v>#DIV/0!</v>
      </c>
      <c r="AM93" s="409">
        <v>0</v>
      </c>
      <c r="AN93" s="411">
        <v>0</v>
      </c>
      <c r="AO93" s="411">
        <v>0</v>
      </c>
      <c r="AP93" s="409">
        <v>0</v>
      </c>
      <c r="AQ93" s="409" t="e">
        <v>#DIV/0!</v>
      </c>
      <c r="AR93" s="409" t="e">
        <v>#DIV/0!</v>
      </c>
    </row>
    <row r="94" spans="1:44" s="388" customFormat="1">
      <c r="A94" s="402" t="s">
        <v>231</v>
      </c>
      <c r="B94" s="402" t="s">
        <v>370</v>
      </c>
      <c r="C94" s="402" t="s">
        <v>11</v>
      </c>
      <c r="D94" s="402" t="s">
        <v>419</v>
      </c>
      <c r="E94" s="402" t="s">
        <v>420</v>
      </c>
      <c r="F94" s="402" t="s">
        <v>421</v>
      </c>
      <c r="G94" s="402" t="s">
        <v>374</v>
      </c>
      <c r="H94" s="402" t="s">
        <v>398</v>
      </c>
      <c r="I94" s="403">
        <v>2016</v>
      </c>
      <c r="J94" s="404">
        <v>0</v>
      </c>
      <c r="K94" s="405">
        <v>750</v>
      </c>
      <c r="L94" s="405">
        <v>0</v>
      </c>
      <c r="M94" s="406" t="s">
        <v>251</v>
      </c>
      <c r="N94" s="406" t="s">
        <v>251</v>
      </c>
      <c r="O94" s="406" t="s">
        <v>376</v>
      </c>
      <c r="P94" s="407">
        <v>0.62999999999999978</v>
      </c>
      <c r="Q94" s="407">
        <v>0.62999999999999978</v>
      </c>
      <c r="R94" s="408">
        <v>0</v>
      </c>
      <c r="S94" s="408">
        <v>0</v>
      </c>
      <c r="T94" s="409">
        <v>0</v>
      </c>
      <c r="U94" s="409">
        <v>0</v>
      </c>
      <c r="V94" s="410" t="e">
        <v>#DIV/0!</v>
      </c>
      <c r="W94" s="409">
        <v>0</v>
      </c>
      <c r="X94" s="409">
        <v>0</v>
      </c>
      <c r="Y94" s="409">
        <v>0</v>
      </c>
      <c r="Z94" s="410" t="e">
        <v>#DIV/0!</v>
      </c>
      <c r="AA94" s="409">
        <v>0</v>
      </c>
      <c r="AB94" s="409">
        <v>0</v>
      </c>
      <c r="AC94" s="409">
        <v>0</v>
      </c>
      <c r="AD94" s="410" t="e">
        <v>#DIV/0!</v>
      </c>
      <c r="AE94" s="409">
        <v>0</v>
      </c>
      <c r="AF94" s="409">
        <v>0</v>
      </c>
      <c r="AG94" s="409">
        <v>0</v>
      </c>
      <c r="AH94" s="410" t="e">
        <v>#DIV/0!</v>
      </c>
      <c r="AI94" s="409">
        <v>0</v>
      </c>
      <c r="AJ94" s="409">
        <v>0</v>
      </c>
      <c r="AK94" s="409">
        <v>0</v>
      </c>
      <c r="AL94" s="410" t="e">
        <v>#DIV/0!</v>
      </c>
      <c r="AM94" s="409">
        <v>0</v>
      </c>
      <c r="AN94" s="411">
        <v>0</v>
      </c>
      <c r="AO94" s="411">
        <v>0</v>
      </c>
      <c r="AP94" s="409">
        <v>0</v>
      </c>
      <c r="AQ94" s="409" t="e">
        <v>#DIV/0!</v>
      </c>
      <c r="AR94" s="409" t="e">
        <v>#DIV/0!</v>
      </c>
    </row>
    <row r="95" spans="1:44" s="388" customFormat="1">
      <c r="A95" s="402" t="s">
        <v>231</v>
      </c>
      <c r="B95" s="402" t="s">
        <v>370</v>
      </c>
      <c r="C95" s="402" t="s">
        <v>11</v>
      </c>
      <c r="D95" s="402" t="s">
        <v>419</v>
      </c>
      <c r="E95" s="402" t="s">
        <v>420</v>
      </c>
      <c r="F95" s="402" t="s">
        <v>421</v>
      </c>
      <c r="G95" s="402" t="s">
        <v>374</v>
      </c>
      <c r="H95" s="402" t="s">
        <v>398</v>
      </c>
      <c r="I95" s="403">
        <v>2017</v>
      </c>
      <c r="J95" s="404">
        <v>0</v>
      </c>
      <c r="K95" s="405">
        <v>750</v>
      </c>
      <c r="L95" s="405">
        <v>0</v>
      </c>
      <c r="M95" s="406" t="s">
        <v>251</v>
      </c>
      <c r="N95" s="406" t="s">
        <v>251</v>
      </c>
      <c r="O95" s="406" t="s">
        <v>376</v>
      </c>
      <c r="P95" s="407">
        <v>0.62999999999999978</v>
      </c>
      <c r="Q95" s="407">
        <v>0.62999999999999978</v>
      </c>
      <c r="R95" s="408">
        <v>0</v>
      </c>
      <c r="S95" s="408">
        <v>0</v>
      </c>
      <c r="T95" s="409">
        <v>0</v>
      </c>
      <c r="U95" s="409">
        <v>0</v>
      </c>
      <c r="V95" s="410" t="e">
        <v>#DIV/0!</v>
      </c>
      <c r="W95" s="409">
        <v>0</v>
      </c>
      <c r="X95" s="409">
        <v>0</v>
      </c>
      <c r="Y95" s="409">
        <v>0</v>
      </c>
      <c r="Z95" s="410" t="e">
        <v>#DIV/0!</v>
      </c>
      <c r="AA95" s="409">
        <v>0</v>
      </c>
      <c r="AB95" s="409">
        <v>0</v>
      </c>
      <c r="AC95" s="409">
        <v>0</v>
      </c>
      <c r="AD95" s="410" t="e">
        <v>#DIV/0!</v>
      </c>
      <c r="AE95" s="409">
        <v>0</v>
      </c>
      <c r="AF95" s="409">
        <v>0</v>
      </c>
      <c r="AG95" s="409">
        <v>0</v>
      </c>
      <c r="AH95" s="410" t="e">
        <v>#DIV/0!</v>
      </c>
      <c r="AI95" s="409">
        <v>0</v>
      </c>
      <c r="AJ95" s="409">
        <v>0</v>
      </c>
      <c r="AK95" s="409">
        <v>0</v>
      </c>
      <c r="AL95" s="410" t="e">
        <v>#DIV/0!</v>
      </c>
      <c r="AM95" s="409">
        <v>0</v>
      </c>
      <c r="AN95" s="411">
        <v>0</v>
      </c>
      <c r="AO95" s="411">
        <v>0</v>
      </c>
      <c r="AP95" s="409">
        <v>0</v>
      </c>
      <c r="AQ95" s="409" t="e">
        <v>#DIV/0!</v>
      </c>
      <c r="AR95" s="409" t="e">
        <v>#DIV/0!</v>
      </c>
    </row>
    <row r="96" spans="1:44" s="388" customFormat="1">
      <c r="A96" s="402" t="s">
        <v>231</v>
      </c>
      <c r="B96" s="402" t="s">
        <v>370</v>
      </c>
      <c r="C96" s="402" t="s">
        <v>11</v>
      </c>
      <c r="D96" s="402" t="s">
        <v>419</v>
      </c>
      <c r="E96" s="402" t="s">
        <v>420</v>
      </c>
      <c r="F96" s="402" t="s">
        <v>421</v>
      </c>
      <c r="G96" s="402" t="s">
        <v>374</v>
      </c>
      <c r="H96" s="402" t="s">
        <v>398</v>
      </c>
      <c r="I96" s="403">
        <v>2018</v>
      </c>
      <c r="J96" s="404">
        <v>0</v>
      </c>
      <c r="K96" s="405">
        <v>750</v>
      </c>
      <c r="L96" s="405">
        <v>0</v>
      </c>
      <c r="M96" s="406" t="s">
        <v>251</v>
      </c>
      <c r="N96" s="406" t="s">
        <v>251</v>
      </c>
      <c r="O96" s="406" t="s">
        <v>376</v>
      </c>
      <c r="P96" s="407">
        <v>0.62999999999999978</v>
      </c>
      <c r="Q96" s="407">
        <v>0.62999999999999978</v>
      </c>
      <c r="R96" s="408">
        <v>0</v>
      </c>
      <c r="S96" s="408">
        <v>0</v>
      </c>
      <c r="T96" s="409">
        <v>0</v>
      </c>
      <c r="U96" s="409">
        <v>0</v>
      </c>
      <c r="V96" s="410" t="e">
        <v>#DIV/0!</v>
      </c>
      <c r="W96" s="409">
        <v>0</v>
      </c>
      <c r="X96" s="409">
        <v>0</v>
      </c>
      <c r="Y96" s="409">
        <v>0</v>
      </c>
      <c r="Z96" s="410" t="e">
        <v>#DIV/0!</v>
      </c>
      <c r="AA96" s="409">
        <v>0</v>
      </c>
      <c r="AB96" s="409">
        <v>0</v>
      </c>
      <c r="AC96" s="409">
        <v>0</v>
      </c>
      <c r="AD96" s="410" t="e">
        <v>#DIV/0!</v>
      </c>
      <c r="AE96" s="409">
        <v>0</v>
      </c>
      <c r="AF96" s="409">
        <v>0</v>
      </c>
      <c r="AG96" s="409">
        <v>0</v>
      </c>
      <c r="AH96" s="410" t="e">
        <v>#DIV/0!</v>
      </c>
      <c r="AI96" s="409">
        <v>0</v>
      </c>
      <c r="AJ96" s="409">
        <v>0</v>
      </c>
      <c r="AK96" s="409">
        <v>0</v>
      </c>
      <c r="AL96" s="410" t="e">
        <v>#DIV/0!</v>
      </c>
      <c r="AM96" s="409">
        <v>0</v>
      </c>
      <c r="AN96" s="411">
        <v>0</v>
      </c>
      <c r="AO96" s="411">
        <v>0</v>
      </c>
      <c r="AP96" s="409">
        <v>0</v>
      </c>
      <c r="AQ96" s="409" t="e">
        <v>#DIV/0!</v>
      </c>
      <c r="AR96" s="409" t="e">
        <v>#DIV/0!</v>
      </c>
    </row>
    <row r="97" spans="1:44" s="388" customFormat="1">
      <c r="A97" s="402" t="s">
        <v>231</v>
      </c>
      <c r="B97" s="402" t="s">
        <v>370</v>
      </c>
      <c r="C97" s="402" t="s">
        <v>11</v>
      </c>
      <c r="D97" s="402" t="s">
        <v>419</v>
      </c>
      <c r="E97" s="402" t="s">
        <v>420</v>
      </c>
      <c r="F97" s="402" t="s">
        <v>421</v>
      </c>
      <c r="G97" s="402" t="s">
        <v>374</v>
      </c>
      <c r="H97" s="402" t="s">
        <v>398</v>
      </c>
      <c r="I97" s="403">
        <v>2019</v>
      </c>
      <c r="J97" s="404">
        <v>0</v>
      </c>
      <c r="K97" s="405">
        <v>750</v>
      </c>
      <c r="L97" s="405">
        <v>0</v>
      </c>
      <c r="M97" s="406" t="s">
        <v>251</v>
      </c>
      <c r="N97" s="406" t="s">
        <v>251</v>
      </c>
      <c r="O97" s="406" t="s">
        <v>376</v>
      </c>
      <c r="P97" s="407">
        <v>0.62999999999999978</v>
      </c>
      <c r="Q97" s="407">
        <v>0.62999999999999978</v>
      </c>
      <c r="R97" s="408">
        <v>0</v>
      </c>
      <c r="S97" s="408">
        <v>0</v>
      </c>
      <c r="T97" s="409">
        <v>0</v>
      </c>
      <c r="U97" s="409">
        <v>0</v>
      </c>
      <c r="V97" s="410" t="e">
        <v>#DIV/0!</v>
      </c>
      <c r="W97" s="409">
        <v>0</v>
      </c>
      <c r="X97" s="409">
        <v>0</v>
      </c>
      <c r="Y97" s="409">
        <v>0</v>
      </c>
      <c r="Z97" s="410" t="e">
        <v>#DIV/0!</v>
      </c>
      <c r="AA97" s="409">
        <v>0</v>
      </c>
      <c r="AB97" s="409">
        <v>0</v>
      </c>
      <c r="AC97" s="409">
        <v>0</v>
      </c>
      <c r="AD97" s="410" t="e">
        <v>#DIV/0!</v>
      </c>
      <c r="AE97" s="409">
        <v>0</v>
      </c>
      <c r="AF97" s="409">
        <v>0</v>
      </c>
      <c r="AG97" s="409">
        <v>0</v>
      </c>
      <c r="AH97" s="410" t="e">
        <v>#DIV/0!</v>
      </c>
      <c r="AI97" s="409">
        <v>0</v>
      </c>
      <c r="AJ97" s="409">
        <v>0</v>
      </c>
      <c r="AK97" s="409">
        <v>0</v>
      </c>
      <c r="AL97" s="410" t="e">
        <v>#DIV/0!</v>
      </c>
      <c r="AM97" s="409">
        <v>0</v>
      </c>
      <c r="AN97" s="411">
        <v>0</v>
      </c>
      <c r="AO97" s="411">
        <v>0</v>
      </c>
      <c r="AP97" s="409">
        <v>0</v>
      </c>
      <c r="AQ97" s="409" t="e">
        <v>#DIV/0!</v>
      </c>
      <c r="AR97" s="409" t="e">
        <v>#DIV/0!</v>
      </c>
    </row>
    <row r="98" spans="1:44" s="388" customFormat="1">
      <c r="A98" s="402" t="s">
        <v>231</v>
      </c>
      <c r="B98" s="402" t="s">
        <v>370</v>
      </c>
      <c r="C98" s="402" t="s">
        <v>11</v>
      </c>
      <c r="D98" s="402" t="s">
        <v>419</v>
      </c>
      <c r="E98" s="402" t="s">
        <v>420</v>
      </c>
      <c r="F98" s="402" t="s">
        <v>421</v>
      </c>
      <c r="G98" s="402" t="s">
        <v>374</v>
      </c>
      <c r="H98" s="402" t="s">
        <v>398</v>
      </c>
      <c r="I98" s="403">
        <v>2020</v>
      </c>
      <c r="J98" s="404">
        <v>0</v>
      </c>
      <c r="K98" s="405">
        <v>750</v>
      </c>
      <c r="L98" s="405">
        <v>0</v>
      </c>
      <c r="M98" s="406" t="s">
        <v>251</v>
      </c>
      <c r="N98" s="406" t="s">
        <v>251</v>
      </c>
      <c r="O98" s="406" t="s">
        <v>376</v>
      </c>
      <c r="P98" s="407">
        <v>0.62999999999999978</v>
      </c>
      <c r="Q98" s="407">
        <v>0.62999999999999978</v>
      </c>
      <c r="R98" s="408">
        <v>0</v>
      </c>
      <c r="S98" s="408">
        <v>0</v>
      </c>
      <c r="T98" s="409">
        <v>0</v>
      </c>
      <c r="U98" s="409">
        <v>0</v>
      </c>
      <c r="V98" s="410" t="e">
        <v>#DIV/0!</v>
      </c>
      <c r="W98" s="409">
        <v>0</v>
      </c>
      <c r="X98" s="409">
        <v>0</v>
      </c>
      <c r="Y98" s="409">
        <v>0</v>
      </c>
      <c r="Z98" s="410" t="e">
        <v>#DIV/0!</v>
      </c>
      <c r="AA98" s="409">
        <v>0</v>
      </c>
      <c r="AB98" s="409">
        <v>0</v>
      </c>
      <c r="AC98" s="409">
        <v>0</v>
      </c>
      <c r="AD98" s="410" t="e">
        <v>#DIV/0!</v>
      </c>
      <c r="AE98" s="409">
        <v>0</v>
      </c>
      <c r="AF98" s="409">
        <v>0</v>
      </c>
      <c r="AG98" s="409">
        <v>0</v>
      </c>
      <c r="AH98" s="410" t="e">
        <v>#DIV/0!</v>
      </c>
      <c r="AI98" s="409">
        <v>0</v>
      </c>
      <c r="AJ98" s="409">
        <v>0</v>
      </c>
      <c r="AK98" s="409">
        <v>0</v>
      </c>
      <c r="AL98" s="410" t="e">
        <v>#DIV/0!</v>
      </c>
      <c r="AM98" s="409">
        <v>0</v>
      </c>
      <c r="AN98" s="411">
        <v>0</v>
      </c>
      <c r="AO98" s="411">
        <v>0</v>
      </c>
      <c r="AP98" s="409">
        <v>0</v>
      </c>
      <c r="AQ98" s="409" t="e">
        <v>#DIV/0!</v>
      </c>
      <c r="AR98" s="409" t="e">
        <v>#DIV/0!</v>
      </c>
    </row>
    <row r="99" spans="1:44" s="388" customFormat="1">
      <c r="A99" s="402" t="s">
        <v>231</v>
      </c>
      <c r="B99" s="402" t="s">
        <v>370</v>
      </c>
      <c r="C99" s="402" t="s">
        <v>23</v>
      </c>
      <c r="D99" s="402" t="s">
        <v>422</v>
      </c>
      <c r="E99" s="402" t="s">
        <v>423</v>
      </c>
      <c r="F99" s="402" t="s">
        <v>424</v>
      </c>
      <c r="G99" s="402" t="s">
        <v>374</v>
      </c>
      <c r="H99" s="402" t="s">
        <v>398</v>
      </c>
      <c r="I99" s="403">
        <v>2015</v>
      </c>
      <c r="J99" s="404">
        <v>0</v>
      </c>
      <c r="K99" s="405">
        <v>275</v>
      </c>
      <c r="L99" s="405">
        <v>200</v>
      </c>
      <c r="M99" s="406" t="s">
        <v>251</v>
      </c>
      <c r="N99" s="406" t="s">
        <v>251</v>
      </c>
      <c r="O99" s="406" t="s">
        <v>376</v>
      </c>
      <c r="P99" s="407">
        <v>1</v>
      </c>
      <c r="Q99" s="407">
        <v>1</v>
      </c>
      <c r="R99" s="408">
        <v>0</v>
      </c>
      <c r="S99" s="408">
        <v>0</v>
      </c>
      <c r="T99" s="409">
        <v>0</v>
      </c>
      <c r="U99" s="409">
        <v>0</v>
      </c>
      <c r="V99" s="410" t="e">
        <v>#DIV/0!</v>
      </c>
      <c r="W99" s="409">
        <v>0</v>
      </c>
      <c r="X99" s="409">
        <v>0</v>
      </c>
      <c r="Y99" s="409">
        <v>0</v>
      </c>
      <c r="Z99" s="410" t="e">
        <v>#DIV/0!</v>
      </c>
      <c r="AA99" s="409">
        <v>0</v>
      </c>
      <c r="AB99" s="409">
        <v>0</v>
      </c>
      <c r="AC99" s="409">
        <v>0</v>
      </c>
      <c r="AD99" s="410" t="e">
        <v>#DIV/0!</v>
      </c>
      <c r="AE99" s="409">
        <v>0</v>
      </c>
      <c r="AF99" s="409">
        <v>0</v>
      </c>
      <c r="AG99" s="409">
        <v>0</v>
      </c>
      <c r="AH99" s="410" t="e">
        <v>#DIV/0!</v>
      </c>
      <c r="AI99" s="409">
        <v>0</v>
      </c>
      <c r="AJ99" s="409">
        <v>0</v>
      </c>
      <c r="AK99" s="409">
        <v>0</v>
      </c>
      <c r="AL99" s="410" t="e">
        <v>#DIV/0!</v>
      </c>
      <c r="AM99" s="409">
        <v>0</v>
      </c>
      <c r="AN99" s="411">
        <v>0</v>
      </c>
      <c r="AO99" s="411">
        <v>0</v>
      </c>
      <c r="AP99" s="409">
        <v>0</v>
      </c>
      <c r="AQ99" s="409" t="e">
        <v>#DIV/0!</v>
      </c>
      <c r="AR99" s="409" t="e">
        <v>#DIV/0!</v>
      </c>
    </row>
    <row r="100" spans="1:44" s="388" customFormat="1">
      <c r="A100" s="402" t="s">
        <v>231</v>
      </c>
      <c r="B100" s="402" t="s">
        <v>370</v>
      </c>
      <c r="C100" s="402" t="s">
        <v>23</v>
      </c>
      <c r="D100" s="402" t="s">
        <v>422</v>
      </c>
      <c r="E100" s="402" t="s">
        <v>423</v>
      </c>
      <c r="F100" s="402" t="s">
        <v>424</v>
      </c>
      <c r="G100" s="402" t="s">
        <v>374</v>
      </c>
      <c r="H100" s="402" t="s">
        <v>398</v>
      </c>
      <c r="I100" s="403">
        <v>2016</v>
      </c>
      <c r="J100" s="404">
        <v>40</v>
      </c>
      <c r="K100" s="405">
        <v>275</v>
      </c>
      <c r="L100" s="405">
        <v>200</v>
      </c>
      <c r="M100" s="406" t="s">
        <v>251</v>
      </c>
      <c r="N100" s="406" t="s">
        <v>251</v>
      </c>
      <c r="O100" s="406" t="s">
        <v>376</v>
      </c>
      <c r="P100" s="407">
        <v>1</v>
      </c>
      <c r="Q100" s="407">
        <v>1</v>
      </c>
      <c r="R100" s="408">
        <v>11000</v>
      </c>
      <c r="S100" s="408">
        <v>8000</v>
      </c>
      <c r="T100" s="409">
        <v>62159.009204223075</v>
      </c>
      <c r="U100" s="409">
        <v>26823.529411764703</v>
      </c>
      <c r="V100" s="410">
        <v>2.317331483490773</v>
      </c>
      <c r="W100" s="409">
        <v>35335.479792458369</v>
      </c>
      <c r="X100" s="409">
        <v>62159.009204223075</v>
      </c>
      <c r="Y100" s="409">
        <v>26823.529411764703</v>
      </c>
      <c r="Z100" s="410">
        <v>2.317331483490773</v>
      </c>
      <c r="AA100" s="409">
        <v>35335.479792458369</v>
      </c>
      <c r="AB100" s="409">
        <v>54051.312351498331</v>
      </c>
      <c r="AC100" s="409">
        <v>18627.450980392157</v>
      </c>
      <c r="AD100" s="410">
        <v>2.9017020315014892</v>
      </c>
      <c r="AE100" s="409">
        <v>35423.861371106177</v>
      </c>
      <c r="AF100" s="409">
        <v>10816.228967371255</v>
      </c>
      <c r="AG100" s="409">
        <v>18980.392156862745</v>
      </c>
      <c r="AH100" s="410">
        <v>0.56986330303298971</v>
      </c>
      <c r="AI100" s="409">
        <v>-8164.1631894914899</v>
      </c>
      <c r="AJ100" s="409">
        <v>54051.312351498331</v>
      </c>
      <c r="AK100" s="409">
        <v>18659.366222273216</v>
      </c>
      <c r="AL100" s="410">
        <v>2.896738919619823</v>
      </c>
      <c r="AM100" s="409">
        <v>35391.946129225114</v>
      </c>
      <c r="AN100" s="411">
        <v>264.94636458266831</v>
      </c>
      <c r="AO100" s="411">
        <v>227939.43305129735</v>
      </c>
      <c r="AP100" s="409">
        <v>18627.450980392157</v>
      </c>
      <c r="AQ100" s="409">
        <v>70.306497731090914</v>
      </c>
      <c r="AR100" s="409">
        <v>8.1721055155033584E-2</v>
      </c>
    </row>
    <row r="101" spans="1:44" s="388" customFormat="1">
      <c r="A101" s="402" t="s">
        <v>231</v>
      </c>
      <c r="B101" s="402" t="s">
        <v>370</v>
      </c>
      <c r="C101" s="402" t="s">
        <v>23</v>
      </c>
      <c r="D101" s="402" t="s">
        <v>422</v>
      </c>
      <c r="E101" s="402" t="s">
        <v>423</v>
      </c>
      <c r="F101" s="402" t="s">
        <v>424</v>
      </c>
      <c r="G101" s="402" t="s">
        <v>374</v>
      </c>
      <c r="H101" s="402" t="s">
        <v>398</v>
      </c>
      <c r="I101" s="403">
        <v>2017</v>
      </c>
      <c r="J101" s="404">
        <v>40</v>
      </c>
      <c r="K101" s="405">
        <v>275</v>
      </c>
      <c r="L101" s="405">
        <v>200</v>
      </c>
      <c r="M101" s="406" t="s">
        <v>251</v>
      </c>
      <c r="N101" s="406" t="s">
        <v>251</v>
      </c>
      <c r="O101" s="406" t="s">
        <v>376</v>
      </c>
      <c r="P101" s="407">
        <v>1</v>
      </c>
      <c r="Q101" s="407">
        <v>1</v>
      </c>
      <c r="R101" s="408">
        <v>11000</v>
      </c>
      <c r="S101" s="408">
        <v>8000</v>
      </c>
      <c r="T101" s="409">
        <v>69569.236477323662</v>
      </c>
      <c r="U101" s="409">
        <v>26297.577854671283</v>
      </c>
      <c r="V101" s="410">
        <v>2.645461755519281</v>
      </c>
      <c r="W101" s="409">
        <v>43271.65862265238</v>
      </c>
      <c r="X101" s="409">
        <v>69569.236477323662</v>
      </c>
      <c r="Y101" s="409">
        <v>26297.577854671283</v>
      </c>
      <c r="Z101" s="410">
        <v>2.645461755519281</v>
      </c>
      <c r="AA101" s="409">
        <v>43271.65862265238</v>
      </c>
      <c r="AB101" s="409">
        <v>60494.988241151012</v>
      </c>
      <c r="AC101" s="409">
        <v>18262.206843521722</v>
      </c>
      <c r="AD101" s="410">
        <v>3.3125781982154479</v>
      </c>
      <c r="AE101" s="409">
        <v>42232.781397629289</v>
      </c>
      <c r="AF101" s="409">
        <v>10604.689711499997</v>
      </c>
      <c r="AG101" s="409">
        <v>18608.227604767399</v>
      </c>
      <c r="AH101" s="410">
        <v>0.56989251941346053</v>
      </c>
      <c r="AI101" s="409">
        <v>-8003.5378932674012</v>
      </c>
      <c r="AJ101" s="409">
        <v>60494.988241151012</v>
      </c>
      <c r="AK101" s="409">
        <v>18294.03996140388</v>
      </c>
      <c r="AL101" s="410">
        <v>3.3068140426489285</v>
      </c>
      <c r="AM101" s="409">
        <v>42200.948279747128</v>
      </c>
      <c r="AN101" s="411">
        <v>259.75133782614535</v>
      </c>
      <c r="AO101" s="411">
        <v>223470.03240323262</v>
      </c>
      <c r="AP101" s="409">
        <v>18262.206843521722</v>
      </c>
      <c r="AQ101" s="409">
        <v>70.306497731090928</v>
      </c>
      <c r="AR101" s="409">
        <v>8.1721055155033612E-2</v>
      </c>
    </row>
    <row r="102" spans="1:44" s="388" customFormat="1">
      <c r="A102" s="402" t="s">
        <v>231</v>
      </c>
      <c r="B102" s="402" t="s">
        <v>370</v>
      </c>
      <c r="C102" s="402" t="s">
        <v>23</v>
      </c>
      <c r="D102" s="402" t="s">
        <v>422</v>
      </c>
      <c r="E102" s="402" t="s">
        <v>423</v>
      </c>
      <c r="F102" s="402" t="s">
        <v>424</v>
      </c>
      <c r="G102" s="402" t="s">
        <v>374</v>
      </c>
      <c r="H102" s="402" t="s">
        <v>398</v>
      </c>
      <c r="I102" s="403">
        <v>2018</v>
      </c>
      <c r="J102" s="404">
        <v>40</v>
      </c>
      <c r="K102" s="405">
        <v>275</v>
      </c>
      <c r="L102" s="405">
        <v>200</v>
      </c>
      <c r="M102" s="406" t="s">
        <v>251</v>
      </c>
      <c r="N102" s="406" t="s">
        <v>251</v>
      </c>
      <c r="O102" s="406" t="s">
        <v>376</v>
      </c>
      <c r="P102" s="407">
        <v>1</v>
      </c>
      <c r="Q102" s="407">
        <v>1</v>
      </c>
      <c r="R102" s="408">
        <v>11000</v>
      </c>
      <c r="S102" s="408">
        <v>8000</v>
      </c>
      <c r="T102" s="409">
        <v>69809.540802476389</v>
      </c>
      <c r="U102" s="409">
        <v>25781.939073207141</v>
      </c>
      <c r="V102" s="410">
        <v>2.7076916365465773</v>
      </c>
      <c r="W102" s="409">
        <v>44027.601729269249</v>
      </c>
      <c r="X102" s="409">
        <v>69809.540802476389</v>
      </c>
      <c r="Y102" s="409">
        <v>25781.939073207141</v>
      </c>
      <c r="Z102" s="410">
        <v>2.7076916365465773</v>
      </c>
      <c r="AA102" s="409">
        <v>44027.601729269249</v>
      </c>
      <c r="AB102" s="409">
        <v>60703.948523892526</v>
      </c>
      <c r="AC102" s="409">
        <v>17904.124356393844</v>
      </c>
      <c r="AD102" s="410">
        <v>3.3905008318496286</v>
      </c>
      <c r="AE102" s="409">
        <v>42799.824167498678</v>
      </c>
      <c r="AF102" s="409">
        <v>10397.304586172599</v>
      </c>
      <c r="AG102" s="409">
        <v>18243.360396830783</v>
      </c>
      <c r="AH102" s="410">
        <v>0.569922665562141</v>
      </c>
      <c r="AI102" s="409">
        <v>-7846.0558106581848</v>
      </c>
      <c r="AJ102" s="409">
        <v>60703.948523892526</v>
      </c>
      <c r="AK102" s="409">
        <v>17935.883262548956</v>
      </c>
      <c r="AL102" s="410">
        <v>3.3844973027141343</v>
      </c>
      <c r="AM102" s="409">
        <v>42768.065261343567</v>
      </c>
      <c r="AN102" s="411">
        <v>254.65817433935823</v>
      </c>
      <c r="AO102" s="411">
        <v>219088.26706199281</v>
      </c>
      <c r="AP102" s="409">
        <v>17904.124356393844</v>
      </c>
      <c r="AQ102" s="409">
        <v>70.306497731090914</v>
      </c>
      <c r="AR102" s="409">
        <v>8.1721055155033598E-2</v>
      </c>
    </row>
    <row r="103" spans="1:44" s="388" customFormat="1">
      <c r="A103" s="402" t="s">
        <v>231</v>
      </c>
      <c r="B103" s="402" t="s">
        <v>370</v>
      </c>
      <c r="C103" s="402" t="s">
        <v>23</v>
      </c>
      <c r="D103" s="402" t="s">
        <v>422</v>
      </c>
      <c r="E103" s="402" t="s">
        <v>423</v>
      </c>
      <c r="F103" s="402" t="s">
        <v>424</v>
      </c>
      <c r="G103" s="402" t="s">
        <v>374</v>
      </c>
      <c r="H103" s="402" t="s">
        <v>398</v>
      </c>
      <c r="I103" s="403">
        <v>2019</v>
      </c>
      <c r="J103" s="404">
        <v>40</v>
      </c>
      <c r="K103" s="405">
        <v>275</v>
      </c>
      <c r="L103" s="405">
        <v>200</v>
      </c>
      <c r="M103" s="406" t="s">
        <v>251</v>
      </c>
      <c r="N103" s="406" t="s">
        <v>251</v>
      </c>
      <c r="O103" s="406" t="s">
        <v>376</v>
      </c>
      <c r="P103" s="407">
        <v>1</v>
      </c>
      <c r="Q103" s="407">
        <v>1</v>
      </c>
      <c r="R103" s="408">
        <v>11000</v>
      </c>
      <c r="S103" s="408">
        <v>8000</v>
      </c>
      <c r="T103" s="409">
        <v>70135.788421602789</v>
      </c>
      <c r="U103" s="409">
        <v>25276.410856085426</v>
      </c>
      <c r="V103" s="410">
        <v>2.7747526664655888</v>
      </c>
      <c r="W103" s="409">
        <v>44859.377565517367</v>
      </c>
      <c r="X103" s="409">
        <v>70135.788421602789</v>
      </c>
      <c r="Y103" s="409">
        <v>25276.410856085426</v>
      </c>
      <c r="Z103" s="410">
        <v>2.7747526664655888</v>
      </c>
      <c r="AA103" s="409">
        <v>44859.377565517367</v>
      </c>
      <c r="AB103" s="409">
        <v>60987.64210574155</v>
      </c>
      <c r="AC103" s="409">
        <v>17553.06309450377</v>
      </c>
      <c r="AD103" s="410">
        <v>3.4744729040960407</v>
      </c>
      <c r="AE103" s="409">
        <v>43434.57901123778</v>
      </c>
      <c r="AF103" s="409">
        <v>10193.976628017956</v>
      </c>
      <c r="AG103" s="409">
        <v>17885.647447873314</v>
      </c>
      <c r="AH103" s="410">
        <v>0.56995289981689012</v>
      </c>
      <c r="AI103" s="409">
        <v>-7691.6708198553588</v>
      </c>
      <c r="AJ103" s="409">
        <v>60987.64210574155</v>
      </c>
      <c r="AK103" s="409">
        <v>17584.740036230069</v>
      </c>
      <c r="AL103" s="410">
        <v>3.4682140298968265</v>
      </c>
      <c r="AM103" s="409">
        <v>43402.902069511481</v>
      </c>
      <c r="AN103" s="411">
        <v>249.66487680329237</v>
      </c>
      <c r="AO103" s="411">
        <v>214792.41868822832</v>
      </c>
      <c r="AP103" s="409">
        <v>17553.06309450377</v>
      </c>
      <c r="AQ103" s="409">
        <v>70.306497731090928</v>
      </c>
      <c r="AR103" s="409">
        <v>8.172105515503357E-2</v>
      </c>
    </row>
    <row r="104" spans="1:44" s="388" customFormat="1">
      <c r="A104" s="402" t="s">
        <v>231</v>
      </c>
      <c r="B104" s="402" t="s">
        <v>370</v>
      </c>
      <c r="C104" s="402" t="s">
        <v>23</v>
      </c>
      <c r="D104" s="402" t="s">
        <v>422</v>
      </c>
      <c r="E104" s="402" t="s">
        <v>423</v>
      </c>
      <c r="F104" s="402" t="s">
        <v>424</v>
      </c>
      <c r="G104" s="402" t="s">
        <v>374</v>
      </c>
      <c r="H104" s="402" t="s">
        <v>398</v>
      </c>
      <c r="I104" s="403">
        <v>2020</v>
      </c>
      <c r="J104" s="404">
        <v>40</v>
      </c>
      <c r="K104" s="405">
        <v>275</v>
      </c>
      <c r="L104" s="405">
        <v>200</v>
      </c>
      <c r="M104" s="406" t="s">
        <v>251</v>
      </c>
      <c r="N104" s="406" t="s">
        <v>251</v>
      </c>
      <c r="O104" s="406" t="s">
        <v>376</v>
      </c>
      <c r="P104" s="407">
        <v>1</v>
      </c>
      <c r="Q104" s="407">
        <v>1</v>
      </c>
      <c r="R104" s="408">
        <v>11000</v>
      </c>
      <c r="S104" s="408">
        <v>8000</v>
      </c>
      <c r="T104" s="409">
        <v>70290.913882031542</v>
      </c>
      <c r="U104" s="409">
        <v>24780.794956946498</v>
      </c>
      <c r="V104" s="410">
        <v>2.8365076263353588</v>
      </c>
      <c r="W104" s="409">
        <v>45510.118925085044</v>
      </c>
      <c r="X104" s="409">
        <v>70290.913882031542</v>
      </c>
      <c r="Y104" s="409">
        <v>24780.794956946498</v>
      </c>
      <c r="Z104" s="410">
        <v>2.8365076263353588</v>
      </c>
      <c r="AA104" s="409">
        <v>45510.118925085044</v>
      </c>
      <c r="AB104" s="409">
        <v>61122.533810462206</v>
      </c>
      <c r="AC104" s="409">
        <v>17208.885386768401</v>
      </c>
      <c r="AD104" s="410">
        <v>3.5518008538460144</v>
      </c>
      <c r="AE104" s="409">
        <v>43913.648423693805</v>
      </c>
      <c r="AF104" s="409">
        <v>9994.5608659007194</v>
      </c>
      <c r="AG104" s="409">
        <v>17534.948478307168</v>
      </c>
      <c r="AH104" s="410">
        <v>0.56997948287473943</v>
      </c>
      <c r="AI104" s="409">
        <v>-7540.3876124064482</v>
      </c>
      <c r="AJ104" s="409">
        <v>61122.533810462206</v>
      </c>
      <c r="AK104" s="409">
        <v>17240.407344540046</v>
      </c>
      <c r="AL104" s="410">
        <v>3.5453068241928412</v>
      </c>
      <c r="AM104" s="409">
        <v>43882.126465922163</v>
      </c>
      <c r="AN104" s="411">
        <v>244.76948706205138</v>
      </c>
      <c r="AO104" s="411">
        <v>210580.80263551796</v>
      </c>
      <c r="AP104" s="409">
        <v>17208.885386768401</v>
      </c>
      <c r="AQ104" s="409">
        <v>70.306497731090914</v>
      </c>
      <c r="AR104" s="409">
        <v>8.172105515503357E-2</v>
      </c>
    </row>
    <row r="105" spans="1:44" s="388" customFormat="1">
      <c r="A105" s="402" t="s">
        <v>231</v>
      </c>
      <c r="B105" s="402" t="s">
        <v>370</v>
      </c>
      <c r="C105" s="402" t="s">
        <v>38</v>
      </c>
      <c r="D105" s="402" t="s">
        <v>371</v>
      </c>
      <c r="E105" s="402" t="s">
        <v>149</v>
      </c>
      <c r="F105" s="402" t="s">
        <v>425</v>
      </c>
      <c r="G105" s="402" t="s">
        <v>374</v>
      </c>
      <c r="H105" s="402" t="s">
        <v>426</v>
      </c>
      <c r="I105" s="403">
        <v>2015</v>
      </c>
      <c r="J105" s="404">
        <v>0</v>
      </c>
      <c r="K105" s="405">
        <v>1278</v>
      </c>
      <c r="L105" s="405">
        <v>281</v>
      </c>
      <c r="M105" s="406" t="s">
        <v>251</v>
      </c>
      <c r="N105" s="406" t="s">
        <v>251</v>
      </c>
      <c r="O105" s="406" t="s">
        <v>376</v>
      </c>
      <c r="P105" s="407">
        <v>0.94</v>
      </c>
      <c r="Q105" s="407">
        <v>0.94</v>
      </c>
      <c r="R105" s="408">
        <v>0</v>
      </c>
      <c r="S105" s="408">
        <v>0</v>
      </c>
      <c r="T105" s="409">
        <v>0</v>
      </c>
      <c r="U105" s="409">
        <v>0</v>
      </c>
      <c r="V105" s="410" t="e">
        <v>#DIV/0!</v>
      </c>
      <c r="W105" s="409">
        <v>0</v>
      </c>
      <c r="X105" s="409">
        <v>0</v>
      </c>
      <c r="Y105" s="409">
        <v>0</v>
      </c>
      <c r="Z105" s="410" t="e">
        <v>#DIV/0!</v>
      </c>
      <c r="AA105" s="409">
        <v>0</v>
      </c>
      <c r="AB105" s="409">
        <v>0</v>
      </c>
      <c r="AC105" s="409">
        <v>0</v>
      </c>
      <c r="AD105" s="410" t="e">
        <v>#DIV/0!</v>
      </c>
      <c r="AE105" s="409">
        <v>0</v>
      </c>
      <c r="AF105" s="409">
        <v>0</v>
      </c>
      <c r="AG105" s="409">
        <v>0</v>
      </c>
      <c r="AH105" s="410" t="e">
        <v>#DIV/0!</v>
      </c>
      <c r="AI105" s="409">
        <v>0</v>
      </c>
      <c r="AJ105" s="409">
        <v>0</v>
      </c>
      <c r="AK105" s="409">
        <v>0</v>
      </c>
      <c r="AL105" s="410" t="e">
        <v>#DIV/0!</v>
      </c>
      <c r="AM105" s="409">
        <v>0</v>
      </c>
      <c r="AN105" s="411">
        <v>0</v>
      </c>
      <c r="AO105" s="411">
        <v>0</v>
      </c>
      <c r="AP105" s="409">
        <v>0</v>
      </c>
      <c r="AQ105" s="409" t="e">
        <v>#DIV/0!</v>
      </c>
      <c r="AR105" s="409" t="e">
        <v>#DIV/0!</v>
      </c>
    </row>
    <row r="106" spans="1:44" s="388" customFormat="1">
      <c r="A106" s="402" t="s">
        <v>231</v>
      </c>
      <c r="B106" s="402" t="s">
        <v>370</v>
      </c>
      <c r="C106" s="402" t="s">
        <v>38</v>
      </c>
      <c r="D106" s="402" t="s">
        <v>371</v>
      </c>
      <c r="E106" s="402" t="s">
        <v>149</v>
      </c>
      <c r="F106" s="402" t="s">
        <v>425</v>
      </c>
      <c r="G106" s="402" t="s">
        <v>374</v>
      </c>
      <c r="H106" s="402" t="s">
        <v>426</v>
      </c>
      <c r="I106" s="403">
        <v>2016</v>
      </c>
      <c r="J106" s="404">
        <v>110</v>
      </c>
      <c r="K106" s="405">
        <v>1278</v>
      </c>
      <c r="L106" s="405">
        <v>281</v>
      </c>
      <c r="M106" s="406" t="s">
        <v>251</v>
      </c>
      <c r="N106" s="406" t="s">
        <v>251</v>
      </c>
      <c r="O106" s="406" t="s">
        <v>376</v>
      </c>
      <c r="P106" s="407">
        <v>0.94</v>
      </c>
      <c r="Q106" s="407">
        <v>0.94</v>
      </c>
      <c r="R106" s="408">
        <v>140580</v>
      </c>
      <c r="S106" s="408">
        <v>30910</v>
      </c>
      <c r="T106" s="409">
        <v>302388.92696258851</v>
      </c>
      <c r="U106" s="409">
        <v>159858.03921568627</v>
      </c>
      <c r="V106" s="410">
        <v>1.8916091329920193</v>
      </c>
      <c r="W106" s="409">
        <v>142530.88774690224</v>
      </c>
      <c r="X106" s="409">
        <v>302388.92696258851</v>
      </c>
      <c r="Y106" s="409">
        <v>159858.03921568627</v>
      </c>
      <c r="Z106" s="410">
        <v>1.8916091329920193</v>
      </c>
      <c r="AA106" s="409">
        <v>142530.88774690224</v>
      </c>
      <c r="AB106" s="409">
        <v>262946.89301094657</v>
      </c>
      <c r="AC106" s="409">
        <v>168127.45098039217</v>
      </c>
      <c r="AD106" s="410">
        <v>1.5639735895455449</v>
      </c>
      <c r="AE106" s="409">
        <v>94819.442030554404</v>
      </c>
      <c r="AF106" s="409">
        <v>138252.27638895097</v>
      </c>
      <c r="AG106" s="409">
        <v>137823.5294117647</v>
      </c>
      <c r="AH106" s="410">
        <v>1.0031108402100584</v>
      </c>
      <c r="AI106" s="409">
        <v>428.74697718626703</v>
      </c>
      <c r="AJ106" s="409">
        <v>262946.89301094657</v>
      </c>
      <c r="AK106" s="409">
        <v>168530.47313894724</v>
      </c>
      <c r="AL106" s="410">
        <v>1.5602335180899685</v>
      </c>
      <c r="AM106" s="409">
        <v>94416.419871999329</v>
      </c>
      <c r="AN106" s="411">
        <v>890.15062007222639</v>
      </c>
      <c r="AO106" s="411">
        <v>3062121.3295674291</v>
      </c>
      <c r="AP106" s="409">
        <v>168127.45098039217</v>
      </c>
      <c r="AQ106" s="409">
        <v>188.87528378820923</v>
      </c>
      <c r="AR106" s="409">
        <v>5.490554843695325E-2</v>
      </c>
    </row>
    <row r="107" spans="1:44" s="388" customFormat="1">
      <c r="A107" s="402" t="s">
        <v>231</v>
      </c>
      <c r="B107" s="402" t="s">
        <v>370</v>
      </c>
      <c r="C107" s="402" t="s">
        <v>38</v>
      </c>
      <c r="D107" s="402" t="s">
        <v>371</v>
      </c>
      <c r="E107" s="402" t="s">
        <v>149</v>
      </c>
      <c r="F107" s="402" t="s">
        <v>425</v>
      </c>
      <c r="G107" s="402" t="s">
        <v>374</v>
      </c>
      <c r="H107" s="402" t="s">
        <v>426</v>
      </c>
      <c r="I107" s="403">
        <v>2017</v>
      </c>
      <c r="J107" s="404">
        <v>120</v>
      </c>
      <c r="K107" s="405">
        <v>1278</v>
      </c>
      <c r="L107" s="405">
        <v>281</v>
      </c>
      <c r="M107" s="406" t="s">
        <v>251</v>
      </c>
      <c r="N107" s="406" t="s">
        <v>251</v>
      </c>
      <c r="O107" s="406" t="s">
        <v>376</v>
      </c>
      <c r="P107" s="407">
        <v>0.94</v>
      </c>
      <c r="Q107" s="407">
        <v>0.94</v>
      </c>
      <c r="R107" s="408">
        <v>153360</v>
      </c>
      <c r="S107" s="408">
        <v>33720</v>
      </c>
      <c r="T107" s="409">
        <v>357472.36610547709</v>
      </c>
      <c r="U107" s="409">
        <v>170971.16493656288</v>
      </c>
      <c r="V107" s="410">
        <v>2.0908342423596027</v>
      </c>
      <c r="W107" s="409">
        <v>186501.20116891421</v>
      </c>
      <c r="X107" s="409">
        <v>357472.36610547709</v>
      </c>
      <c r="Y107" s="409">
        <v>170971.16493656288</v>
      </c>
      <c r="Z107" s="410">
        <v>2.0908342423596027</v>
      </c>
      <c r="AA107" s="409">
        <v>186501.20116891421</v>
      </c>
      <c r="AB107" s="409">
        <v>310845.53574389318</v>
      </c>
      <c r="AC107" s="409">
        <v>179815.45559400233</v>
      </c>
      <c r="AD107" s="410">
        <v>1.7286919787681549</v>
      </c>
      <c r="AE107" s="409">
        <v>131030.08014989085</v>
      </c>
      <c r="AF107" s="409">
        <v>147871.36472285565</v>
      </c>
      <c r="AG107" s="409">
        <v>147404.84429065746</v>
      </c>
      <c r="AH107" s="410">
        <v>1.0031648921339267</v>
      </c>
      <c r="AI107" s="409">
        <v>466.52043219818734</v>
      </c>
      <c r="AJ107" s="409">
        <v>310845.53574389318</v>
      </c>
      <c r="AK107" s="409">
        <v>180253.98480026863</v>
      </c>
      <c r="AL107" s="410">
        <v>1.7244863467974214</v>
      </c>
      <c r="AM107" s="409">
        <v>130591.55094362455</v>
      </c>
      <c r="AN107" s="411">
        <v>952.03274874034889</v>
      </c>
      <c r="AO107" s="411">
        <v>3274996.0744036674</v>
      </c>
      <c r="AP107" s="409">
        <v>179815.45559400233</v>
      </c>
      <c r="AQ107" s="409">
        <v>188.87528378820926</v>
      </c>
      <c r="AR107" s="409">
        <v>5.4905548436953257E-2</v>
      </c>
    </row>
    <row r="108" spans="1:44" s="388" customFormat="1">
      <c r="A108" s="402" t="s">
        <v>231</v>
      </c>
      <c r="B108" s="402" t="s">
        <v>370</v>
      </c>
      <c r="C108" s="402" t="s">
        <v>38</v>
      </c>
      <c r="D108" s="402" t="s">
        <v>371</v>
      </c>
      <c r="E108" s="402" t="s">
        <v>149</v>
      </c>
      <c r="F108" s="402" t="s">
        <v>425</v>
      </c>
      <c r="G108" s="402" t="s">
        <v>374</v>
      </c>
      <c r="H108" s="402" t="s">
        <v>426</v>
      </c>
      <c r="I108" s="403">
        <v>2018</v>
      </c>
      <c r="J108" s="404">
        <v>130</v>
      </c>
      <c r="K108" s="405">
        <v>1278</v>
      </c>
      <c r="L108" s="405">
        <v>281</v>
      </c>
      <c r="M108" s="406" t="s">
        <v>251</v>
      </c>
      <c r="N108" s="406" t="s">
        <v>251</v>
      </c>
      <c r="O108" s="406" t="s">
        <v>376</v>
      </c>
      <c r="P108" s="407">
        <v>0.94</v>
      </c>
      <c r="Q108" s="407">
        <v>0.94</v>
      </c>
      <c r="R108" s="408">
        <v>166140</v>
      </c>
      <c r="S108" s="408">
        <v>36530</v>
      </c>
      <c r="T108" s="409">
        <v>389948.35789778724</v>
      </c>
      <c r="U108" s="409">
        <v>181587.02158295075</v>
      </c>
      <c r="V108" s="410">
        <v>2.1474461913548981</v>
      </c>
      <c r="W108" s="409">
        <v>208361.33631483649</v>
      </c>
      <c r="X108" s="409">
        <v>389948.35789778724</v>
      </c>
      <c r="Y108" s="409">
        <v>181587.02158295075</v>
      </c>
      <c r="Z108" s="410">
        <v>2.1474461913548981</v>
      </c>
      <c r="AA108" s="409">
        <v>208361.33631483649</v>
      </c>
      <c r="AB108" s="409">
        <v>339085.52860677155</v>
      </c>
      <c r="AC108" s="409">
        <v>190980.46754264954</v>
      </c>
      <c r="AD108" s="410">
        <v>1.7754984735862969</v>
      </c>
      <c r="AE108" s="409">
        <v>148105.06106412201</v>
      </c>
      <c r="AF108" s="409">
        <v>157061.65157721614</v>
      </c>
      <c r="AG108" s="409">
        <v>156557.43266164599</v>
      </c>
      <c r="AH108" s="410">
        <v>1.0032206641805368</v>
      </c>
      <c r="AI108" s="409">
        <v>504.21891557014897</v>
      </c>
      <c r="AJ108" s="409">
        <v>339085.52860677155</v>
      </c>
      <c r="AK108" s="409">
        <v>191454.43332328548</v>
      </c>
      <c r="AL108" s="410">
        <v>1.7711030385710611</v>
      </c>
      <c r="AM108" s="409">
        <v>147631.09528348607</v>
      </c>
      <c r="AN108" s="411">
        <v>1011.1458932699787</v>
      </c>
      <c r="AO108" s="411">
        <v>3478345.5038601044</v>
      </c>
      <c r="AP108" s="409">
        <v>190980.46754264954</v>
      </c>
      <c r="AQ108" s="409">
        <v>188.8752837882092</v>
      </c>
      <c r="AR108" s="409">
        <v>5.4905548436953257E-2</v>
      </c>
    </row>
    <row r="109" spans="1:44" s="388" customFormat="1">
      <c r="A109" s="402" t="s">
        <v>231</v>
      </c>
      <c r="B109" s="402" t="s">
        <v>370</v>
      </c>
      <c r="C109" s="402" t="s">
        <v>38</v>
      </c>
      <c r="D109" s="402" t="s">
        <v>371</v>
      </c>
      <c r="E109" s="402" t="s">
        <v>149</v>
      </c>
      <c r="F109" s="402" t="s">
        <v>425</v>
      </c>
      <c r="G109" s="402" t="s">
        <v>374</v>
      </c>
      <c r="H109" s="402" t="s">
        <v>426</v>
      </c>
      <c r="I109" s="403">
        <v>2019</v>
      </c>
      <c r="J109" s="404">
        <v>140</v>
      </c>
      <c r="K109" s="405">
        <v>1278</v>
      </c>
      <c r="L109" s="405">
        <v>281</v>
      </c>
      <c r="M109" s="406" t="s">
        <v>251</v>
      </c>
      <c r="N109" s="406" t="s">
        <v>251</v>
      </c>
      <c r="O109" s="406" t="s">
        <v>376</v>
      </c>
      <c r="P109" s="407">
        <v>0.94</v>
      </c>
      <c r="Q109" s="407">
        <v>0.94</v>
      </c>
      <c r="R109" s="408">
        <v>178920</v>
      </c>
      <c r="S109" s="408">
        <v>39340</v>
      </c>
      <c r="T109" s="409">
        <v>425000.66447740281</v>
      </c>
      <c r="U109" s="409">
        <v>191720.83726706717</v>
      </c>
      <c r="V109" s="410">
        <v>2.2167682477068302</v>
      </c>
      <c r="W109" s="409">
        <v>233279.82721033564</v>
      </c>
      <c r="X109" s="409">
        <v>425000.66447740281</v>
      </c>
      <c r="Y109" s="409">
        <v>191720.83726706717</v>
      </c>
      <c r="Z109" s="410">
        <v>2.2167682477068302</v>
      </c>
      <c r="AA109" s="409">
        <v>233279.82721033564</v>
      </c>
      <c r="AB109" s="409">
        <v>369565.79519774159</v>
      </c>
      <c r="AC109" s="409">
        <v>201638.50268454701</v>
      </c>
      <c r="AD109" s="410">
        <v>1.8328136257583112</v>
      </c>
      <c r="AE109" s="409">
        <v>167927.29251319458</v>
      </c>
      <c r="AF109" s="409">
        <v>165836.02720554802</v>
      </c>
      <c r="AG109" s="409">
        <v>165294.42362466393</v>
      </c>
      <c r="AH109" s="410">
        <v>1.0032765992282588</v>
      </c>
      <c r="AI109" s="409">
        <v>541.60358088408248</v>
      </c>
      <c r="AJ109" s="409">
        <v>369565.79519774159</v>
      </c>
      <c r="AK109" s="409">
        <v>202147.61005057805</v>
      </c>
      <c r="AL109" s="410">
        <v>1.8281976972434892</v>
      </c>
      <c r="AM109" s="409">
        <v>167418.18514716355</v>
      </c>
      <c r="AN109" s="411">
        <v>1067.5748496063125</v>
      </c>
      <c r="AO109" s="411">
        <v>3672461.3162927194</v>
      </c>
      <c r="AP109" s="409">
        <v>201638.50268454701</v>
      </c>
      <c r="AQ109" s="409">
        <v>188.8752837882092</v>
      </c>
      <c r="AR109" s="409">
        <v>5.4905548436953257E-2</v>
      </c>
    </row>
    <row r="110" spans="1:44" s="388" customFormat="1">
      <c r="A110" s="402" t="s">
        <v>231</v>
      </c>
      <c r="B110" s="402" t="s">
        <v>370</v>
      </c>
      <c r="C110" s="402" t="s">
        <v>38</v>
      </c>
      <c r="D110" s="402" t="s">
        <v>371</v>
      </c>
      <c r="E110" s="402" t="s">
        <v>149</v>
      </c>
      <c r="F110" s="402" t="s">
        <v>425</v>
      </c>
      <c r="G110" s="402" t="s">
        <v>374</v>
      </c>
      <c r="H110" s="402" t="s">
        <v>426</v>
      </c>
      <c r="I110" s="403">
        <v>2020</v>
      </c>
      <c r="J110" s="404">
        <v>150</v>
      </c>
      <c r="K110" s="405">
        <v>1278</v>
      </c>
      <c r="L110" s="405">
        <v>281</v>
      </c>
      <c r="M110" s="406" t="s">
        <v>251</v>
      </c>
      <c r="N110" s="406" t="s">
        <v>251</v>
      </c>
      <c r="O110" s="406" t="s">
        <v>376</v>
      </c>
      <c r="P110" s="407">
        <v>0.94</v>
      </c>
      <c r="Q110" s="407">
        <v>0.94</v>
      </c>
      <c r="R110" s="408">
        <v>191700</v>
      </c>
      <c r="S110" s="408">
        <v>42150</v>
      </c>
      <c r="T110" s="409">
        <v>457531.95994866022</v>
      </c>
      <c r="U110" s="409">
        <v>201387.43410406209</v>
      </c>
      <c r="V110" s="410">
        <v>2.2718992472600927</v>
      </c>
      <c r="W110" s="409">
        <v>256144.52584459813</v>
      </c>
      <c r="X110" s="409">
        <v>457531.95994866022</v>
      </c>
      <c r="Y110" s="409">
        <v>201387.43410406209</v>
      </c>
      <c r="Z110" s="410">
        <v>2.2718992472600927</v>
      </c>
      <c r="AA110" s="409">
        <v>256144.52584459813</v>
      </c>
      <c r="AB110" s="409">
        <v>397853.87821622635</v>
      </c>
      <c r="AC110" s="409">
        <v>211805.14987872579</v>
      </c>
      <c r="AD110" s="410">
        <v>1.8783956784999198</v>
      </c>
      <c r="AE110" s="409">
        <v>186048.72833750056</v>
      </c>
      <c r="AF110" s="409">
        <v>174206.04664596243</v>
      </c>
      <c r="AG110" s="409">
        <v>173628.59624439484</v>
      </c>
      <c r="AH110" s="410">
        <v>1.003325779359264</v>
      </c>
      <c r="AI110" s="409">
        <v>577.45040156759205</v>
      </c>
      <c r="AJ110" s="409">
        <v>397853.87821622635</v>
      </c>
      <c r="AK110" s="409">
        <v>212347.95325619934</v>
      </c>
      <c r="AL110" s="410">
        <v>1.8735941275412848</v>
      </c>
      <c r="AM110" s="409">
        <v>185505.92496002701</v>
      </c>
      <c r="AN110" s="411">
        <v>1121.4021529478077</v>
      </c>
      <c r="AO110" s="411">
        <v>3857627.4330805889</v>
      </c>
      <c r="AP110" s="409">
        <v>211805.14987872579</v>
      </c>
      <c r="AQ110" s="409">
        <v>188.87528378820903</v>
      </c>
      <c r="AR110" s="409">
        <v>5.4905548436953222E-2</v>
      </c>
    </row>
    <row r="111" spans="1:44" s="388" customFormat="1">
      <c r="A111" s="402" t="s">
        <v>231</v>
      </c>
      <c r="B111" s="402" t="s">
        <v>370</v>
      </c>
      <c r="C111" s="402" t="s">
        <v>427</v>
      </c>
      <c r="D111" s="402" t="s">
        <v>428</v>
      </c>
      <c r="E111" s="402" t="s">
        <v>429</v>
      </c>
      <c r="F111" s="402" t="s">
        <v>430</v>
      </c>
      <c r="G111" s="402" t="s">
        <v>374</v>
      </c>
      <c r="H111" s="402" t="s">
        <v>375</v>
      </c>
      <c r="I111" s="403">
        <v>2015</v>
      </c>
      <c r="J111" s="404">
        <v>1.05</v>
      </c>
      <c r="K111" s="405">
        <v>0</v>
      </c>
      <c r="L111" s="405">
        <v>0</v>
      </c>
      <c r="M111" s="406" t="s">
        <v>251</v>
      </c>
      <c r="N111" s="406" t="s">
        <v>251</v>
      </c>
      <c r="O111" s="406" t="s">
        <v>376</v>
      </c>
      <c r="P111" s="407">
        <v>0.54</v>
      </c>
      <c r="Q111" s="407">
        <v>0.54</v>
      </c>
      <c r="R111" s="408">
        <v>0</v>
      </c>
      <c r="S111" s="408">
        <v>0</v>
      </c>
      <c r="T111" s="409">
        <v>66257.124365134019</v>
      </c>
      <c r="U111" s="409">
        <v>51392.313000000002</v>
      </c>
      <c r="V111" s="410">
        <v>1.289241921552237</v>
      </c>
      <c r="W111" s="409">
        <v>14864.811365134017</v>
      </c>
      <c r="X111" s="409">
        <v>66257.124365134019</v>
      </c>
      <c r="Y111" s="409">
        <v>51392.313000000002</v>
      </c>
      <c r="Z111" s="410">
        <v>1.289241921552237</v>
      </c>
      <c r="AA111" s="409">
        <v>14864.811365134017</v>
      </c>
      <c r="AB111" s="409">
        <v>57614.890752290448</v>
      </c>
      <c r="AC111" s="409">
        <v>0</v>
      </c>
      <c r="AD111" s="410" t="e">
        <v>#DIV/0!</v>
      </c>
      <c r="AE111" s="409">
        <v>57614.890752290448</v>
      </c>
      <c r="AF111" s="409">
        <v>159.49797637526223</v>
      </c>
      <c r="AG111" s="409">
        <v>95170.949999999983</v>
      </c>
      <c r="AH111" s="410">
        <v>1.6759103106069894E-3</v>
      </c>
      <c r="AI111" s="409">
        <v>-95011.452023624719</v>
      </c>
      <c r="AJ111" s="409">
        <v>57614.890752290448</v>
      </c>
      <c r="AK111" s="409">
        <v>86.128907242641603</v>
      </c>
      <c r="AL111" s="410">
        <v>668.93790478472329</v>
      </c>
      <c r="AM111" s="409">
        <v>57528.761845047804</v>
      </c>
      <c r="AN111" s="411">
        <v>358.05060139050852</v>
      </c>
      <c r="AO111" s="411">
        <v>1120698.339883697</v>
      </c>
      <c r="AP111" s="409">
        <v>0</v>
      </c>
      <c r="AQ111" s="409">
        <v>0</v>
      </c>
      <c r="AR111" s="409">
        <v>0</v>
      </c>
    </row>
    <row r="112" spans="1:44" s="388" customFormat="1">
      <c r="A112" s="402" t="s">
        <v>231</v>
      </c>
      <c r="B112" s="402" t="s">
        <v>370</v>
      </c>
      <c r="C112" s="402" t="s">
        <v>427</v>
      </c>
      <c r="D112" s="402" t="s">
        <v>428</v>
      </c>
      <c r="E112" s="402" t="s">
        <v>429</v>
      </c>
      <c r="F112" s="402" t="s">
        <v>430</v>
      </c>
      <c r="G112" s="402" t="s">
        <v>374</v>
      </c>
      <c r="H112" s="402" t="s">
        <v>375</v>
      </c>
      <c r="I112" s="403">
        <v>2016</v>
      </c>
      <c r="J112" s="404">
        <v>2</v>
      </c>
      <c r="K112" s="405">
        <v>18718</v>
      </c>
      <c r="L112" s="405">
        <v>0</v>
      </c>
      <c r="M112" s="406" t="s">
        <v>251</v>
      </c>
      <c r="N112" s="406" t="s">
        <v>251</v>
      </c>
      <c r="O112" s="406" t="s">
        <v>376</v>
      </c>
      <c r="P112" s="407">
        <v>0.54</v>
      </c>
      <c r="Q112" s="407">
        <v>0.54</v>
      </c>
      <c r="R112" s="408">
        <v>37436</v>
      </c>
      <c r="S112" s="408">
        <v>0</v>
      </c>
      <c r="T112" s="409">
        <v>133072.50612613416</v>
      </c>
      <c r="U112" s="409">
        <v>95970.705882352937</v>
      </c>
      <c r="V112" s="410">
        <v>1.3865950542164709</v>
      </c>
      <c r="W112" s="409">
        <v>37101.800243781225</v>
      </c>
      <c r="X112" s="409">
        <v>133072.50612613416</v>
      </c>
      <c r="Y112" s="409">
        <v>95970.705882352937</v>
      </c>
      <c r="Z112" s="410">
        <v>1.3865950542164709</v>
      </c>
      <c r="AA112" s="409">
        <v>37101.800243781225</v>
      </c>
      <c r="AB112" s="409">
        <v>115715.22271837754</v>
      </c>
      <c r="AC112" s="409">
        <v>36701.960784313727</v>
      </c>
      <c r="AD112" s="410">
        <v>3.1528348961626533</v>
      </c>
      <c r="AE112" s="409">
        <v>79013.261934063805</v>
      </c>
      <c r="AF112" s="409">
        <v>37005.573459440464</v>
      </c>
      <c r="AG112" s="409">
        <v>177723.5294117647</v>
      </c>
      <c r="AH112" s="410">
        <v>0.20821988839588518</v>
      </c>
      <c r="AI112" s="409">
        <v>-140717.95595232424</v>
      </c>
      <c r="AJ112" s="409">
        <v>115715.22271837754</v>
      </c>
      <c r="AK112" s="409">
        <v>36865.911628882168</v>
      </c>
      <c r="AL112" s="410">
        <v>3.1388135436130598</v>
      </c>
      <c r="AM112" s="409">
        <v>78849.311089495372</v>
      </c>
      <c r="AN112" s="411">
        <v>668.62857402522604</v>
      </c>
      <c r="AO112" s="411">
        <v>2092807.3573925246</v>
      </c>
      <c r="AP112" s="409">
        <v>36701.960784313727</v>
      </c>
      <c r="AQ112" s="409">
        <v>54.891403404080414</v>
      </c>
      <c r="AR112" s="409">
        <v>1.7537190250535777E-2</v>
      </c>
    </row>
    <row r="113" spans="1:44" s="388" customFormat="1">
      <c r="A113" s="402" t="s">
        <v>231</v>
      </c>
      <c r="B113" s="402" t="s">
        <v>370</v>
      </c>
      <c r="C113" s="402" t="s">
        <v>427</v>
      </c>
      <c r="D113" s="402" t="s">
        <v>428</v>
      </c>
      <c r="E113" s="402" t="s">
        <v>429</v>
      </c>
      <c r="F113" s="402" t="s">
        <v>430</v>
      </c>
      <c r="G113" s="402" t="s">
        <v>374</v>
      </c>
      <c r="H113" s="402" t="s">
        <v>375</v>
      </c>
      <c r="I113" s="403">
        <v>2017</v>
      </c>
      <c r="J113" s="404">
        <v>2</v>
      </c>
      <c r="K113" s="405">
        <v>18718</v>
      </c>
      <c r="L113" s="405">
        <v>0</v>
      </c>
      <c r="M113" s="406" t="s">
        <v>251</v>
      </c>
      <c r="N113" s="406" t="s">
        <v>251</v>
      </c>
      <c r="O113" s="406" t="s">
        <v>376</v>
      </c>
      <c r="P113" s="407">
        <v>0.54</v>
      </c>
      <c r="Q113" s="407">
        <v>0.54</v>
      </c>
      <c r="R113" s="408">
        <v>37436</v>
      </c>
      <c r="S113" s="408">
        <v>0</v>
      </c>
      <c r="T113" s="409">
        <v>140857.84045312047</v>
      </c>
      <c r="U113" s="409">
        <v>94088.927335640154</v>
      </c>
      <c r="V113" s="410">
        <v>1.4970713817433927</v>
      </c>
      <c r="W113" s="409">
        <v>46768.913117480319</v>
      </c>
      <c r="X113" s="409">
        <v>140857.84045312047</v>
      </c>
      <c r="Y113" s="409">
        <v>94088.927335640154</v>
      </c>
      <c r="Z113" s="410">
        <v>1.4970713817433927</v>
      </c>
      <c r="AA113" s="409">
        <v>46768.913117480319</v>
      </c>
      <c r="AB113" s="409">
        <v>122485.07865488739</v>
      </c>
      <c r="AC113" s="409">
        <v>35982.31449442522</v>
      </c>
      <c r="AD113" s="410">
        <v>3.4040355762513315</v>
      </c>
      <c r="AE113" s="409">
        <v>86502.76416046216</v>
      </c>
      <c r="AF113" s="409">
        <v>36285.699944354921</v>
      </c>
      <c r="AG113" s="409">
        <v>174238.75432525954</v>
      </c>
      <c r="AH113" s="410">
        <v>0.20825275114524022</v>
      </c>
      <c r="AI113" s="409">
        <v>-137953.05438090462</v>
      </c>
      <c r="AJ113" s="409">
        <v>122485.07865488739</v>
      </c>
      <c r="AK113" s="409">
        <v>36146.14263738726</v>
      </c>
      <c r="AL113" s="410">
        <v>3.3886071851051862</v>
      </c>
      <c r="AM113" s="409">
        <v>86338.93601750012</v>
      </c>
      <c r="AN113" s="411">
        <v>655.51820982865263</v>
      </c>
      <c r="AO113" s="411">
        <v>2051771.9190122781</v>
      </c>
      <c r="AP113" s="409">
        <v>35982.31449442522</v>
      </c>
      <c r="AQ113" s="409">
        <v>54.891403404080442</v>
      </c>
      <c r="AR113" s="409">
        <v>1.7537190250535784E-2</v>
      </c>
    </row>
    <row r="114" spans="1:44" s="388" customFormat="1">
      <c r="A114" s="402" t="s">
        <v>231</v>
      </c>
      <c r="B114" s="402" t="s">
        <v>370</v>
      </c>
      <c r="C114" s="402" t="s">
        <v>427</v>
      </c>
      <c r="D114" s="402" t="s">
        <v>428</v>
      </c>
      <c r="E114" s="402" t="s">
        <v>429</v>
      </c>
      <c r="F114" s="402" t="s">
        <v>430</v>
      </c>
      <c r="G114" s="402" t="s">
        <v>374</v>
      </c>
      <c r="H114" s="402" t="s">
        <v>375</v>
      </c>
      <c r="I114" s="403">
        <v>2018</v>
      </c>
      <c r="J114" s="404">
        <v>2</v>
      </c>
      <c r="K114" s="405">
        <v>18718</v>
      </c>
      <c r="L114" s="405">
        <v>0</v>
      </c>
      <c r="M114" s="406" t="s">
        <v>251</v>
      </c>
      <c r="N114" s="406" t="s">
        <v>251</v>
      </c>
      <c r="O114" s="406" t="s">
        <v>376</v>
      </c>
      <c r="P114" s="407">
        <v>0.54</v>
      </c>
      <c r="Q114" s="407">
        <v>0.54</v>
      </c>
      <c r="R114" s="408">
        <v>37436</v>
      </c>
      <c r="S114" s="408">
        <v>0</v>
      </c>
      <c r="T114" s="409">
        <v>141654.10623417477</v>
      </c>
      <c r="U114" s="409">
        <v>92244.046407490343</v>
      </c>
      <c r="V114" s="410">
        <v>1.5356449738600395</v>
      </c>
      <c r="W114" s="409">
        <v>49410.059826684432</v>
      </c>
      <c r="X114" s="409">
        <v>141654.10623417477</v>
      </c>
      <c r="Y114" s="409">
        <v>92244.046407490343</v>
      </c>
      <c r="Z114" s="410">
        <v>1.5356449738600395</v>
      </c>
      <c r="AA114" s="409">
        <v>49410.059826684432</v>
      </c>
      <c r="AB114" s="409">
        <v>123177.48368189113</v>
      </c>
      <c r="AC114" s="409">
        <v>35276.778916103161</v>
      </c>
      <c r="AD114" s="410">
        <v>3.4917440726330886</v>
      </c>
      <c r="AE114" s="409">
        <v>87900.704765787959</v>
      </c>
      <c r="AF114" s="409">
        <v>35579.774286455075</v>
      </c>
      <c r="AG114" s="409">
        <v>170822.30816201915</v>
      </c>
      <c r="AH114" s="410">
        <v>0.20828529171206883</v>
      </c>
      <c r="AI114" s="409">
        <v>-135242.53387556408</v>
      </c>
      <c r="AJ114" s="409">
        <v>123177.48368189113</v>
      </c>
      <c r="AK114" s="409">
        <v>35440.396416093194</v>
      </c>
      <c r="AL114" s="410">
        <v>3.4756237553245097</v>
      </c>
      <c r="AM114" s="409">
        <v>87737.087265797934</v>
      </c>
      <c r="AN114" s="411">
        <v>642.66491159671864</v>
      </c>
      <c r="AO114" s="411">
        <v>2011541.0970708611</v>
      </c>
      <c r="AP114" s="409">
        <v>35276.778916103161</v>
      </c>
      <c r="AQ114" s="409">
        <v>54.891403404080414</v>
      </c>
      <c r="AR114" s="409">
        <v>1.7537190250535784E-2</v>
      </c>
    </row>
    <row r="115" spans="1:44" s="388" customFormat="1">
      <c r="A115" s="402" t="s">
        <v>231</v>
      </c>
      <c r="B115" s="402" t="s">
        <v>370</v>
      </c>
      <c r="C115" s="402" t="s">
        <v>427</v>
      </c>
      <c r="D115" s="402" t="s">
        <v>428</v>
      </c>
      <c r="E115" s="402" t="s">
        <v>429</v>
      </c>
      <c r="F115" s="402" t="s">
        <v>430</v>
      </c>
      <c r="G115" s="402" t="s">
        <v>374</v>
      </c>
      <c r="H115" s="402" t="s">
        <v>375</v>
      </c>
      <c r="I115" s="403">
        <v>2019</v>
      </c>
      <c r="J115" s="404">
        <v>2</v>
      </c>
      <c r="K115" s="405">
        <v>18718</v>
      </c>
      <c r="L115" s="405">
        <v>0</v>
      </c>
      <c r="M115" s="406" t="s">
        <v>251</v>
      </c>
      <c r="N115" s="406" t="s">
        <v>251</v>
      </c>
      <c r="O115" s="406" t="s">
        <v>376</v>
      </c>
      <c r="P115" s="407">
        <v>0.54</v>
      </c>
      <c r="Q115" s="407">
        <v>0.54</v>
      </c>
      <c r="R115" s="408">
        <v>37436</v>
      </c>
      <c r="S115" s="408">
        <v>0</v>
      </c>
      <c r="T115" s="409">
        <v>142632.30462886504</v>
      </c>
      <c r="U115" s="409">
        <v>90435.339615186604</v>
      </c>
      <c r="V115" s="410">
        <v>1.5771744235802385</v>
      </c>
      <c r="W115" s="409">
        <v>52196.965013678433</v>
      </c>
      <c r="X115" s="409">
        <v>142632.30462886504</v>
      </c>
      <c r="Y115" s="409">
        <v>90435.339615186604</v>
      </c>
      <c r="Z115" s="410">
        <v>1.5771744235802385</v>
      </c>
      <c r="AA115" s="409">
        <v>52196.965013678433</v>
      </c>
      <c r="AB115" s="409">
        <v>124028.09098162179</v>
      </c>
      <c r="AC115" s="409">
        <v>34585.077368728584</v>
      </c>
      <c r="AD115" s="410">
        <v>3.586173587507036</v>
      </c>
      <c r="AE115" s="409">
        <v>89443.013612893206</v>
      </c>
      <c r="AF115" s="409">
        <v>34887.521244328083</v>
      </c>
      <c r="AG115" s="409">
        <v>167472.85113923444</v>
      </c>
      <c r="AH115" s="410">
        <v>0.2083174735905291</v>
      </c>
      <c r="AI115" s="409">
        <v>-132585.32989490635</v>
      </c>
      <c r="AJ115" s="409">
        <v>124028.09098162179</v>
      </c>
      <c r="AK115" s="409">
        <v>34748.397061552314</v>
      </c>
      <c r="AL115" s="410">
        <v>3.569318341848172</v>
      </c>
      <c r="AM115" s="409">
        <v>89279.693920069476</v>
      </c>
      <c r="AN115" s="411">
        <v>630.06363882031212</v>
      </c>
      <c r="AO115" s="411">
        <v>1972099.114775354</v>
      </c>
      <c r="AP115" s="409">
        <v>34585.077368728584</v>
      </c>
      <c r="AQ115" s="409">
        <v>54.891403404080428</v>
      </c>
      <c r="AR115" s="409">
        <v>1.7537190250535781E-2</v>
      </c>
    </row>
    <row r="116" spans="1:44" s="388" customFormat="1">
      <c r="A116" s="402" t="s">
        <v>231</v>
      </c>
      <c r="B116" s="402" t="s">
        <v>370</v>
      </c>
      <c r="C116" s="402" t="s">
        <v>427</v>
      </c>
      <c r="D116" s="402" t="s">
        <v>428</v>
      </c>
      <c r="E116" s="402" t="s">
        <v>429</v>
      </c>
      <c r="F116" s="402" t="s">
        <v>430</v>
      </c>
      <c r="G116" s="402" t="s">
        <v>374</v>
      </c>
      <c r="H116" s="402" t="s">
        <v>375</v>
      </c>
      <c r="I116" s="403">
        <v>2020</v>
      </c>
      <c r="J116" s="404">
        <v>2</v>
      </c>
      <c r="K116" s="405">
        <v>18718</v>
      </c>
      <c r="L116" s="405">
        <v>0</v>
      </c>
      <c r="M116" s="406" t="s">
        <v>251</v>
      </c>
      <c r="N116" s="406" t="s">
        <v>251</v>
      </c>
      <c r="O116" s="406" t="s">
        <v>376</v>
      </c>
      <c r="P116" s="407">
        <v>0.54</v>
      </c>
      <c r="Q116" s="407">
        <v>0.54</v>
      </c>
      <c r="R116" s="408">
        <v>37436</v>
      </c>
      <c r="S116" s="408">
        <v>0</v>
      </c>
      <c r="T116" s="409">
        <v>142999.60637370357</v>
      </c>
      <c r="U116" s="409">
        <v>88662.097661947642</v>
      </c>
      <c r="V116" s="410">
        <v>1.6128606264080838</v>
      </c>
      <c r="W116" s="409">
        <v>54337.508711755931</v>
      </c>
      <c r="X116" s="409">
        <v>142999.60637370357</v>
      </c>
      <c r="Y116" s="409">
        <v>88662.097661947642</v>
      </c>
      <c r="Z116" s="410">
        <v>1.6128606264080838</v>
      </c>
      <c r="AA116" s="409">
        <v>54337.508711755931</v>
      </c>
      <c r="AB116" s="409">
        <v>124347.4838032205</v>
      </c>
      <c r="AC116" s="409">
        <v>33906.93859679273</v>
      </c>
      <c r="AD116" s="410">
        <v>3.6673167484068458</v>
      </c>
      <c r="AE116" s="409">
        <v>90440.545206427778</v>
      </c>
      <c r="AF116" s="409">
        <v>34208.339668349763</v>
      </c>
      <c r="AG116" s="409">
        <v>164189.06974434748</v>
      </c>
      <c r="AH116" s="410">
        <v>0.20834724090717038</v>
      </c>
      <c r="AI116" s="409">
        <v>-129980.73007599771</v>
      </c>
      <c r="AJ116" s="409">
        <v>124347.4838032205</v>
      </c>
      <c r="AK116" s="409">
        <v>34069.695175433524</v>
      </c>
      <c r="AL116" s="410">
        <v>3.6497973686856806</v>
      </c>
      <c r="AM116" s="409">
        <v>90277.788627786969</v>
      </c>
      <c r="AN116" s="411">
        <v>617.7094498238356</v>
      </c>
      <c r="AO116" s="411">
        <v>1933430.5046817202</v>
      </c>
      <c r="AP116" s="409">
        <v>33906.93859679273</v>
      </c>
      <c r="AQ116" s="409">
        <v>54.891403404080414</v>
      </c>
      <c r="AR116" s="409">
        <v>1.7537190250535777E-2</v>
      </c>
    </row>
    <row r="117" spans="1:44" s="388" customFormat="1">
      <c r="A117" s="402" t="s">
        <v>231</v>
      </c>
      <c r="B117" s="402" t="s">
        <v>370</v>
      </c>
      <c r="C117" s="402" t="s">
        <v>243</v>
      </c>
      <c r="D117" s="402" t="s">
        <v>413</v>
      </c>
      <c r="E117" s="402" t="s">
        <v>431</v>
      </c>
      <c r="F117" s="402" t="s">
        <v>432</v>
      </c>
      <c r="G117" s="402" t="s">
        <v>374</v>
      </c>
      <c r="H117" s="402" t="s">
        <v>380</v>
      </c>
      <c r="I117" s="403">
        <v>2015</v>
      </c>
      <c r="J117" s="404">
        <v>1.32</v>
      </c>
      <c r="K117" s="405">
        <v>0</v>
      </c>
      <c r="L117" s="405">
        <v>0</v>
      </c>
      <c r="M117" s="406" t="s">
        <v>251</v>
      </c>
      <c r="N117" s="406" t="s">
        <v>251</v>
      </c>
      <c r="O117" s="406" t="s">
        <v>376</v>
      </c>
      <c r="P117" s="407">
        <v>1</v>
      </c>
      <c r="Q117" s="407">
        <v>1</v>
      </c>
      <c r="R117" s="408">
        <v>0</v>
      </c>
      <c r="S117" s="408">
        <v>0</v>
      </c>
      <c r="T117" s="409">
        <v>38970.165540739225</v>
      </c>
      <c r="U117" s="409">
        <v>76541.229599999991</v>
      </c>
      <c r="V117" s="410">
        <v>0.50913952838744614</v>
      </c>
      <c r="W117" s="409">
        <v>-37571.064059260767</v>
      </c>
      <c r="X117" s="409">
        <v>38970.165540739225</v>
      </c>
      <c r="Y117" s="409">
        <v>76541.229599999991</v>
      </c>
      <c r="Z117" s="410">
        <v>0.50913952838744614</v>
      </c>
      <c r="AA117" s="409">
        <v>-37571.064059260767</v>
      </c>
      <c r="AB117" s="409">
        <v>19866.257465716993</v>
      </c>
      <c r="AC117" s="409">
        <v>0</v>
      </c>
      <c r="AD117" s="410" t="e">
        <v>#DIV/0!</v>
      </c>
      <c r="AE117" s="409">
        <v>19866.257465716993</v>
      </c>
      <c r="AF117" s="409">
        <v>50.166497751537825</v>
      </c>
      <c r="AG117" s="409">
        <v>76541.229599999991</v>
      </c>
      <c r="AH117" s="410">
        <v>6.5541797556304001E-4</v>
      </c>
      <c r="AI117" s="409">
        <v>-76491.063102248459</v>
      </c>
      <c r="AJ117" s="409">
        <v>33887.100470208024</v>
      </c>
      <c r="AK117" s="409">
        <v>50.166497751537825</v>
      </c>
      <c r="AL117" s="410">
        <v>675.49264925852299</v>
      </c>
      <c r="AM117" s="409">
        <v>33836.933972456485</v>
      </c>
      <c r="AN117" s="411">
        <v>65.935094640652139</v>
      </c>
      <c r="AO117" s="411">
        <v>378607.84855242592</v>
      </c>
      <c r="AP117" s="409">
        <v>0</v>
      </c>
      <c r="AQ117" s="409">
        <v>0</v>
      </c>
      <c r="AR117" s="409">
        <v>0</v>
      </c>
    </row>
    <row r="118" spans="1:44" s="388" customFormat="1">
      <c r="A118" s="402" t="s">
        <v>231</v>
      </c>
      <c r="B118" s="402" t="s">
        <v>370</v>
      </c>
      <c r="C118" s="402" t="s">
        <v>243</v>
      </c>
      <c r="D118" s="402" t="s">
        <v>413</v>
      </c>
      <c r="E118" s="402" t="s">
        <v>431</v>
      </c>
      <c r="F118" s="402" t="s">
        <v>432</v>
      </c>
      <c r="G118" s="402" t="s">
        <v>374</v>
      </c>
      <c r="H118" s="402" t="s">
        <v>380</v>
      </c>
      <c r="I118" s="403">
        <v>2016</v>
      </c>
      <c r="J118" s="404">
        <v>2</v>
      </c>
      <c r="K118" s="405">
        <v>5327.27</v>
      </c>
      <c r="L118" s="405">
        <v>0</v>
      </c>
      <c r="M118" s="406" t="s">
        <v>251</v>
      </c>
      <c r="N118" s="406" t="s">
        <v>251</v>
      </c>
      <c r="O118" s="406" t="s">
        <v>376</v>
      </c>
      <c r="P118" s="407">
        <v>1</v>
      </c>
      <c r="Q118" s="407">
        <v>1</v>
      </c>
      <c r="R118" s="408">
        <v>10654.54</v>
      </c>
      <c r="S118" s="408">
        <v>0</v>
      </c>
      <c r="T118" s="409">
        <v>63350.752038981278</v>
      </c>
      <c r="U118" s="409">
        <v>113697.60784313724</v>
      </c>
      <c r="V118" s="410">
        <v>0.55718632292055836</v>
      </c>
      <c r="W118" s="409">
        <v>-50346.855804155966</v>
      </c>
      <c r="X118" s="409">
        <v>63350.752038981278</v>
      </c>
      <c r="Y118" s="409">
        <v>113697.60784313724</v>
      </c>
      <c r="Z118" s="410">
        <v>0.55718632292055836</v>
      </c>
      <c r="AA118" s="409">
        <v>-50346.855804155966</v>
      </c>
      <c r="AB118" s="409">
        <v>33843.908946723277</v>
      </c>
      <c r="AC118" s="409">
        <v>10445.627450980393</v>
      </c>
      <c r="AD118" s="410">
        <v>3.2400072763026597</v>
      </c>
      <c r="AE118" s="409">
        <v>23398.281495742885</v>
      </c>
      <c r="AF118" s="409">
        <v>10522.139174620868</v>
      </c>
      <c r="AG118" s="409">
        <v>113697.60784313724</v>
      </c>
      <c r="AH118" s="410">
        <v>9.2544947727816088E-2</v>
      </c>
      <c r="AI118" s="409">
        <v>-103175.46866851638</v>
      </c>
      <c r="AJ118" s="409">
        <v>55087.610468679377</v>
      </c>
      <c r="AK118" s="409">
        <v>10522.139174620868</v>
      </c>
      <c r="AL118" s="410">
        <v>5.2354002883319861</v>
      </c>
      <c r="AM118" s="409">
        <v>44565.471294058509</v>
      </c>
      <c r="AN118" s="411">
        <v>97.942802496512385</v>
      </c>
      <c r="AO118" s="411">
        <v>562400.25037496432</v>
      </c>
      <c r="AP118" s="409">
        <v>10445.627450980393</v>
      </c>
      <c r="AQ118" s="409">
        <v>106.65028143698817</v>
      </c>
      <c r="AR118" s="409">
        <v>1.8573298009764521E-2</v>
      </c>
    </row>
    <row r="119" spans="1:44" s="388" customFormat="1">
      <c r="A119" s="402" t="s">
        <v>231</v>
      </c>
      <c r="B119" s="402" t="s">
        <v>370</v>
      </c>
      <c r="C119" s="402" t="s">
        <v>243</v>
      </c>
      <c r="D119" s="402" t="s">
        <v>413</v>
      </c>
      <c r="E119" s="402" t="s">
        <v>431</v>
      </c>
      <c r="F119" s="402" t="s">
        <v>432</v>
      </c>
      <c r="G119" s="402" t="s">
        <v>374</v>
      </c>
      <c r="H119" s="402" t="s">
        <v>380</v>
      </c>
      <c r="I119" s="403">
        <v>2017</v>
      </c>
      <c r="J119" s="404">
        <v>2</v>
      </c>
      <c r="K119" s="405">
        <v>5327.27</v>
      </c>
      <c r="L119" s="405">
        <v>0</v>
      </c>
      <c r="M119" s="406" t="s">
        <v>251</v>
      </c>
      <c r="N119" s="406" t="s">
        <v>251</v>
      </c>
      <c r="O119" s="406" t="s">
        <v>376</v>
      </c>
      <c r="P119" s="407">
        <v>1</v>
      </c>
      <c r="Q119" s="407">
        <v>1</v>
      </c>
      <c r="R119" s="408">
        <v>10654.54</v>
      </c>
      <c r="S119" s="408">
        <v>0</v>
      </c>
      <c r="T119" s="409">
        <v>68617.781970082666</v>
      </c>
      <c r="U119" s="409">
        <v>111468.24298346791</v>
      </c>
      <c r="V119" s="410">
        <v>0.61558144394775749</v>
      </c>
      <c r="W119" s="409">
        <v>-42850.46101338524</v>
      </c>
      <c r="X119" s="409">
        <v>68617.781970082666</v>
      </c>
      <c r="Y119" s="409">
        <v>111468.24298346791</v>
      </c>
      <c r="Z119" s="410">
        <v>0.61558144394775749</v>
      </c>
      <c r="AA119" s="409">
        <v>-42850.46101338524</v>
      </c>
      <c r="AB119" s="409">
        <v>38423.934973767973</v>
      </c>
      <c r="AC119" s="409">
        <v>10240.811226451366</v>
      </c>
      <c r="AD119" s="410">
        <v>3.7520401581587</v>
      </c>
      <c r="AE119" s="409">
        <v>28183.123747316607</v>
      </c>
      <c r="AF119" s="409">
        <v>10317.982190041692</v>
      </c>
      <c r="AG119" s="409">
        <v>111468.24298346791</v>
      </c>
      <c r="AH119" s="410">
        <v>9.2564320687928789E-2</v>
      </c>
      <c r="AI119" s="409">
        <v>-101150.26079342622</v>
      </c>
      <c r="AJ119" s="409">
        <v>59667.636495724066</v>
      </c>
      <c r="AK119" s="409">
        <v>10317.982190041692</v>
      </c>
      <c r="AL119" s="410">
        <v>5.7828784152498098</v>
      </c>
      <c r="AM119" s="409">
        <v>49349.654305682372</v>
      </c>
      <c r="AN119" s="411">
        <v>96.022355388737651</v>
      </c>
      <c r="AO119" s="411">
        <v>551372.7944852591</v>
      </c>
      <c r="AP119" s="409">
        <v>10240.811226451366</v>
      </c>
      <c r="AQ119" s="409">
        <v>106.65028143698814</v>
      </c>
      <c r="AR119" s="409">
        <v>1.8573298009764521E-2</v>
      </c>
    </row>
    <row r="120" spans="1:44" s="388" customFormat="1">
      <c r="A120" s="402" t="s">
        <v>231</v>
      </c>
      <c r="B120" s="402" t="s">
        <v>370</v>
      </c>
      <c r="C120" s="402" t="s">
        <v>243</v>
      </c>
      <c r="D120" s="402" t="s">
        <v>413</v>
      </c>
      <c r="E120" s="402" t="s">
        <v>431</v>
      </c>
      <c r="F120" s="402" t="s">
        <v>432</v>
      </c>
      <c r="G120" s="402" t="s">
        <v>374</v>
      </c>
      <c r="H120" s="402" t="s">
        <v>380</v>
      </c>
      <c r="I120" s="403">
        <v>2018</v>
      </c>
      <c r="J120" s="404">
        <v>2</v>
      </c>
      <c r="K120" s="405">
        <v>5327.27</v>
      </c>
      <c r="L120" s="405">
        <v>0</v>
      </c>
      <c r="M120" s="406" t="s">
        <v>251</v>
      </c>
      <c r="N120" s="406" t="s">
        <v>251</v>
      </c>
      <c r="O120" s="406" t="s">
        <v>376</v>
      </c>
      <c r="P120" s="407">
        <v>1</v>
      </c>
      <c r="Q120" s="407">
        <v>1</v>
      </c>
      <c r="R120" s="408">
        <v>10654.54</v>
      </c>
      <c r="S120" s="408">
        <v>0</v>
      </c>
      <c r="T120" s="409">
        <v>70243.293173137688</v>
      </c>
      <c r="U120" s="409">
        <v>109282.59116026266</v>
      </c>
      <c r="V120" s="410">
        <v>0.64276745662194323</v>
      </c>
      <c r="W120" s="409">
        <v>-39039.29798712497</v>
      </c>
      <c r="X120" s="409">
        <v>70243.293173137688</v>
      </c>
      <c r="Y120" s="409">
        <v>109282.59116026266</v>
      </c>
      <c r="Z120" s="410">
        <v>0.64276745662194323</v>
      </c>
      <c r="AA120" s="409">
        <v>-39039.29798712497</v>
      </c>
      <c r="AB120" s="409">
        <v>39837.42297642451</v>
      </c>
      <c r="AC120" s="409">
        <v>10040.01100632487</v>
      </c>
      <c r="AD120" s="410">
        <v>3.9678664646212307</v>
      </c>
      <c r="AE120" s="409">
        <v>29797.411970099638</v>
      </c>
      <c r="AF120" s="409">
        <v>10116.996564483334</v>
      </c>
      <c r="AG120" s="409">
        <v>109282.59116026266</v>
      </c>
      <c r="AH120" s="410">
        <v>9.2576470388104015E-2</v>
      </c>
      <c r="AI120" s="409">
        <v>-99165.59459577933</v>
      </c>
      <c r="AJ120" s="409">
        <v>61081.124498380603</v>
      </c>
      <c r="AK120" s="409">
        <v>10116.996564483334</v>
      </c>
      <c r="AL120" s="410">
        <v>6.0374760541890096</v>
      </c>
      <c r="AM120" s="409">
        <v>50964.127933897267</v>
      </c>
      <c r="AN120" s="411">
        <v>94.139564106605533</v>
      </c>
      <c r="AO120" s="411">
        <v>540561.56322084216</v>
      </c>
      <c r="AP120" s="409">
        <v>10040.01100632487</v>
      </c>
      <c r="AQ120" s="409">
        <v>106.65028143698818</v>
      </c>
      <c r="AR120" s="409">
        <v>1.8573298009764528E-2</v>
      </c>
    </row>
    <row r="121" spans="1:44" s="388" customFormat="1">
      <c r="A121" s="402" t="s">
        <v>231</v>
      </c>
      <c r="B121" s="402" t="s">
        <v>370</v>
      </c>
      <c r="C121" s="402" t="s">
        <v>243</v>
      </c>
      <c r="D121" s="402" t="s">
        <v>413</v>
      </c>
      <c r="E121" s="402" t="s">
        <v>431</v>
      </c>
      <c r="F121" s="402" t="s">
        <v>432</v>
      </c>
      <c r="G121" s="402" t="s">
        <v>374</v>
      </c>
      <c r="H121" s="402" t="s">
        <v>380</v>
      </c>
      <c r="I121" s="403">
        <v>2019</v>
      </c>
      <c r="J121" s="404">
        <v>2</v>
      </c>
      <c r="K121" s="405">
        <v>5327.27</v>
      </c>
      <c r="L121" s="405">
        <v>0</v>
      </c>
      <c r="M121" s="406" t="s">
        <v>251</v>
      </c>
      <c r="N121" s="406" t="s">
        <v>251</v>
      </c>
      <c r="O121" s="406" t="s">
        <v>376</v>
      </c>
      <c r="P121" s="407">
        <v>1</v>
      </c>
      <c r="Q121" s="407">
        <v>1</v>
      </c>
      <c r="R121" s="408">
        <v>10654.54</v>
      </c>
      <c r="S121" s="408">
        <v>0</v>
      </c>
      <c r="T121" s="409">
        <v>72321.913473618144</v>
      </c>
      <c r="U121" s="409">
        <v>107139.79525515945</v>
      </c>
      <c r="V121" s="410">
        <v>0.67502381632687869</v>
      </c>
      <c r="W121" s="409">
        <v>-34817.881781541306</v>
      </c>
      <c r="X121" s="409">
        <v>72321.913473618144</v>
      </c>
      <c r="Y121" s="409">
        <v>107139.79525515945</v>
      </c>
      <c r="Z121" s="410">
        <v>0.67502381632687869</v>
      </c>
      <c r="AA121" s="409">
        <v>-34817.881781541306</v>
      </c>
      <c r="AB121" s="409">
        <v>41644.918889885783</v>
      </c>
      <c r="AC121" s="409">
        <v>9843.1480454165376</v>
      </c>
      <c r="AD121" s="410">
        <v>4.2308536555312442</v>
      </c>
      <c r="AE121" s="409">
        <v>31801.770844469247</v>
      </c>
      <c r="AF121" s="409">
        <v>9919.6145213121144</v>
      </c>
      <c r="AG121" s="409">
        <v>107139.79525515945</v>
      </c>
      <c r="AH121" s="410">
        <v>9.2585714744815348E-2</v>
      </c>
      <c r="AI121" s="409">
        <v>-97220.18073384733</v>
      </c>
      <c r="AJ121" s="409">
        <v>62888.620411841875</v>
      </c>
      <c r="AK121" s="409">
        <v>9919.6145213121144</v>
      </c>
      <c r="AL121" s="410">
        <v>6.3398250281527373</v>
      </c>
      <c r="AM121" s="409">
        <v>52969.005890529763</v>
      </c>
      <c r="AN121" s="411">
        <v>92.293690300593681</v>
      </c>
      <c r="AO121" s="411">
        <v>529962.31688317878</v>
      </c>
      <c r="AP121" s="409">
        <v>9843.1480454165376</v>
      </c>
      <c r="AQ121" s="409">
        <v>106.65028143698812</v>
      </c>
      <c r="AR121" s="409">
        <v>1.8573298009764518E-2</v>
      </c>
    </row>
    <row r="122" spans="1:44" s="388" customFormat="1">
      <c r="A122" s="402" t="s">
        <v>231</v>
      </c>
      <c r="B122" s="402" t="s">
        <v>370</v>
      </c>
      <c r="C122" s="402" t="s">
        <v>243</v>
      </c>
      <c r="D122" s="402" t="s">
        <v>413</v>
      </c>
      <c r="E122" s="402" t="s">
        <v>431</v>
      </c>
      <c r="F122" s="402" t="s">
        <v>432</v>
      </c>
      <c r="G122" s="402" t="s">
        <v>374</v>
      </c>
      <c r="H122" s="402" t="s">
        <v>380</v>
      </c>
      <c r="I122" s="403">
        <v>2020</v>
      </c>
      <c r="J122" s="404">
        <v>2</v>
      </c>
      <c r="K122" s="405">
        <v>5327.27</v>
      </c>
      <c r="L122" s="405">
        <v>0</v>
      </c>
      <c r="M122" s="406" t="s">
        <v>251</v>
      </c>
      <c r="N122" s="406" t="s">
        <v>251</v>
      </c>
      <c r="O122" s="406" t="s">
        <v>376</v>
      </c>
      <c r="P122" s="407">
        <v>1</v>
      </c>
      <c r="Q122" s="407">
        <v>1</v>
      </c>
      <c r="R122" s="408">
        <v>10654.54</v>
      </c>
      <c r="S122" s="408">
        <v>0</v>
      </c>
      <c r="T122" s="409">
        <v>73059.246749331578</v>
      </c>
      <c r="U122" s="409">
        <v>105039.01495603868</v>
      </c>
      <c r="V122" s="410">
        <v>0.69554390604204164</v>
      </c>
      <c r="W122" s="409">
        <v>-31979.7682067071</v>
      </c>
      <c r="X122" s="409">
        <v>73059.246749331578</v>
      </c>
      <c r="Y122" s="409">
        <v>105039.01495603868</v>
      </c>
      <c r="Z122" s="410">
        <v>0.69554390604204164</v>
      </c>
      <c r="AA122" s="409">
        <v>-31979.7682067071</v>
      </c>
      <c r="AB122" s="409">
        <v>42286.078260071372</v>
      </c>
      <c r="AC122" s="409">
        <v>9650.1451425652322</v>
      </c>
      <c r="AD122" s="410">
        <v>4.3819111148447192</v>
      </c>
      <c r="AE122" s="409">
        <v>32635.933117506138</v>
      </c>
      <c r="AF122" s="409">
        <v>9725.5863691913601</v>
      </c>
      <c r="AG122" s="409">
        <v>105039.01495603868</v>
      </c>
      <c r="AH122" s="410">
        <v>9.2590228242922387E-2</v>
      </c>
      <c r="AI122" s="409">
        <v>-95313.428586847323</v>
      </c>
      <c r="AJ122" s="409">
        <v>63529.779782027465</v>
      </c>
      <c r="AK122" s="409">
        <v>9725.5863691913601</v>
      </c>
      <c r="AL122" s="410">
        <v>6.5322313092891369</v>
      </c>
      <c r="AM122" s="409">
        <v>53804.193412836103</v>
      </c>
      <c r="AN122" s="411">
        <v>90.484010098621241</v>
      </c>
      <c r="AO122" s="411">
        <v>519570.89890507708</v>
      </c>
      <c r="AP122" s="409">
        <v>9650.1451425652322</v>
      </c>
      <c r="AQ122" s="409">
        <v>106.65028143698814</v>
      </c>
      <c r="AR122" s="409">
        <v>1.8573298009764524E-2</v>
      </c>
    </row>
    <row r="123" spans="1:44" s="388" customFormat="1">
      <c r="A123" s="402" t="s">
        <v>231</v>
      </c>
      <c r="B123" s="402" t="s">
        <v>1</v>
      </c>
      <c r="C123" s="402" t="s">
        <v>433</v>
      </c>
      <c r="D123" s="402" t="s">
        <v>434</v>
      </c>
      <c r="E123" s="402" t="s">
        <v>435</v>
      </c>
      <c r="F123" s="402" t="s">
        <v>436</v>
      </c>
      <c r="G123" s="402" t="s">
        <v>437</v>
      </c>
      <c r="H123" s="402" t="s">
        <v>438</v>
      </c>
      <c r="I123" s="403">
        <v>2017</v>
      </c>
      <c r="J123" s="404">
        <v>1</v>
      </c>
      <c r="K123" s="405">
        <v>200000</v>
      </c>
      <c r="L123" s="405"/>
      <c r="M123" s="406" t="s">
        <v>251</v>
      </c>
      <c r="N123" s="406" t="s">
        <v>251</v>
      </c>
      <c r="O123" s="406" t="s">
        <v>376</v>
      </c>
      <c r="P123" s="407">
        <v>1</v>
      </c>
      <c r="Q123" s="407">
        <v>1</v>
      </c>
      <c r="R123" s="408">
        <v>200000</v>
      </c>
      <c r="S123" s="408">
        <v>0</v>
      </c>
      <c r="T123" s="409">
        <v>2132491.3221695526</v>
      </c>
      <c r="U123" s="409">
        <v>480584.39061899274</v>
      </c>
      <c r="V123" s="410">
        <v>4.4372879431704044</v>
      </c>
      <c r="W123" s="409">
        <v>1651906.9315505598</v>
      </c>
      <c r="X123" s="409">
        <v>2132491.3221695526</v>
      </c>
      <c r="Y123" s="409">
        <v>480584.39061899274</v>
      </c>
      <c r="Z123" s="410">
        <v>4.4372879431704044</v>
      </c>
      <c r="AA123" s="409">
        <v>1651906.9315505598</v>
      </c>
      <c r="AB123" s="409">
        <v>1854340.2801474372</v>
      </c>
      <c r="AC123" s="409">
        <v>192233.75624759708</v>
      </c>
      <c r="AD123" s="410">
        <v>9.6462781373269681</v>
      </c>
      <c r="AE123" s="409">
        <v>1662106.5238998402</v>
      </c>
      <c r="AF123" s="409">
        <v>196207.78912789622</v>
      </c>
      <c r="AG123" s="409">
        <v>480584.39061899274</v>
      </c>
      <c r="AH123" s="410">
        <v>0.4082691676173264</v>
      </c>
      <c r="AI123" s="409">
        <v>-284376.60149109655</v>
      </c>
      <c r="AJ123" s="409">
        <v>1854340.2801474372</v>
      </c>
      <c r="AK123" s="409">
        <v>196207.78912789622</v>
      </c>
      <c r="AL123" s="410">
        <v>9.450900437692118</v>
      </c>
      <c r="AM123" s="409">
        <v>1658132.4910195409</v>
      </c>
      <c r="AN123" s="411">
        <v>3037.41392582156</v>
      </c>
      <c r="AO123" s="411">
        <v>26680643.912720963</v>
      </c>
      <c r="AP123" s="409">
        <v>192233.75624759708</v>
      </c>
      <c r="AQ123" s="409">
        <v>63.288626753629458</v>
      </c>
      <c r="AR123" s="409">
        <v>7.204989387679008E-3</v>
      </c>
    </row>
    <row r="124" spans="1:44" s="388" customFormat="1">
      <c r="A124" s="402" t="s">
        <v>231</v>
      </c>
      <c r="B124" s="402" t="s">
        <v>1</v>
      </c>
      <c r="C124" s="402" t="s">
        <v>433</v>
      </c>
      <c r="D124" s="402" t="s">
        <v>389</v>
      </c>
      <c r="E124" s="402" t="s">
        <v>439</v>
      </c>
      <c r="F124" s="402" t="s">
        <v>150</v>
      </c>
      <c r="G124" s="402" t="s">
        <v>440</v>
      </c>
      <c r="H124" s="402" t="s">
        <v>441</v>
      </c>
      <c r="I124" s="403">
        <v>2016</v>
      </c>
      <c r="J124" s="404">
        <v>4</v>
      </c>
      <c r="K124" s="405">
        <v>10000</v>
      </c>
      <c r="L124" s="405"/>
      <c r="M124" s="406" t="s">
        <v>251</v>
      </c>
      <c r="N124" s="406" t="s">
        <v>231</v>
      </c>
      <c r="O124" s="406" t="s">
        <v>376</v>
      </c>
      <c r="P124" s="407">
        <v>1</v>
      </c>
      <c r="Q124" s="407">
        <v>1</v>
      </c>
      <c r="R124" s="408">
        <v>40000</v>
      </c>
      <c r="S124" s="408">
        <v>0</v>
      </c>
      <c r="T124" s="409">
        <v>883591.17659856868</v>
      </c>
      <c r="U124" s="409">
        <v>1568627.4509803921</v>
      </c>
      <c r="V124" s="410">
        <v>0.56328937508158761</v>
      </c>
      <c r="W124" s="409">
        <v>-685036.27438182337</v>
      </c>
      <c r="X124" s="409">
        <v>883591.17659856868</v>
      </c>
      <c r="Y124" s="409">
        <v>1568627.4509803921</v>
      </c>
      <c r="Z124" s="410">
        <v>0.56328937508158761</v>
      </c>
      <c r="AA124" s="409">
        <v>-685036.27438182337</v>
      </c>
      <c r="AB124" s="409">
        <v>768340.1535639728</v>
      </c>
      <c r="AC124" s="409">
        <v>39215.686274509804</v>
      </c>
      <c r="AD124" s="410">
        <v>19.592673915881306</v>
      </c>
      <c r="AE124" s="409">
        <v>729124.46728946303</v>
      </c>
      <c r="AF124" s="409">
        <v>39954.723763943504</v>
      </c>
      <c r="AG124" s="409">
        <v>1568627.4509803921</v>
      </c>
      <c r="AH124" s="410">
        <v>2.5471136399513986E-2</v>
      </c>
      <c r="AI124" s="409">
        <v>-1528672.7272164486</v>
      </c>
      <c r="AJ124" s="409">
        <v>768340.1535639728</v>
      </c>
      <c r="AK124" s="409">
        <v>39954.723763943504</v>
      </c>
      <c r="AL124" s="410">
        <v>19.230270695985865</v>
      </c>
      <c r="AM124" s="409">
        <v>728385.42980002926</v>
      </c>
      <c r="AN124" s="411">
        <v>2757.3455182582634</v>
      </c>
      <c r="AO124" s="411">
        <v>4885659.3642593315</v>
      </c>
      <c r="AP124" s="409">
        <v>39215.686274509804</v>
      </c>
      <c r="AQ124" s="409">
        <v>14.22226050918756</v>
      </c>
      <c r="AR124" s="409">
        <v>8.0266926837734877E-3</v>
      </c>
    </row>
    <row r="125" spans="1:44" s="388" customFormat="1">
      <c r="A125" s="402" t="s">
        <v>231</v>
      </c>
      <c r="B125" s="402" t="s">
        <v>1</v>
      </c>
      <c r="C125" s="402" t="s">
        <v>433</v>
      </c>
      <c r="D125" s="402" t="s">
        <v>389</v>
      </c>
      <c r="E125" s="402" t="s">
        <v>439</v>
      </c>
      <c r="F125" s="402" t="s">
        <v>150</v>
      </c>
      <c r="G125" s="402" t="s">
        <v>440</v>
      </c>
      <c r="H125" s="402" t="s">
        <v>441</v>
      </c>
      <c r="I125" s="403">
        <v>2017</v>
      </c>
      <c r="J125" s="404">
        <v>4</v>
      </c>
      <c r="K125" s="405">
        <v>10000</v>
      </c>
      <c r="L125" s="405"/>
      <c r="M125" s="406" t="s">
        <v>251</v>
      </c>
      <c r="N125" s="406" t="s">
        <v>231</v>
      </c>
      <c r="O125" s="406" t="s">
        <v>376</v>
      </c>
      <c r="P125" s="407">
        <v>1</v>
      </c>
      <c r="Q125" s="407">
        <v>1</v>
      </c>
      <c r="R125" s="408">
        <v>40000</v>
      </c>
      <c r="S125" s="408">
        <v>0</v>
      </c>
      <c r="T125" s="409">
        <v>930775.82086002582</v>
      </c>
      <c r="U125" s="409">
        <v>1537870.0499807766</v>
      </c>
      <c r="V125" s="410">
        <v>0.60523697751423178</v>
      </c>
      <c r="W125" s="409">
        <v>-607094.2291207508</v>
      </c>
      <c r="X125" s="409">
        <v>930775.82086002582</v>
      </c>
      <c r="Y125" s="409">
        <v>1537870.0499807766</v>
      </c>
      <c r="Z125" s="410">
        <v>0.60523697751423178</v>
      </c>
      <c r="AA125" s="409">
        <v>-607094.2291207508</v>
      </c>
      <c r="AB125" s="409">
        <v>809370.27900871821</v>
      </c>
      <c r="AC125" s="409">
        <v>38446.751249519417</v>
      </c>
      <c r="AD125" s="410">
        <v>21.051720957016759</v>
      </c>
      <c r="AE125" s="409">
        <v>770923.5277591988</v>
      </c>
      <c r="AF125" s="409">
        <v>39185.358206733457</v>
      </c>
      <c r="AG125" s="409">
        <v>1537870.0499807766</v>
      </c>
      <c r="AH125" s="410">
        <v>2.5480279173928432E-2</v>
      </c>
      <c r="AI125" s="409">
        <v>-1498684.6917740433</v>
      </c>
      <c r="AJ125" s="409">
        <v>809370.27900871821</v>
      </c>
      <c r="AK125" s="409">
        <v>39185.358206733457</v>
      </c>
      <c r="AL125" s="410">
        <v>20.65491591881478</v>
      </c>
      <c r="AM125" s="409">
        <v>770184.92080198473</v>
      </c>
      <c r="AN125" s="411">
        <v>2703.279919861041</v>
      </c>
      <c r="AO125" s="411">
        <v>4789862.1218228713</v>
      </c>
      <c r="AP125" s="409">
        <v>38446.751249519417</v>
      </c>
      <c r="AQ125" s="409">
        <v>14.222260509187569</v>
      </c>
      <c r="AR125" s="409">
        <v>8.0266926837734929E-3</v>
      </c>
    </row>
    <row r="126" spans="1:44" s="388" customFormat="1">
      <c r="A126" s="402" t="s">
        <v>231</v>
      </c>
      <c r="B126" s="402" t="s">
        <v>1</v>
      </c>
      <c r="C126" s="402" t="s">
        <v>433</v>
      </c>
      <c r="D126" s="402" t="s">
        <v>389</v>
      </c>
      <c r="E126" s="402" t="s">
        <v>439</v>
      </c>
      <c r="F126" s="402" t="s">
        <v>150</v>
      </c>
      <c r="G126" s="402" t="s">
        <v>440</v>
      </c>
      <c r="H126" s="402" t="s">
        <v>441</v>
      </c>
      <c r="I126" s="403">
        <v>2018</v>
      </c>
      <c r="J126" s="404">
        <v>4</v>
      </c>
      <c r="K126" s="405">
        <v>10000</v>
      </c>
      <c r="L126" s="405"/>
      <c r="M126" s="406" t="s">
        <v>251</v>
      </c>
      <c r="N126" s="406" t="s">
        <v>231</v>
      </c>
      <c r="O126" s="406" t="s">
        <v>376</v>
      </c>
      <c r="P126" s="407">
        <v>1</v>
      </c>
      <c r="Q126" s="407">
        <v>1</v>
      </c>
      <c r="R126" s="408">
        <v>40000</v>
      </c>
      <c r="S126" s="408">
        <v>0</v>
      </c>
      <c r="T126" s="409">
        <v>934482.34350282128</v>
      </c>
      <c r="U126" s="409">
        <v>1507715.7352752713</v>
      </c>
      <c r="V126" s="410">
        <v>0.61980008673996367</v>
      </c>
      <c r="W126" s="409">
        <v>-573233.39177245006</v>
      </c>
      <c r="X126" s="409">
        <v>934482.34350282128</v>
      </c>
      <c r="Y126" s="409">
        <v>1507715.7352752713</v>
      </c>
      <c r="Z126" s="410">
        <v>0.61980008673996367</v>
      </c>
      <c r="AA126" s="409">
        <v>-573233.39177245006</v>
      </c>
      <c r="AB126" s="409">
        <v>812593.34217636636</v>
      </c>
      <c r="AC126" s="409">
        <v>37692.893381881782</v>
      </c>
      <c r="AD126" s="410">
        <v>21.558263886607435</v>
      </c>
      <c r="AE126" s="409">
        <v>774900.4487944846</v>
      </c>
      <c r="AF126" s="409">
        <v>38430.761240489417</v>
      </c>
      <c r="AG126" s="409">
        <v>1507715.7352752713</v>
      </c>
      <c r="AH126" s="410">
        <v>2.5489394546560806E-2</v>
      </c>
      <c r="AI126" s="409">
        <v>-1469284.974034782</v>
      </c>
      <c r="AJ126" s="409">
        <v>812593.34217636636</v>
      </c>
      <c r="AK126" s="409">
        <v>38430.761240489417</v>
      </c>
      <c r="AL126" s="410">
        <v>21.144346766679295</v>
      </c>
      <c r="AM126" s="409">
        <v>774162.58093587693</v>
      </c>
      <c r="AN126" s="411">
        <v>2650.2744312363152</v>
      </c>
      <c r="AO126" s="411">
        <v>4695943.2566890912</v>
      </c>
      <c r="AP126" s="409">
        <v>37692.893381881782</v>
      </c>
      <c r="AQ126" s="409">
        <v>14.222260509187565</v>
      </c>
      <c r="AR126" s="409">
        <v>8.0266926837734894E-3</v>
      </c>
    </row>
    <row r="127" spans="1:44" s="388" customFormat="1">
      <c r="A127" s="402" t="s">
        <v>231</v>
      </c>
      <c r="B127" s="402" t="s">
        <v>1</v>
      </c>
      <c r="C127" s="402" t="s">
        <v>433</v>
      </c>
      <c r="D127" s="402" t="s">
        <v>389</v>
      </c>
      <c r="E127" s="402" t="s">
        <v>439</v>
      </c>
      <c r="F127" s="402" t="s">
        <v>150</v>
      </c>
      <c r="G127" s="402" t="s">
        <v>440</v>
      </c>
      <c r="H127" s="402" t="s">
        <v>441</v>
      </c>
      <c r="I127" s="403">
        <v>2019</v>
      </c>
      <c r="J127" s="404">
        <v>3</v>
      </c>
      <c r="K127" s="405">
        <v>10000</v>
      </c>
      <c r="L127" s="405"/>
      <c r="M127" s="406" t="s">
        <v>251</v>
      </c>
      <c r="N127" s="406" t="s">
        <v>231</v>
      </c>
      <c r="O127" s="406" t="s">
        <v>376</v>
      </c>
      <c r="P127" s="407">
        <v>1</v>
      </c>
      <c r="Q127" s="407">
        <v>1</v>
      </c>
      <c r="R127" s="408">
        <v>30000</v>
      </c>
      <c r="S127" s="408">
        <v>0</v>
      </c>
      <c r="T127" s="409">
        <v>704774.79759826686</v>
      </c>
      <c r="U127" s="409">
        <v>1108614.5112318171</v>
      </c>
      <c r="V127" s="410">
        <v>0.6357257553982123</v>
      </c>
      <c r="W127" s="409">
        <v>-403839.71363355021</v>
      </c>
      <c r="X127" s="409">
        <v>704774.79759826686</v>
      </c>
      <c r="Y127" s="409">
        <v>1108614.5112318171</v>
      </c>
      <c r="Z127" s="410">
        <v>0.6357257553982123</v>
      </c>
      <c r="AA127" s="409">
        <v>-403839.71363355021</v>
      </c>
      <c r="AB127" s="409">
        <v>612847.65008544957</v>
      </c>
      <c r="AC127" s="409">
        <v>27715.362780795425</v>
      </c>
      <c r="AD127" s="410">
        <v>22.112200187763914</v>
      </c>
      <c r="AE127" s="409">
        <v>585132.28730465414</v>
      </c>
      <c r="AF127" s="409">
        <v>28267.979971195215</v>
      </c>
      <c r="AG127" s="409">
        <v>1108614.5112318171</v>
      </c>
      <c r="AH127" s="410">
        <v>2.5498475515881313E-2</v>
      </c>
      <c r="AI127" s="409">
        <v>-1080346.531260622</v>
      </c>
      <c r="AJ127" s="409">
        <v>612847.65008544957</v>
      </c>
      <c r="AK127" s="409">
        <v>28267.979971195215</v>
      </c>
      <c r="AL127" s="410">
        <v>21.679923740922948</v>
      </c>
      <c r="AM127" s="409">
        <v>584579.67011425435</v>
      </c>
      <c r="AN127" s="411">
        <v>1948.7311994384672</v>
      </c>
      <c r="AO127" s="411">
        <v>3452899.4534478616</v>
      </c>
      <c r="AP127" s="409">
        <v>27715.362780795425</v>
      </c>
      <c r="AQ127" s="409">
        <v>14.222260509187564</v>
      </c>
      <c r="AR127" s="409">
        <v>8.0266926837734877E-3</v>
      </c>
    </row>
    <row r="128" spans="1:44" s="388" customFormat="1">
      <c r="A128" s="402" t="s">
        <v>231</v>
      </c>
      <c r="B128" s="402" t="s">
        <v>1</v>
      </c>
      <c r="C128" s="402" t="s">
        <v>433</v>
      </c>
      <c r="D128" s="402" t="s">
        <v>389</v>
      </c>
      <c r="E128" s="402" t="s">
        <v>439</v>
      </c>
      <c r="F128" s="402" t="s">
        <v>150</v>
      </c>
      <c r="G128" s="402" t="s">
        <v>440</v>
      </c>
      <c r="H128" s="402" t="s">
        <v>441</v>
      </c>
      <c r="I128" s="403">
        <v>2020</v>
      </c>
      <c r="J128" s="404">
        <v>3</v>
      </c>
      <c r="K128" s="405">
        <v>10000</v>
      </c>
      <c r="L128" s="405"/>
      <c r="M128" s="406" t="s">
        <v>251</v>
      </c>
      <c r="N128" s="406" t="s">
        <v>231</v>
      </c>
      <c r="O128" s="406" t="s">
        <v>376</v>
      </c>
      <c r="P128" s="407">
        <v>1</v>
      </c>
      <c r="Q128" s="407">
        <v>1</v>
      </c>
      <c r="R128" s="408">
        <v>30000</v>
      </c>
      <c r="S128" s="408">
        <v>0</v>
      </c>
      <c r="T128" s="409">
        <v>705598.11457837594</v>
      </c>
      <c r="U128" s="409">
        <v>1086876.9717958989</v>
      </c>
      <c r="V128" s="410">
        <v>0.64919777756674923</v>
      </c>
      <c r="W128" s="409">
        <v>-381278.85721752292</v>
      </c>
      <c r="X128" s="409">
        <v>705598.11457837594</v>
      </c>
      <c r="Y128" s="409">
        <v>1086876.9717958989</v>
      </c>
      <c r="Z128" s="410">
        <v>0.64919777756674923</v>
      </c>
      <c r="AA128" s="409">
        <v>-381278.85721752292</v>
      </c>
      <c r="AB128" s="409">
        <v>613563.57789424004</v>
      </c>
      <c r="AC128" s="409">
        <v>27171.924294897472</v>
      </c>
      <c r="AD128" s="410">
        <v>22.580792263191281</v>
      </c>
      <c r="AE128" s="409">
        <v>586391.65359934256</v>
      </c>
      <c r="AF128" s="409">
        <v>27723.059604948157</v>
      </c>
      <c r="AG128" s="409">
        <v>1086876.9717958989</v>
      </c>
      <c r="AH128" s="410">
        <v>2.5507081596493869E-2</v>
      </c>
      <c r="AI128" s="409">
        <v>-1059153.9121909507</v>
      </c>
      <c r="AJ128" s="409">
        <v>613563.57789424004</v>
      </c>
      <c r="AK128" s="409">
        <v>27723.059604948157</v>
      </c>
      <c r="AL128" s="410">
        <v>22.131885392070071</v>
      </c>
      <c r="AM128" s="409">
        <v>585840.51828929188</v>
      </c>
      <c r="AN128" s="411">
        <v>1910.5207837632033</v>
      </c>
      <c r="AO128" s="411">
        <v>3385195.542595942</v>
      </c>
      <c r="AP128" s="409">
        <v>27171.924294897472</v>
      </c>
      <c r="AQ128" s="409">
        <v>14.22226050918756</v>
      </c>
      <c r="AR128" s="409">
        <v>8.0266926837734877E-3</v>
      </c>
    </row>
    <row r="129" spans="1:44" s="388" customFormat="1">
      <c r="A129" s="402" t="s">
        <v>231</v>
      </c>
      <c r="B129" s="402" t="s">
        <v>1</v>
      </c>
      <c r="C129" s="402" t="s">
        <v>433</v>
      </c>
      <c r="D129" s="402" t="s">
        <v>434</v>
      </c>
      <c r="E129" s="402" t="s">
        <v>442</v>
      </c>
      <c r="F129" s="402" t="s">
        <v>443</v>
      </c>
      <c r="G129" s="402" t="s">
        <v>444</v>
      </c>
      <c r="H129" s="402" t="s">
        <v>438</v>
      </c>
      <c r="I129" s="403">
        <v>2016</v>
      </c>
      <c r="J129" s="404">
        <v>1</v>
      </c>
      <c r="K129" s="405">
        <v>216000</v>
      </c>
      <c r="L129" s="405"/>
      <c r="M129" s="406" t="s">
        <v>251</v>
      </c>
      <c r="N129" s="406" t="s">
        <v>231</v>
      </c>
      <c r="O129" s="406" t="s">
        <v>376</v>
      </c>
      <c r="P129" s="407">
        <v>1</v>
      </c>
      <c r="Q129" s="407">
        <v>1</v>
      </c>
      <c r="R129" s="408">
        <v>216000</v>
      </c>
      <c r="S129" s="408">
        <v>0</v>
      </c>
      <c r="T129" s="409">
        <v>7251105.1481939489</v>
      </c>
      <c r="U129" s="409">
        <v>529411.76470588229</v>
      </c>
      <c r="V129" s="410">
        <v>13.696531946588571</v>
      </c>
      <c r="W129" s="409">
        <v>6721693.3834880665</v>
      </c>
      <c r="X129" s="409">
        <v>7251105.1481939489</v>
      </c>
      <c r="Y129" s="409">
        <v>529411.76470588229</v>
      </c>
      <c r="Z129" s="410">
        <v>13.696531946588571</v>
      </c>
      <c r="AA129" s="409">
        <v>6721693.3834880665</v>
      </c>
      <c r="AB129" s="409">
        <v>6305308.824516478</v>
      </c>
      <c r="AC129" s="409">
        <v>211764.70588235292</v>
      </c>
      <c r="AD129" s="410">
        <v>29.775069449105594</v>
      </c>
      <c r="AE129" s="409">
        <v>6093544.1186341252</v>
      </c>
      <c r="AF129" s="409">
        <v>225659.4605768194</v>
      </c>
      <c r="AG129" s="409">
        <v>529411.76470588229</v>
      </c>
      <c r="AH129" s="410">
        <v>0.42624564775621449</v>
      </c>
      <c r="AI129" s="409">
        <v>-303752.30412906292</v>
      </c>
      <c r="AJ129" s="409">
        <v>6305308.824516478</v>
      </c>
      <c r="AK129" s="409">
        <v>225659.4605768194</v>
      </c>
      <c r="AL129" s="410">
        <v>27.941699445700898</v>
      </c>
      <c r="AM129" s="409">
        <v>6079649.3639396587</v>
      </c>
      <c r="AN129" s="411">
        <v>10457.196562033419</v>
      </c>
      <c r="AO129" s="411">
        <v>91856014.55634433</v>
      </c>
      <c r="AP129" s="409">
        <v>211764.70588235292</v>
      </c>
      <c r="AQ129" s="409">
        <v>20.250619238735521</v>
      </c>
      <c r="AR129" s="409">
        <v>2.3053983661838148E-3</v>
      </c>
    </row>
    <row r="130" spans="1:44" s="388" customFormat="1">
      <c r="A130" s="402" t="s">
        <v>231</v>
      </c>
      <c r="B130" s="402" t="s">
        <v>445</v>
      </c>
      <c r="C130" s="402" t="s">
        <v>433</v>
      </c>
      <c r="D130" s="402" t="s">
        <v>445</v>
      </c>
      <c r="E130" s="402" t="s">
        <v>445</v>
      </c>
      <c r="F130" s="402" t="s">
        <v>150</v>
      </c>
      <c r="G130" s="402" t="s">
        <v>150</v>
      </c>
      <c r="H130" s="402" t="s">
        <v>438</v>
      </c>
      <c r="I130" s="403">
        <v>2015</v>
      </c>
      <c r="J130" s="404">
        <v>1</v>
      </c>
      <c r="K130" s="405">
        <v>0</v>
      </c>
      <c r="L130" s="405">
        <v>0</v>
      </c>
      <c r="M130" s="406" t="s">
        <v>251</v>
      </c>
      <c r="N130" s="406" t="s">
        <v>251</v>
      </c>
      <c r="O130" s="406" t="s">
        <v>376</v>
      </c>
      <c r="P130" s="407">
        <v>1</v>
      </c>
      <c r="Q130" s="407">
        <v>1</v>
      </c>
      <c r="R130" s="408">
        <v>0</v>
      </c>
      <c r="S130" s="408">
        <v>0</v>
      </c>
      <c r="T130" s="409">
        <v>53779.132723456969</v>
      </c>
      <c r="U130" s="409">
        <v>99999.999999999985</v>
      </c>
      <c r="V130" s="410">
        <v>0.53779132723456979</v>
      </c>
      <c r="W130" s="409">
        <v>-46220.867276543016</v>
      </c>
      <c r="X130" s="409">
        <v>53779.132723456969</v>
      </c>
      <c r="Y130" s="409">
        <v>99999.999999999985</v>
      </c>
      <c r="Z130" s="410">
        <v>0.53779132723456979</v>
      </c>
      <c r="AA130" s="409">
        <v>-46220.867276543016</v>
      </c>
      <c r="AB130" s="409">
        <v>46764.463237788674</v>
      </c>
      <c r="AC130" s="409">
        <v>0</v>
      </c>
      <c r="AD130" s="410" t="e">
        <v>#DIV/0!</v>
      </c>
      <c r="AE130" s="409">
        <v>46764.463237788674</v>
      </c>
      <c r="AF130" s="409">
        <v>110.93974931963859</v>
      </c>
      <c r="AG130" s="409">
        <v>99999.999999999985</v>
      </c>
      <c r="AH130" s="410">
        <v>1.1093974931963861E-3</v>
      </c>
      <c r="AI130" s="409">
        <v>-99889.060250680341</v>
      </c>
      <c r="AJ130" s="409">
        <v>46764.463237788674</v>
      </c>
      <c r="AK130" s="409">
        <v>110.93974931963859</v>
      </c>
      <c r="AL130" s="410">
        <v>421.53027679061478</v>
      </c>
      <c r="AM130" s="409">
        <v>46653.523488469036</v>
      </c>
      <c r="AN130" s="411">
        <v>91.256689259397632</v>
      </c>
      <c r="AO130" s="411">
        <v>801598.76935629186</v>
      </c>
      <c r="AP130" s="409">
        <v>0</v>
      </c>
      <c r="AQ130" s="409">
        <v>0</v>
      </c>
      <c r="AR130" s="409">
        <v>0</v>
      </c>
    </row>
  </sheetData>
  <mergeCells count="6">
    <mergeCell ref="AN1:AR1"/>
    <mergeCell ref="T1:W1"/>
    <mergeCell ref="X1:AA1"/>
    <mergeCell ref="AB1:AE1"/>
    <mergeCell ref="AF1:AI1"/>
    <mergeCell ref="AJ1:AM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5"/>
  <sheetViews>
    <sheetView tabSelected="1" workbookViewId="0">
      <selection activeCell="F36" sqref="F36"/>
    </sheetView>
  </sheetViews>
  <sheetFormatPr defaultRowHeight="14.5"/>
  <cols>
    <col min="1" max="1" width="46.54296875" bestFit="1" customWidth="1"/>
    <col min="2" max="6" width="12.26953125" bestFit="1" customWidth="1"/>
    <col min="7" max="7" width="11.81640625" bestFit="1" customWidth="1"/>
  </cols>
  <sheetData>
    <row r="2" spans="1:7">
      <c r="A2" t="s">
        <v>1218</v>
      </c>
    </row>
    <row r="3" spans="1:7">
      <c r="A3" s="647" t="s">
        <v>601</v>
      </c>
      <c r="B3" s="647"/>
      <c r="C3" s="647"/>
      <c r="D3" s="647"/>
      <c r="E3" s="647"/>
      <c r="F3" s="647"/>
      <c r="G3" s="647"/>
    </row>
    <row r="4" spans="1:7">
      <c r="A4" s="50" t="s">
        <v>606</v>
      </c>
      <c r="B4" s="46">
        <v>2015</v>
      </c>
      <c r="C4" s="46">
        <v>2016</v>
      </c>
      <c r="D4" s="46">
        <v>2017</v>
      </c>
      <c r="E4" s="46">
        <v>2018</v>
      </c>
      <c r="F4" s="46">
        <v>2019</v>
      </c>
      <c r="G4" s="46">
        <v>2020</v>
      </c>
    </row>
    <row r="5" spans="1:7">
      <c r="A5" s="45" t="s">
        <v>607</v>
      </c>
      <c r="B5" s="46"/>
      <c r="C5" s="46"/>
      <c r="D5" s="46"/>
      <c r="E5" s="46"/>
      <c r="F5" s="46"/>
      <c r="G5" s="46"/>
    </row>
    <row r="6" spans="1:7">
      <c r="A6" s="45" t="s">
        <v>597</v>
      </c>
      <c r="B6" s="35">
        <v>181705.71754005147</v>
      </c>
      <c r="C6" s="35">
        <v>517974.41528087232</v>
      </c>
      <c r="D6" s="35">
        <v>581568.95207366417</v>
      </c>
      <c r="E6" s="35">
        <v>646823.06211642653</v>
      </c>
      <c r="F6" s="35">
        <v>713736.74540915934</v>
      </c>
      <c r="G6" s="35">
        <v>782310.00195186271</v>
      </c>
    </row>
    <row r="7" spans="1:7">
      <c r="A7" s="45" t="s">
        <v>598</v>
      </c>
      <c r="B7" s="35">
        <v>135731.6256015221</v>
      </c>
      <c r="C7" s="35">
        <v>997809.39378643211</v>
      </c>
      <c r="D7" s="35">
        <v>1795482.0288606647</v>
      </c>
      <c r="E7" s="35">
        <v>2673492.4927453413</v>
      </c>
      <c r="F7" s="35">
        <v>3606696.2467060839</v>
      </c>
      <c r="G7" s="35">
        <v>4607284.5822504694</v>
      </c>
    </row>
    <row r="8" spans="1:7">
      <c r="A8" s="45"/>
      <c r="B8" s="45"/>
      <c r="C8" s="45"/>
      <c r="D8" s="45"/>
      <c r="E8" s="45"/>
      <c r="F8" s="45"/>
      <c r="G8" s="45"/>
    </row>
    <row r="9" spans="1:7">
      <c r="A9" s="45" t="s">
        <v>599</v>
      </c>
      <c r="B9" s="35">
        <v>156.91042178848343</v>
      </c>
      <c r="C9" s="35">
        <v>909.17818554723419</v>
      </c>
      <c r="D9" s="35">
        <v>1548.0266443894636</v>
      </c>
      <c r="E9" s="35">
        <v>2241.635972362405</v>
      </c>
      <c r="F9" s="35">
        <v>2928.935190843019</v>
      </c>
      <c r="G9" s="35">
        <v>3668.7394520496132</v>
      </c>
    </row>
    <row r="10" spans="1:7">
      <c r="A10" s="45" t="s">
        <v>600</v>
      </c>
      <c r="B10" s="35">
        <v>52.563779702415715</v>
      </c>
      <c r="C10" s="35">
        <v>450.94835336053939</v>
      </c>
      <c r="D10" s="35">
        <v>807.70089313520293</v>
      </c>
      <c r="E10" s="35">
        <v>1178.2824928291516</v>
      </c>
      <c r="F10" s="35">
        <v>1497.2432166807509</v>
      </c>
      <c r="G10" s="35">
        <v>1825.5213476421743</v>
      </c>
    </row>
    <row r="11" spans="1:7">
      <c r="A11" s="45"/>
      <c r="B11" s="45"/>
      <c r="C11" s="45"/>
      <c r="D11" s="45"/>
      <c r="E11" s="45"/>
      <c r="F11" s="45"/>
      <c r="G11" s="45"/>
    </row>
    <row r="12" spans="1:7">
      <c r="A12" s="45" t="s">
        <v>602</v>
      </c>
      <c r="B12" s="45"/>
      <c r="C12" s="45"/>
      <c r="D12" s="45"/>
      <c r="E12" s="45"/>
      <c r="F12" s="45"/>
      <c r="G12" s="45"/>
    </row>
    <row r="14" spans="1:7">
      <c r="A14" t="s">
        <v>1219</v>
      </c>
    </row>
    <row r="15" spans="1:7">
      <c r="A15" s="647" t="s">
        <v>601</v>
      </c>
      <c r="B15" s="647"/>
      <c r="C15" s="647"/>
      <c r="D15" s="647"/>
      <c r="E15" s="647"/>
      <c r="F15" s="647"/>
      <c r="G15" s="647"/>
    </row>
    <row r="16" spans="1:7">
      <c r="A16" s="50" t="s">
        <v>606</v>
      </c>
      <c r="B16" s="46">
        <v>2015</v>
      </c>
      <c r="C16" s="46">
        <v>2016</v>
      </c>
      <c r="D16" s="46">
        <v>2017</v>
      </c>
      <c r="E16" s="46">
        <v>2018</v>
      </c>
      <c r="F16" s="46">
        <v>2019</v>
      </c>
      <c r="G16" s="46">
        <v>2020</v>
      </c>
    </row>
    <row r="17" spans="1:7">
      <c r="A17" s="45" t="s">
        <v>607</v>
      </c>
      <c r="B17" s="46"/>
      <c r="C17" s="46"/>
      <c r="D17" s="46"/>
      <c r="E17" s="46"/>
      <c r="F17" s="46"/>
      <c r="G17" s="46"/>
    </row>
    <row r="18" spans="1:7">
      <c r="A18" s="45" t="s">
        <v>597</v>
      </c>
      <c r="B18" s="35">
        <v>181705.71754005147</v>
      </c>
      <c r="C18" s="35">
        <v>440692.92518048763</v>
      </c>
      <c r="D18" s="35">
        <v>549771.68367726821</v>
      </c>
      <c r="E18" s="35">
        <v>614196.00709504541</v>
      </c>
      <c r="F18" s="35">
        <v>680279.90376279294</v>
      </c>
      <c r="G18" s="35">
        <v>748023.37368051102</v>
      </c>
    </row>
    <row r="19" spans="1:7">
      <c r="A19" s="45" t="s">
        <v>598</v>
      </c>
      <c r="B19" s="35">
        <v>135731.6256015221</v>
      </c>
      <c r="C19" s="35">
        <v>634636.32249473815</v>
      </c>
      <c r="D19" s="35">
        <v>1396645.7113235483</v>
      </c>
      <c r="E19" s="35">
        <v>2234487.2608030029</v>
      </c>
      <c r="F19" s="35">
        <v>3140094.3697257126</v>
      </c>
      <c r="G19" s="35">
        <v>4106990.4144782769</v>
      </c>
    </row>
    <row r="20" spans="1:7">
      <c r="A20" s="45"/>
      <c r="B20" s="45"/>
      <c r="C20" s="45"/>
      <c r="D20" s="45"/>
      <c r="E20" s="45"/>
      <c r="F20" s="45"/>
      <c r="G20" s="45"/>
    </row>
    <row r="21" spans="1:7">
      <c r="A21" s="45" t="s">
        <v>599</v>
      </c>
      <c r="B21" s="35">
        <v>156.91042178848343</v>
      </c>
      <c r="C21" s="35">
        <v>611.49951456210056</v>
      </c>
      <c r="D21" s="35">
        <v>1228.602414968349</v>
      </c>
      <c r="E21" s="35">
        <v>1894.8313083759344</v>
      </c>
      <c r="F21" s="35">
        <v>2585.2855816027122</v>
      </c>
      <c r="G21" s="35">
        <v>3298.8373214463163</v>
      </c>
    </row>
    <row r="22" spans="1:7">
      <c r="A22" s="45" t="s">
        <v>600</v>
      </c>
      <c r="B22" s="35">
        <v>52.563779702415715</v>
      </c>
      <c r="C22" s="35">
        <v>278.03795638268542</v>
      </c>
      <c r="D22" s="35">
        <v>629.32462324787116</v>
      </c>
      <c r="E22" s="35">
        <v>992.99169298217726</v>
      </c>
      <c r="F22" s="35">
        <v>1337.7628547549511</v>
      </c>
      <c r="G22" s="35">
        <v>1661.3822821614626</v>
      </c>
    </row>
    <row r="24" spans="1:7">
      <c r="A24" s="52" t="s">
        <v>1216</v>
      </c>
    </row>
    <row r="25" spans="1:7">
      <c r="A25" s="45" t="s">
        <v>597</v>
      </c>
      <c r="B25" s="35">
        <f>B6-B18</f>
        <v>0</v>
      </c>
      <c r="C25" s="35">
        <f t="shared" ref="C25:G25" si="0">C6-C18</f>
        <v>77281.49010038469</v>
      </c>
      <c r="D25" s="35">
        <f t="shared" si="0"/>
        <v>31797.268396395957</v>
      </c>
      <c r="E25" s="35">
        <f t="shared" si="0"/>
        <v>32627.055021381122</v>
      </c>
      <c r="F25" s="35">
        <f t="shared" si="0"/>
        <v>33456.841646366403</v>
      </c>
      <c r="G25" s="35">
        <f t="shared" si="0"/>
        <v>34286.628271351685</v>
      </c>
    </row>
    <row r="26" spans="1:7">
      <c r="A26" s="45" t="s">
        <v>598</v>
      </c>
      <c r="B26" s="35">
        <f>B7-B19</f>
        <v>0</v>
      </c>
      <c r="C26" s="35">
        <f t="shared" ref="C26:G26" si="1">C7-C19</f>
        <v>363173.07129169395</v>
      </c>
      <c r="D26" s="35">
        <f t="shared" si="1"/>
        <v>398836.31753711635</v>
      </c>
      <c r="E26" s="35">
        <f t="shared" si="1"/>
        <v>439005.2319423384</v>
      </c>
      <c r="F26" s="35">
        <f t="shared" si="1"/>
        <v>466601.87698037131</v>
      </c>
      <c r="G26" s="35">
        <f t="shared" si="1"/>
        <v>500294.16777219251</v>
      </c>
    </row>
    <row r="27" spans="1:7">
      <c r="A27" s="45"/>
      <c r="B27" s="35"/>
      <c r="C27" s="35"/>
      <c r="D27" s="35"/>
      <c r="E27" s="35"/>
      <c r="F27" s="35"/>
      <c r="G27" s="35"/>
    </row>
    <row r="28" spans="1:7">
      <c r="A28" s="45" t="s">
        <v>599</v>
      </c>
      <c r="B28" s="35">
        <f t="shared" ref="B28:G29" si="2">B9-B21</f>
        <v>0</v>
      </c>
      <c r="C28" s="35">
        <f t="shared" si="2"/>
        <v>297.67867098513364</v>
      </c>
      <c r="D28" s="35">
        <f t="shared" si="2"/>
        <v>319.42422942111466</v>
      </c>
      <c r="E28" s="35">
        <f t="shared" si="2"/>
        <v>346.80466398647059</v>
      </c>
      <c r="F28" s="35">
        <f t="shared" si="2"/>
        <v>343.64960924030675</v>
      </c>
      <c r="G28" s="35">
        <f t="shared" si="2"/>
        <v>369.90213060329688</v>
      </c>
    </row>
    <row r="29" spans="1:7">
      <c r="A29" s="45" t="s">
        <v>600</v>
      </c>
      <c r="B29" s="35">
        <f t="shared" si="2"/>
        <v>0</v>
      </c>
      <c r="C29" s="35">
        <f t="shared" si="2"/>
        <v>172.91039697785396</v>
      </c>
      <c r="D29" s="35">
        <f t="shared" si="2"/>
        <v>178.37626988733177</v>
      </c>
      <c r="E29" s="35">
        <f t="shared" si="2"/>
        <v>185.29079984697432</v>
      </c>
      <c r="F29" s="35">
        <f t="shared" si="2"/>
        <v>159.4803619257998</v>
      </c>
      <c r="G29" s="35">
        <f t="shared" si="2"/>
        <v>164.13906548071168</v>
      </c>
    </row>
    <row r="31" spans="1:7">
      <c r="A31" t="s">
        <v>1217</v>
      </c>
      <c r="B31">
        <f>B28*0.0154</f>
        <v>0</v>
      </c>
      <c r="C31" s="45">
        <f t="shared" ref="C31:G31" si="3">C28*0.0154</f>
        <v>4.5842515331710585</v>
      </c>
      <c r="D31" s="45">
        <f t="shared" si="3"/>
        <v>4.9191331330851655</v>
      </c>
      <c r="E31" s="45">
        <f t="shared" si="3"/>
        <v>5.3407918253916469</v>
      </c>
      <c r="F31" s="45">
        <f t="shared" si="3"/>
        <v>5.2922039823007241</v>
      </c>
      <c r="G31" s="45">
        <f t="shared" si="3"/>
        <v>5.6964928112907725</v>
      </c>
    </row>
    <row r="32" spans="1:7">
      <c r="B32">
        <f>B26*0.01016</f>
        <v>0</v>
      </c>
      <c r="C32" s="45">
        <f t="shared" ref="C32:G32" si="4">C26*0.01016</f>
        <v>3689.8384043236106</v>
      </c>
      <c r="D32" s="45">
        <f t="shared" si="4"/>
        <v>4052.1769861771022</v>
      </c>
      <c r="E32" s="45">
        <f t="shared" si="4"/>
        <v>4460.2931565341587</v>
      </c>
      <c r="F32" s="45">
        <f t="shared" si="4"/>
        <v>4740.6750701205729</v>
      </c>
      <c r="G32" s="45">
        <f t="shared" si="4"/>
        <v>5082.9887445654758</v>
      </c>
    </row>
    <row r="33" spans="1:7">
      <c r="B33">
        <f>B28*2.0063</f>
        <v>0</v>
      </c>
      <c r="C33" s="45">
        <f t="shared" ref="C33:G33" si="5">C28*2.0063</f>
        <v>597.23271759747365</v>
      </c>
      <c r="D33" s="45">
        <f t="shared" si="5"/>
        <v>640.86083148758235</v>
      </c>
      <c r="E33" s="45">
        <f t="shared" si="5"/>
        <v>695.79419735605597</v>
      </c>
      <c r="F33" s="45">
        <f t="shared" si="5"/>
        <v>689.46421101882743</v>
      </c>
      <c r="G33" s="45">
        <f t="shared" si="5"/>
        <v>742.13464462939453</v>
      </c>
    </row>
    <row r="34" spans="1:7">
      <c r="B34">
        <f>B29*1.0535</f>
        <v>0</v>
      </c>
      <c r="C34" s="45">
        <f t="shared" ref="C34:G34" si="6">C29*1.0535</f>
        <v>182.16110321616918</v>
      </c>
      <c r="D34" s="45">
        <f t="shared" si="6"/>
        <v>187.91940032630404</v>
      </c>
      <c r="E34" s="45">
        <f t="shared" si="6"/>
        <v>195.20385763878747</v>
      </c>
      <c r="F34" s="45">
        <f t="shared" si="6"/>
        <v>168.01256128883011</v>
      </c>
      <c r="G34" s="45">
        <f t="shared" si="6"/>
        <v>172.92050548392976</v>
      </c>
    </row>
    <row r="35" spans="1:7" s="45" customFormat="1"/>
    <row r="36" spans="1:7" s="45" customFormat="1">
      <c r="A36" s="45" t="s">
        <v>1218</v>
      </c>
      <c r="B36"/>
      <c r="C36"/>
      <c r="D36"/>
      <c r="E36"/>
      <c r="F36"/>
    </row>
    <row r="37" spans="1:7" s="45" customFormat="1">
      <c r="A37" s="588">
        <v>2015</v>
      </c>
      <c r="B37" s="588">
        <v>2016</v>
      </c>
      <c r="C37" s="588">
        <v>2017</v>
      </c>
      <c r="D37" s="588">
        <v>2018</v>
      </c>
      <c r="E37" s="588">
        <v>2019</v>
      </c>
      <c r="F37" s="588">
        <v>2020</v>
      </c>
    </row>
    <row r="38" spans="1:7" s="45" customFormat="1">
      <c r="A38" s="593">
        <v>21548596.631079219</v>
      </c>
      <c r="B38" s="593">
        <v>33422603.09105498</v>
      </c>
      <c r="C38" s="593">
        <v>38058034.457681805</v>
      </c>
      <c r="D38" s="593">
        <v>41339820.519930825</v>
      </c>
      <c r="E38" s="593">
        <v>45699934.680320084</v>
      </c>
      <c r="F38" s="593">
        <v>49496047.952321745</v>
      </c>
    </row>
    <row r="39" spans="1:7" s="45" customFormat="1"/>
    <row r="40" spans="1:7">
      <c r="A40" s="45" t="s">
        <v>1219</v>
      </c>
    </row>
    <row r="41" spans="1:7">
      <c r="A41" s="588">
        <v>2015</v>
      </c>
      <c r="B41" s="588">
        <v>2016</v>
      </c>
      <c r="C41" s="588">
        <v>2017</v>
      </c>
      <c r="D41" s="588">
        <v>2018</v>
      </c>
      <c r="E41" s="588">
        <v>2019</v>
      </c>
      <c r="F41" s="588">
        <v>2020</v>
      </c>
    </row>
    <row r="42" spans="1:7">
      <c r="A42" s="593">
        <v>21444162.36431367</v>
      </c>
      <c r="B42" s="593">
        <v>27519314.746918518</v>
      </c>
      <c r="C42" s="593">
        <v>34484998.95647262</v>
      </c>
      <c r="D42" s="593">
        <v>39046606.537659377</v>
      </c>
      <c r="E42" s="593">
        <v>43365236.825480171</v>
      </c>
      <c r="F42" s="593">
        <v>46969816.977277547</v>
      </c>
    </row>
    <row r="44" spans="1:7">
      <c r="A44" s="972" t="s">
        <v>1216</v>
      </c>
      <c r="B44" s="972"/>
      <c r="C44" s="972"/>
      <c r="D44" s="972"/>
      <c r="E44" s="972"/>
      <c r="F44" s="972"/>
    </row>
    <row r="45" spans="1:7">
      <c r="A45" s="973">
        <f>A38-A42</f>
        <v>104434.26676554978</v>
      </c>
      <c r="B45" s="973">
        <f>B38-B42</f>
        <v>5903288.3441364616</v>
      </c>
      <c r="C45" s="973">
        <f>C38-C42</f>
        <v>3573035.5012091845</v>
      </c>
      <c r="D45" s="973">
        <f>D38-D42</f>
        <v>2293213.9822714478</v>
      </c>
      <c r="E45" s="973">
        <f>E38-E42</f>
        <v>2334697.8548399135</v>
      </c>
      <c r="F45" s="973">
        <f>F38-F42</f>
        <v>2526230.9750441983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137"/>
  <sheetViews>
    <sheetView topLeftCell="C1" zoomScaleNormal="100" workbookViewId="0">
      <pane xSplit="5" ySplit="1" topLeftCell="H2" activePane="bottomRight" state="frozen"/>
      <selection activeCell="C1" sqref="C1"/>
      <selection pane="topRight" activeCell="H1" sqref="H1"/>
      <selection pane="bottomLeft" activeCell="C2" sqref="C2"/>
      <selection pane="bottomRight" activeCell="M126" sqref="M116:M126"/>
    </sheetView>
  </sheetViews>
  <sheetFormatPr defaultRowHeight="14.5"/>
  <cols>
    <col min="1" max="1" width="25.26953125" hidden="1" customWidth="1"/>
    <col min="2" max="2" width="56.26953125" bestFit="1" customWidth="1"/>
    <col min="3" max="3" width="69.1796875" bestFit="1" customWidth="1"/>
    <col min="4" max="4" width="28.453125" hidden="1" customWidth="1"/>
    <col min="5" max="5" width="8.1796875" hidden="1" customWidth="1"/>
    <col min="6" max="6" width="10.7265625" bestFit="1" customWidth="1"/>
    <col min="7" max="7" width="29.1796875" bestFit="1" customWidth="1"/>
    <col min="8" max="11" width="13.08984375" bestFit="1" customWidth="1"/>
    <col min="12" max="12" width="12.81640625" bestFit="1" customWidth="1"/>
    <col min="13" max="13" width="7.36328125" bestFit="1" customWidth="1"/>
    <col min="14" max="16" width="7.08984375" bestFit="1" customWidth="1"/>
    <col min="17" max="38" width="12.90625" bestFit="1" customWidth="1"/>
  </cols>
  <sheetData>
    <row r="1" spans="1:38" ht="62">
      <c r="A1" s="3" t="s">
        <v>28</v>
      </c>
      <c r="B1" s="3" t="s">
        <v>29</v>
      </c>
      <c r="C1" s="3" t="s">
        <v>30</v>
      </c>
      <c r="D1" s="2" t="s">
        <v>0</v>
      </c>
      <c r="E1" s="2" t="s">
        <v>32</v>
      </c>
      <c r="F1" s="1" t="s">
        <v>33</v>
      </c>
      <c r="G1" s="1" t="s">
        <v>56</v>
      </c>
      <c r="H1" s="1">
        <v>2006</v>
      </c>
      <c r="I1" s="1">
        <v>2007</v>
      </c>
      <c r="J1" s="1">
        <v>2008</v>
      </c>
      <c r="K1" s="1">
        <v>2009</v>
      </c>
      <c r="L1" s="1">
        <v>2010</v>
      </c>
      <c r="M1" s="1">
        <v>2011</v>
      </c>
      <c r="N1" s="1">
        <v>2012</v>
      </c>
      <c r="O1" s="1">
        <v>2013</v>
      </c>
      <c r="P1" s="1">
        <v>2014</v>
      </c>
      <c r="Q1" s="1">
        <v>2015</v>
      </c>
      <c r="R1" s="1">
        <v>2016</v>
      </c>
      <c r="S1" s="1">
        <v>2017</v>
      </c>
      <c r="T1" s="1">
        <v>2018</v>
      </c>
      <c r="U1" s="1">
        <v>2019</v>
      </c>
      <c r="V1" s="1">
        <v>2020</v>
      </c>
      <c r="W1" s="1">
        <v>2021</v>
      </c>
      <c r="X1" s="1">
        <v>2022</v>
      </c>
      <c r="Y1" s="1">
        <v>2023</v>
      </c>
      <c r="Z1" s="1">
        <v>2024</v>
      </c>
      <c r="AA1" s="1">
        <v>2025</v>
      </c>
      <c r="AB1" s="1">
        <v>2026</v>
      </c>
      <c r="AC1" s="1">
        <v>2027</v>
      </c>
      <c r="AD1" s="1">
        <v>2028</v>
      </c>
      <c r="AE1" s="1">
        <v>2029</v>
      </c>
      <c r="AF1" s="1">
        <v>2030</v>
      </c>
      <c r="AG1" s="1">
        <v>2031</v>
      </c>
      <c r="AH1" s="1">
        <v>2032</v>
      </c>
      <c r="AI1" s="1">
        <v>2033</v>
      </c>
      <c r="AJ1" s="1">
        <v>2034</v>
      </c>
      <c r="AK1" s="1">
        <v>2035</v>
      </c>
      <c r="AL1" s="1">
        <v>2036</v>
      </c>
    </row>
    <row r="2" spans="1:38" ht="15.5">
      <c r="A2" s="31">
        <v>1</v>
      </c>
      <c r="B2" s="31" t="s">
        <v>15</v>
      </c>
      <c r="C2" s="31" t="s">
        <v>519</v>
      </c>
      <c r="D2" s="31" t="s">
        <v>3</v>
      </c>
      <c r="E2" s="31" t="s">
        <v>543</v>
      </c>
      <c r="F2" s="31">
        <v>2006</v>
      </c>
      <c r="G2" s="33" t="s">
        <v>17</v>
      </c>
      <c r="H2" s="33">
        <v>6.2983662956848426E-3</v>
      </c>
      <c r="I2" s="33">
        <v>6.2983662956848426E-3</v>
      </c>
      <c r="J2" s="33">
        <v>6.2983662956848426E-3</v>
      </c>
      <c r="K2" s="33">
        <v>6.2983662956848426E-3</v>
      </c>
      <c r="L2" s="33">
        <v>6.2983662956848426E-3</v>
      </c>
      <c r="M2" s="33">
        <v>6.2983662956848426E-3</v>
      </c>
      <c r="N2" s="33">
        <v>0</v>
      </c>
      <c r="O2" s="33">
        <v>0</v>
      </c>
      <c r="P2" s="33">
        <v>0</v>
      </c>
      <c r="Q2" s="33">
        <v>0</v>
      </c>
      <c r="R2" s="33">
        <v>0</v>
      </c>
      <c r="S2" s="33">
        <v>0</v>
      </c>
      <c r="T2" s="33">
        <v>0</v>
      </c>
      <c r="U2" s="33">
        <v>0</v>
      </c>
      <c r="V2" s="33">
        <v>0</v>
      </c>
      <c r="W2" s="33">
        <v>0</v>
      </c>
      <c r="X2" s="33">
        <v>0</v>
      </c>
      <c r="Y2" s="33">
        <v>0</v>
      </c>
      <c r="Z2" s="33">
        <v>0</v>
      </c>
      <c r="AA2" s="33">
        <v>0</v>
      </c>
      <c r="AB2" s="33">
        <v>0</v>
      </c>
      <c r="AC2" s="33">
        <v>0</v>
      </c>
      <c r="AD2" s="33">
        <v>0</v>
      </c>
      <c r="AE2" s="33">
        <v>0</v>
      </c>
      <c r="AF2" s="33"/>
      <c r="AG2" s="33"/>
      <c r="AH2" s="33"/>
      <c r="AI2" s="33"/>
      <c r="AJ2" s="33"/>
      <c r="AK2" s="33"/>
      <c r="AL2" s="33"/>
    </row>
    <row r="3" spans="1:38" ht="15.5">
      <c r="A3" s="31">
        <v>2</v>
      </c>
      <c r="B3" s="31" t="s">
        <v>15</v>
      </c>
      <c r="C3" s="31" t="s">
        <v>520</v>
      </c>
      <c r="D3" s="31" t="s">
        <v>3</v>
      </c>
      <c r="E3" s="31" t="s">
        <v>543</v>
      </c>
      <c r="F3" s="31">
        <v>2006</v>
      </c>
      <c r="G3" s="33" t="s">
        <v>17</v>
      </c>
      <c r="H3" s="33">
        <v>6.3571070086416395E-2</v>
      </c>
      <c r="I3" s="33">
        <v>6.3571070086416395E-2</v>
      </c>
      <c r="J3" s="33">
        <v>6.3571070086416395E-2</v>
      </c>
      <c r="K3" s="33">
        <v>6.3571070086416395E-2</v>
      </c>
      <c r="L3" s="33">
        <v>6.3571070086416395E-2</v>
      </c>
      <c r="M3" s="33">
        <v>6.3571070086416395E-2</v>
      </c>
      <c r="N3" s="33">
        <v>6.3571070086416395E-2</v>
      </c>
      <c r="O3" s="33">
        <v>6.3571070086416395E-2</v>
      </c>
      <c r="P3" s="33">
        <v>4.514648252402656E-2</v>
      </c>
      <c r="Q3" s="33">
        <v>4.514648252402656E-2</v>
      </c>
      <c r="R3" s="33">
        <v>4.514648252402656E-2</v>
      </c>
      <c r="S3" s="33">
        <v>4.514648252402656E-2</v>
      </c>
      <c r="T3" s="33">
        <v>4.514648252402656E-2</v>
      </c>
      <c r="U3" s="33">
        <v>4.514648252402656E-2</v>
      </c>
      <c r="V3" s="33">
        <v>1.9486147231609231E-2</v>
      </c>
      <c r="W3" s="33">
        <v>1.0285373397780484E-2</v>
      </c>
      <c r="X3" s="33">
        <v>1.0285373397780484E-2</v>
      </c>
      <c r="Y3" s="33">
        <v>1.0285373397780484E-2</v>
      </c>
      <c r="Z3" s="33">
        <v>0</v>
      </c>
      <c r="AA3" s="33">
        <v>0</v>
      </c>
      <c r="AB3" s="33">
        <v>0</v>
      </c>
      <c r="AC3" s="33">
        <v>0</v>
      </c>
      <c r="AD3" s="33">
        <v>0</v>
      </c>
      <c r="AE3" s="33">
        <v>0</v>
      </c>
      <c r="AF3" s="33"/>
      <c r="AG3" s="33"/>
      <c r="AH3" s="33"/>
      <c r="AI3" s="33"/>
      <c r="AJ3" s="33"/>
      <c r="AK3" s="33"/>
      <c r="AL3" s="33"/>
    </row>
    <row r="4" spans="1:38" ht="15.5">
      <c r="A4" s="31">
        <v>3</v>
      </c>
      <c r="B4" s="31" t="s">
        <v>15</v>
      </c>
      <c r="C4" s="31" t="s">
        <v>521</v>
      </c>
      <c r="D4" s="31" t="s">
        <v>3</v>
      </c>
      <c r="E4" s="31" t="s">
        <v>543</v>
      </c>
      <c r="F4" s="31">
        <v>2006</v>
      </c>
      <c r="G4" s="33" t="s">
        <v>17</v>
      </c>
      <c r="H4" s="33">
        <v>2.0991743803273958E-2</v>
      </c>
      <c r="I4" s="33">
        <v>2.0991743803273958E-2</v>
      </c>
      <c r="J4" s="33">
        <v>2.0991743803273958E-2</v>
      </c>
      <c r="K4" s="33">
        <v>2.0991743803273958E-2</v>
      </c>
      <c r="L4" s="33">
        <v>2.0991743803273958E-2</v>
      </c>
      <c r="M4" s="33">
        <v>2.0991743803273958E-2</v>
      </c>
      <c r="N4" s="33">
        <v>2.0991743803273958E-2</v>
      </c>
      <c r="O4" s="33">
        <v>2.0991743803273958E-2</v>
      </c>
      <c r="P4" s="33">
        <v>2.0991743803273958E-2</v>
      </c>
      <c r="Q4" s="33">
        <v>2.0991743803273958E-2</v>
      </c>
      <c r="R4" s="33">
        <v>2.0991743803273958E-2</v>
      </c>
      <c r="S4" s="33">
        <v>2.0991743803273958E-2</v>
      </c>
      <c r="T4" s="33">
        <v>2.0991743803273958E-2</v>
      </c>
      <c r="U4" s="33">
        <v>2.0991743803273958E-2</v>
      </c>
      <c r="V4" s="33">
        <v>2.0991743803273958E-2</v>
      </c>
      <c r="W4" s="33">
        <v>1.7344569381220296E-2</v>
      </c>
      <c r="X4" s="33">
        <v>1.7344569381220296E-2</v>
      </c>
      <c r="Y4" s="33">
        <v>1.7344569381220296E-2</v>
      </c>
      <c r="Z4" s="33">
        <v>7.7685709105042593E-4</v>
      </c>
      <c r="AA4" s="33">
        <v>7.7685709105042593E-4</v>
      </c>
      <c r="AB4" s="33">
        <v>0</v>
      </c>
      <c r="AC4" s="33">
        <v>0</v>
      </c>
      <c r="AD4" s="33">
        <v>0</v>
      </c>
      <c r="AE4" s="33">
        <v>0</v>
      </c>
      <c r="AF4" s="33"/>
      <c r="AG4" s="33"/>
      <c r="AH4" s="33"/>
      <c r="AI4" s="33"/>
      <c r="AJ4" s="33"/>
      <c r="AK4" s="33"/>
      <c r="AL4" s="33"/>
    </row>
    <row r="5" spans="1:38" ht="15.5">
      <c r="A5" s="31">
        <v>4</v>
      </c>
      <c r="B5" s="31" t="s">
        <v>62</v>
      </c>
      <c r="C5" s="31" t="s">
        <v>522</v>
      </c>
      <c r="D5" s="31" t="s">
        <v>3</v>
      </c>
      <c r="E5" s="31" t="s">
        <v>543</v>
      </c>
      <c r="F5" s="31">
        <v>2006</v>
      </c>
      <c r="G5" s="33" t="s">
        <v>71</v>
      </c>
      <c r="H5" s="33">
        <v>1.8056307353830989</v>
      </c>
      <c r="I5" s="33">
        <v>0</v>
      </c>
      <c r="J5" s="33">
        <v>0</v>
      </c>
      <c r="K5" s="33">
        <v>0</v>
      </c>
      <c r="L5" s="33">
        <v>0</v>
      </c>
      <c r="M5" s="33">
        <v>0</v>
      </c>
      <c r="N5" s="33">
        <v>0</v>
      </c>
      <c r="O5" s="33">
        <v>0</v>
      </c>
      <c r="P5" s="33">
        <v>0</v>
      </c>
      <c r="Q5" s="33">
        <v>0</v>
      </c>
      <c r="R5" s="33">
        <v>0</v>
      </c>
      <c r="S5" s="33">
        <v>0</v>
      </c>
      <c r="T5" s="33">
        <v>0</v>
      </c>
      <c r="U5" s="33">
        <v>0</v>
      </c>
      <c r="V5" s="33">
        <v>0</v>
      </c>
      <c r="W5" s="33">
        <v>0</v>
      </c>
      <c r="X5" s="33">
        <v>0</v>
      </c>
      <c r="Y5" s="33">
        <v>0</v>
      </c>
      <c r="Z5" s="33">
        <v>0</v>
      </c>
      <c r="AA5" s="33">
        <v>0</v>
      </c>
      <c r="AB5" s="33">
        <v>0</v>
      </c>
      <c r="AC5" s="33">
        <v>0</v>
      </c>
      <c r="AD5" s="33">
        <v>0</v>
      </c>
      <c r="AE5" s="33">
        <v>0</v>
      </c>
      <c r="AF5" s="33"/>
      <c r="AG5" s="33"/>
      <c r="AH5" s="33"/>
      <c r="AI5" s="33"/>
      <c r="AJ5" s="33"/>
      <c r="AK5" s="33"/>
      <c r="AL5" s="33"/>
    </row>
    <row r="6" spans="1:38" ht="15.5">
      <c r="A6" s="31">
        <v>5</v>
      </c>
      <c r="B6" s="31" t="s">
        <v>62</v>
      </c>
      <c r="C6" s="31" t="s">
        <v>63</v>
      </c>
      <c r="D6" s="31" t="s">
        <v>3</v>
      </c>
      <c r="E6" s="31" t="s">
        <v>543</v>
      </c>
      <c r="F6" s="31">
        <v>2006</v>
      </c>
      <c r="G6" s="33" t="s">
        <v>71</v>
      </c>
      <c r="H6" s="33">
        <v>8.837801039149204E-2</v>
      </c>
      <c r="I6" s="33">
        <v>0</v>
      </c>
      <c r="J6" s="33">
        <v>0</v>
      </c>
      <c r="K6" s="33">
        <v>0</v>
      </c>
      <c r="L6" s="33">
        <v>0</v>
      </c>
      <c r="M6" s="33">
        <v>0</v>
      </c>
      <c r="N6" s="33">
        <v>0</v>
      </c>
      <c r="O6" s="33">
        <v>0</v>
      </c>
      <c r="P6" s="33">
        <v>0</v>
      </c>
      <c r="Q6" s="33">
        <v>0</v>
      </c>
      <c r="R6" s="33">
        <v>0</v>
      </c>
      <c r="S6" s="33">
        <v>0</v>
      </c>
      <c r="T6" s="33">
        <v>0</v>
      </c>
      <c r="U6" s="33">
        <v>0</v>
      </c>
      <c r="V6" s="33">
        <v>0</v>
      </c>
      <c r="W6" s="33">
        <v>0</v>
      </c>
      <c r="X6" s="33">
        <v>0</v>
      </c>
      <c r="Y6" s="33">
        <v>0</v>
      </c>
      <c r="Z6" s="33">
        <v>0</v>
      </c>
      <c r="AA6" s="33">
        <v>0</v>
      </c>
      <c r="AB6" s="33">
        <v>0</v>
      </c>
      <c r="AC6" s="33">
        <v>0</v>
      </c>
      <c r="AD6" s="33">
        <v>0</v>
      </c>
      <c r="AE6" s="33">
        <v>0</v>
      </c>
      <c r="AF6" s="33"/>
      <c r="AG6" s="33"/>
      <c r="AH6" s="33"/>
      <c r="AI6" s="33"/>
      <c r="AJ6" s="33"/>
      <c r="AK6" s="33"/>
      <c r="AL6" s="33"/>
    </row>
    <row r="7" spans="1:38" ht="15.5">
      <c r="A7" s="31">
        <v>6</v>
      </c>
      <c r="B7" s="31" t="s">
        <v>15</v>
      </c>
      <c r="C7" s="31" t="s">
        <v>523</v>
      </c>
      <c r="D7" s="31" t="s">
        <v>3</v>
      </c>
      <c r="E7" s="31" t="s">
        <v>543</v>
      </c>
      <c r="F7" s="31">
        <v>2007</v>
      </c>
      <c r="G7" s="33" t="s">
        <v>17</v>
      </c>
      <c r="H7" s="33">
        <v>0</v>
      </c>
      <c r="I7" s="33">
        <v>7.6386844005982358E-3</v>
      </c>
      <c r="J7" s="33">
        <v>7.6386844005982358E-3</v>
      </c>
      <c r="K7" s="33">
        <v>7.6386844005982358E-3</v>
      </c>
      <c r="L7" s="33">
        <v>7.6386844005982358E-3</v>
      </c>
      <c r="M7" s="33">
        <v>6.912571631395646E-3</v>
      </c>
      <c r="N7" s="33">
        <v>6.912571631395646E-3</v>
      </c>
      <c r="O7" s="33">
        <v>6.912571631395646E-3</v>
      </c>
      <c r="P7" s="33">
        <v>6.912571631395646E-3</v>
      </c>
      <c r="Q7" s="33">
        <v>5.454304174645117E-3</v>
      </c>
      <c r="R7" s="33">
        <v>0</v>
      </c>
      <c r="S7" s="33">
        <v>0</v>
      </c>
      <c r="T7" s="33">
        <v>0</v>
      </c>
      <c r="U7" s="33">
        <v>0</v>
      </c>
      <c r="V7" s="33">
        <v>0</v>
      </c>
      <c r="W7" s="33">
        <v>0</v>
      </c>
      <c r="X7" s="33">
        <v>0</v>
      </c>
      <c r="Y7" s="33">
        <v>0</v>
      </c>
      <c r="Z7" s="33">
        <v>0</v>
      </c>
      <c r="AA7" s="33">
        <v>0</v>
      </c>
      <c r="AB7" s="33">
        <v>0</v>
      </c>
      <c r="AC7" s="33">
        <v>0</v>
      </c>
      <c r="AD7" s="33">
        <v>0</v>
      </c>
      <c r="AE7" s="33">
        <v>0</v>
      </c>
      <c r="AF7" s="33"/>
      <c r="AG7" s="33"/>
      <c r="AH7" s="33"/>
      <c r="AI7" s="33"/>
      <c r="AJ7" s="33"/>
      <c r="AK7" s="33"/>
      <c r="AL7" s="33"/>
    </row>
    <row r="8" spans="1:38" ht="15.5">
      <c r="A8" s="31">
        <v>7</v>
      </c>
      <c r="B8" s="31" t="s">
        <v>15</v>
      </c>
      <c r="C8" s="31" t="s">
        <v>520</v>
      </c>
      <c r="D8" s="31" t="s">
        <v>3</v>
      </c>
      <c r="E8" s="31" t="s">
        <v>543</v>
      </c>
      <c r="F8" s="31">
        <v>2007</v>
      </c>
      <c r="G8" s="33" t="s">
        <v>17</v>
      </c>
      <c r="H8" s="33">
        <v>0</v>
      </c>
      <c r="I8" s="33">
        <v>7.8646473081810886E-2</v>
      </c>
      <c r="J8" s="33">
        <v>7.8646473081810886E-2</v>
      </c>
      <c r="K8" s="33">
        <v>7.8646473081810886E-2</v>
      </c>
      <c r="L8" s="33">
        <v>7.8646473081810886E-2</v>
      </c>
      <c r="M8" s="33">
        <v>7.8646473081810886E-2</v>
      </c>
      <c r="N8" s="33">
        <v>7.253551237082799E-2</v>
      </c>
      <c r="O8" s="33">
        <v>7.253551237082799E-2</v>
      </c>
      <c r="P8" s="33">
        <v>7.253551237082799E-2</v>
      </c>
      <c r="Q8" s="33">
        <v>7.253551237082799E-2</v>
      </c>
      <c r="R8" s="33">
        <v>7.253551237082799E-2</v>
      </c>
      <c r="S8" s="33">
        <v>7.253551237082799E-2</v>
      </c>
      <c r="T8" s="33">
        <v>7.253551237082799E-2</v>
      </c>
      <c r="U8" s="33">
        <v>7.253551237082799E-2</v>
      </c>
      <c r="V8" s="33">
        <v>7.253551237082799E-2</v>
      </c>
      <c r="W8" s="33">
        <v>7.253551237082799E-2</v>
      </c>
      <c r="X8" s="33">
        <v>1.3464568800130318E-2</v>
      </c>
      <c r="Y8" s="33">
        <v>1.3464568800130318E-2</v>
      </c>
      <c r="Z8" s="33">
        <v>1.3464568800130318E-2</v>
      </c>
      <c r="AA8" s="33">
        <v>0</v>
      </c>
      <c r="AB8" s="33">
        <v>0</v>
      </c>
      <c r="AC8" s="33">
        <v>0</v>
      </c>
      <c r="AD8" s="33">
        <v>0</v>
      </c>
      <c r="AE8" s="33">
        <v>0</v>
      </c>
      <c r="AF8" s="33"/>
      <c r="AG8" s="33"/>
      <c r="AH8" s="33"/>
      <c r="AI8" s="33"/>
      <c r="AJ8" s="33"/>
      <c r="AK8" s="33"/>
      <c r="AL8" s="33"/>
    </row>
    <row r="9" spans="1:38" ht="15.5">
      <c r="A9" s="31">
        <v>8</v>
      </c>
      <c r="B9" s="31" t="s">
        <v>15</v>
      </c>
      <c r="C9" s="31" t="s">
        <v>521</v>
      </c>
      <c r="D9" s="31" t="s">
        <v>3</v>
      </c>
      <c r="E9" s="31" t="s">
        <v>543</v>
      </c>
      <c r="F9" s="31">
        <v>2007</v>
      </c>
      <c r="G9" s="33" t="s">
        <v>17</v>
      </c>
      <c r="H9" s="33">
        <v>0</v>
      </c>
      <c r="I9" s="33">
        <v>2.7360536093088448E-2</v>
      </c>
      <c r="J9" s="33">
        <v>2.4793259388238696E-2</v>
      </c>
      <c r="K9" s="33">
        <v>2.4793259388238696E-2</v>
      </c>
      <c r="L9" s="33">
        <v>2.4793259388238696E-2</v>
      </c>
      <c r="M9" s="33">
        <v>2.4793259388238696E-2</v>
      </c>
      <c r="N9" s="33">
        <v>2.4793259388238696E-2</v>
      </c>
      <c r="O9" s="33">
        <v>2.4793259388238696E-2</v>
      </c>
      <c r="P9" s="33">
        <v>2.4793259388238696E-2</v>
      </c>
      <c r="Q9" s="33">
        <v>6.0313346606187656E-3</v>
      </c>
      <c r="R9" s="33">
        <v>6.0313346606187656E-3</v>
      </c>
      <c r="S9" s="33">
        <v>2.435997398561046E-4</v>
      </c>
      <c r="T9" s="33">
        <v>2.435997398561046E-4</v>
      </c>
      <c r="U9" s="33">
        <v>2.435997398561046E-4</v>
      </c>
      <c r="V9" s="33">
        <v>2.435997398561046E-4</v>
      </c>
      <c r="W9" s="33">
        <v>2.435997398561046E-4</v>
      </c>
      <c r="X9" s="33">
        <v>2.435997398561046E-4</v>
      </c>
      <c r="Y9" s="33">
        <v>9.0196762173339932E-5</v>
      </c>
      <c r="Z9" s="33">
        <v>9.0196762173339932E-5</v>
      </c>
      <c r="AA9" s="33">
        <v>0</v>
      </c>
      <c r="AB9" s="33">
        <v>0</v>
      </c>
      <c r="AC9" s="33">
        <v>0</v>
      </c>
      <c r="AD9" s="33">
        <v>0</v>
      </c>
      <c r="AE9" s="33">
        <v>0</v>
      </c>
      <c r="AF9" s="33"/>
      <c r="AG9" s="33"/>
      <c r="AH9" s="33"/>
      <c r="AI9" s="33"/>
      <c r="AJ9" s="33"/>
      <c r="AK9" s="33"/>
      <c r="AL9" s="33"/>
    </row>
    <row r="10" spans="1:38" ht="15.5">
      <c r="A10" s="31">
        <v>9</v>
      </c>
      <c r="B10" s="31" t="s">
        <v>65</v>
      </c>
      <c r="C10" s="31" t="s">
        <v>524</v>
      </c>
      <c r="D10" s="31" t="s">
        <v>3</v>
      </c>
      <c r="E10" s="31" t="s">
        <v>543</v>
      </c>
      <c r="F10" s="31">
        <v>2007</v>
      </c>
      <c r="G10" s="33" t="s">
        <v>58</v>
      </c>
      <c r="H10" s="33">
        <v>0</v>
      </c>
      <c r="I10" s="33">
        <v>0</v>
      </c>
      <c r="J10" s="33">
        <v>0</v>
      </c>
      <c r="K10" s="33">
        <v>0</v>
      </c>
      <c r="L10" s="33">
        <v>0</v>
      </c>
      <c r="M10" s="33">
        <v>0</v>
      </c>
      <c r="N10" s="33">
        <v>0</v>
      </c>
      <c r="O10" s="33">
        <v>0</v>
      </c>
      <c r="P10" s="33">
        <v>0</v>
      </c>
      <c r="Q10" s="33">
        <v>0</v>
      </c>
      <c r="R10" s="33">
        <v>0</v>
      </c>
      <c r="S10" s="33">
        <v>0</v>
      </c>
      <c r="T10" s="33">
        <v>0</v>
      </c>
      <c r="U10" s="33">
        <v>0</v>
      </c>
      <c r="V10" s="33">
        <v>0</v>
      </c>
      <c r="W10" s="33">
        <v>0</v>
      </c>
      <c r="X10" s="33">
        <v>0</v>
      </c>
      <c r="Y10" s="33">
        <v>0</v>
      </c>
      <c r="Z10" s="33">
        <v>0</v>
      </c>
      <c r="AA10" s="33">
        <v>0</v>
      </c>
      <c r="AB10" s="33">
        <v>0</v>
      </c>
      <c r="AC10" s="33">
        <v>0</v>
      </c>
      <c r="AD10" s="33">
        <v>0</v>
      </c>
      <c r="AE10" s="33">
        <v>0</v>
      </c>
      <c r="AF10" s="33"/>
      <c r="AG10" s="33"/>
      <c r="AH10" s="33"/>
      <c r="AI10" s="33"/>
      <c r="AJ10" s="33"/>
      <c r="AK10" s="33"/>
      <c r="AL10" s="33"/>
    </row>
    <row r="11" spans="1:38" ht="15.5">
      <c r="A11" s="31">
        <v>10</v>
      </c>
      <c r="B11" s="31" t="s">
        <v>15</v>
      </c>
      <c r="C11" s="31" t="s">
        <v>525</v>
      </c>
      <c r="D11" s="31" t="s">
        <v>3</v>
      </c>
      <c r="E11" s="31" t="s">
        <v>543</v>
      </c>
      <c r="F11" s="31">
        <v>2007</v>
      </c>
      <c r="G11" s="33" t="s">
        <v>17</v>
      </c>
      <c r="H11" s="33">
        <v>0</v>
      </c>
      <c r="I11" s="33">
        <v>0.18473848769829265</v>
      </c>
      <c r="J11" s="33">
        <v>5.5093734332415989E-2</v>
      </c>
      <c r="K11" s="33">
        <v>2.6526442324912462E-2</v>
      </c>
      <c r="L11" s="33">
        <v>2.6526442324912462E-2</v>
      </c>
      <c r="M11" s="33">
        <v>2.6526442324912462E-2</v>
      </c>
      <c r="N11" s="33">
        <v>2.6526442324912462E-2</v>
      </c>
      <c r="O11" s="33">
        <v>2.6526442324912462E-2</v>
      </c>
      <c r="P11" s="33">
        <v>2.6526442324912462E-2</v>
      </c>
      <c r="Q11" s="33">
        <v>2.6287774030029652E-2</v>
      </c>
      <c r="R11" s="33">
        <v>2.6287774030029652E-2</v>
      </c>
      <c r="S11" s="33">
        <v>2.6287774030029652E-2</v>
      </c>
      <c r="T11" s="33">
        <v>2.6287774030029652E-2</v>
      </c>
      <c r="U11" s="33">
        <v>2.6287774030029652E-2</v>
      </c>
      <c r="V11" s="33">
        <v>2.6287774030029652E-2</v>
      </c>
      <c r="W11" s="33">
        <v>0</v>
      </c>
      <c r="X11" s="33">
        <v>0</v>
      </c>
      <c r="Y11" s="33">
        <v>0</v>
      </c>
      <c r="Z11" s="33">
        <v>0</v>
      </c>
      <c r="AA11" s="33">
        <v>0</v>
      </c>
      <c r="AB11" s="33">
        <v>0</v>
      </c>
      <c r="AC11" s="33">
        <v>0</v>
      </c>
      <c r="AD11" s="33">
        <v>0</v>
      </c>
      <c r="AE11" s="33">
        <v>0</v>
      </c>
      <c r="AF11" s="33"/>
      <c r="AG11" s="33"/>
      <c r="AH11" s="33"/>
      <c r="AI11" s="33"/>
      <c r="AJ11" s="33"/>
      <c r="AK11" s="33"/>
      <c r="AL11" s="33"/>
    </row>
    <row r="12" spans="1:38" ht="15.5">
      <c r="A12" s="31">
        <v>11</v>
      </c>
      <c r="B12" s="31" t="s">
        <v>15</v>
      </c>
      <c r="C12" s="31" t="s">
        <v>526</v>
      </c>
      <c r="D12" s="31" t="s">
        <v>3</v>
      </c>
      <c r="E12" s="31" t="s">
        <v>543</v>
      </c>
      <c r="F12" s="31">
        <v>2007</v>
      </c>
      <c r="G12" s="33" t="s">
        <v>58</v>
      </c>
      <c r="H12" s="33">
        <v>0</v>
      </c>
      <c r="I12" s="33">
        <v>0</v>
      </c>
      <c r="J12" s="33">
        <v>0</v>
      </c>
      <c r="K12" s="33">
        <v>0</v>
      </c>
      <c r="L12" s="33">
        <v>0</v>
      </c>
      <c r="M12" s="33">
        <v>0</v>
      </c>
      <c r="N12" s="33">
        <v>0</v>
      </c>
      <c r="O12" s="33">
        <v>0</v>
      </c>
      <c r="P12" s="33">
        <v>0</v>
      </c>
      <c r="Q12" s="33">
        <v>0</v>
      </c>
      <c r="R12" s="33">
        <v>0</v>
      </c>
      <c r="S12" s="33">
        <v>0</v>
      </c>
      <c r="T12" s="33">
        <v>0</v>
      </c>
      <c r="U12" s="33">
        <v>0</v>
      </c>
      <c r="V12" s="33">
        <v>0</v>
      </c>
      <c r="W12" s="33">
        <v>0</v>
      </c>
      <c r="X12" s="33">
        <v>0</v>
      </c>
      <c r="Y12" s="33">
        <v>0</v>
      </c>
      <c r="Z12" s="33">
        <v>0</v>
      </c>
      <c r="AA12" s="33">
        <v>0</v>
      </c>
      <c r="AB12" s="33">
        <v>0</v>
      </c>
      <c r="AC12" s="33">
        <v>0</v>
      </c>
      <c r="AD12" s="33">
        <v>0</v>
      </c>
      <c r="AE12" s="33">
        <v>0</v>
      </c>
      <c r="AF12" s="33"/>
      <c r="AG12" s="33"/>
      <c r="AH12" s="33"/>
      <c r="AI12" s="33"/>
      <c r="AJ12" s="33"/>
      <c r="AK12" s="33"/>
      <c r="AL12" s="33"/>
    </row>
    <row r="13" spans="1:38" ht="15.5">
      <c r="A13" s="31">
        <v>12</v>
      </c>
      <c r="B13" s="31" t="s">
        <v>66</v>
      </c>
      <c r="C13" s="31" t="s">
        <v>527</v>
      </c>
      <c r="D13" s="31" t="s">
        <v>3</v>
      </c>
      <c r="E13" s="31" t="s">
        <v>543</v>
      </c>
      <c r="F13" s="31">
        <v>2007</v>
      </c>
      <c r="G13" s="33" t="s">
        <v>17</v>
      </c>
      <c r="H13" s="33">
        <v>0</v>
      </c>
      <c r="I13" s="33">
        <v>3.7263824999999996E-3</v>
      </c>
      <c r="J13" s="33">
        <v>3.7263824999999996E-3</v>
      </c>
      <c r="K13" s="33">
        <v>3.7263824999999996E-3</v>
      </c>
      <c r="L13" s="33">
        <v>3.7263824999999996E-3</v>
      </c>
      <c r="M13" s="33">
        <v>3.7263824999999996E-3</v>
      </c>
      <c r="N13" s="33">
        <v>3.7263824999999996E-3</v>
      </c>
      <c r="O13" s="33">
        <v>3.7263824999999996E-3</v>
      </c>
      <c r="P13" s="33">
        <v>3.7263824999999996E-3</v>
      </c>
      <c r="Q13" s="33">
        <v>3.7263824999999996E-3</v>
      </c>
      <c r="R13" s="33">
        <v>3.7263824999999996E-3</v>
      </c>
      <c r="S13" s="33">
        <v>3.7263824999999996E-3</v>
      </c>
      <c r="T13" s="33">
        <v>3.7263824999999996E-3</v>
      </c>
      <c r="U13" s="33">
        <v>3.7263824999999996E-3</v>
      </c>
      <c r="V13" s="33">
        <v>3.7263824999999996E-3</v>
      </c>
      <c r="W13" s="33">
        <v>0</v>
      </c>
      <c r="X13" s="33">
        <v>0</v>
      </c>
      <c r="Y13" s="33">
        <v>0</v>
      </c>
      <c r="Z13" s="33">
        <v>0</v>
      </c>
      <c r="AA13" s="33">
        <v>0</v>
      </c>
      <c r="AB13" s="33">
        <v>0</v>
      </c>
      <c r="AC13" s="33">
        <v>0</v>
      </c>
      <c r="AD13" s="33">
        <v>0</v>
      </c>
      <c r="AE13" s="33">
        <v>0</v>
      </c>
      <c r="AF13" s="33"/>
      <c r="AG13" s="33"/>
      <c r="AH13" s="33"/>
      <c r="AI13" s="33"/>
      <c r="AJ13" s="33"/>
      <c r="AK13" s="33"/>
      <c r="AL13" s="33"/>
    </row>
    <row r="14" spans="1:38" ht="15.5">
      <c r="A14" s="31">
        <v>13</v>
      </c>
      <c r="B14" s="31" t="s">
        <v>66</v>
      </c>
      <c r="C14" s="31" t="s">
        <v>528</v>
      </c>
      <c r="D14" s="31" t="s">
        <v>3</v>
      </c>
      <c r="E14" s="31" t="s">
        <v>543</v>
      </c>
      <c r="F14" s="31">
        <v>2007</v>
      </c>
      <c r="G14" s="33" t="s">
        <v>17</v>
      </c>
      <c r="H14" s="33">
        <v>0</v>
      </c>
      <c r="I14" s="33">
        <v>7.5553826221084076E-3</v>
      </c>
      <c r="J14" s="33">
        <v>7.5553826221084076E-3</v>
      </c>
      <c r="K14" s="33">
        <v>7.5553826221084076E-3</v>
      </c>
      <c r="L14" s="33">
        <v>7.5553826221084076E-3</v>
      </c>
      <c r="M14" s="33">
        <v>7.5553826221084076E-3</v>
      </c>
      <c r="N14" s="33">
        <v>7.5553826221084076E-3</v>
      </c>
      <c r="O14" s="33">
        <v>7.5553826221084076E-3</v>
      </c>
      <c r="P14" s="33">
        <v>7.5553826221084076E-3</v>
      </c>
      <c r="Q14" s="33">
        <v>7.5553826221084076E-3</v>
      </c>
      <c r="R14" s="33">
        <v>7.5553826221084076E-3</v>
      </c>
      <c r="S14" s="33">
        <v>0</v>
      </c>
      <c r="T14" s="33">
        <v>0</v>
      </c>
      <c r="U14" s="33">
        <v>0</v>
      </c>
      <c r="V14" s="33">
        <v>0</v>
      </c>
      <c r="W14" s="33">
        <v>0</v>
      </c>
      <c r="X14" s="33">
        <v>0</v>
      </c>
      <c r="Y14" s="33">
        <v>0</v>
      </c>
      <c r="Z14" s="33">
        <v>0</v>
      </c>
      <c r="AA14" s="33">
        <v>0</v>
      </c>
      <c r="AB14" s="33">
        <v>0</v>
      </c>
      <c r="AC14" s="33">
        <v>0</v>
      </c>
      <c r="AD14" s="33">
        <v>0</v>
      </c>
      <c r="AE14" s="33">
        <v>0</v>
      </c>
      <c r="AF14" s="33"/>
      <c r="AG14" s="33"/>
      <c r="AH14" s="33"/>
      <c r="AI14" s="33"/>
      <c r="AJ14" s="33"/>
      <c r="AK14" s="33"/>
      <c r="AL14" s="33"/>
    </row>
    <row r="15" spans="1:38" ht="15.5">
      <c r="A15" s="31">
        <v>14</v>
      </c>
      <c r="B15" s="31" t="s">
        <v>66</v>
      </c>
      <c r="C15" s="31" t="s">
        <v>529</v>
      </c>
      <c r="D15" s="31" t="s">
        <v>3</v>
      </c>
      <c r="E15" s="31" t="s">
        <v>543</v>
      </c>
      <c r="F15" s="31">
        <v>2007</v>
      </c>
      <c r="G15" s="33" t="s">
        <v>17</v>
      </c>
      <c r="H15" s="33">
        <v>0</v>
      </c>
      <c r="I15" s="33">
        <v>2.6126666666666666E-2</v>
      </c>
      <c r="J15" s="33">
        <v>2.6126666666666666E-2</v>
      </c>
      <c r="K15" s="33">
        <v>2.6126666666666666E-2</v>
      </c>
      <c r="L15" s="33">
        <v>2.6126666666666666E-2</v>
      </c>
      <c r="M15" s="33">
        <v>2.6126666666666666E-2</v>
      </c>
      <c r="N15" s="33">
        <v>2.6126666666666666E-2</v>
      </c>
      <c r="O15" s="33">
        <v>2.6126666666666666E-2</v>
      </c>
      <c r="P15" s="33">
        <v>2.6126666666666666E-2</v>
      </c>
      <c r="Q15" s="33">
        <v>2.6126666666666666E-2</v>
      </c>
      <c r="R15" s="33">
        <v>2.6126666666666666E-2</v>
      </c>
      <c r="S15" s="33">
        <v>2.6126666666666666E-2</v>
      </c>
      <c r="T15" s="33">
        <v>2.6126666666666666E-2</v>
      </c>
      <c r="U15" s="33">
        <v>2.6126666666666666E-2</v>
      </c>
      <c r="V15" s="33">
        <v>2.6126666666666666E-2</v>
      </c>
      <c r="W15" s="33">
        <v>2.6126666666666666E-2</v>
      </c>
      <c r="X15" s="33">
        <v>2.6126666666666666E-2</v>
      </c>
      <c r="Y15" s="33">
        <v>2.6126666666666666E-2</v>
      </c>
      <c r="Z15" s="33">
        <v>2.6126666666666666E-2</v>
      </c>
      <c r="AA15" s="33">
        <v>2.6126666666666666E-2</v>
      </c>
      <c r="AB15" s="33">
        <v>0</v>
      </c>
      <c r="AC15" s="33">
        <v>0</v>
      </c>
      <c r="AD15" s="33">
        <v>0</v>
      </c>
      <c r="AE15" s="33">
        <v>0</v>
      </c>
      <c r="AF15" s="33"/>
      <c r="AG15" s="33"/>
      <c r="AH15" s="33"/>
      <c r="AI15" s="33"/>
      <c r="AJ15" s="33"/>
      <c r="AK15" s="33"/>
      <c r="AL15" s="33"/>
    </row>
    <row r="16" spans="1:38" ht="15.5">
      <c r="A16" s="31">
        <v>15</v>
      </c>
      <c r="B16" s="31" t="s">
        <v>1</v>
      </c>
      <c r="C16" s="31" t="s">
        <v>530</v>
      </c>
      <c r="D16" s="31" t="s">
        <v>3</v>
      </c>
      <c r="E16" s="31" t="s">
        <v>543</v>
      </c>
      <c r="F16" s="31">
        <v>2007</v>
      </c>
      <c r="G16" s="33" t="s">
        <v>71</v>
      </c>
      <c r="H16" s="33">
        <v>0</v>
      </c>
      <c r="I16" s="33">
        <v>0</v>
      </c>
      <c r="J16" s="33">
        <v>0</v>
      </c>
      <c r="K16" s="33">
        <v>0</v>
      </c>
      <c r="L16" s="33">
        <v>0</v>
      </c>
      <c r="M16" s="33">
        <v>0</v>
      </c>
      <c r="N16" s="33">
        <v>0</v>
      </c>
      <c r="O16" s="33">
        <v>0</v>
      </c>
      <c r="P16" s="33">
        <v>0</v>
      </c>
      <c r="Q16" s="33">
        <v>0</v>
      </c>
      <c r="R16" s="33">
        <v>0</v>
      </c>
      <c r="S16" s="33">
        <v>0</v>
      </c>
      <c r="T16" s="33">
        <v>0</v>
      </c>
      <c r="U16" s="33">
        <v>0</v>
      </c>
      <c r="V16" s="33">
        <v>0</v>
      </c>
      <c r="W16" s="33">
        <v>0</v>
      </c>
      <c r="X16" s="33">
        <v>0</v>
      </c>
      <c r="Y16" s="33">
        <v>0</v>
      </c>
      <c r="Z16" s="33">
        <v>0</v>
      </c>
      <c r="AA16" s="33">
        <v>0</v>
      </c>
      <c r="AB16" s="33">
        <v>0</v>
      </c>
      <c r="AC16" s="33">
        <v>0</v>
      </c>
      <c r="AD16" s="33">
        <v>0</v>
      </c>
      <c r="AE16" s="33">
        <v>0</v>
      </c>
      <c r="AF16" s="33"/>
      <c r="AG16" s="33"/>
      <c r="AH16" s="33"/>
      <c r="AI16" s="33"/>
      <c r="AJ16" s="33"/>
      <c r="AK16" s="33"/>
      <c r="AL16" s="33"/>
    </row>
    <row r="17" spans="1:38" ht="15.5">
      <c r="A17" s="31">
        <v>16</v>
      </c>
      <c r="B17" s="31" t="s">
        <v>1</v>
      </c>
      <c r="C17" s="31" t="s">
        <v>139</v>
      </c>
      <c r="D17" s="31" t="s">
        <v>3</v>
      </c>
      <c r="E17" s="31" t="s">
        <v>543</v>
      </c>
      <c r="F17" s="31">
        <v>2007</v>
      </c>
      <c r="G17" s="33" t="s">
        <v>58</v>
      </c>
      <c r="H17" s="33">
        <v>0</v>
      </c>
      <c r="I17" s="33">
        <v>0</v>
      </c>
      <c r="J17" s="33">
        <v>0</v>
      </c>
      <c r="K17" s="33">
        <v>0</v>
      </c>
      <c r="L17" s="33">
        <v>0</v>
      </c>
      <c r="M17" s="33">
        <v>0</v>
      </c>
      <c r="N17" s="33">
        <v>0</v>
      </c>
      <c r="O17" s="33">
        <v>0</v>
      </c>
      <c r="P17" s="33">
        <v>0</v>
      </c>
      <c r="Q17" s="33">
        <v>0</v>
      </c>
      <c r="R17" s="33">
        <v>0</v>
      </c>
      <c r="S17" s="33">
        <v>0</v>
      </c>
      <c r="T17" s="33">
        <v>0</v>
      </c>
      <c r="U17" s="33">
        <v>0</v>
      </c>
      <c r="V17" s="33">
        <v>0</v>
      </c>
      <c r="W17" s="33">
        <v>0</v>
      </c>
      <c r="X17" s="33">
        <v>0</v>
      </c>
      <c r="Y17" s="33">
        <v>0</v>
      </c>
      <c r="Z17" s="33">
        <v>0</v>
      </c>
      <c r="AA17" s="33">
        <v>0</v>
      </c>
      <c r="AB17" s="33">
        <v>0</v>
      </c>
      <c r="AC17" s="33">
        <v>0</v>
      </c>
      <c r="AD17" s="33">
        <v>0</v>
      </c>
      <c r="AE17" s="33">
        <v>0</v>
      </c>
      <c r="AF17" s="33"/>
      <c r="AG17" s="33"/>
      <c r="AH17" s="33"/>
      <c r="AI17" s="33"/>
      <c r="AJ17" s="33"/>
      <c r="AK17" s="33"/>
      <c r="AL17" s="33"/>
    </row>
    <row r="18" spans="1:38" ht="15.5">
      <c r="A18" s="31">
        <v>17</v>
      </c>
      <c r="B18" s="31" t="s">
        <v>62</v>
      </c>
      <c r="C18" s="31" t="s">
        <v>522</v>
      </c>
      <c r="D18" s="31" t="s">
        <v>3</v>
      </c>
      <c r="E18" s="31" t="s">
        <v>543</v>
      </c>
      <c r="F18" s="31">
        <v>2007</v>
      </c>
      <c r="G18" s="33" t="s">
        <v>71</v>
      </c>
      <c r="H18" s="33">
        <v>0</v>
      </c>
      <c r="I18" s="33">
        <v>1.9100236982573271</v>
      </c>
      <c r="J18" s="33">
        <v>0</v>
      </c>
      <c r="K18" s="33">
        <v>0</v>
      </c>
      <c r="L18" s="33">
        <v>0</v>
      </c>
      <c r="M18" s="33">
        <v>0</v>
      </c>
      <c r="N18" s="33">
        <v>0</v>
      </c>
      <c r="O18" s="33">
        <v>0</v>
      </c>
      <c r="P18" s="33">
        <v>0</v>
      </c>
      <c r="Q18" s="33">
        <v>0</v>
      </c>
      <c r="R18" s="33">
        <v>0</v>
      </c>
      <c r="S18" s="33">
        <v>0</v>
      </c>
      <c r="T18" s="33">
        <v>0</v>
      </c>
      <c r="U18" s="33">
        <v>0</v>
      </c>
      <c r="V18" s="33">
        <v>0</v>
      </c>
      <c r="W18" s="33">
        <v>0</v>
      </c>
      <c r="X18" s="33">
        <v>0</v>
      </c>
      <c r="Y18" s="33">
        <v>0</v>
      </c>
      <c r="Z18" s="33">
        <v>0</v>
      </c>
      <c r="AA18" s="33">
        <v>0</v>
      </c>
      <c r="AB18" s="33">
        <v>0</v>
      </c>
      <c r="AC18" s="33">
        <v>0</v>
      </c>
      <c r="AD18" s="33">
        <v>0</v>
      </c>
      <c r="AE18" s="33">
        <v>0</v>
      </c>
      <c r="AF18" s="33"/>
      <c r="AG18" s="33"/>
      <c r="AH18" s="33"/>
      <c r="AI18" s="33"/>
      <c r="AJ18" s="33"/>
      <c r="AK18" s="33"/>
      <c r="AL18" s="33"/>
    </row>
    <row r="19" spans="1:38" ht="15.5">
      <c r="A19" s="31">
        <v>18</v>
      </c>
      <c r="B19" s="31" t="s">
        <v>62</v>
      </c>
      <c r="C19" s="31" t="s">
        <v>63</v>
      </c>
      <c r="D19" s="31" t="s">
        <v>3</v>
      </c>
      <c r="E19" s="31" t="s">
        <v>543</v>
      </c>
      <c r="F19" s="31">
        <v>2007</v>
      </c>
      <c r="G19" s="33" t="s">
        <v>71</v>
      </c>
      <c r="H19" s="33">
        <v>0</v>
      </c>
      <c r="I19" s="33">
        <v>0.15889278599021095</v>
      </c>
      <c r="J19" s="33">
        <v>0</v>
      </c>
      <c r="K19" s="33">
        <v>0</v>
      </c>
      <c r="L19" s="33">
        <v>0</v>
      </c>
      <c r="M19" s="33">
        <v>0</v>
      </c>
      <c r="N19" s="33">
        <v>0</v>
      </c>
      <c r="O19" s="33">
        <v>0</v>
      </c>
      <c r="P19" s="33">
        <v>0</v>
      </c>
      <c r="Q19" s="33">
        <v>0</v>
      </c>
      <c r="R19" s="33">
        <v>0</v>
      </c>
      <c r="S19" s="33">
        <v>0</v>
      </c>
      <c r="T19" s="33">
        <v>0</v>
      </c>
      <c r="U19" s="33">
        <v>0</v>
      </c>
      <c r="V19" s="33">
        <v>0</v>
      </c>
      <c r="W19" s="33">
        <v>0</v>
      </c>
      <c r="X19" s="33">
        <v>0</v>
      </c>
      <c r="Y19" s="33">
        <v>0</v>
      </c>
      <c r="Z19" s="33">
        <v>0</v>
      </c>
      <c r="AA19" s="33">
        <v>0</v>
      </c>
      <c r="AB19" s="33">
        <v>0</v>
      </c>
      <c r="AC19" s="33">
        <v>0</v>
      </c>
      <c r="AD19" s="33">
        <v>0</v>
      </c>
      <c r="AE19" s="33">
        <v>0</v>
      </c>
      <c r="AF19" s="33"/>
      <c r="AG19" s="33"/>
      <c r="AH19" s="33"/>
      <c r="AI19" s="33"/>
      <c r="AJ19" s="33"/>
      <c r="AK19" s="33"/>
      <c r="AL19" s="33"/>
    </row>
    <row r="20" spans="1:38" ht="15.5">
      <c r="A20" s="31">
        <v>19</v>
      </c>
      <c r="B20" s="31" t="s">
        <v>67</v>
      </c>
      <c r="C20" s="31" t="s">
        <v>531</v>
      </c>
      <c r="D20" s="31" t="s">
        <v>3</v>
      </c>
      <c r="E20" s="31" t="s">
        <v>543</v>
      </c>
      <c r="F20" s="31">
        <v>2007</v>
      </c>
      <c r="G20" s="33" t="s">
        <v>17</v>
      </c>
      <c r="H20" s="33">
        <v>0</v>
      </c>
      <c r="I20" s="33">
        <v>2.146E-2</v>
      </c>
      <c r="J20" s="33">
        <v>2.146E-2</v>
      </c>
      <c r="K20" s="33">
        <v>2.146E-2</v>
      </c>
      <c r="L20" s="33">
        <v>2.146E-2</v>
      </c>
      <c r="M20" s="33">
        <v>2.146E-2</v>
      </c>
      <c r="N20" s="33">
        <v>2.146E-2</v>
      </c>
      <c r="O20" s="33">
        <v>2.146E-2</v>
      </c>
      <c r="P20" s="33">
        <v>2.146E-2</v>
      </c>
      <c r="Q20" s="33">
        <v>2.146E-2</v>
      </c>
      <c r="R20" s="33">
        <v>2.146E-2</v>
      </c>
      <c r="S20" s="33">
        <v>2.146E-2</v>
      </c>
      <c r="T20" s="33">
        <v>2.146E-2</v>
      </c>
      <c r="U20" s="33">
        <v>2.146E-2</v>
      </c>
      <c r="V20" s="33">
        <v>2.146E-2</v>
      </c>
      <c r="W20" s="33">
        <v>2.146E-2</v>
      </c>
      <c r="X20" s="33">
        <v>2.146E-2</v>
      </c>
      <c r="Y20" s="33">
        <v>2.146E-2</v>
      </c>
      <c r="Z20" s="33">
        <v>2.146E-2</v>
      </c>
      <c r="AA20" s="33">
        <v>2.146E-2</v>
      </c>
      <c r="AB20" s="33">
        <v>2.146E-2</v>
      </c>
      <c r="AC20" s="33">
        <v>0</v>
      </c>
      <c r="AD20" s="33">
        <v>0</v>
      </c>
      <c r="AE20" s="33">
        <v>0</v>
      </c>
      <c r="AF20" s="33"/>
      <c r="AG20" s="33"/>
      <c r="AH20" s="33"/>
      <c r="AI20" s="33"/>
      <c r="AJ20" s="33"/>
      <c r="AK20" s="33"/>
      <c r="AL20" s="33"/>
    </row>
    <row r="21" spans="1:38" ht="15.5">
      <c r="A21" s="31">
        <v>20</v>
      </c>
      <c r="B21" s="31" t="s">
        <v>15</v>
      </c>
      <c r="C21" s="31" t="s">
        <v>523</v>
      </c>
      <c r="D21" s="31" t="s">
        <v>3</v>
      </c>
      <c r="E21" s="31" t="s">
        <v>543</v>
      </c>
      <c r="F21" s="31">
        <v>2008</v>
      </c>
      <c r="G21" s="33" t="s">
        <v>17</v>
      </c>
      <c r="H21" s="33">
        <v>0</v>
      </c>
      <c r="I21" s="33">
        <v>0</v>
      </c>
      <c r="J21" s="33">
        <v>1.2514288895960003E-2</v>
      </c>
      <c r="K21" s="33">
        <v>1.2514288895960003E-2</v>
      </c>
      <c r="L21" s="33">
        <v>1.2514288895960003E-2</v>
      </c>
      <c r="M21" s="33">
        <v>1.2514288895960003E-2</v>
      </c>
      <c r="N21" s="33">
        <v>1.1941168895960003E-2</v>
      </c>
      <c r="O21" s="33">
        <v>1.1941168895960003E-2</v>
      </c>
      <c r="P21" s="33">
        <v>1.1941168895960003E-2</v>
      </c>
      <c r="Q21" s="33">
        <v>1.1941168895960003E-2</v>
      </c>
      <c r="R21" s="33">
        <v>9.2565183699999994E-3</v>
      </c>
      <c r="S21" s="33">
        <v>0</v>
      </c>
      <c r="T21" s="33">
        <v>0</v>
      </c>
      <c r="U21" s="33">
        <v>0</v>
      </c>
      <c r="V21" s="33">
        <v>0</v>
      </c>
      <c r="W21" s="33">
        <v>0</v>
      </c>
      <c r="X21" s="33">
        <v>0</v>
      </c>
      <c r="Y21" s="33">
        <v>0</v>
      </c>
      <c r="Z21" s="33">
        <v>0</v>
      </c>
      <c r="AA21" s="33">
        <v>0</v>
      </c>
      <c r="AB21" s="33">
        <v>0</v>
      </c>
      <c r="AC21" s="33">
        <v>0</v>
      </c>
      <c r="AD21" s="33">
        <v>0</v>
      </c>
      <c r="AE21" s="33">
        <v>0</v>
      </c>
      <c r="AF21" s="33"/>
      <c r="AG21" s="33"/>
      <c r="AH21" s="33"/>
      <c r="AI21" s="33"/>
      <c r="AJ21" s="33"/>
      <c r="AK21" s="33"/>
      <c r="AL21" s="33"/>
    </row>
    <row r="22" spans="1:38" ht="15.5">
      <c r="A22" s="31">
        <v>21</v>
      </c>
      <c r="B22" s="31" t="s">
        <v>15</v>
      </c>
      <c r="C22" s="31" t="s">
        <v>532</v>
      </c>
      <c r="D22" s="31" t="s">
        <v>3</v>
      </c>
      <c r="E22" s="31" t="s">
        <v>543</v>
      </c>
      <c r="F22" s="31">
        <v>2008</v>
      </c>
      <c r="G22" s="33" t="s">
        <v>17</v>
      </c>
      <c r="H22" s="33">
        <v>0</v>
      </c>
      <c r="I22" s="33">
        <v>0</v>
      </c>
      <c r="J22" s="33">
        <v>7.3226482662845205E-2</v>
      </c>
      <c r="K22" s="33">
        <v>7.3226482662845205E-2</v>
      </c>
      <c r="L22" s="33">
        <v>7.3226482662845205E-2</v>
      </c>
      <c r="M22" s="33">
        <v>7.3226482662845205E-2</v>
      </c>
      <c r="N22" s="33">
        <v>7.3226482662845205E-2</v>
      </c>
      <c r="O22" s="33">
        <v>7.3226482662845205E-2</v>
      </c>
      <c r="P22" s="33">
        <v>7.3226482662845205E-2</v>
      </c>
      <c r="Q22" s="33">
        <v>7.3226482662845205E-2</v>
      </c>
      <c r="R22" s="33">
        <v>7.3226482662845205E-2</v>
      </c>
      <c r="S22" s="33">
        <v>7.3226482662845205E-2</v>
      </c>
      <c r="T22" s="33">
        <v>7.3226482662845205E-2</v>
      </c>
      <c r="U22" s="33">
        <v>7.3226482662845205E-2</v>
      </c>
      <c r="V22" s="33">
        <v>7.3226482662845205E-2</v>
      </c>
      <c r="W22" s="33">
        <v>7.3226482662845205E-2</v>
      </c>
      <c r="X22" s="33">
        <v>7.3226482662845205E-2</v>
      </c>
      <c r="Y22" s="33">
        <v>5.9382090709696744E-2</v>
      </c>
      <c r="Z22" s="33">
        <v>5.9382090709696744E-2</v>
      </c>
      <c r="AA22" s="33">
        <v>5.9382090709696744E-2</v>
      </c>
      <c r="AB22" s="33">
        <v>0</v>
      </c>
      <c r="AC22" s="33">
        <v>0</v>
      </c>
      <c r="AD22" s="33">
        <v>0</v>
      </c>
      <c r="AE22" s="33">
        <v>0</v>
      </c>
      <c r="AF22" s="33"/>
      <c r="AG22" s="33"/>
      <c r="AH22" s="33"/>
      <c r="AI22" s="33"/>
      <c r="AJ22" s="33"/>
      <c r="AK22" s="33"/>
      <c r="AL22" s="33"/>
    </row>
    <row r="23" spans="1:38" ht="15.5">
      <c r="A23" s="31">
        <v>22</v>
      </c>
      <c r="B23" s="31" t="s">
        <v>15</v>
      </c>
      <c r="C23" s="31" t="s">
        <v>533</v>
      </c>
      <c r="D23" s="31" t="s">
        <v>3</v>
      </c>
      <c r="E23" s="31" t="s">
        <v>543</v>
      </c>
      <c r="F23" s="31">
        <v>2008</v>
      </c>
      <c r="G23" s="33" t="s">
        <v>17</v>
      </c>
      <c r="H23" s="33">
        <v>0</v>
      </c>
      <c r="I23" s="33">
        <v>0</v>
      </c>
      <c r="J23" s="33">
        <v>3.2001137256771957E-2</v>
      </c>
      <c r="K23" s="33">
        <v>3.0579226462291307E-2</v>
      </c>
      <c r="L23" s="33">
        <v>3.0579226462291307E-2</v>
      </c>
      <c r="M23" s="33">
        <v>3.0579226462291307E-2</v>
      </c>
      <c r="N23" s="33">
        <v>2.7794435564226144E-2</v>
      </c>
      <c r="O23" s="33">
        <v>2.7794435564226144E-2</v>
      </c>
      <c r="P23" s="33">
        <v>2.1380143290994958E-2</v>
      </c>
      <c r="Q23" s="33">
        <v>1.9213691127003774E-2</v>
      </c>
      <c r="R23" s="33">
        <v>1.4081555003652657E-2</v>
      </c>
      <c r="S23" s="33">
        <v>1.1359573148502024E-2</v>
      </c>
      <c r="T23" s="33">
        <v>1.0012830430589256E-2</v>
      </c>
      <c r="U23" s="33">
        <v>1.0012830430589256E-2</v>
      </c>
      <c r="V23" s="33">
        <v>4.9017613883593171E-3</v>
      </c>
      <c r="W23" s="33">
        <v>4.9017613883593171E-3</v>
      </c>
      <c r="X23" s="33">
        <v>4.9017613883593171E-3</v>
      </c>
      <c r="Y23" s="33">
        <v>4.9017613883593171E-3</v>
      </c>
      <c r="Z23" s="33">
        <v>0</v>
      </c>
      <c r="AA23" s="33">
        <v>0</v>
      </c>
      <c r="AB23" s="33">
        <v>0</v>
      </c>
      <c r="AC23" s="33">
        <v>0</v>
      </c>
      <c r="AD23" s="33">
        <v>0</v>
      </c>
      <c r="AE23" s="33">
        <v>0</v>
      </c>
      <c r="AF23" s="33"/>
      <c r="AG23" s="33"/>
      <c r="AH23" s="33"/>
      <c r="AI23" s="33"/>
      <c r="AJ23" s="33"/>
      <c r="AK23" s="33"/>
      <c r="AL23" s="33"/>
    </row>
    <row r="24" spans="1:38" ht="15.5">
      <c r="A24" s="31">
        <v>23</v>
      </c>
      <c r="B24" s="31" t="s">
        <v>65</v>
      </c>
      <c r="C24" s="31" t="s">
        <v>524</v>
      </c>
      <c r="D24" s="31" t="s">
        <v>3</v>
      </c>
      <c r="E24" s="31" t="s">
        <v>543</v>
      </c>
      <c r="F24" s="31">
        <v>2008</v>
      </c>
      <c r="G24" s="33" t="s">
        <v>58</v>
      </c>
      <c r="H24" s="33">
        <v>0</v>
      </c>
      <c r="I24" s="33">
        <v>0</v>
      </c>
      <c r="J24" s="33">
        <v>0</v>
      </c>
      <c r="K24" s="33">
        <v>0</v>
      </c>
      <c r="L24" s="33">
        <v>0</v>
      </c>
      <c r="M24" s="33">
        <v>0</v>
      </c>
      <c r="N24" s="33">
        <v>0</v>
      </c>
      <c r="O24" s="33">
        <v>0</v>
      </c>
      <c r="P24" s="33">
        <v>0</v>
      </c>
      <c r="Q24" s="33">
        <v>0</v>
      </c>
      <c r="R24" s="33">
        <v>0</v>
      </c>
      <c r="S24" s="33">
        <v>0</v>
      </c>
      <c r="T24" s="33">
        <v>0</v>
      </c>
      <c r="U24" s="33">
        <v>0</v>
      </c>
      <c r="V24" s="33">
        <v>0</v>
      </c>
      <c r="W24" s="33">
        <v>0</v>
      </c>
      <c r="X24" s="33">
        <v>0</v>
      </c>
      <c r="Y24" s="33">
        <v>0</v>
      </c>
      <c r="Z24" s="33">
        <v>0</v>
      </c>
      <c r="AA24" s="33">
        <v>0</v>
      </c>
      <c r="AB24" s="33">
        <v>0</v>
      </c>
      <c r="AC24" s="33">
        <v>0</v>
      </c>
      <c r="AD24" s="33">
        <v>0</v>
      </c>
      <c r="AE24" s="33">
        <v>0</v>
      </c>
      <c r="AF24" s="33"/>
      <c r="AG24" s="33"/>
      <c r="AH24" s="33"/>
      <c r="AI24" s="33"/>
      <c r="AJ24" s="33"/>
      <c r="AK24" s="33"/>
      <c r="AL24" s="33"/>
    </row>
    <row r="25" spans="1:38" ht="15.5">
      <c r="A25" s="31">
        <v>24</v>
      </c>
      <c r="B25" s="31" t="s">
        <v>15</v>
      </c>
      <c r="C25" s="31" t="s">
        <v>534</v>
      </c>
      <c r="D25" s="31" t="s">
        <v>3</v>
      </c>
      <c r="E25" s="31" t="s">
        <v>543</v>
      </c>
      <c r="F25" s="31">
        <v>2008</v>
      </c>
      <c r="G25" s="33" t="s">
        <v>17</v>
      </c>
      <c r="H25" s="33">
        <v>0</v>
      </c>
      <c r="I25" s="33">
        <v>0</v>
      </c>
      <c r="J25" s="33">
        <v>6.6546992181266945E-2</v>
      </c>
      <c r="K25" s="33">
        <v>3.8161664120042189E-2</v>
      </c>
      <c r="L25" s="33">
        <v>3.8161664120042189E-2</v>
      </c>
      <c r="M25" s="33">
        <v>3.8161664120042189E-2</v>
      </c>
      <c r="N25" s="33">
        <v>3.8161664120042189E-2</v>
      </c>
      <c r="O25" s="33">
        <v>3.8161664120042189E-2</v>
      </c>
      <c r="P25" s="33">
        <v>3.8161664120042189E-2</v>
      </c>
      <c r="Q25" s="33">
        <v>3.8161664120042189E-2</v>
      </c>
      <c r="R25" s="33">
        <v>3.6833533179924688E-2</v>
      </c>
      <c r="S25" s="33">
        <v>3.6833533179924688E-2</v>
      </c>
      <c r="T25" s="33">
        <v>3.6443636323965113E-2</v>
      </c>
      <c r="U25" s="33">
        <v>3.6443636323965113E-2</v>
      </c>
      <c r="V25" s="33">
        <v>3.6443636323965113E-2</v>
      </c>
      <c r="W25" s="33">
        <v>3.5980238530188807E-2</v>
      </c>
      <c r="X25" s="33">
        <v>3.580621443590911E-2</v>
      </c>
      <c r="Y25" s="33">
        <v>3.4039082115023371E-2</v>
      </c>
      <c r="Z25" s="33">
        <v>3.4039082115023371E-2</v>
      </c>
      <c r="AA25" s="33">
        <v>3.4039082115023371E-2</v>
      </c>
      <c r="AB25" s="33">
        <v>3.4039082115023371E-2</v>
      </c>
      <c r="AC25" s="33">
        <v>3.4039082115023371E-2</v>
      </c>
      <c r="AD25" s="33">
        <v>0</v>
      </c>
      <c r="AE25" s="33">
        <v>0</v>
      </c>
      <c r="AF25" s="33"/>
      <c r="AG25" s="33"/>
      <c r="AH25" s="33"/>
      <c r="AI25" s="33"/>
      <c r="AJ25" s="33"/>
      <c r="AK25" s="33"/>
      <c r="AL25" s="33"/>
    </row>
    <row r="26" spans="1:38" ht="15.5">
      <c r="A26" s="31">
        <v>25</v>
      </c>
      <c r="B26" s="31" t="s">
        <v>65</v>
      </c>
      <c r="C26" s="31" t="s">
        <v>530</v>
      </c>
      <c r="D26" s="31" t="s">
        <v>3</v>
      </c>
      <c r="E26" s="31" t="s">
        <v>543</v>
      </c>
      <c r="F26" s="31">
        <v>2008</v>
      </c>
      <c r="G26" s="33" t="s">
        <v>71</v>
      </c>
      <c r="H26" s="33">
        <v>0</v>
      </c>
      <c r="I26" s="33">
        <v>0</v>
      </c>
      <c r="J26" s="33">
        <v>0.17699903062552166</v>
      </c>
      <c r="K26" s="33">
        <v>0.17700302476915533</v>
      </c>
      <c r="L26" s="33">
        <v>0.17700302476915533</v>
      </c>
      <c r="M26" s="33">
        <v>0.17700302476915533</v>
      </c>
      <c r="N26" s="33">
        <v>0.17700302476915533</v>
      </c>
      <c r="O26" s="33">
        <v>0.17700302476915533</v>
      </c>
      <c r="P26" s="33">
        <v>0.17700302476915533</v>
      </c>
      <c r="Q26" s="33">
        <v>0.17700302476915533</v>
      </c>
      <c r="R26" s="33">
        <v>0.17436836293101649</v>
      </c>
      <c r="S26" s="33">
        <v>0.17436836293101649</v>
      </c>
      <c r="T26" s="33">
        <v>0.17436836293101649</v>
      </c>
      <c r="U26" s="33">
        <v>0.17436836293101649</v>
      </c>
      <c r="V26" s="33">
        <v>0.17436836293101649</v>
      </c>
      <c r="W26" s="33">
        <v>0.17436836293101649</v>
      </c>
      <c r="X26" s="33">
        <v>0.17436836293101649</v>
      </c>
      <c r="Y26" s="33">
        <v>0.16913731204308596</v>
      </c>
      <c r="Z26" s="33">
        <v>0</v>
      </c>
      <c r="AA26" s="33">
        <v>0</v>
      </c>
      <c r="AB26" s="33">
        <v>0</v>
      </c>
      <c r="AC26" s="33">
        <v>0</v>
      </c>
      <c r="AD26" s="33">
        <v>0</v>
      </c>
      <c r="AE26" s="33">
        <v>0</v>
      </c>
      <c r="AF26" s="33"/>
      <c r="AG26" s="33"/>
      <c r="AH26" s="33"/>
      <c r="AI26" s="33"/>
      <c r="AJ26" s="33"/>
      <c r="AK26" s="33"/>
      <c r="AL26" s="33"/>
    </row>
    <row r="27" spans="1:38" ht="15.5">
      <c r="A27" s="31">
        <v>26</v>
      </c>
      <c r="B27" s="31" t="s">
        <v>68</v>
      </c>
      <c r="C27" s="31" t="s">
        <v>139</v>
      </c>
      <c r="D27" s="31" t="s">
        <v>3</v>
      </c>
      <c r="E27" s="31" t="s">
        <v>543</v>
      </c>
      <c r="F27" s="31">
        <v>2008</v>
      </c>
      <c r="G27" s="33" t="s">
        <v>58</v>
      </c>
      <c r="H27" s="33">
        <v>0</v>
      </c>
      <c r="I27" s="33">
        <v>0</v>
      </c>
      <c r="J27" s="33">
        <v>0</v>
      </c>
      <c r="K27" s="33">
        <v>0</v>
      </c>
      <c r="L27" s="33">
        <v>0</v>
      </c>
      <c r="M27" s="33">
        <v>0</v>
      </c>
      <c r="N27" s="33">
        <v>0</v>
      </c>
      <c r="O27" s="33">
        <v>0</v>
      </c>
      <c r="P27" s="33">
        <v>0</v>
      </c>
      <c r="Q27" s="33">
        <v>0</v>
      </c>
      <c r="R27" s="33">
        <v>0</v>
      </c>
      <c r="S27" s="33">
        <v>0</v>
      </c>
      <c r="T27" s="33">
        <v>0</v>
      </c>
      <c r="U27" s="33">
        <v>0</v>
      </c>
      <c r="V27" s="33">
        <v>0</v>
      </c>
      <c r="W27" s="33">
        <v>0</v>
      </c>
      <c r="X27" s="33">
        <v>0</v>
      </c>
      <c r="Y27" s="33">
        <v>0</v>
      </c>
      <c r="Z27" s="33">
        <v>0</v>
      </c>
      <c r="AA27" s="33">
        <v>0</v>
      </c>
      <c r="AB27" s="33">
        <v>0</v>
      </c>
      <c r="AC27" s="33">
        <v>0</v>
      </c>
      <c r="AD27" s="33">
        <v>0</v>
      </c>
      <c r="AE27" s="33">
        <v>0</v>
      </c>
      <c r="AF27" s="33"/>
      <c r="AG27" s="33"/>
      <c r="AH27" s="33"/>
      <c r="AI27" s="33"/>
      <c r="AJ27" s="33"/>
      <c r="AK27" s="33"/>
      <c r="AL27" s="33"/>
    </row>
    <row r="28" spans="1:38" ht="15.5">
      <c r="A28" s="31">
        <v>27</v>
      </c>
      <c r="B28" s="31" t="s">
        <v>1</v>
      </c>
      <c r="C28" s="31" t="s">
        <v>42</v>
      </c>
      <c r="D28" s="31" t="s">
        <v>3</v>
      </c>
      <c r="E28" s="31" t="s">
        <v>543</v>
      </c>
      <c r="F28" s="31">
        <v>2008</v>
      </c>
      <c r="G28" s="33" t="s">
        <v>71</v>
      </c>
      <c r="H28" s="33">
        <v>0</v>
      </c>
      <c r="I28" s="33">
        <v>0</v>
      </c>
      <c r="J28" s="33">
        <v>2.2487549480987089E-3</v>
      </c>
      <c r="K28" s="33">
        <v>2.2487549480987089E-3</v>
      </c>
      <c r="L28" s="33">
        <v>2.2487549480987089E-3</v>
      </c>
      <c r="M28" s="33">
        <v>2.2487549480987089E-3</v>
      </c>
      <c r="N28" s="33">
        <v>2.2487549480987089E-3</v>
      </c>
      <c r="O28" s="33">
        <v>2.2487549480987089E-3</v>
      </c>
      <c r="P28" s="33">
        <v>2.2487549480987089E-3</v>
      </c>
      <c r="Q28" s="33">
        <v>2.2487549480987089E-3</v>
      </c>
      <c r="R28" s="33">
        <v>2.2487549480987089E-3</v>
      </c>
      <c r="S28" s="33">
        <v>2.2487549480987089E-3</v>
      </c>
      <c r="T28" s="33">
        <v>2.2487549480987089E-3</v>
      </c>
      <c r="U28" s="33">
        <v>2.2487549480987089E-3</v>
      </c>
      <c r="V28" s="33">
        <v>2.2487549480987089E-3</v>
      </c>
      <c r="W28" s="33">
        <v>2.2487549480987089E-3</v>
      </c>
      <c r="X28" s="33">
        <v>0</v>
      </c>
      <c r="Y28" s="33">
        <v>0</v>
      </c>
      <c r="Z28" s="33">
        <v>0</v>
      </c>
      <c r="AA28" s="33">
        <v>0</v>
      </c>
      <c r="AB28" s="33">
        <v>0</v>
      </c>
      <c r="AC28" s="33">
        <v>0</v>
      </c>
      <c r="AD28" s="33">
        <v>0</v>
      </c>
      <c r="AE28" s="33">
        <v>0</v>
      </c>
      <c r="AF28" s="33"/>
      <c r="AG28" s="33"/>
      <c r="AH28" s="33"/>
      <c r="AI28" s="33"/>
      <c r="AJ28" s="33"/>
      <c r="AK28" s="33"/>
      <c r="AL28" s="33"/>
    </row>
    <row r="29" spans="1:38" ht="15.5">
      <c r="A29" s="31">
        <v>28</v>
      </c>
      <c r="B29" s="31" t="s">
        <v>1</v>
      </c>
      <c r="C29" s="31" t="s">
        <v>535</v>
      </c>
      <c r="D29" s="31" t="s">
        <v>3</v>
      </c>
      <c r="E29" s="31" t="s">
        <v>543</v>
      </c>
      <c r="F29" s="31">
        <v>2008</v>
      </c>
      <c r="G29" s="33" t="s">
        <v>70</v>
      </c>
      <c r="H29" s="33">
        <v>0</v>
      </c>
      <c r="I29" s="33">
        <v>0</v>
      </c>
      <c r="J29" s="33">
        <v>0</v>
      </c>
      <c r="K29" s="33">
        <v>0</v>
      </c>
      <c r="L29" s="33">
        <v>0</v>
      </c>
      <c r="M29" s="33">
        <v>0</v>
      </c>
      <c r="N29" s="33">
        <v>0</v>
      </c>
      <c r="O29" s="33">
        <v>0</v>
      </c>
      <c r="P29" s="33">
        <v>0</v>
      </c>
      <c r="Q29" s="33">
        <v>0</v>
      </c>
      <c r="R29" s="33">
        <v>0</v>
      </c>
      <c r="S29" s="33">
        <v>0</v>
      </c>
      <c r="T29" s="33">
        <v>0</v>
      </c>
      <c r="U29" s="33">
        <v>0</v>
      </c>
      <c r="V29" s="33">
        <v>0</v>
      </c>
      <c r="W29" s="33">
        <v>0</v>
      </c>
      <c r="X29" s="33">
        <v>0</v>
      </c>
      <c r="Y29" s="33">
        <v>0</v>
      </c>
      <c r="Z29" s="33">
        <v>0</v>
      </c>
      <c r="AA29" s="33">
        <v>0</v>
      </c>
      <c r="AB29" s="33">
        <v>0</v>
      </c>
      <c r="AC29" s="33">
        <v>0</v>
      </c>
      <c r="AD29" s="33">
        <v>0</v>
      </c>
      <c r="AE29" s="33">
        <v>0</v>
      </c>
      <c r="AF29" s="33"/>
      <c r="AG29" s="33"/>
      <c r="AH29" s="33"/>
      <c r="AI29" s="33"/>
      <c r="AJ29" s="33"/>
      <c r="AK29" s="33"/>
      <c r="AL29" s="33"/>
    </row>
    <row r="30" spans="1:38" ht="15.5">
      <c r="A30" s="31">
        <v>29</v>
      </c>
      <c r="B30" s="31" t="s">
        <v>62</v>
      </c>
      <c r="C30" s="31" t="s">
        <v>522</v>
      </c>
      <c r="D30" s="31" t="s">
        <v>3</v>
      </c>
      <c r="E30" s="31" t="s">
        <v>543</v>
      </c>
      <c r="F30" s="31">
        <v>2008</v>
      </c>
      <c r="G30" s="33" t="s">
        <v>71</v>
      </c>
      <c r="H30" s="33">
        <v>0</v>
      </c>
      <c r="I30" s="33">
        <v>0</v>
      </c>
      <c r="J30" s="33">
        <v>2.9071771689317281</v>
      </c>
      <c r="K30" s="33">
        <v>0</v>
      </c>
      <c r="L30" s="33">
        <v>0</v>
      </c>
      <c r="M30" s="33">
        <v>0</v>
      </c>
      <c r="N30" s="33">
        <v>0</v>
      </c>
      <c r="O30" s="33">
        <v>0</v>
      </c>
      <c r="P30" s="33">
        <v>0</v>
      </c>
      <c r="Q30" s="33">
        <v>0</v>
      </c>
      <c r="R30" s="33">
        <v>0</v>
      </c>
      <c r="S30" s="33">
        <v>0</v>
      </c>
      <c r="T30" s="33">
        <v>0</v>
      </c>
      <c r="U30" s="33">
        <v>0</v>
      </c>
      <c r="V30" s="33">
        <v>0</v>
      </c>
      <c r="W30" s="33">
        <v>0</v>
      </c>
      <c r="X30" s="33">
        <v>0</v>
      </c>
      <c r="Y30" s="33">
        <v>0</v>
      </c>
      <c r="Z30" s="33">
        <v>0</v>
      </c>
      <c r="AA30" s="33">
        <v>0</v>
      </c>
      <c r="AB30" s="33">
        <v>0</v>
      </c>
      <c r="AC30" s="33">
        <v>0</v>
      </c>
      <c r="AD30" s="33">
        <v>0</v>
      </c>
      <c r="AE30" s="33">
        <v>0</v>
      </c>
      <c r="AF30" s="33"/>
      <c r="AG30" s="33"/>
      <c r="AH30" s="33"/>
      <c r="AI30" s="33"/>
      <c r="AJ30" s="33"/>
      <c r="AK30" s="33"/>
      <c r="AL30" s="33"/>
    </row>
    <row r="31" spans="1:38" ht="15.5">
      <c r="A31" s="31">
        <v>30</v>
      </c>
      <c r="B31" s="31" t="s">
        <v>62</v>
      </c>
      <c r="C31" s="31" t="s">
        <v>49</v>
      </c>
      <c r="D31" s="31" t="s">
        <v>3</v>
      </c>
      <c r="E31" s="31" t="s">
        <v>543</v>
      </c>
      <c r="F31" s="31">
        <v>2008</v>
      </c>
      <c r="G31" s="33" t="s">
        <v>71</v>
      </c>
      <c r="H31" s="33">
        <v>0</v>
      </c>
      <c r="I31" s="33">
        <v>0</v>
      </c>
      <c r="J31" s="33">
        <v>0.56218873702467731</v>
      </c>
      <c r="K31" s="33">
        <v>0</v>
      </c>
      <c r="L31" s="33">
        <v>0</v>
      </c>
      <c r="M31" s="33">
        <v>0</v>
      </c>
      <c r="N31" s="33">
        <v>0</v>
      </c>
      <c r="O31" s="33">
        <v>0</v>
      </c>
      <c r="P31" s="33">
        <v>0</v>
      </c>
      <c r="Q31" s="33">
        <v>0</v>
      </c>
      <c r="R31" s="33">
        <v>0</v>
      </c>
      <c r="S31" s="33">
        <v>0</v>
      </c>
      <c r="T31" s="33">
        <v>0</v>
      </c>
      <c r="U31" s="33">
        <v>0</v>
      </c>
      <c r="V31" s="33">
        <v>0</v>
      </c>
      <c r="W31" s="33">
        <v>0</v>
      </c>
      <c r="X31" s="33">
        <v>0</v>
      </c>
      <c r="Y31" s="33">
        <v>0</v>
      </c>
      <c r="Z31" s="33">
        <v>0</v>
      </c>
      <c r="AA31" s="33">
        <v>0</v>
      </c>
      <c r="AB31" s="33">
        <v>0</v>
      </c>
      <c r="AC31" s="33">
        <v>0</v>
      </c>
      <c r="AD31" s="33">
        <v>0</v>
      </c>
      <c r="AE31" s="33">
        <v>0</v>
      </c>
      <c r="AF31" s="33"/>
      <c r="AG31" s="33"/>
      <c r="AH31" s="33"/>
      <c r="AI31" s="33"/>
      <c r="AJ31" s="33"/>
      <c r="AK31" s="33"/>
      <c r="AL31" s="33"/>
    </row>
    <row r="32" spans="1:38" ht="15.5">
      <c r="A32" s="31">
        <v>31</v>
      </c>
      <c r="B32" s="31" t="s">
        <v>62</v>
      </c>
      <c r="C32" s="31" t="s">
        <v>63</v>
      </c>
      <c r="D32" s="31" t="s">
        <v>3</v>
      </c>
      <c r="E32" s="31" t="s">
        <v>543</v>
      </c>
      <c r="F32" s="31">
        <v>2008</v>
      </c>
      <c r="G32" s="33" t="s">
        <v>71</v>
      </c>
      <c r="H32" s="33">
        <v>0</v>
      </c>
      <c r="I32" s="33">
        <v>0</v>
      </c>
      <c r="J32" s="33">
        <v>0.19319450598224494</v>
      </c>
      <c r="K32" s="33">
        <v>0</v>
      </c>
      <c r="L32" s="33">
        <v>0</v>
      </c>
      <c r="M32" s="33">
        <v>0</v>
      </c>
      <c r="N32" s="33">
        <v>0</v>
      </c>
      <c r="O32" s="33">
        <v>0</v>
      </c>
      <c r="P32" s="33">
        <v>0</v>
      </c>
      <c r="Q32" s="33">
        <v>0</v>
      </c>
      <c r="R32" s="33">
        <v>0</v>
      </c>
      <c r="S32" s="33">
        <v>0</v>
      </c>
      <c r="T32" s="33">
        <v>0</v>
      </c>
      <c r="U32" s="33">
        <v>0</v>
      </c>
      <c r="V32" s="33">
        <v>0</v>
      </c>
      <c r="W32" s="33">
        <v>0</v>
      </c>
      <c r="X32" s="33">
        <v>0</v>
      </c>
      <c r="Y32" s="33">
        <v>0</v>
      </c>
      <c r="Z32" s="33">
        <v>0</v>
      </c>
      <c r="AA32" s="33">
        <v>0</v>
      </c>
      <c r="AB32" s="33">
        <v>0</v>
      </c>
      <c r="AC32" s="33">
        <v>0</v>
      </c>
      <c r="AD32" s="33">
        <v>0</v>
      </c>
      <c r="AE32" s="33">
        <v>0</v>
      </c>
      <c r="AF32" s="33"/>
      <c r="AG32" s="33"/>
      <c r="AH32" s="33"/>
      <c r="AI32" s="33"/>
      <c r="AJ32" s="33"/>
      <c r="AK32" s="33"/>
      <c r="AL32" s="33"/>
    </row>
    <row r="33" spans="1:38" ht="15.5">
      <c r="A33" s="31">
        <v>32</v>
      </c>
      <c r="B33" s="31" t="s">
        <v>65</v>
      </c>
      <c r="C33" s="31" t="s">
        <v>531</v>
      </c>
      <c r="D33" s="31" t="s">
        <v>3</v>
      </c>
      <c r="E33" s="31" t="s">
        <v>543</v>
      </c>
      <c r="F33" s="31">
        <v>2008</v>
      </c>
      <c r="G33" s="33" t="s">
        <v>17</v>
      </c>
      <c r="H33" s="33">
        <v>0</v>
      </c>
      <c r="I33" s="33">
        <v>0</v>
      </c>
      <c r="J33" s="33">
        <v>1.2230000000000001E-2</v>
      </c>
      <c r="K33" s="33">
        <v>1.2230000000000001E-2</v>
      </c>
      <c r="L33" s="33">
        <v>1.2230000000000001E-2</v>
      </c>
      <c r="M33" s="33">
        <v>1.2230000000000001E-2</v>
      </c>
      <c r="N33" s="33">
        <v>1.2230000000000001E-2</v>
      </c>
      <c r="O33" s="33">
        <v>1.2230000000000001E-2</v>
      </c>
      <c r="P33" s="33">
        <v>1.2230000000000001E-2</v>
      </c>
      <c r="Q33" s="33">
        <v>1.2230000000000001E-2</v>
      </c>
      <c r="R33" s="33">
        <v>1.2230000000000001E-2</v>
      </c>
      <c r="S33" s="33">
        <v>1.2230000000000001E-2</v>
      </c>
      <c r="T33" s="33">
        <v>1.2230000000000001E-2</v>
      </c>
      <c r="U33" s="33">
        <v>1.2230000000000001E-2</v>
      </c>
      <c r="V33" s="33">
        <v>1.2230000000000001E-2</v>
      </c>
      <c r="W33" s="33">
        <v>1.2230000000000001E-2</v>
      </c>
      <c r="X33" s="33">
        <v>1.2230000000000001E-2</v>
      </c>
      <c r="Y33" s="33">
        <v>1.2230000000000001E-2</v>
      </c>
      <c r="Z33" s="33">
        <v>1.2230000000000001E-2</v>
      </c>
      <c r="AA33" s="33">
        <v>1.2230000000000001E-2</v>
      </c>
      <c r="AB33" s="33">
        <v>1.2230000000000001E-2</v>
      </c>
      <c r="AC33" s="33">
        <v>1.2230000000000001E-2</v>
      </c>
      <c r="AD33" s="33">
        <v>0</v>
      </c>
      <c r="AE33" s="33">
        <v>0</v>
      </c>
      <c r="AF33" s="33"/>
      <c r="AG33" s="33"/>
      <c r="AH33" s="33"/>
      <c r="AI33" s="33"/>
      <c r="AJ33" s="33"/>
      <c r="AK33" s="33"/>
      <c r="AL33" s="33"/>
    </row>
    <row r="34" spans="1:38" ht="15.5">
      <c r="A34" s="31">
        <v>33</v>
      </c>
      <c r="B34" s="31" t="s">
        <v>1</v>
      </c>
      <c r="C34" s="31" t="s">
        <v>536</v>
      </c>
      <c r="D34" s="31" t="s">
        <v>3</v>
      </c>
      <c r="E34" s="31" t="s">
        <v>543</v>
      </c>
      <c r="F34" s="31">
        <v>2008</v>
      </c>
      <c r="G34" s="33" t="s">
        <v>17</v>
      </c>
      <c r="H34" s="33">
        <v>0</v>
      </c>
      <c r="I34" s="33">
        <v>0</v>
      </c>
      <c r="J34" s="33">
        <v>0</v>
      </c>
      <c r="K34" s="33">
        <v>0</v>
      </c>
      <c r="L34" s="33">
        <v>0</v>
      </c>
      <c r="M34" s="33">
        <v>0</v>
      </c>
      <c r="N34" s="33">
        <v>0</v>
      </c>
      <c r="O34" s="33">
        <v>0</v>
      </c>
      <c r="P34" s="33">
        <v>0</v>
      </c>
      <c r="Q34" s="33">
        <v>0</v>
      </c>
      <c r="R34" s="33">
        <v>0</v>
      </c>
      <c r="S34" s="33">
        <v>0</v>
      </c>
      <c r="T34" s="33">
        <v>0</v>
      </c>
      <c r="U34" s="33">
        <v>0</v>
      </c>
      <c r="V34" s="33">
        <v>0</v>
      </c>
      <c r="W34" s="33">
        <v>0</v>
      </c>
      <c r="X34" s="33">
        <v>0</v>
      </c>
      <c r="Y34" s="33">
        <v>0</v>
      </c>
      <c r="Z34" s="33">
        <v>0</v>
      </c>
      <c r="AA34" s="33">
        <v>0</v>
      </c>
      <c r="AB34" s="33">
        <v>0</v>
      </c>
      <c r="AC34" s="33">
        <v>0</v>
      </c>
      <c r="AD34" s="33">
        <v>0</v>
      </c>
      <c r="AE34" s="33">
        <v>0</v>
      </c>
      <c r="AF34" s="33"/>
      <c r="AG34" s="33"/>
      <c r="AH34" s="33"/>
      <c r="AI34" s="33"/>
      <c r="AJ34" s="33"/>
      <c r="AK34" s="33"/>
      <c r="AL34" s="33"/>
    </row>
    <row r="35" spans="1:38" ht="15.5">
      <c r="A35" s="31">
        <v>34</v>
      </c>
      <c r="B35" s="31" t="s">
        <v>62</v>
      </c>
      <c r="C35" s="31" t="s">
        <v>537</v>
      </c>
      <c r="D35" s="31" t="s">
        <v>3</v>
      </c>
      <c r="E35" s="31" t="s">
        <v>543</v>
      </c>
      <c r="F35" s="31">
        <v>2008</v>
      </c>
      <c r="G35" s="33" t="s">
        <v>58</v>
      </c>
      <c r="H35" s="33">
        <v>0</v>
      </c>
      <c r="I35" s="33">
        <v>0</v>
      </c>
      <c r="J35" s="33">
        <v>0</v>
      </c>
      <c r="K35" s="33">
        <v>0</v>
      </c>
      <c r="L35" s="33">
        <v>0</v>
      </c>
      <c r="M35" s="33">
        <v>0</v>
      </c>
      <c r="N35" s="33">
        <v>0</v>
      </c>
      <c r="O35" s="33">
        <v>0</v>
      </c>
      <c r="P35" s="33">
        <v>0</v>
      </c>
      <c r="Q35" s="33">
        <v>0</v>
      </c>
      <c r="R35" s="33">
        <v>0</v>
      </c>
      <c r="S35" s="33">
        <v>0</v>
      </c>
      <c r="T35" s="33">
        <v>0</v>
      </c>
      <c r="U35" s="33">
        <v>0</v>
      </c>
      <c r="V35" s="33">
        <v>0</v>
      </c>
      <c r="W35" s="33">
        <v>0</v>
      </c>
      <c r="X35" s="33">
        <v>0</v>
      </c>
      <c r="Y35" s="33">
        <v>0</v>
      </c>
      <c r="Z35" s="33">
        <v>0</v>
      </c>
      <c r="AA35" s="33">
        <v>0</v>
      </c>
      <c r="AB35" s="33">
        <v>0</v>
      </c>
      <c r="AC35" s="33">
        <v>0</v>
      </c>
      <c r="AD35" s="33">
        <v>0</v>
      </c>
      <c r="AE35" s="33">
        <v>0</v>
      </c>
      <c r="AF35" s="33"/>
      <c r="AG35" s="33"/>
      <c r="AH35" s="33"/>
      <c r="AI35" s="33"/>
      <c r="AJ35" s="33"/>
      <c r="AK35" s="33"/>
      <c r="AL35" s="33"/>
    </row>
    <row r="36" spans="1:38" ht="15.5">
      <c r="A36" s="31">
        <v>35</v>
      </c>
      <c r="B36" s="31" t="s">
        <v>15</v>
      </c>
      <c r="C36" s="31" t="s">
        <v>523</v>
      </c>
      <c r="D36" s="31" t="s">
        <v>3</v>
      </c>
      <c r="E36" s="31" t="s">
        <v>543</v>
      </c>
      <c r="F36" s="31">
        <v>2009</v>
      </c>
      <c r="G36" s="33" t="s">
        <v>17</v>
      </c>
      <c r="H36" s="33">
        <v>0</v>
      </c>
      <c r="I36" s="33">
        <v>0</v>
      </c>
      <c r="J36" s="33">
        <v>0</v>
      </c>
      <c r="K36" s="33">
        <v>1.7622945066093177E-2</v>
      </c>
      <c r="L36" s="33">
        <v>1.7622945066093177E-2</v>
      </c>
      <c r="M36" s="33">
        <v>1.7622945066093177E-2</v>
      </c>
      <c r="N36" s="33">
        <v>1.7007093418450196E-2</v>
      </c>
      <c r="O36" s="33">
        <v>1.206498763490913E-2</v>
      </c>
      <c r="P36" s="33">
        <v>0</v>
      </c>
      <c r="Q36" s="33">
        <v>0</v>
      </c>
      <c r="R36" s="33">
        <v>0</v>
      </c>
      <c r="S36" s="33">
        <v>0</v>
      </c>
      <c r="T36" s="33">
        <v>0</v>
      </c>
      <c r="U36" s="33">
        <v>0</v>
      </c>
      <c r="V36" s="33">
        <v>0</v>
      </c>
      <c r="W36" s="33">
        <v>0</v>
      </c>
      <c r="X36" s="33">
        <v>0</v>
      </c>
      <c r="Y36" s="33">
        <v>0</v>
      </c>
      <c r="Z36" s="33">
        <v>0</v>
      </c>
      <c r="AA36" s="33">
        <v>0</v>
      </c>
      <c r="AB36" s="33">
        <v>0</v>
      </c>
      <c r="AC36" s="33">
        <v>0</v>
      </c>
      <c r="AD36" s="33">
        <v>0</v>
      </c>
      <c r="AE36" s="33">
        <v>0</v>
      </c>
      <c r="AF36" s="33"/>
      <c r="AG36" s="33"/>
      <c r="AH36" s="33"/>
      <c r="AI36" s="33"/>
      <c r="AJ36" s="33"/>
      <c r="AK36" s="33"/>
      <c r="AL36" s="33"/>
    </row>
    <row r="37" spans="1:38" ht="15.5">
      <c r="A37" s="31">
        <v>36</v>
      </c>
      <c r="B37" s="31" t="s">
        <v>15</v>
      </c>
      <c r="C37" s="31" t="s">
        <v>532</v>
      </c>
      <c r="D37" s="31" t="s">
        <v>3</v>
      </c>
      <c r="E37" s="31" t="s">
        <v>543</v>
      </c>
      <c r="F37" s="31">
        <v>2009</v>
      </c>
      <c r="G37" s="33" t="s">
        <v>17</v>
      </c>
      <c r="H37" s="33">
        <v>0</v>
      </c>
      <c r="I37" s="33">
        <v>0</v>
      </c>
      <c r="J37" s="33">
        <v>0</v>
      </c>
      <c r="K37" s="33">
        <v>9.6339726886089508E-2</v>
      </c>
      <c r="L37" s="33">
        <v>9.6339726886089508E-2</v>
      </c>
      <c r="M37" s="33">
        <v>9.6339726886089508E-2</v>
      </c>
      <c r="N37" s="33">
        <v>9.5889283688434163E-2</v>
      </c>
      <c r="O37" s="33">
        <v>9.5814937154006352E-2</v>
      </c>
      <c r="P37" s="33">
        <v>9.5770686413772371E-2</v>
      </c>
      <c r="Q37" s="33">
        <v>9.5770686413772371E-2</v>
      </c>
      <c r="R37" s="33">
        <v>9.5770686413772371E-2</v>
      </c>
      <c r="S37" s="33">
        <v>9.5770686413772371E-2</v>
      </c>
      <c r="T37" s="33">
        <v>9.5770686413772371E-2</v>
      </c>
      <c r="U37" s="33">
        <v>9.4310611253790533E-2</v>
      </c>
      <c r="V37" s="33">
        <v>9.4310611253790533E-2</v>
      </c>
      <c r="W37" s="33">
        <v>9.4310611253790533E-2</v>
      </c>
      <c r="X37" s="33">
        <v>9.4310611253790533E-2</v>
      </c>
      <c r="Y37" s="33">
        <v>9.4310611253790533E-2</v>
      </c>
      <c r="Z37" s="33">
        <v>9.201755565670848E-2</v>
      </c>
      <c r="AA37" s="33">
        <v>9.201755565670848E-2</v>
      </c>
      <c r="AB37" s="33">
        <v>9.201755565670848E-2</v>
      </c>
      <c r="AC37" s="33">
        <v>6.7651123459698814E-2</v>
      </c>
      <c r="AD37" s="33">
        <v>0</v>
      </c>
      <c r="AE37" s="33">
        <v>0</v>
      </c>
      <c r="AF37" s="33"/>
      <c r="AG37" s="33"/>
      <c r="AH37" s="33"/>
      <c r="AI37" s="33"/>
      <c r="AJ37" s="33"/>
      <c r="AK37" s="33"/>
      <c r="AL37" s="33"/>
    </row>
    <row r="38" spans="1:38" ht="15.5">
      <c r="A38" s="31">
        <v>37</v>
      </c>
      <c r="B38" s="31" t="s">
        <v>15</v>
      </c>
      <c r="C38" s="31" t="s">
        <v>533</v>
      </c>
      <c r="D38" s="31" t="s">
        <v>3</v>
      </c>
      <c r="E38" s="31" t="s">
        <v>543</v>
      </c>
      <c r="F38" s="31">
        <v>2009</v>
      </c>
      <c r="G38" s="33" t="s">
        <v>17</v>
      </c>
      <c r="H38" s="33">
        <v>0</v>
      </c>
      <c r="I38" s="33">
        <v>0</v>
      </c>
      <c r="J38" s="33">
        <v>0</v>
      </c>
      <c r="K38" s="33">
        <v>2.5768014820738688E-2</v>
      </c>
      <c r="L38" s="33">
        <v>2.5332323263717503E-2</v>
      </c>
      <c r="M38" s="33">
        <v>2.5332323263717503E-2</v>
      </c>
      <c r="N38" s="33">
        <v>2.5332323263717503E-2</v>
      </c>
      <c r="O38" s="33">
        <v>2.5218581648874513E-2</v>
      </c>
      <c r="P38" s="33">
        <v>2.5218581648874513E-2</v>
      </c>
      <c r="Q38" s="33">
        <v>2.3372467239253285E-2</v>
      </c>
      <c r="R38" s="33">
        <v>2.3372467239253285E-2</v>
      </c>
      <c r="S38" s="33">
        <v>1.7872280585685924E-2</v>
      </c>
      <c r="T38" s="33">
        <v>1.7872280585685924E-2</v>
      </c>
      <c r="U38" s="33">
        <v>1.5862888668755945E-2</v>
      </c>
      <c r="V38" s="33">
        <v>1.5856285998175308E-2</v>
      </c>
      <c r="W38" s="33">
        <v>8.0605704408814403E-3</v>
      </c>
      <c r="X38" s="33">
        <v>8.0605704408814403E-3</v>
      </c>
      <c r="Y38" s="33">
        <v>7.6855221651858435E-3</v>
      </c>
      <c r="Z38" s="33">
        <v>1.3253665025346596E-3</v>
      </c>
      <c r="AA38" s="33">
        <v>5.9356034643395751E-4</v>
      </c>
      <c r="AB38" s="33">
        <v>5.9356034643395751E-4</v>
      </c>
      <c r="AC38" s="33">
        <v>3.7147291538171257E-4</v>
      </c>
      <c r="AD38" s="33">
        <v>3.7147291538171257E-4</v>
      </c>
      <c r="AE38" s="33">
        <v>0</v>
      </c>
      <c r="AF38" s="33"/>
      <c r="AG38" s="33"/>
      <c r="AH38" s="33"/>
      <c r="AI38" s="33"/>
      <c r="AJ38" s="33"/>
      <c r="AK38" s="33"/>
      <c r="AL38" s="33"/>
    </row>
    <row r="39" spans="1:38" ht="15.5">
      <c r="A39" s="31">
        <v>38</v>
      </c>
      <c r="B39" s="31" t="s">
        <v>65</v>
      </c>
      <c r="C39" s="31" t="s">
        <v>524</v>
      </c>
      <c r="D39" s="31" t="s">
        <v>3</v>
      </c>
      <c r="E39" s="31" t="s">
        <v>543</v>
      </c>
      <c r="F39" s="31">
        <v>2009</v>
      </c>
      <c r="G39" s="33" t="s">
        <v>58</v>
      </c>
      <c r="H39" s="33">
        <v>0</v>
      </c>
      <c r="I39" s="33">
        <v>0</v>
      </c>
      <c r="J39" s="33">
        <v>0</v>
      </c>
      <c r="K39" s="33">
        <v>0</v>
      </c>
      <c r="L39" s="33">
        <v>0</v>
      </c>
      <c r="M39" s="33">
        <v>0</v>
      </c>
      <c r="N39" s="33">
        <v>0</v>
      </c>
      <c r="O39" s="33">
        <v>0</v>
      </c>
      <c r="P39" s="33">
        <v>0</v>
      </c>
      <c r="Q39" s="33">
        <v>0</v>
      </c>
      <c r="R39" s="33">
        <v>0</v>
      </c>
      <c r="S39" s="33">
        <v>0</v>
      </c>
      <c r="T39" s="33">
        <v>0</v>
      </c>
      <c r="U39" s="33">
        <v>0</v>
      </c>
      <c r="V39" s="33">
        <v>0</v>
      </c>
      <c r="W39" s="33">
        <v>0</v>
      </c>
      <c r="X39" s="33">
        <v>0</v>
      </c>
      <c r="Y39" s="33">
        <v>0</v>
      </c>
      <c r="Z39" s="33">
        <v>0</v>
      </c>
      <c r="AA39" s="33">
        <v>0</v>
      </c>
      <c r="AB39" s="33">
        <v>0</v>
      </c>
      <c r="AC39" s="33">
        <v>0</v>
      </c>
      <c r="AD39" s="33">
        <v>0</v>
      </c>
      <c r="AE39" s="33">
        <v>0</v>
      </c>
      <c r="AF39" s="33"/>
      <c r="AG39" s="33"/>
      <c r="AH39" s="33"/>
      <c r="AI39" s="33"/>
      <c r="AJ39" s="33"/>
      <c r="AK39" s="33"/>
      <c r="AL39" s="33"/>
    </row>
    <row r="40" spans="1:38" ht="15.5">
      <c r="A40" s="31">
        <v>39</v>
      </c>
      <c r="B40" s="31" t="s">
        <v>65</v>
      </c>
      <c r="C40" s="31" t="s">
        <v>530</v>
      </c>
      <c r="D40" s="31" t="s">
        <v>3</v>
      </c>
      <c r="E40" s="31" t="s">
        <v>543</v>
      </c>
      <c r="F40" s="31">
        <v>2009</v>
      </c>
      <c r="G40" s="33" t="s">
        <v>71</v>
      </c>
      <c r="H40" s="33">
        <v>0</v>
      </c>
      <c r="I40" s="33">
        <v>0</v>
      </c>
      <c r="J40" s="33">
        <v>0</v>
      </c>
      <c r="K40" s="33">
        <v>8.3498803827751183E-2</v>
      </c>
      <c r="L40" s="33">
        <v>8.3498803827751183E-2</v>
      </c>
      <c r="M40" s="33">
        <v>8.3498803827751183E-2</v>
      </c>
      <c r="N40" s="33">
        <v>8.3498803827751183E-2</v>
      </c>
      <c r="O40" s="33">
        <v>8.3498803827751183E-2</v>
      </c>
      <c r="P40" s="33">
        <v>8.3498803827751183E-2</v>
      </c>
      <c r="Q40" s="33">
        <v>8.3498803827751183E-2</v>
      </c>
      <c r="R40" s="33">
        <v>6.0340909090909084E-2</v>
      </c>
      <c r="S40" s="33">
        <v>6.0340909090909084E-2</v>
      </c>
      <c r="T40" s="33">
        <v>6.0340909090909084E-2</v>
      </c>
      <c r="U40" s="33">
        <v>6.0340909090909084E-2</v>
      </c>
      <c r="V40" s="33">
        <v>0</v>
      </c>
      <c r="W40" s="33">
        <v>0</v>
      </c>
      <c r="X40" s="33">
        <v>0</v>
      </c>
      <c r="Y40" s="33">
        <v>0</v>
      </c>
      <c r="Z40" s="33">
        <v>0</v>
      </c>
      <c r="AA40" s="33">
        <v>0</v>
      </c>
      <c r="AB40" s="33">
        <v>0</v>
      </c>
      <c r="AC40" s="33">
        <v>0</v>
      </c>
      <c r="AD40" s="33">
        <v>0</v>
      </c>
      <c r="AE40" s="33">
        <v>0</v>
      </c>
      <c r="AF40" s="33"/>
      <c r="AG40" s="33"/>
      <c r="AH40" s="33"/>
      <c r="AI40" s="33"/>
      <c r="AJ40" s="33"/>
      <c r="AK40" s="33"/>
      <c r="AL40" s="33"/>
    </row>
    <row r="41" spans="1:38" ht="15.5">
      <c r="A41" s="31">
        <v>40</v>
      </c>
      <c r="B41" s="31" t="s">
        <v>69</v>
      </c>
      <c r="C41" s="31" t="s">
        <v>139</v>
      </c>
      <c r="D41" s="31" t="s">
        <v>3</v>
      </c>
      <c r="E41" s="31" t="s">
        <v>543</v>
      </c>
      <c r="F41" s="31">
        <v>2009</v>
      </c>
      <c r="G41" s="33" t="s">
        <v>58</v>
      </c>
      <c r="H41" s="33">
        <v>0</v>
      </c>
      <c r="I41" s="33">
        <v>0</v>
      </c>
      <c r="J41" s="33">
        <v>0</v>
      </c>
      <c r="K41" s="33">
        <v>0</v>
      </c>
      <c r="L41" s="33">
        <v>0</v>
      </c>
      <c r="M41" s="33">
        <v>0</v>
      </c>
      <c r="N41" s="33">
        <v>0</v>
      </c>
      <c r="O41" s="33">
        <v>0</v>
      </c>
      <c r="P41" s="33">
        <v>0</v>
      </c>
      <c r="Q41" s="33">
        <v>0</v>
      </c>
      <c r="R41" s="33">
        <v>0</v>
      </c>
      <c r="S41" s="33">
        <v>0</v>
      </c>
      <c r="T41" s="33">
        <v>0</v>
      </c>
      <c r="U41" s="33">
        <v>0</v>
      </c>
      <c r="V41" s="33">
        <v>0</v>
      </c>
      <c r="W41" s="33">
        <v>0</v>
      </c>
      <c r="X41" s="33">
        <v>0</v>
      </c>
      <c r="Y41" s="33">
        <v>0</v>
      </c>
      <c r="Z41" s="33">
        <v>0</v>
      </c>
      <c r="AA41" s="33">
        <v>0</v>
      </c>
      <c r="AB41" s="33">
        <v>0</v>
      </c>
      <c r="AC41" s="33">
        <v>0</v>
      </c>
      <c r="AD41" s="33">
        <v>0</v>
      </c>
      <c r="AE41" s="33">
        <v>0</v>
      </c>
      <c r="AF41" s="33"/>
      <c r="AG41" s="33"/>
      <c r="AH41" s="33"/>
      <c r="AI41" s="33"/>
      <c r="AJ41" s="33"/>
      <c r="AK41" s="33"/>
      <c r="AL41" s="33"/>
    </row>
    <row r="42" spans="1:38" ht="15.5">
      <c r="A42" s="31">
        <v>41</v>
      </c>
      <c r="B42" s="31" t="s">
        <v>1</v>
      </c>
      <c r="C42" s="31" t="s">
        <v>42</v>
      </c>
      <c r="D42" s="31" t="s">
        <v>3</v>
      </c>
      <c r="E42" s="31" t="s">
        <v>543</v>
      </c>
      <c r="F42" s="31">
        <v>2009</v>
      </c>
      <c r="G42" s="33" t="s">
        <v>71</v>
      </c>
      <c r="H42" s="33">
        <v>0</v>
      </c>
      <c r="I42" s="33">
        <v>0</v>
      </c>
      <c r="J42" s="33">
        <v>0</v>
      </c>
      <c r="K42" s="33">
        <v>2.6484318261489666E-2</v>
      </c>
      <c r="L42" s="33">
        <v>2.6484318261489666E-2</v>
      </c>
      <c r="M42" s="33">
        <v>2.6484318261489666E-2</v>
      </c>
      <c r="N42" s="33">
        <v>2.6484318261489666E-2</v>
      </c>
      <c r="O42" s="33">
        <v>2.6484318261489666E-2</v>
      </c>
      <c r="P42" s="33">
        <v>2.6484318261489666E-2</v>
      </c>
      <c r="Q42" s="33">
        <v>2.6484318261489666E-2</v>
      </c>
      <c r="R42" s="33">
        <v>2.6484318261489666E-2</v>
      </c>
      <c r="S42" s="33">
        <v>2.6484318261489666E-2</v>
      </c>
      <c r="T42" s="33">
        <v>2.6484318261489666E-2</v>
      </c>
      <c r="U42" s="33">
        <v>2.6484318261489666E-2</v>
      </c>
      <c r="V42" s="33">
        <v>2.6484318261489666E-2</v>
      </c>
      <c r="W42" s="33">
        <v>2.6484318261489666E-2</v>
      </c>
      <c r="X42" s="33">
        <v>2.6484318261489666E-2</v>
      </c>
      <c r="Y42" s="33">
        <v>2.6484318261489666E-2</v>
      </c>
      <c r="Z42" s="33">
        <v>2.6484318261489666E-2</v>
      </c>
      <c r="AA42" s="33">
        <v>2.6484318261489666E-2</v>
      </c>
      <c r="AB42" s="33">
        <v>2.6484318261489666E-2</v>
      </c>
      <c r="AC42" s="33">
        <v>2.6484318261489666E-2</v>
      </c>
      <c r="AD42" s="33">
        <v>2.6484318261489666E-2</v>
      </c>
      <c r="AE42" s="33">
        <v>0</v>
      </c>
      <c r="AF42" s="33"/>
      <c r="AG42" s="33"/>
      <c r="AH42" s="33"/>
      <c r="AI42" s="33"/>
      <c r="AJ42" s="33"/>
      <c r="AK42" s="33"/>
      <c r="AL42" s="33"/>
    </row>
    <row r="43" spans="1:38" ht="15.5">
      <c r="A43" s="31">
        <v>42</v>
      </c>
      <c r="B43" s="31" t="s">
        <v>1</v>
      </c>
      <c r="C43" s="31" t="s">
        <v>535</v>
      </c>
      <c r="D43" s="31" t="s">
        <v>3</v>
      </c>
      <c r="E43" s="31" t="s">
        <v>543</v>
      </c>
      <c r="F43" s="31">
        <v>2009</v>
      </c>
      <c r="G43" s="33" t="s">
        <v>70</v>
      </c>
      <c r="H43" s="33">
        <v>0</v>
      </c>
      <c r="I43" s="33">
        <v>0</v>
      </c>
      <c r="J43" s="33">
        <v>0</v>
      </c>
      <c r="K43" s="33">
        <v>0.17507897077314688</v>
      </c>
      <c r="L43" s="33">
        <v>0.17507897077314688</v>
      </c>
      <c r="M43" s="33">
        <v>0.17507897077314688</v>
      </c>
      <c r="N43" s="33">
        <v>0.17507897077314688</v>
      </c>
      <c r="O43" s="33">
        <v>0.17507897077314688</v>
      </c>
      <c r="P43" s="33">
        <v>0.17507897077314688</v>
      </c>
      <c r="Q43" s="33">
        <v>0.17507897077314688</v>
      </c>
      <c r="R43" s="33">
        <v>0.17507897077314688</v>
      </c>
      <c r="S43" s="33">
        <v>0.17507897077314688</v>
      </c>
      <c r="T43" s="33">
        <v>0</v>
      </c>
      <c r="U43" s="33">
        <v>0</v>
      </c>
      <c r="V43" s="33">
        <v>0</v>
      </c>
      <c r="W43" s="33">
        <v>0</v>
      </c>
      <c r="X43" s="33">
        <v>0</v>
      </c>
      <c r="Y43" s="33">
        <v>0</v>
      </c>
      <c r="Z43" s="33">
        <v>0</v>
      </c>
      <c r="AA43" s="33">
        <v>0</v>
      </c>
      <c r="AB43" s="33">
        <v>0</v>
      </c>
      <c r="AC43" s="33">
        <v>0</v>
      </c>
      <c r="AD43" s="33">
        <v>0</v>
      </c>
      <c r="AE43" s="33">
        <v>0</v>
      </c>
      <c r="AF43" s="33"/>
      <c r="AG43" s="33"/>
      <c r="AH43" s="33"/>
      <c r="AI43" s="33"/>
      <c r="AJ43" s="33"/>
      <c r="AK43" s="33"/>
      <c r="AL43" s="33"/>
    </row>
    <row r="44" spans="1:38" ht="15.5">
      <c r="A44" s="31">
        <v>43</v>
      </c>
      <c r="B44" s="31" t="s">
        <v>60</v>
      </c>
      <c r="C44" s="31" t="s">
        <v>59</v>
      </c>
      <c r="D44" s="31" t="s">
        <v>3</v>
      </c>
      <c r="E44" s="31" t="s">
        <v>543</v>
      </c>
      <c r="F44" s="31">
        <v>2009</v>
      </c>
      <c r="G44" s="33" t="s">
        <v>58</v>
      </c>
      <c r="H44" s="33">
        <v>0</v>
      </c>
      <c r="I44" s="33">
        <v>0</v>
      </c>
      <c r="J44" s="33">
        <v>0</v>
      </c>
      <c r="K44" s="33">
        <v>0</v>
      </c>
      <c r="L44" s="33">
        <v>0</v>
      </c>
      <c r="M44" s="33">
        <v>0</v>
      </c>
      <c r="N44" s="33">
        <v>0</v>
      </c>
      <c r="O44" s="33">
        <v>0</v>
      </c>
      <c r="P44" s="33">
        <v>0</v>
      </c>
      <c r="Q44" s="33">
        <v>0</v>
      </c>
      <c r="R44" s="33">
        <v>0</v>
      </c>
      <c r="S44" s="33">
        <v>0</v>
      </c>
      <c r="T44" s="33">
        <v>0</v>
      </c>
      <c r="U44" s="33">
        <v>0</v>
      </c>
      <c r="V44" s="33">
        <v>0</v>
      </c>
      <c r="W44" s="33">
        <v>0</v>
      </c>
      <c r="X44" s="33">
        <v>0</v>
      </c>
      <c r="Y44" s="33">
        <v>0</v>
      </c>
      <c r="Z44" s="33">
        <v>0</v>
      </c>
      <c r="AA44" s="33">
        <v>0</v>
      </c>
      <c r="AB44" s="33">
        <v>0</v>
      </c>
      <c r="AC44" s="33">
        <v>0</v>
      </c>
      <c r="AD44" s="33">
        <v>0</v>
      </c>
      <c r="AE44" s="33">
        <v>0</v>
      </c>
      <c r="AF44" s="33"/>
      <c r="AG44" s="33"/>
      <c r="AH44" s="33"/>
      <c r="AI44" s="33"/>
      <c r="AJ44" s="33"/>
      <c r="AK44" s="33"/>
      <c r="AL44" s="33"/>
    </row>
    <row r="45" spans="1:38" ht="15.5">
      <c r="A45" s="31">
        <v>44</v>
      </c>
      <c r="B45" s="31" t="s">
        <v>62</v>
      </c>
      <c r="C45" s="31" t="s">
        <v>522</v>
      </c>
      <c r="D45" s="31" t="s">
        <v>3</v>
      </c>
      <c r="E45" s="31" t="s">
        <v>543</v>
      </c>
      <c r="F45" s="31">
        <v>2009</v>
      </c>
      <c r="G45" s="33" t="s">
        <v>71</v>
      </c>
      <c r="H45" s="33">
        <v>0</v>
      </c>
      <c r="I45" s="33">
        <v>0</v>
      </c>
      <c r="J45" s="33">
        <v>0</v>
      </c>
      <c r="K45" s="33">
        <v>1.1957688458910378</v>
      </c>
      <c r="L45" s="33">
        <v>0</v>
      </c>
      <c r="M45" s="33">
        <v>0</v>
      </c>
      <c r="N45" s="33">
        <v>0</v>
      </c>
      <c r="O45" s="33">
        <v>0</v>
      </c>
      <c r="P45" s="33">
        <v>0</v>
      </c>
      <c r="Q45" s="33">
        <v>0</v>
      </c>
      <c r="R45" s="33">
        <v>0</v>
      </c>
      <c r="S45" s="33">
        <v>0</v>
      </c>
      <c r="T45" s="33">
        <v>0</v>
      </c>
      <c r="U45" s="33">
        <v>0</v>
      </c>
      <c r="V45" s="33">
        <v>0</v>
      </c>
      <c r="W45" s="33">
        <v>0</v>
      </c>
      <c r="X45" s="33">
        <v>0</v>
      </c>
      <c r="Y45" s="33">
        <v>0</v>
      </c>
      <c r="Z45" s="33">
        <v>0</v>
      </c>
      <c r="AA45" s="33">
        <v>0</v>
      </c>
      <c r="AB45" s="33">
        <v>0</v>
      </c>
      <c r="AC45" s="33">
        <v>0</v>
      </c>
      <c r="AD45" s="33">
        <v>0</v>
      </c>
      <c r="AE45" s="33">
        <v>0</v>
      </c>
      <c r="AF45" s="33"/>
      <c r="AG45" s="33"/>
      <c r="AH45" s="33"/>
      <c r="AI45" s="33"/>
      <c r="AJ45" s="33"/>
      <c r="AK45" s="33"/>
      <c r="AL45" s="33"/>
    </row>
    <row r="46" spans="1:38" ht="15.5">
      <c r="A46" s="31">
        <v>45</v>
      </c>
      <c r="B46" s="31" t="s">
        <v>62</v>
      </c>
      <c r="C46" s="31" t="s">
        <v>61</v>
      </c>
      <c r="D46" s="31" t="s">
        <v>3</v>
      </c>
      <c r="E46" s="31" t="s">
        <v>543</v>
      </c>
      <c r="F46" s="31">
        <v>2009</v>
      </c>
      <c r="G46" s="33" t="s">
        <v>71</v>
      </c>
      <c r="H46" s="33">
        <v>0</v>
      </c>
      <c r="I46" s="33">
        <v>0</v>
      </c>
      <c r="J46" s="33">
        <v>0</v>
      </c>
      <c r="K46" s="33">
        <v>0.81196286825126107</v>
      </c>
      <c r="L46" s="33">
        <v>0</v>
      </c>
      <c r="M46" s="33">
        <v>0</v>
      </c>
      <c r="N46" s="33">
        <v>0</v>
      </c>
      <c r="O46" s="33">
        <v>0</v>
      </c>
      <c r="P46" s="33">
        <v>0</v>
      </c>
      <c r="Q46" s="33">
        <v>0</v>
      </c>
      <c r="R46" s="33">
        <v>0</v>
      </c>
      <c r="S46" s="33">
        <v>0</v>
      </c>
      <c r="T46" s="33">
        <v>0</v>
      </c>
      <c r="U46" s="33">
        <v>0</v>
      </c>
      <c r="V46" s="33">
        <v>0</v>
      </c>
      <c r="W46" s="33">
        <v>0</v>
      </c>
      <c r="X46" s="33">
        <v>0</v>
      </c>
      <c r="Y46" s="33">
        <v>0</v>
      </c>
      <c r="Z46" s="33">
        <v>0</v>
      </c>
      <c r="AA46" s="33">
        <v>0</v>
      </c>
      <c r="AB46" s="33">
        <v>0</v>
      </c>
      <c r="AC46" s="33">
        <v>0</v>
      </c>
      <c r="AD46" s="33">
        <v>0</v>
      </c>
      <c r="AE46" s="33">
        <v>0</v>
      </c>
      <c r="AF46" s="33"/>
      <c r="AG46" s="33"/>
      <c r="AH46" s="33"/>
      <c r="AI46" s="33"/>
      <c r="AJ46" s="33"/>
      <c r="AK46" s="33"/>
      <c r="AL46" s="33"/>
    </row>
    <row r="47" spans="1:38" ht="15.5">
      <c r="A47" s="31">
        <v>46</v>
      </c>
      <c r="B47" s="31" t="s">
        <v>62</v>
      </c>
      <c r="C47" s="31" t="s">
        <v>49</v>
      </c>
      <c r="D47" s="31" t="s">
        <v>3</v>
      </c>
      <c r="E47" s="31" t="s">
        <v>543</v>
      </c>
      <c r="F47" s="31">
        <v>2009</v>
      </c>
      <c r="G47" s="33" t="s">
        <v>71</v>
      </c>
      <c r="H47" s="33">
        <v>0</v>
      </c>
      <c r="I47" s="33">
        <v>0</v>
      </c>
      <c r="J47" s="33">
        <v>0</v>
      </c>
      <c r="K47" s="33">
        <v>1.1599469546446588</v>
      </c>
      <c r="L47" s="33">
        <v>0</v>
      </c>
      <c r="M47" s="33">
        <v>0</v>
      </c>
      <c r="N47" s="33">
        <v>0</v>
      </c>
      <c r="O47" s="33">
        <v>0</v>
      </c>
      <c r="P47" s="33">
        <v>0</v>
      </c>
      <c r="Q47" s="33">
        <v>0</v>
      </c>
      <c r="R47" s="33">
        <v>0</v>
      </c>
      <c r="S47" s="33">
        <v>0</v>
      </c>
      <c r="T47" s="33">
        <v>0</v>
      </c>
      <c r="U47" s="33">
        <v>0</v>
      </c>
      <c r="V47" s="33">
        <v>0</v>
      </c>
      <c r="W47" s="33">
        <v>0</v>
      </c>
      <c r="X47" s="33">
        <v>0</v>
      </c>
      <c r="Y47" s="33">
        <v>0</v>
      </c>
      <c r="Z47" s="33">
        <v>0</v>
      </c>
      <c r="AA47" s="33">
        <v>0</v>
      </c>
      <c r="AB47" s="33">
        <v>0</v>
      </c>
      <c r="AC47" s="33">
        <v>0</v>
      </c>
      <c r="AD47" s="33">
        <v>0</v>
      </c>
      <c r="AE47" s="33">
        <v>0</v>
      </c>
      <c r="AF47" s="33"/>
      <c r="AG47" s="33"/>
      <c r="AH47" s="33"/>
      <c r="AI47" s="33"/>
      <c r="AJ47" s="33"/>
      <c r="AK47" s="33"/>
      <c r="AL47" s="33"/>
    </row>
    <row r="48" spans="1:38" ht="15.5">
      <c r="A48" s="31">
        <v>47</v>
      </c>
      <c r="B48" s="31" t="s">
        <v>62</v>
      </c>
      <c r="C48" s="31" t="s">
        <v>63</v>
      </c>
      <c r="D48" s="31" t="s">
        <v>3</v>
      </c>
      <c r="E48" s="31" t="s">
        <v>543</v>
      </c>
      <c r="F48" s="31">
        <v>2009</v>
      </c>
      <c r="G48" s="33" t="s">
        <v>71</v>
      </c>
      <c r="H48" s="33">
        <v>0</v>
      </c>
      <c r="I48" s="33">
        <v>0</v>
      </c>
      <c r="J48" s="33">
        <v>0</v>
      </c>
      <c r="K48" s="33">
        <v>0.19930617967747344</v>
      </c>
      <c r="L48" s="33">
        <v>0</v>
      </c>
      <c r="M48" s="33">
        <v>0</v>
      </c>
      <c r="N48" s="33">
        <v>0</v>
      </c>
      <c r="O48" s="33">
        <v>0</v>
      </c>
      <c r="P48" s="33">
        <v>0</v>
      </c>
      <c r="Q48" s="33">
        <v>0</v>
      </c>
      <c r="R48" s="33">
        <v>0</v>
      </c>
      <c r="S48" s="33">
        <v>0</v>
      </c>
      <c r="T48" s="33">
        <v>0</v>
      </c>
      <c r="U48" s="33">
        <v>0</v>
      </c>
      <c r="V48" s="33">
        <v>0</v>
      </c>
      <c r="W48" s="33">
        <v>0</v>
      </c>
      <c r="X48" s="33">
        <v>0</v>
      </c>
      <c r="Y48" s="33">
        <v>0</v>
      </c>
      <c r="Z48" s="33">
        <v>0</v>
      </c>
      <c r="AA48" s="33">
        <v>0</v>
      </c>
      <c r="AB48" s="33">
        <v>0</v>
      </c>
      <c r="AC48" s="33">
        <v>0</v>
      </c>
      <c r="AD48" s="33">
        <v>0</v>
      </c>
      <c r="AE48" s="33">
        <v>0</v>
      </c>
      <c r="AF48" s="33"/>
      <c r="AG48" s="33"/>
      <c r="AH48" s="33"/>
      <c r="AI48" s="33"/>
      <c r="AJ48" s="33"/>
      <c r="AK48" s="33"/>
      <c r="AL48" s="33"/>
    </row>
    <row r="49" spans="1:38" ht="15.5">
      <c r="A49" s="31">
        <v>48</v>
      </c>
      <c r="B49" s="31" t="s">
        <v>15</v>
      </c>
      <c r="C49" s="31" t="s">
        <v>538</v>
      </c>
      <c r="D49" s="31" t="s">
        <v>3</v>
      </c>
      <c r="E49" s="31" t="s">
        <v>543</v>
      </c>
      <c r="F49" s="31">
        <v>2009</v>
      </c>
      <c r="G49" s="33" t="s">
        <v>58</v>
      </c>
      <c r="H49" s="33">
        <v>0</v>
      </c>
      <c r="I49" s="33">
        <v>0</v>
      </c>
      <c r="J49" s="33">
        <v>0</v>
      </c>
      <c r="K49" s="33">
        <v>0</v>
      </c>
      <c r="L49" s="33">
        <v>0</v>
      </c>
      <c r="M49" s="33">
        <v>0</v>
      </c>
      <c r="N49" s="33">
        <v>0</v>
      </c>
      <c r="O49" s="33">
        <v>0</v>
      </c>
      <c r="P49" s="33">
        <v>0</v>
      </c>
      <c r="Q49" s="33">
        <v>0</v>
      </c>
      <c r="R49" s="33">
        <v>0</v>
      </c>
      <c r="S49" s="33">
        <v>0</v>
      </c>
      <c r="T49" s="33">
        <v>0</v>
      </c>
      <c r="U49" s="33">
        <v>0</v>
      </c>
      <c r="V49" s="33">
        <v>0</v>
      </c>
      <c r="W49" s="33">
        <v>0</v>
      </c>
      <c r="X49" s="33">
        <v>0</v>
      </c>
      <c r="Y49" s="33">
        <v>0</v>
      </c>
      <c r="Z49" s="33">
        <v>0</v>
      </c>
      <c r="AA49" s="33">
        <v>0</v>
      </c>
      <c r="AB49" s="33">
        <v>0</v>
      </c>
      <c r="AC49" s="33">
        <v>0</v>
      </c>
      <c r="AD49" s="33">
        <v>0</v>
      </c>
      <c r="AE49" s="33">
        <v>0</v>
      </c>
      <c r="AF49" s="33"/>
      <c r="AG49" s="33"/>
      <c r="AH49" s="33"/>
      <c r="AI49" s="33"/>
      <c r="AJ49" s="33"/>
      <c r="AK49" s="33"/>
      <c r="AL49" s="33"/>
    </row>
    <row r="50" spans="1:38" ht="15.5">
      <c r="A50" s="31">
        <v>49</v>
      </c>
      <c r="B50" s="31" t="s">
        <v>15</v>
      </c>
      <c r="C50" s="31" t="s">
        <v>539</v>
      </c>
      <c r="D50" s="31" t="s">
        <v>3</v>
      </c>
      <c r="E50" s="31" t="s">
        <v>543</v>
      </c>
      <c r="F50" s="31">
        <v>2009</v>
      </c>
      <c r="G50" s="33" t="s">
        <v>58</v>
      </c>
      <c r="H50" s="33">
        <v>0</v>
      </c>
      <c r="I50" s="33">
        <v>0</v>
      </c>
      <c r="J50" s="33">
        <v>0</v>
      </c>
      <c r="K50" s="33">
        <v>0</v>
      </c>
      <c r="L50" s="33">
        <v>0</v>
      </c>
      <c r="M50" s="33">
        <v>0</v>
      </c>
      <c r="N50" s="33">
        <v>0</v>
      </c>
      <c r="O50" s="33">
        <v>0</v>
      </c>
      <c r="P50" s="33">
        <v>0</v>
      </c>
      <c r="Q50" s="33">
        <v>0</v>
      </c>
      <c r="R50" s="33">
        <v>0</v>
      </c>
      <c r="S50" s="33">
        <v>0</v>
      </c>
      <c r="T50" s="33">
        <v>0</v>
      </c>
      <c r="U50" s="33">
        <v>0</v>
      </c>
      <c r="V50" s="33">
        <v>0</v>
      </c>
      <c r="W50" s="33">
        <v>0</v>
      </c>
      <c r="X50" s="33">
        <v>0</v>
      </c>
      <c r="Y50" s="33">
        <v>0</v>
      </c>
      <c r="Z50" s="33">
        <v>0</v>
      </c>
      <c r="AA50" s="33">
        <v>0</v>
      </c>
      <c r="AB50" s="33">
        <v>0</v>
      </c>
      <c r="AC50" s="33">
        <v>0</v>
      </c>
      <c r="AD50" s="33">
        <v>0</v>
      </c>
      <c r="AE50" s="33">
        <v>0</v>
      </c>
      <c r="AF50" s="33"/>
      <c r="AG50" s="33"/>
      <c r="AH50" s="33"/>
      <c r="AI50" s="33"/>
      <c r="AJ50" s="33"/>
      <c r="AK50" s="33"/>
      <c r="AL50" s="33"/>
    </row>
    <row r="51" spans="1:38" ht="15.5">
      <c r="A51" s="31">
        <v>50</v>
      </c>
      <c r="B51" s="31" t="s">
        <v>1</v>
      </c>
      <c r="C51" s="31" t="s">
        <v>540</v>
      </c>
      <c r="D51" s="31" t="s">
        <v>3</v>
      </c>
      <c r="E51" s="31" t="s">
        <v>543</v>
      </c>
      <c r="F51" s="31">
        <v>2009</v>
      </c>
      <c r="G51" s="33" t="s">
        <v>58</v>
      </c>
      <c r="H51" s="33">
        <v>0</v>
      </c>
      <c r="I51" s="33">
        <v>0</v>
      </c>
      <c r="J51" s="33">
        <v>0</v>
      </c>
      <c r="K51" s="33">
        <v>0</v>
      </c>
      <c r="L51" s="33">
        <v>0</v>
      </c>
      <c r="M51" s="33">
        <v>0</v>
      </c>
      <c r="N51" s="33">
        <v>0</v>
      </c>
      <c r="O51" s="33">
        <v>0</v>
      </c>
      <c r="P51" s="33">
        <v>0</v>
      </c>
      <c r="Q51" s="33">
        <v>0</v>
      </c>
      <c r="R51" s="33">
        <v>0</v>
      </c>
      <c r="S51" s="33">
        <v>0</v>
      </c>
      <c r="T51" s="33">
        <v>0</v>
      </c>
      <c r="U51" s="33">
        <v>0</v>
      </c>
      <c r="V51" s="33">
        <v>0</v>
      </c>
      <c r="W51" s="33">
        <v>0</v>
      </c>
      <c r="X51" s="33">
        <v>0</v>
      </c>
      <c r="Y51" s="33">
        <v>0</v>
      </c>
      <c r="Z51" s="33">
        <v>0</v>
      </c>
      <c r="AA51" s="33">
        <v>0</v>
      </c>
      <c r="AB51" s="33">
        <v>0</v>
      </c>
      <c r="AC51" s="33">
        <v>0</v>
      </c>
      <c r="AD51" s="33">
        <v>0</v>
      </c>
      <c r="AE51" s="33">
        <v>0</v>
      </c>
      <c r="AF51" s="33"/>
      <c r="AG51" s="33"/>
      <c r="AH51" s="33"/>
      <c r="AI51" s="33"/>
      <c r="AJ51" s="33"/>
      <c r="AK51" s="33"/>
      <c r="AL51" s="33"/>
    </row>
    <row r="52" spans="1:38" ht="15.5">
      <c r="A52" s="31">
        <v>51</v>
      </c>
      <c r="B52" s="31" t="s">
        <v>65</v>
      </c>
      <c r="C52" s="31" t="s">
        <v>541</v>
      </c>
      <c r="D52" s="31" t="s">
        <v>3</v>
      </c>
      <c r="E52" s="31" t="s">
        <v>543</v>
      </c>
      <c r="F52" s="31">
        <v>2008</v>
      </c>
      <c r="G52" s="33" t="s">
        <v>58</v>
      </c>
      <c r="H52" s="33">
        <v>0</v>
      </c>
      <c r="I52" s="33">
        <v>0</v>
      </c>
      <c r="J52" s="33">
        <v>0</v>
      </c>
      <c r="K52" s="33">
        <v>0</v>
      </c>
      <c r="L52" s="33">
        <v>0</v>
      </c>
      <c r="M52" s="33">
        <v>0</v>
      </c>
      <c r="N52" s="33">
        <v>0</v>
      </c>
      <c r="O52" s="33">
        <v>0</v>
      </c>
      <c r="P52" s="33">
        <v>0</v>
      </c>
      <c r="Q52" s="33">
        <v>0</v>
      </c>
      <c r="R52" s="33">
        <v>0</v>
      </c>
      <c r="S52" s="33">
        <v>0</v>
      </c>
      <c r="T52" s="33">
        <v>0</v>
      </c>
      <c r="U52" s="33">
        <v>0</v>
      </c>
      <c r="V52" s="33">
        <v>0</v>
      </c>
      <c r="W52" s="33">
        <v>0</v>
      </c>
      <c r="X52" s="33">
        <v>0</v>
      </c>
      <c r="Y52" s="33">
        <v>0</v>
      </c>
      <c r="Z52" s="33">
        <v>0</v>
      </c>
      <c r="AA52" s="33">
        <v>0</v>
      </c>
      <c r="AB52" s="33">
        <v>0</v>
      </c>
      <c r="AC52" s="33">
        <v>0</v>
      </c>
      <c r="AD52" s="33">
        <v>0</v>
      </c>
      <c r="AE52" s="33">
        <v>0</v>
      </c>
      <c r="AF52" s="33"/>
      <c r="AG52" s="33"/>
      <c r="AH52" s="33"/>
      <c r="AI52" s="33"/>
      <c r="AJ52" s="33"/>
      <c r="AK52" s="33"/>
      <c r="AL52" s="33"/>
    </row>
    <row r="53" spans="1:38" ht="15.5">
      <c r="A53" s="31">
        <v>52</v>
      </c>
      <c r="B53" s="31" t="s">
        <v>62</v>
      </c>
      <c r="C53" s="31" t="s">
        <v>542</v>
      </c>
      <c r="D53" s="31" t="s">
        <v>3</v>
      </c>
      <c r="E53" s="31" t="s">
        <v>543</v>
      </c>
      <c r="F53" s="31">
        <v>2008</v>
      </c>
      <c r="G53" s="33" t="s">
        <v>58</v>
      </c>
      <c r="H53" s="33">
        <v>0</v>
      </c>
      <c r="I53" s="33">
        <v>0</v>
      </c>
      <c r="J53" s="33">
        <v>0</v>
      </c>
      <c r="K53" s="33">
        <v>0</v>
      </c>
      <c r="L53" s="33">
        <v>0</v>
      </c>
      <c r="M53" s="33">
        <v>0</v>
      </c>
      <c r="N53" s="33">
        <v>0</v>
      </c>
      <c r="O53" s="33">
        <v>0</v>
      </c>
      <c r="P53" s="33">
        <v>0</v>
      </c>
      <c r="Q53" s="33">
        <v>0</v>
      </c>
      <c r="R53" s="33">
        <v>0</v>
      </c>
      <c r="S53" s="33">
        <v>0</v>
      </c>
      <c r="T53" s="33">
        <v>0</v>
      </c>
      <c r="U53" s="33">
        <v>0</v>
      </c>
      <c r="V53" s="33">
        <v>0</v>
      </c>
      <c r="W53" s="33">
        <v>0</v>
      </c>
      <c r="X53" s="33">
        <v>0</v>
      </c>
      <c r="Y53" s="33">
        <v>0</v>
      </c>
      <c r="Z53" s="33">
        <v>0</v>
      </c>
      <c r="AA53" s="33">
        <v>0</v>
      </c>
      <c r="AB53" s="33">
        <v>0</v>
      </c>
      <c r="AC53" s="33">
        <v>0</v>
      </c>
      <c r="AD53" s="33">
        <v>0</v>
      </c>
      <c r="AE53" s="33">
        <v>0</v>
      </c>
      <c r="AF53" s="33"/>
      <c r="AG53" s="33"/>
      <c r="AH53" s="33"/>
      <c r="AI53" s="33"/>
      <c r="AJ53" s="33"/>
      <c r="AK53" s="33"/>
      <c r="AL53" s="33"/>
    </row>
    <row r="54" spans="1:38" ht="15.5">
      <c r="A54" s="31">
        <v>53</v>
      </c>
      <c r="B54" s="31" t="s">
        <v>15</v>
      </c>
      <c r="C54" s="31" t="s">
        <v>523</v>
      </c>
      <c r="D54" s="31" t="s">
        <v>3</v>
      </c>
      <c r="E54" s="31" t="s">
        <v>543</v>
      </c>
      <c r="F54" s="31">
        <v>2010</v>
      </c>
      <c r="G54" s="33" t="s">
        <v>17</v>
      </c>
      <c r="H54" s="33">
        <v>0</v>
      </c>
      <c r="I54" s="33">
        <v>0</v>
      </c>
      <c r="J54" s="33">
        <v>0</v>
      </c>
      <c r="K54" s="33">
        <v>0</v>
      </c>
      <c r="L54" s="33">
        <v>1.3571767054916849E-2</v>
      </c>
      <c r="M54" s="33">
        <v>1.3571767054916849E-2</v>
      </c>
      <c r="N54" s="33">
        <v>1.3571767054916849E-2</v>
      </c>
      <c r="O54" s="33">
        <v>1.2617838813460935E-2</v>
      </c>
      <c r="P54" s="33">
        <v>9.0288108236690826E-3</v>
      </c>
      <c r="Q54" s="33">
        <v>0</v>
      </c>
      <c r="R54" s="33">
        <v>0</v>
      </c>
      <c r="S54" s="33">
        <v>0</v>
      </c>
      <c r="T54" s="33">
        <v>0</v>
      </c>
      <c r="U54" s="33">
        <v>0</v>
      </c>
      <c r="V54" s="33">
        <v>0</v>
      </c>
      <c r="W54" s="33">
        <v>0</v>
      </c>
      <c r="X54" s="33">
        <v>0</v>
      </c>
      <c r="Y54" s="33">
        <v>0</v>
      </c>
      <c r="Z54" s="33">
        <v>0</v>
      </c>
      <c r="AA54" s="33">
        <v>0</v>
      </c>
      <c r="AB54" s="33">
        <v>0</v>
      </c>
      <c r="AC54" s="33">
        <v>0</v>
      </c>
      <c r="AD54" s="33">
        <v>0</v>
      </c>
      <c r="AE54" s="33">
        <v>0</v>
      </c>
      <c r="AF54" s="33"/>
      <c r="AG54" s="33"/>
      <c r="AH54" s="33"/>
      <c r="AI54" s="33"/>
      <c r="AJ54" s="33"/>
      <c r="AK54" s="33"/>
      <c r="AL54" s="33"/>
    </row>
    <row r="55" spans="1:38" ht="15.5">
      <c r="A55" s="31">
        <v>54</v>
      </c>
      <c r="B55" s="31" t="s">
        <v>15</v>
      </c>
      <c r="C55" s="31" t="s">
        <v>532</v>
      </c>
      <c r="D55" s="31" t="s">
        <v>3</v>
      </c>
      <c r="E55" s="31" t="s">
        <v>543</v>
      </c>
      <c r="F55" s="31">
        <v>2010</v>
      </c>
      <c r="G55" s="33" t="s">
        <v>17</v>
      </c>
      <c r="H55" s="33">
        <v>0</v>
      </c>
      <c r="I55" s="33">
        <v>0</v>
      </c>
      <c r="J55" s="33">
        <v>0</v>
      </c>
      <c r="K55" s="33">
        <v>0</v>
      </c>
      <c r="L55" s="33">
        <v>4.5320049962194832E-2</v>
      </c>
      <c r="M55" s="33">
        <v>4.5320049962194832E-2</v>
      </c>
      <c r="N55" s="33">
        <v>4.5320049962194832E-2</v>
      </c>
      <c r="O55" s="33">
        <v>4.5320049962194832E-2</v>
      </c>
      <c r="P55" s="33">
        <v>4.5320049962194832E-2</v>
      </c>
      <c r="Q55" s="33">
        <v>4.5320049962194832E-2</v>
      </c>
      <c r="R55" s="33">
        <v>4.5320049962194832E-2</v>
      </c>
      <c r="S55" s="33">
        <v>4.5320049962194832E-2</v>
      </c>
      <c r="T55" s="33">
        <v>4.5320049962194832E-2</v>
      </c>
      <c r="U55" s="33">
        <v>4.5320049962194832E-2</v>
      </c>
      <c r="V55" s="33">
        <v>4.5320049962194832E-2</v>
      </c>
      <c r="W55" s="33">
        <v>4.5320049962194832E-2</v>
      </c>
      <c r="X55" s="33">
        <v>4.5320049962194832E-2</v>
      </c>
      <c r="Y55" s="33">
        <v>4.5320049962194832E-2</v>
      </c>
      <c r="Z55" s="33">
        <v>4.5320049962194832E-2</v>
      </c>
      <c r="AA55" s="33">
        <v>4.4345889124962512E-2</v>
      </c>
      <c r="AB55" s="33">
        <v>4.4345889124962512E-2</v>
      </c>
      <c r="AC55" s="33">
        <v>4.4345889124962512E-2</v>
      </c>
      <c r="AD55" s="33">
        <v>3.9851884381790312E-2</v>
      </c>
      <c r="AE55" s="33">
        <v>0</v>
      </c>
      <c r="AF55" s="33"/>
      <c r="AG55" s="33"/>
      <c r="AH55" s="33"/>
      <c r="AI55" s="33"/>
      <c r="AJ55" s="33"/>
      <c r="AK55" s="33"/>
      <c r="AL55" s="33"/>
    </row>
    <row r="56" spans="1:38" ht="15.5">
      <c r="A56" s="31">
        <v>55</v>
      </c>
      <c r="B56" s="31" t="s">
        <v>15</v>
      </c>
      <c r="C56" s="31" t="s">
        <v>533</v>
      </c>
      <c r="D56" s="31" t="s">
        <v>3</v>
      </c>
      <c r="E56" s="31" t="s">
        <v>543</v>
      </c>
      <c r="F56" s="31">
        <v>2010</v>
      </c>
      <c r="G56" s="33" t="s">
        <v>17</v>
      </c>
      <c r="H56" s="33">
        <v>0</v>
      </c>
      <c r="I56" s="33">
        <v>0</v>
      </c>
      <c r="J56" s="33">
        <v>0</v>
      </c>
      <c r="K56" s="33">
        <v>0</v>
      </c>
      <c r="L56" s="33">
        <v>7.9102505462775169E-3</v>
      </c>
      <c r="M56" s="33">
        <v>7.552654102152446E-3</v>
      </c>
      <c r="N56" s="33">
        <v>7.3715778473947748E-3</v>
      </c>
      <c r="O56" s="33">
        <v>7.3715778473947748E-3</v>
      </c>
      <c r="P56" s="33">
        <v>7.3715778473947748E-3</v>
      </c>
      <c r="Q56" s="33">
        <v>7.1302517976481478E-3</v>
      </c>
      <c r="R56" s="33">
        <v>6.8376049226685507E-3</v>
      </c>
      <c r="S56" s="33">
        <v>6.8376049226685507E-3</v>
      </c>
      <c r="T56" s="33">
        <v>6.8139925801342181E-3</v>
      </c>
      <c r="U56" s="33">
        <v>5.0749839832919304E-3</v>
      </c>
      <c r="V56" s="33">
        <v>2.9539306412880596E-3</v>
      </c>
      <c r="W56" s="33">
        <v>2.9539306412880596E-3</v>
      </c>
      <c r="X56" s="33">
        <v>2.7412498847349319E-3</v>
      </c>
      <c r="Y56" s="33">
        <v>2.7412498847349319E-3</v>
      </c>
      <c r="Z56" s="33">
        <v>2.7412498847349319E-3</v>
      </c>
      <c r="AA56" s="33">
        <v>3.7191837741592208E-4</v>
      </c>
      <c r="AB56" s="33">
        <v>5.1457930911912316E-6</v>
      </c>
      <c r="AC56" s="33">
        <v>5.1457930911912316E-6</v>
      </c>
      <c r="AD56" s="33">
        <v>5.1457930911912316E-6</v>
      </c>
      <c r="AE56" s="33">
        <v>5.1457930911912316E-6</v>
      </c>
      <c r="AF56" s="33"/>
      <c r="AG56" s="33"/>
      <c r="AH56" s="33"/>
      <c r="AI56" s="33"/>
      <c r="AJ56" s="33"/>
      <c r="AK56" s="33"/>
      <c r="AL56" s="33"/>
    </row>
    <row r="57" spans="1:38" ht="15.5">
      <c r="A57" s="31">
        <v>56</v>
      </c>
      <c r="B57" s="31" t="s">
        <v>65</v>
      </c>
      <c r="C57" s="31" t="s">
        <v>524</v>
      </c>
      <c r="D57" s="31" t="s">
        <v>3</v>
      </c>
      <c r="E57" s="31" t="s">
        <v>543</v>
      </c>
      <c r="F57" s="31">
        <v>2010</v>
      </c>
      <c r="G57" s="33" t="s">
        <v>58</v>
      </c>
      <c r="H57" s="33">
        <v>0</v>
      </c>
      <c r="I57" s="33">
        <v>0</v>
      </c>
      <c r="J57" s="33">
        <v>0</v>
      </c>
      <c r="K57" s="33">
        <v>0</v>
      </c>
      <c r="L57" s="33">
        <v>0</v>
      </c>
      <c r="M57" s="33">
        <v>0</v>
      </c>
      <c r="N57" s="33">
        <v>0</v>
      </c>
      <c r="O57" s="33">
        <v>0</v>
      </c>
      <c r="P57" s="33">
        <v>0</v>
      </c>
      <c r="Q57" s="33">
        <v>0</v>
      </c>
      <c r="R57" s="33">
        <v>0</v>
      </c>
      <c r="S57" s="33">
        <v>0</v>
      </c>
      <c r="T57" s="33">
        <v>0</v>
      </c>
      <c r="U57" s="33">
        <v>0</v>
      </c>
      <c r="V57" s="33">
        <v>0</v>
      </c>
      <c r="W57" s="33">
        <v>0</v>
      </c>
      <c r="X57" s="33">
        <v>0</v>
      </c>
      <c r="Y57" s="33">
        <v>0</v>
      </c>
      <c r="Z57" s="33">
        <v>0</v>
      </c>
      <c r="AA57" s="33">
        <v>0</v>
      </c>
      <c r="AB57" s="33">
        <v>0</v>
      </c>
      <c r="AC57" s="33">
        <v>0</v>
      </c>
      <c r="AD57" s="33">
        <v>0</v>
      </c>
      <c r="AE57" s="33">
        <v>0</v>
      </c>
      <c r="AF57" s="33"/>
      <c r="AG57" s="33"/>
      <c r="AH57" s="33"/>
      <c r="AI57" s="33"/>
      <c r="AJ57" s="33"/>
      <c r="AK57" s="33"/>
      <c r="AL57" s="33"/>
    </row>
    <row r="58" spans="1:38" ht="15.5">
      <c r="A58" s="31">
        <v>57</v>
      </c>
      <c r="B58" s="31" t="s">
        <v>65</v>
      </c>
      <c r="C58" s="31" t="s">
        <v>530</v>
      </c>
      <c r="D58" s="31" t="s">
        <v>3</v>
      </c>
      <c r="E58" s="31" t="s">
        <v>543</v>
      </c>
      <c r="F58" s="31">
        <v>2010</v>
      </c>
      <c r="G58" s="33" t="s">
        <v>71</v>
      </c>
      <c r="H58" s="33">
        <v>0</v>
      </c>
      <c r="I58" s="33">
        <v>0</v>
      </c>
      <c r="J58" s="33">
        <v>0</v>
      </c>
      <c r="K58" s="33">
        <v>0</v>
      </c>
      <c r="L58" s="33">
        <v>4.2683321424087324E-2</v>
      </c>
      <c r="M58" s="33">
        <v>4.2683321424087324E-2</v>
      </c>
      <c r="N58" s="33">
        <v>4.2683321424087324E-2</v>
      </c>
      <c r="O58" s="33">
        <v>4.2683321424087324E-2</v>
      </c>
      <c r="P58" s="33">
        <v>4.2683321424087324E-2</v>
      </c>
      <c r="Q58" s="33">
        <v>4.2683321424087324E-2</v>
      </c>
      <c r="R58" s="33">
        <v>4.2683321424087324E-2</v>
      </c>
      <c r="S58" s="33">
        <v>4.2683321424087324E-2</v>
      </c>
      <c r="T58" s="33">
        <v>4.2683321424087324E-2</v>
      </c>
      <c r="U58" s="33">
        <v>4.2252176763237954E-2</v>
      </c>
      <c r="V58" s="33">
        <v>0</v>
      </c>
      <c r="W58" s="33">
        <v>0</v>
      </c>
      <c r="X58" s="33">
        <v>0</v>
      </c>
      <c r="Y58" s="33">
        <v>0</v>
      </c>
      <c r="Z58" s="33">
        <v>0</v>
      </c>
      <c r="AA58" s="33">
        <v>0</v>
      </c>
      <c r="AB58" s="33">
        <v>0</v>
      </c>
      <c r="AC58" s="33">
        <v>0</v>
      </c>
      <c r="AD58" s="33">
        <v>0</v>
      </c>
      <c r="AE58" s="33">
        <v>0</v>
      </c>
      <c r="AF58" s="33"/>
      <c r="AG58" s="33"/>
      <c r="AH58" s="33"/>
      <c r="AI58" s="33"/>
      <c r="AJ58" s="33"/>
      <c r="AK58" s="33"/>
      <c r="AL58" s="33"/>
    </row>
    <row r="59" spans="1:38" ht="15.5">
      <c r="A59" s="31">
        <v>58</v>
      </c>
      <c r="B59" s="31" t="s">
        <v>69</v>
      </c>
      <c r="C59" s="31" t="s">
        <v>139</v>
      </c>
      <c r="D59" s="31" t="s">
        <v>3</v>
      </c>
      <c r="E59" s="31" t="s">
        <v>543</v>
      </c>
      <c r="F59" s="31">
        <v>2010</v>
      </c>
      <c r="G59" s="33" t="s">
        <v>58</v>
      </c>
      <c r="H59" s="33">
        <v>0</v>
      </c>
      <c r="I59" s="33">
        <v>0</v>
      </c>
      <c r="J59" s="33">
        <v>0</v>
      </c>
      <c r="K59" s="33">
        <v>0</v>
      </c>
      <c r="L59" s="33">
        <v>0</v>
      </c>
      <c r="M59" s="33">
        <v>0</v>
      </c>
      <c r="N59" s="33">
        <v>0</v>
      </c>
      <c r="O59" s="33">
        <v>0</v>
      </c>
      <c r="P59" s="33">
        <v>0</v>
      </c>
      <c r="Q59" s="33">
        <v>0</v>
      </c>
      <c r="R59" s="33">
        <v>0</v>
      </c>
      <c r="S59" s="33">
        <v>0</v>
      </c>
      <c r="T59" s="33">
        <v>0</v>
      </c>
      <c r="U59" s="33">
        <v>0</v>
      </c>
      <c r="V59" s="33">
        <v>0</v>
      </c>
      <c r="W59" s="33">
        <v>0</v>
      </c>
      <c r="X59" s="33">
        <v>0</v>
      </c>
      <c r="Y59" s="33">
        <v>0</v>
      </c>
      <c r="Z59" s="33">
        <v>0</v>
      </c>
      <c r="AA59" s="33">
        <v>0</v>
      </c>
      <c r="AB59" s="33">
        <v>0</v>
      </c>
      <c r="AC59" s="33">
        <v>0</v>
      </c>
      <c r="AD59" s="33">
        <v>0</v>
      </c>
      <c r="AE59" s="33">
        <v>0</v>
      </c>
      <c r="AF59" s="33"/>
      <c r="AG59" s="33"/>
      <c r="AH59" s="33"/>
      <c r="AI59" s="33"/>
      <c r="AJ59" s="33"/>
      <c r="AK59" s="33"/>
      <c r="AL59" s="33"/>
    </row>
    <row r="60" spans="1:38" ht="15.5">
      <c r="A60" s="31">
        <v>59</v>
      </c>
      <c r="B60" s="31" t="s">
        <v>1</v>
      </c>
      <c r="C60" s="31" t="s">
        <v>42</v>
      </c>
      <c r="D60" s="31" t="s">
        <v>3</v>
      </c>
      <c r="E60" s="31" t="s">
        <v>543</v>
      </c>
      <c r="F60" s="31">
        <v>2010</v>
      </c>
      <c r="G60" s="33" t="s">
        <v>71</v>
      </c>
      <c r="H60" s="33">
        <v>0</v>
      </c>
      <c r="I60" s="33">
        <v>0</v>
      </c>
      <c r="J60" s="33">
        <v>0</v>
      </c>
      <c r="K60" s="33">
        <v>0</v>
      </c>
      <c r="L60" s="33">
        <v>8.6035163217314831E-2</v>
      </c>
      <c r="M60" s="33">
        <v>8.6035163217314831E-2</v>
      </c>
      <c r="N60" s="33">
        <v>8.6035163217314831E-2</v>
      </c>
      <c r="O60" s="33">
        <v>8.6035163217314831E-2</v>
      </c>
      <c r="P60" s="33">
        <v>8.6035163217314831E-2</v>
      </c>
      <c r="Q60" s="33">
        <v>8.6035163217314831E-2</v>
      </c>
      <c r="R60" s="33">
        <v>8.6035163217314831E-2</v>
      </c>
      <c r="S60" s="33">
        <v>8.6035163217314831E-2</v>
      </c>
      <c r="T60" s="33">
        <v>8.6035163217314831E-2</v>
      </c>
      <c r="U60" s="33">
        <v>8.6035163217314831E-2</v>
      </c>
      <c r="V60" s="33">
        <v>8.6035163217314831E-2</v>
      </c>
      <c r="W60" s="33">
        <v>8.6035163217314831E-2</v>
      </c>
      <c r="X60" s="33">
        <v>8.6035163217314831E-2</v>
      </c>
      <c r="Y60" s="33">
        <v>8.6035163217314831E-2</v>
      </c>
      <c r="Z60" s="33">
        <v>8.6035163217314831E-2</v>
      </c>
      <c r="AA60" s="33">
        <v>8.6035163217314831E-2</v>
      </c>
      <c r="AB60" s="33">
        <v>8.6035163217314831E-2</v>
      </c>
      <c r="AC60" s="33">
        <v>8.6035163217314831E-2</v>
      </c>
      <c r="AD60" s="33">
        <v>8.6035163217314831E-2</v>
      </c>
      <c r="AE60" s="33">
        <v>8.6035163217314831E-2</v>
      </c>
      <c r="AF60" s="33"/>
      <c r="AG60" s="33"/>
      <c r="AH60" s="33"/>
      <c r="AI60" s="33"/>
      <c r="AJ60" s="33"/>
      <c r="AK60" s="33"/>
      <c r="AL60" s="33"/>
    </row>
    <row r="61" spans="1:38" ht="15.5">
      <c r="A61" s="31">
        <v>60</v>
      </c>
      <c r="B61" s="31" t="s">
        <v>1</v>
      </c>
      <c r="C61" s="31" t="s">
        <v>535</v>
      </c>
      <c r="D61" s="31" t="s">
        <v>3</v>
      </c>
      <c r="E61" s="31" t="s">
        <v>543</v>
      </c>
      <c r="F61" s="31">
        <v>2010</v>
      </c>
      <c r="G61" s="33" t="s">
        <v>70</v>
      </c>
      <c r="H61" s="33">
        <v>0</v>
      </c>
      <c r="I61" s="33">
        <v>0</v>
      </c>
      <c r="J61" s="33">
        <v>0</v>
      </c>
      <c r="K61" s="33">
        <v>0</v>
      </c>
      <c r="L61" s="33">
        <v>0.17577762138762623</v>
      </c>
      <c r="M61" s="33">
        <v>0.17577762138762623</v>
      </c>
      <c r="N61" s="33">
        <v>0.17577762138762623</v>
      </c>
      <c r="O61" s="33">
        <v>0.17577762138762623</v>
      </c>
      <c r="P61" s="33">
        <v>0.17577762138762623</v>
      </c>
      <c r="Q61" s="33">
        <v>0.17577762138762623</v>
      </c>
      <c r="R61" s="33">
        <v>0.17577762138762623</v>
      </c>
      <c r="S61" s="33">
        <v>0.17577762138762623</v>
      </c>
      <c r="T61" s="33">
        <v>0</v>
      </c>
      <c r="U61" s="33">
        <v>0</v>
      </c>
      <c r="V61" s="33">
        <v>0</v>
      </c>
      <c r="W61" s="33">
        <v>0</v>
      </c>
      <c r="X61" s="33">
        <v>0</v>
      </c>
      <c r="Y61" s="33">
        <v>0</v>
      </c>
      <c r="Z61" s="33">
        <v>0</v>
      </c>
      <c r="AA61" s="33">
        <v>0</v>
      </c>
      <c r="AB61" s="33">
        <v>0</v>
      </c>
      <c r="AC61" s="33">
        <v>0</v>
      </c>
      <c r="AD61" s="33">
        <v>0</v>
      </c>
      <c r="AE61" s="33">
        <v>0</v>
      </c>
      <c r="AF61" s="33"/>
      <c r="AG61" s="33"/>
      <c r="AH61" s="33"/>
      <c r="AI61" s="33"/>
      <c r="AJ61" s="33"/>
      <c r="AK61" s="33"/>
      <c r="AL61" s="33"/>
    </row>
    <row r="62" spans="1:38" ht="15.5">
      <c r="A62" s="31">
        <v>61</v>
      </c>
      <c r="B62" s="31" t="s">
        <v>60</v>
      </c>
      <c r="C62" s="31" t="s">
        <v>59</v>
      </c>
      <c r="D62" s="31" t="s">
        <v>3</v>
      </c>
      <c r="E62" s="31" t="s">
        <v>543</v>
      </c>
      <c r="F62" s="31">
        <v>2010</v>
      </c>
      <c r="G62" s="33" t="s">
        <v>17</v>
      </c>
      <c r="H62" s="33">
        <v>0</v>
      </c>
      <c r="I62" s="33">
        <v>0</v>
      </c>
      <c r="J62" s="33">
        <v>0</v>
      </c>
      <c r="K62" s="33">
        <v>0</v>
      </c>
      <c r="L62" s="33">
        <v>8.427273923639518E-3</v>
      </c>
      <c r="M62" s="33">
        <v>8.427273923639518E-3</v>
      </c>
      <c r="N62" s="33">
        <v>8.427273923639518E-3</v>
      </c>
      <c r="O62" s="33">
        <v>8.427273923639518E-3</v>
      </c>
      <c r="P62" s="33">
        <v>8.427273923639518E-3</v>
      </c>
      <c r="Q62" s="33">
        <v>8.427273923639518E-3</v>
      </c>
      <c r="R62" s="33">
        <v>8.427273923639518E-3</v>
      </c>
      <c r="S62" s="33">
        <v>8.427273923639518E-3</v>
      </c>
      <c r="T62" s="33">
        <v>8.427273923639518E-3</v>
      </c>
      <c r="U62" s="33">
        <v>8.427273923639518E-3</v>
      </c>
      <c r="V62" s="33">
        <v>0</v>
      </c>
      <c r="W62" s="33">
        <v>0</v>
      </c>
      <c r="X62" s="33">
        <v>0</v>
      </c>
      <c r="Y62" s="33">
        <v>0</v>
      </c>
      <c r="Z62" s="33">
        <v>0</v>
      </c>
      <c r="AA62" s="33">
        <v>0</v>
      </c>
      <c r="AB62" s="33">
        <v>0</v>
      </c>
      <c r="AC62" s="33">
        <v>0</v>
      </c>
      <c r="AD62" s="33">
        <v>0</v>
      </c>
      <c r="AE62" s="33">
        <v>0</v>
      </c>
      <c r="AF62" s="33"/>
      <c r="AG62" s="33"/>
      <c r="AH62" s="33"/>
      <c r="AI62" s="33"/>
      <c r="AJ62" s="33"/>
      <c r="AK62" s="33"/>
      <c r="AL62" s="33"/>
    </row>
    <row r="63" spans="1:38" ht="15.5">
      <c r="A63" s="31">
        <v>62</v>
      </c>
      <c r="B63" s="31" t="s">
        <v>62</v>
      </c>
      <c r="C63" s="31" t="s">
        <v>61</v>
      </c>
      <c r="D63" s="31" t="s">
        <v>3</v>
      </c>
      <c r="E63" s="31" t="s">
        <v>543</v>
      </c>
      <c r="F63" s="31">
        <v>2010</v>
      </c>
      <c r="G63" s="33" t="s">
        <v>71</v>
      </c>
      <c r="H63" s="33">
        <v>0</v>
      </c>
      <c r="I63" s="33">
        <v>0</v>
      </c>
      <c r="J63" s="33">
        <v>0</v>
      </c>
      <c r="K63" s="33">
        <v>0</v>
      </c>
      <c r="L63" s="33">
        <v>0.79308195429135875</v>
      </c>
      <c r="M63" s="33">
        <v>0</v>
      </c>
      <c r="N63" s="33">
        <v>0</v>
      </c>
      <c r="O63" s="33">
        <v>0</v>
      </c>
      <c r="P63" s="33">
        <v>0</v>
      </c>
      <c r="Q63" s="33">
        <v>0</v>
      </c>
      <c r="R63" s="33">
        <v>0</v>
      </c>
      <c r="S63" s="33">
        <v>0</v>
      </c>
      <c r="T63" s="33">
        <v>0</v>
      </c>
      <c r="U63" s="33">
        <v>0</v>
      </c>
      <c r="V63" s="33">
        <v>0</v>
      </c>
      <c r="W63" s="33">
        <v>0</v>
      </c>
      <c r="X63" s="33">
        <v>0</v>
      </c>
      <c r="Y63" s="33">
        <v>0</v>
      </c>
      <c r="Z63" s="33">
        <v>0</v>
      </c>
      <c r="AA63" s="33">
        <v>0</v>
      </c>
      <c r="AB63" s="33">
        <v>0</v>
      </c>
      <c r="AC63" s="33">
        <v>0</v>
      </c>
      <c r="AD63" s="33">
        <v>0</v>
      </c>
      <c r="AE63" s="33">
        <v>0</v>
      </c>
      <c r="AF63" s="33"/>
      <c r="AG63" s="33"/>
      <c r="AH63" s="33"/>
      <c r="AI63" s="33"/>
      <c r="AJ63" s="33"/>
      <c r="AK63" s="33"/>
      <c r="AL63" s="33"/>
    </row>
    <row r="64" spans="1:38" ht="15.5">
      <c r="A64" s="31">
        <v>63</v>
      </c>
      <c r="B64" s="31" t="s">
        <v>62</v>
      </c>
      <c r="C64" s="31" t="s">
        <v>49</v>
      </c>
      <c r="D64" s="31" t="s">
        <v>3</v>
      </c>
      <c r="E64" s="31" t="s">
        <v>543</v>
      </c>
      <c r="F64" s="31">
        <v>2010</v>
      </c>
      <c r="G64" s="33" t="s">
        <v>71</v>
      </c>
      <c r="H64" s="33">
        <v>0</v>
      </c>
      <c r="I64" s="33">
        <v>0</v>
      </c>
      <c r="J64" s="33">
        <v>0</v>
      </c>
      <c r="K64" s="33">
        <v>0</v>
      </c>
      <c r="L64" s="33">
        <v>1.67746830163979</v>
      </c>
      <c r="M64" s="33">
        <v>0</v>
      </c>
      <c r="N64" s="33">
        <v>0</v>
      </c>
      <c r="O64" s="33">
        <v>0</v>
      </c>
      <c r="P64" s="33">
        <v>0</v>
      </c>
      <c r="Q64" s="33">
        <v>0</v>
      </c>
      <c r="R64" s="33">
        <v>0</v>
      </c>
      <c r="S64" s="33">
        <v>0</v>
      </c>
      <c r="T64" s="33">
        <v>0</v>
      </c>
      <c r="U64" s="33">
        <v>0</v>
      </c>
      <c r="V64" s="33">
        <v>0</v>
      </c>
      <c r="W64" s="33">
        <v>0</v>
      </c>
      <c r="X64" s="33">
        <v>0</v>
      </c>
      <c r="Y64" s="33">
        <v>0</v>
      </c>
      <c r="Z64" s="33">
        <v>0</v>
      </c>
      <c r="AA64" s="33">
        <v>0</v>
      </c>
      <c r="AB64" s="33">
        <v>0</v>
      </c>
      <c r="AC64" s="33">
        <v>0</v>
      </c>
      <c r="AD64" s="33">
        <v>0</v>
      </c>
      <c r="AE64" s="33">
        <v>0</v>
      </c>
      <c r="AF64" s="33"/>
      <c r="AG64" s="33"/>
      <c r="AH64" s="33"/>
      <c r="AI64" s="33"/>
      <c r="AJ64" s="33"/>
      <c r="AK64" s="33"/>
      <c r="AL64" s="33"/>
    </row>
    <row r="65" spans="1:38" ht="15.5">
      <c r="A65" s="31">
        <v>64</v>
      </c>
      <c r="B65" s="31" t="s">
        <v>62</v>
      </c>
      <c r="C65" s="31" t="s">
        <v>63</v>
      </c>
      <c r="D65" s="31" t="s">
        <v>3</v>
      </c>
      <c r="E65" s="31" t="s">
        <v>543</v>
      </c>
      <c r="F65" s="31">
        <v>2010</v>
      </c>
      <c r="G65" s="33" t="s">
        <v>71</v>
      </c>
      <c r="H65" s="33">
        <v>0</v>
      </c>
      <c r="I65" s="33">
        <v>0</v>
      </c>
      <c r="J65" s="33">
        <v>0</v>
      </c>
      <c r="K65" s="33">
        <v>0</v>
      </c>
      <c r="L65" s="33">
        <v>0.19467162928445872</v>
      </c>
      <c r="M65" s="33">
        <v>0</v>
      </c>
      <c r="N65" s="33">
        <v>0</v>
      </c>
      <c r="O65" s="33">
        <v>0</v>
      </c>
      <c r="P65" s="33">
        <v>0</v>
      </c>
      <c r="Q65" s="33">
        <v>0</v>
      </c>
      <c r="R65" s="33">
        <v>0</v>
      </c>
      <c r="S65" s="33">
        <v>0</v>
      </c>
      <c r="T65" s="33">
        <v>0</v>
      </c>
      <c r="U65" s="33">
        <v>0</v>
      </c>
      <c r="V65" s="33">
        <v>0</v>
      </c>
      <c r="W65" s="33">
        <v>0</v>
      </c>
      <c r="X65" s="33">
        <v>0</v>
      </c>
      <c r="Y65" s="33">
        <v>0</v>
      </c>
      <c r="Z65" s="33">
        <v>0</v>
      </c>
      <c r="AA65" s="33">
        <v>0</v>
      </c>
      <c r="AB65" s="33">
        <v>0</v>
      </c>
      <c r="AC65" s="33">
        <v>0</v>
      </c>
      <c r="AD65" s="33">
        <v>0</v>
      </c>
      <c r="AE65" s="33">
        <v>0</v>
      </c>
      <c r="AF65" s="33"/>
      <c r="AG65" s="33"/>
      <c r="AH65" s="33"/>
      <c r="AI65" s="33"/>
      <c r="AJ65" s="33"/>
      <c r="AK65" s="33"/>
      <c r="AL65" s="33"/>
    </row>
    <row r="66" spans="1:38" ht="15.5">
      <c r="A66" s="31">
        <v>65</v>
      </c>
      <c r="B66" s="31" t="s">
        <v>15</v>
      </c>
      <c r="C66" s="31" t="s">
        <v>64</v>
      </c>
      <c r="D66" s="31" t="s">
        <v>3</v>
      </c>
      <c r="E66" s="31" t="s">
        <v>543</v>
      </c>
      <c r="F66" s="31">
        <v>2010</v>
      </c>
      <c r="G66" s="33" t="s">
        <v>58</v>
      </c>
      <c r="H66" s="33">
        <v>0</v>
      </c>
      <c r="I66" s="33">
        <v>0</v>
      </c>
      <c r="J66" s="33">
        <v>0</v>
      </c>
      <c r="K66" s="33">
        <v>0</v>
      </c>
      <c r="L66" s="33">
        <v>0</v>
      </c>
      <c r="M66" s="33">
        <v>0</v>
      </c>
      <c r="N66" s="33">
        <v>0</v>
      </c>
      <c r="O66" s="33">
        <v>0</v>
      </c>
      <c r="P66" s="33">
        <v>0</v>
      </c>
      <c r="Q66" s="33">
        <v>0</v>
      </c>
      <c r="R66" s="33">
        <v>0</v>
      </c>
      <c r="S66" s="33">
        <v>0</v>
      </c>
      <c r="T66" s="33">
        <v>0</v>
      </c>
      <c r="U66" s="33">
        <v>0</v>
      </c>
      <c r="V66" s="33">
        <v>0</v>
      </c>
      <c r="W66" s="33">
        <v>0</v>
      </c>
      <c r="X66" s="33">
        <v>0</v>
      </c>
      <c r="Y66" s="33">
        <v>0</v>
      </c>
      <c r="Z66" s="33">
        <v>0</v>
      </c>
      <c r="AA66" s="33">
        <v>0</v>
      </c>
      <c r="AB66" s="33">
        <v>0</v>
      </c>
      <c r="AC66" s="33">
        <v>0</v>
      </c>
      <c r="AD66" s="33">
        <v>0</v>
      </c>
      <c r="AE66" s="33">
        <v>0</v>
      </c>
      <c r="AF66" s="33"/>
      <c r="AG66" s="33"/>
      <c r="AH66" s="33"/>
      <c r="AI66" s="33"/>
      <c r="AJ66" s="33"/>
      <c r="AK66" s="33"/>
      <c r="AL66" s="33"/>
    </row>
    <row r="67" spans="1:38" ht="15.5">
      <c r="A67" s="31" t="s">
        <v>37</v>
      </c>
      <c r="B67" s="31" t="s">
        <v>15</v>
      </c>
      <c r="C67" s="31" t="s">
        <v>19</v>
      </c>
      <c r="D67" s="31" t="s">
        <v>3</v>
      </c>
      <c r="E67" s="31" t="s">
        <v>5</v>
      </c>
      <c r="F67" s="31">
        <v>2011</v>
      </c>
      <c r="G67" s="33" t="s">
        <v>17</v>
      </c>
      <c r="H67" s="33"/>
      <c r="I67" s="33"/>
      <c r="J67" s="33"/>
      <c r="K67" s="33"/>
      <c r="L67" s="33"/>
      <c r="M67" s="33">
        <v>2.2087221046377999E-3</v>
      </c>
      <c r="N67" s="33">
        <v>2.2087221046377999E-3</v>
      </c>
      <c r="O67" s="33">
        <v>2.2087221046377999E-3</v>
      </c>
      <c r="P67" s="33">
        <v>7.5426660871048378E-4</v>
      </c>
      <c r="Q67" s="33">
        <v>0</v>
      </c>
      <c r="R67" s="33">
        <v>0</v>
      </c>
      <c r="S67" s="33">
        <v>0</v>
      </c>
      <c r="T67" s="33">
        <v>0</v>
      </c>
      <c r="U67" s="33">
        <v>0</v>
      </c>
      <c r="V67" s="33">
        <v>0</v>
      </c>
      <c r="W67" s="33">
        <v>0</v>
      </c>
      <c r="X67" s="33">
        <v>0</v>
      </c>
      <c r="Y67" s="33">
        <v>0</v>
      </c>
      <c r="Z67" s="33">
        <v>0</v>
      </c>
      <c r="AA67" s="33">
        <v>0</v>
      </c>
      <c r="AB67" s="33">
        <v>0</v>
      </c>
      <c r="AC67" s="33">
        <v>0</v>
      </c>
      <c r="AD67" s="33">
        <v>0</v>
      </c>
      <c r="AE67" s="33">
        <v>0</v>
      </c>
      <c r="AF67" s="33">
        <v>0</v>
      </c>
      <c r="AG67" s="33">
        <v>0</v>
      </c>
      <c r="AH67" s="33">
        <v>0</v>
      </c>
      <c r="AI67" s="33">
        <v>0</v>
      </c>
      <c r="AJ67" s="33">
        <v>0</v>
      </c>
      <c r="AK67" s="33">
        <v>0</v>
      </c>
      <c r="AL67" s="33">
        <v>0</v>
      </c>
    </row>
    <row r="68" spans="1:38" ht="15.5">
      <c r="A68" s="31" t="s">
        <v>37</v>
      </c>
      <c r="B68" s="31" t="s">
        <v>15</v>
      </c>
      <c r="C68" s="31" t="s">
        <v>21</v>
      </c>
      <c r="D68" s="31" t="s">
        <v>3</v>
      </c>
      <c r="E68" s="31" t="s">
        <v>5</v>
      </c>
      <c r="F68" s="31">
        <v>2011</v>
      </c>
      <c r="G68" s="33" t="s">
        <v>17</v>
      </c>
      <c r="H68" s="33"/>
      <c r="I68" s="33"/>
      <c r="J68" s="33"/>
      <c r="K68" s="33"/>
      <c r="L68" s="33"/>
      <c r="M68" s="33">
        <v>9.7587870989821034E-3</v>
      </c>
      <c r="N68" s="33">
        <v>9.7587870989821034E-3</v>
      </c>
      <c r="O68" s="33">
        <v>9.7587870989821034E-3</v>
      </c>
      <c r="P68" s="33">
        <v>9.5320388070644791E-3</v>
      </c>
      <c r="Q68" s="33">
        <v>6.971248558427184E-3</v>
      </c>
      <c r="R68" s="33">
        <v>0</v>
      </c>
      <c r="S68" s="33">
        <v>0</v>
      </c>
      <c r="T68" s="33">
        <v>0</v>
      </c>
      <c r="U68" s="33">
        <v>0</v>
      </c>
      <c r="V68" s="33">
        <v>0</v>
      </c>
      <c r="W68" s="33">
        <v>0</v>
      </c>
      <c r="X68" s="33">
        <v>0</v>
      </c>
      <c r="Y68" s="33">
        <v>0</v>
      </c>
      <c r="Z68" s="33">
        <v>0</v>
      </c>
      <c r="AA68" s="33">
        <v>0</v>
      </c>
      <c r="AB68" s="33">
        <v>0</v>
      </c>
      <c r="AC68" s="33">
        <v>0</v>
      </c>
      <c r="AD68" s="33">
        <v>0</v>
      </c>
      <c r="AE68" s="33">
        <v>0</v>
      </c>
      <c r="AF68" s="33">
        <v>0</v>
      </c>
      <c r="AG68" s="33">
        <v>0</v>
      </c>
      <c r="AH68" s="33">
        <v>0</v>
      </c>
      <c r="AI68" s="33">
        <v>0</v>
      </c>
      <c r="AJ68" s="33">
        <v>0</v>
      </c>
      <c r="AK68" s="33">
        <v>0</v>
      </c>
      <c r="AL68" s="33">
        <v>0</v>
      </c>
    </row>
    <row r="69" spans="1:38" ht="15.5">
      <c r="A69" s="31" t="s">
        <v>37</v>
      </c>
      <c r="B69" s="31" t="s">
        <v>15</v>
      </c>
      <c r="C69" s="31" t="s">
        <v>43</v>
      </c>
      <c r="D69" s="31" t="s">
        <v>3</v>
      </c>
      <c r="E69" s="31" t="s">
        <v>5</v>
      </c>
      <c r="F69" s="31">
        <v>2011</v>
      </c>
      <c r="G69" s="33" t="s">
        <v>17</v>
      </c>
      <c r="H69" s="33"/>
      <c r="I69" s="33"/>
      <c r="J69" s="33"/>
      <c r="K69" s="33"/>
      <c r="L69" s="33"/>
      <c r="M69" s="33">
        <v>8.430533393957388E-3</v>
      </c>
      <c r="N69" s="33">
        <v>8.430533393957388E-3</v>
      </c>
      <c r="O69" s="33">
        <v>8.430533393957388E-3</v>
      </c>
      <c r="P69" s="33">
        <v>8.430533393957388E-3</v>
      </c>
      <c r="Q69" s="33">
        <v>7.8433079422466512E-3</v>
      </c>
      <c r="R69" s="33">
        <v>7.2017888719191061E-3</v>
      </c>
      <c r="S69" s="33">
        <v>5.8254027079323078E-3</v>
      </c>
      <c r="T69" s="33">
        <v>5.7874743031671996E-3</v>
      </c>
      <c r="U69" s="33">
        <v>7.0162188252054841E-3</v>
      </c>
      <c r="V69" s="33">
        <v>3.3282576576091081E-3</v>
      </c>
      <c r="W69" s="33">
        <v>4.7330997280805161E-4</v>
      </c>
      <c r="X69" s="33">
        <v>4.7311309875717686E-4</v>
      </c>
      <c r="Y69" s="33">
        <v>4.7311309875717686E-4</v>
      </c>
      <c r="Z69" s="33">
        <v>4.3913278278496734E-4</v>
      </c>
      <c r="AA69" s="33">
        <v>4.3913278278496734E-4</v>
      </c>
      <c r="AB69" s="33">
        <v>3.706443474060017E-4</v>
      </c>
      <c r="AC69" s="33">
        <v>0</v>
      </c>
      <c r="AD69" s="33">
        <v>0</v>
      </c>
      <c r="AE69" s="33">
        <v>0</v>
      </c>
      <c r="AF69" s="33">
        <v>0</v>
      </c>
      <c r="AG69" s="33">
        <v>0</v>
      </c>
      <c r="AH69" s="33">
        <v>0</v>
      </c>
      <c r="AI69" s="33">
        <v>0</v>
      </c>
      <c r="AJ69" s="33">
        <v>0</v>
      </c>
      <c r="AK69" s="33">
        <v>0</v>
      </c>
      <c r="AL69" s="33">
        <v>0</v>
      </c>
    </row>
    <row r="70" spans="1:38" ht="15.5">
      <c r="A70" s="31" t="s">
        <v>37</v>
      </c>
      <c r="B70" s="31" t="s">
        <v>15</v>
      </c>
      <c r="C70" s="31" t="s">
        <v>45</v>
      </c>
      <c r="D70" s="31" t="s">
        <v>3</v>
      </c>
      <c r="E70" s="31" t="s">
        <v>5</v>
      </c>
      <c r="F70" s="31">
        <v>2011</v>
      </c>
      <c r="G70" s="33" t="s">
        <v>17</v>
      </c>
      <c r="H70" s="33"/>
      <c r="I70" s="33"/>
      <c r="J70" s="33"/>
      <c r="K70" s="33"/>
      <c r="L70" s="33"/>
      <c r="M70" s="33">
        <v>6.1033098347424682E-3</v>
      </c>
      <c r="N70" s="33">
        <v>6.1033098347424682E-3</v>
      </c>
      <c r="O70" s="33">
        <v>6.1033098347424682E-3</v>
      </c>
      <c r="P70" s="33">
        <v>6.1033098347424682E-3</v>
      </c>
      <c r="Q70" s="33">
        <v>5.7376461781793791E-3</v>
      </c>
      <c r="R70" s="33">
        <v>5.338174036214941E-3</v>
      </c>
      <c r="S70" s="33">
        <v>4.4770737385133709E-3</v>
      </c>
      <c r="T70" s="33">
        <v>4.4321616909661155E-3</v>
      </c>
      <c r="U70" s="33">
        <v>5.1972974894936427E-3</v>
      </c>
      <c r="V70" s="33">
        <v>2.9008143212704601E-3</v>
      </c>
      <c r="W70" s="33">
        <v>3.4393170086695211E-4</v>
      </c>
      <c r="X70" s="33">
        <v>3.4370242967095765E-4</v>
      </c>
      <c r="Y70" s="33">
        <v>3.4370242967095765E-4</v>
      </c>
      <c r="Z70" s="33">
        <v>3.3736606284991502E-4</v>
      </c>
      <c r="AA70" s="33">
        <v>3.3736606284991502E-4</v>
      </c>
      <c r="AB70" s="33">
        <v>3.1823150548650295E-4</v>
      </c>
      <c r="AC70" s="33">
        <v>0</v>
      </c>
      <c r="AD70" s="33">
        <v>0</v>
      </c>
      <c r="AE70" s="33">
        <v>0</v>
      </c>
      <c r="AF70" s="33">
        <v>0</v>
      </c>
      <c r="AG70" s="33">
        <v>0</v>
      </c>
      <c r="AH70" s="33">
        <v>0</v>
      </c>
      <c r="AI70" s="33">
        <v>0</v>
      </c>
      <c r="AJ70" s="33">
        <v>0</v>
      </c>
      <c r="AK70" s="33">
        <v>0</v>
      </c>
      <c r="AL70" s="33">
        <v>0</v>
      </c>
    </row>
    <row r="71" spans="1:38" ht="15.5">
      <c r="A71" s="31" t="s">
        <v>37</v>
      </c>
      <c r="B71" s="31" t="s">
        <v>15</v>
      </c>
      <c r="C71" s="31" t="s">
        <v>46</v>
      </c>
      <c r="D71" s="31" t="s">
        <v>3</v>
      </c>
      <c r="E71" s="31" t="s">
        <v>5</v>
      </c>
      <c r="F71" s="31">
        <v>2011</v>
      </c>
      <c r="G71" s="33" t="s">
        <v>17</v>
      </c>
      <c r="H71" s="33"/>
      <c r="I71" s="33"/>
      <c r="J71" s="33"/>
      <c r="K71" s="33"/>
      <c r="L71" s="33"/>
      <c r="M71" s="33">
        <v>0.11813922851734725</v>
      </c>
      <c r="N71" s="33">
        <v>0.11813922851734725</v>
      </c>
      <c r="O71" s="33">
        <v>0.11813922851734725</v>
      </c>
      <c r="P71" s="33">
        <v>0.11813922851734725</v>
      </c>
      <c r="Q71" s="33">
        <v>0.11813922851734725</v>
      </c>
      <c r="R71" s="33">
        <v>0.11813922851734725</v>
      </c>
      <c r="S71" s="33">
        <v>0.11813922851734725</v>
      </c>
      <c r="T71" s="33">
        <v>0.11813922851734725</v>
      </c>
      <c r="U71" s="33">
        <v>0.11813922851734725</v>
      </c>
      <c r="V71" s="33">
        <v>0.11813922851734725</v>
      </c>
      <c r="W71" s="33">
        <v>0.11813922851734725</v>
      </c>
      <c r="X71" s="33">
        <v>0.11813922851734725</v>
      </c>
      <c r="Y71" s="33">
        <v>0.11813922851734725</v>
      </c>
      <c r="Z71" s="33">
        <v>0.11813922851734725</v>
      </c>
      <c r="AA71" s="33">
        <v>0.11813922851734725</v>
      </c>
      <c r="AB71" s="33">
        <v>0.11813922851734725</v>
      </c>
      <c r="AC71" s="33">
        <v>0.11813922851734725</v>
      </c>
      <c r="AD71" s="33">
        <v>0.11813922851734725</v>
      </c>
      <c r="AE71" s="33">
        <v>0.10784961221401221</v>
      </c>
      <c r="AF71" s="33">
        <v>0</v>
      </c>
      <c r="AG71" s="33">
        <v>0</v>
      </c>
      <c r="AH71" s="33">
        <v>0</v>
      </c>
      <c r="AI71" s="33">
        <v>0</v>
      </c>
      <c r="AJ71" s="33">
        <v>0</v>
      </c>
      <c r="AK71" s="33">
        <v>0</v>
      </c>
      <c r="AL71" s="33">
        <v>0</v>
      </c>
    </row>
    <row r="72" spans="1:38" ht="15.5">
      <c r="A72" s="31" t="s">
        <v>37</v>
      </c>
      <c r="B72" s="31" t="s">
        <v>15</v>
      </c>
      <c r="C72" s="31" t="s">
        <v>54</v>
      </c>
      <c r="D72" s="31" t="s">
        <v>3</v>
      </c>
      <c r="E72" s="31" t="s">
        <v>5</v>
      </c>
      <c r="F72" s="31">
        <v>2011</v>
      </c>
      <c r="G72" s="33" t="s">
        <v>17</v>
      </c>
      <c r="H72" s="33"/>
      <c r="I72" s="33"/>
      <c r="J72" s="33"/>
      <c r="K72" s="33"/>
      <c r="L72" s="33"/>
      <c r="M72" s="33">
        <v>0</v>
      </c>
      <c r="N72" s="33">
        <v>0</v>
      </c>
      <c r="O72" s="33">
        <v>0</v>
      </c>
      <c r="P72" s="33">
        <v>0</v>
      </c>
      <c r="Q72" s="33">
        <v>0</v>
      </c>
      <c r="R72" s="33">
        <v>0</v>
      </c>
      <c r="S72" s="33">
        <v>0</v>
      </c>
      <c r="T72" s="33">
        <v>0</v>
      </c>
      <c r="U72" s="33">
        <v>0</v>
      </c>
      <c r="V72" s="33">
        <v>0</v>
      </c>
      <c r="W72" s="33">
        <v>0</v>
      </c>
      <c r="X72" s="33">
        <v>0</v>
      </c>
      <c r="Y72" s="33">
        <v>0</v>
      </c>
      <c r="Z72" s="33">
        <v>0</v>
      </c>
      <c r="AA72" s="33">
        <v>0</v>
      </c>
      <c r="AB72" s="33">
        <v>0</v>
      </c>
      <c r="AC72" s="33">
        <v>0</v>
      </c>
      <c r="AD72" s="33">
        <v>0</v>
      </c>
      <c r="AE72" s="33">
        <v>0</v>
      </c>
      <c r="AF72" s="33">
        <v>0</v>
      </c>
      <c r="AG72" s="33">
        <v>0</v>
      </c>
      <c r="AH72" s="33">
        <v>0</v>
      </c>
      <c r="AI72" s="33">
        <v>0</v>
      </c>
      <c r="AJ72" s="33">
        <v>0</v>
      </c>
      <c r="AK72" s="33">
        <v>0</v>
      </c>
      <c r="AL72" s="33">
        <v>0</v>
      </c>
    </row>
    <row r="73" spans="1:38" ht="15.5">
      <c r="A73" s="31" t="s">
        <v>37</v>
      </c>
      <c r="B73" s="31" t="s">
        <v>1</v>
      </c>
      <c r="C73" s="31" t="s">
        <v>51</v>
      </c>
      <c r="D73" s="31" t="s">
        <v>3</v>
      </c>
      <c r="E73" s="31" t="s">
        <v>9</v>
      </c>
      <c r="F73" s="31">
        <v>2011</v>
      </c>
      <c r="G73" s="33" t="s">
        <v>58</v>
      </c>
      <c r="H73" s="33"/>
      <c r="I73" s="33"/>
      <c r="J73" s="33"/>
      <c r="K73" s="33"/>
      <c r="L73" s="33"/>
      <c r="M73" s="33">
        <v>4.0183739999999997</v>
      </c>
      <c r="N73" s="33">
        <v>0</v>
      </c>
      <c r="O73" s="33">
        <v>0</v>
      </c>
      <c r="P73" s="33">
        <v>0</v>
      </c>
      <c r="Q73" s="33">
        <v>0</v>
      </c>
      <c r="R73" s="33">
        <v>0</v>
      </c>
      <c r="S73" s="33">
        <v>0</v>
      </c>
      <c r="T73" s="33">
        <v>0</v>
      </c>
      <c r="U73" s="33">
        <v>0</v>
      </c>
      <c r="V73" s="33">
        <v>0</v>
      </c>
      <c r="W73" s="33">
        <v>0</v>
      </c>
      <c r="X73" s="33">
        <v>0</v>
      </c>
      <c r="Y73" s="33">
        <v>0</v>
      </c>
      <c r="Z73" s="33">
        <v>0</v>
      </c>
      <c r="AA73" s="33">
        <v>0</v>
      </c>
      <c r="AB73" s="33">
        <v>0</v>
      </c>
      <c r="AC73" s="33">
        <v>0</v>
      </c>
      <c r="AD73" s="33">
        <v>0</v>
      </c>
      <c r="AE73" s="33">
        <v>0</v>
      </c>
      <c r="AF73" s="33">
        <v>0</v>
      </c>
      <c r="AG73" s="33">
        <v>0</v>
      </c>
      <c r="AH73" s="33">
        <v>0</v>
      </c>
      <c r="AI73" s="33">
        <v>0</v>
      </c>
      <c r="AJ73" s="33">
        <v>0</v>
      </c>
      <c r="AK73" s="33">
        <v>0</v>
      </c>
      <c r="AL73" s="33">
        <v>0</v>
      </c>
    </row>
    <row r="74" spans="1:38" ht="15.5">
      <c r="A74" s="31" t="s">
        <v>37</v>
      </c>
      <c r="B74" s="31" t="s">
        <v>1</v>
      </c>
      <c r="C74" s="31" t="s">
        <v>38</v>
      </c>
      <c r="D74" s="31" t="s">
        <v>3</v>
      </c>
      <c r="E74" s="31" t="s">
        <v>5</v>
      </c>
      <c r="F74" s="31">
        <v>2011</v>
      </c>
      <c r="G74" s="33" t="s">
        <v>92</v>
      </c>
      <c r="H74" s="33"/>
      <c r="I74" s="33"/>
      <c r="J74" s="33"/>
      <c r="K74" s="33"/>
      <c r="L74" s="33"/>
      <c r="M74" s="33">
        <v>0.10501326240581341</v>
      </c>
      <c r="N74" s="33">
        <v>0.10501326240581341</v>
      </c>
      <c r="O74" s="33">
        <v>0.10485196055999835</v>
      </c>
      <c r="P74" s="33">
        <v>8.4607426754166479E-2</v>
      </c>
      <c r="Q74" s="33">
        <v>8.4607426754166479E-2</v>
      </c>
      <c r="R74" s="33">
        <v>8.4607426754166479E-2</v>
      </c>
      <c r="S74" s="33">
        <v>2.8341886465748044E-2</v>
      </c>
      <c r="T74" s="33">
        <v>2.6020292042052674E-2</v>
      </c>
      <c r="U74" s="33">
        <v>2.6020292042052674E-2</v>
      </c>
      <c r="V74" s="33">
        <v>2.6020292042052674E-2</v>
      </c>
      <c r="W74" s="33">
        <v>2.2473955746204373E-2</v>
      </c>
      <c r="X74" s="33">
        <v>2.2473955746204373E-2</v>
      </c>
      <c r="Y74" s="33">
        <v>8.2955234990603616E-3</v>
      </c>
      <c r="Z74" s="33">
        <v>8.2955234990603616E-3</v>
      </c>
      <c r="AA74" s="33">
        <v>8.2955234990603616E-3</v>
      </c>
      <c r="AB74" s="33">
        <v>0</v>
      </c>
      <c r="AC74" s="33">
        <v>0</v>
      </c>
      <c r="AD74" s="33">
        <v>0</v>
      </c>
      <c r="AE74" s="33">
        <v>0</v>
      </c>
      <c r="AF74" s="33">
        <v>0</v>
      </c>
      <c r="AG74" s="33">
        <v>0</v>
      </c>
      <c r="AH74" s="33">
        <v>0</v>
      </c>
      <c r="AI74" s="33">
        <v>0</v>
      </c>
      <c r="AJ74" s="33">
        <v>0</v>
      </c>
      <c r="AK74" s="33">
        <v>0</v>
      </c>
      <c r="AL74" s="33">
        <v>0</v>
      </c>
    </row>
    <row r="75" spans="1:38" ht="15.5">
      <c r="A75" s="31" t="s">
        <v>37</v>
      </c>
      <c r="B75" s="31" t="s">
        <v>1</v>
      </c>
      <c r="C75" s="31" t="s">
        <v>12</v>
      </c>
      <c r="D75" s="31" t="s">
        <v>3</v>
      </c>
      <c r="E75" s="31" t="s">
        <v>5</v>
      </c>
      <c r="F75" s="31">
        <v>2011</v>
      </c>
      <c r="G75" s="33" t="s">
        <v>93</v>
      </c>
      <c r="H75" s="33"/>
      <c r="I75" s="33"/>
      <c r="J75" s="33"/>
      <c r="K75" s="33"/>
      <c r="L75" s="33"/>
      <c r="M75" s="33">
        <v>0.36025041265358465</v>
      </c>
      <c r="N75" s="33">
        <v>0.36025041265358465</v>
      </c>
      <c r="O75" s="33">
        <v>0.36025041265358465</v>
      </c>
      <c r="P75" s="33">
        <v>0.36025041265358465</v>
      </c>
      <c r="Q75" s="33">
        <v>0.36025041265358465</v>
      </c>
      <c r="R75" s="33">
        <v>0.36025041265358465</v>
      </c>
      <c r="S75" s="33">
        <v>0.36025041265358465</v>
      </c>
      <c r="T75" s="33">
        <v>0.36025041265358465</v>
      </c>
      <c r="U75" s="33">
        <v>0.36025041265358465</v>
      </c>
      <c r="V75" s="33">
        <v>0.24067565572919383</v>
      </c>
      <c r="W75" s="33">
        <v>0.24067565572919383</v>
      </c>
      <c r="X75" s="33">
        <v>0.24067565572919383</v>
      </c>
      <c r="Y75" s="33">
        <v>0.24067565572919383</v>
      </c>
      <c r="Z75" s="33">
        <v>0.24067565572919383</v>
      </c>
      <c r="AA75" s="33">
        <v>1.0164256489680166E-2</v>
      </c>
      <c r="AB75" s="33">
        <v>0</v>
      </c>
      <c r="AC75" s="33">
        <v>0</v>
      </c>
      <c r="AD75" s="33">
        <v>0</v>
      </c>
      <c r="AE75" s="33">
        <v>0</v>
      </c>
      <c r="AF75" s="33">
        <v>0</v>
      </c>
      <c r="AG75" s="33">
        <v>0</v>
      </c>
      <c r="AH75" s="33">
        <v>0</v>
      </c>
      <c r="AI75" s="33">
        <v>0</v>
      </c>
      <c r="AJ75" s="33">
        <v>0</v>
      </c>
      <c r="AK75" s="33">
        <v>0</v>
      </c>
      <c r="AL75" s="33">
        <v>0</v>
      </c>
    </row>
    <row r="76" spans="1:38" ht="15.5">
      <c r="A76" s="31" t="s">
        <v>37</v>
      </c>
      <c r="B76" s="31" t="s">
        <v>1</v>
      </c>
      <c r="C76" s="31" t="s">
        <v>40</v>
      </c>
      <c r="D76" s="31" t="s">
        <v>3</v>
      </c>
      <c r="E76" s="31" t="s">
        <v>5</v>
      </c>
      <c r="F76" s="31">
        <v>2011</v>
      </c>
      <c r="G76" s="33" t="s">
        <v>94</v>
      </c>
      <c r="H76" s="33"/>
      <c r="I76" s="33"/>
      <c r="J76" s="33"/>
      <c r="K76" s="33"/>
      <c r="L76" s="33"/>
      <c r="M76" s="33">
        <v>0</v>
      </c>
      <c r="N76" s="33">
        <v>0</v>
      </c>
      <c r="O76" s="33">
        <v>0</v>
      </c>
      <c r="P76" s="33">
        <v>0</v>
      </c>
      <c r="Q76" s="33">
        <v>0</v>
      </c>
      <c r="R76" s="33">
        <v>0</v>
      </c>
      <c r="S76" s="33">
        <v>0</v>
      </c>
      <c r="T76" s="33">
        <v>0</v>
      </c>
      <c r="U76" s="33">
        <v>0</v>
      </c>
      <c r="V76" s="33">
        <v>0</v>
      </c>
      <c r="W76" s="33">
        <v>0</v>
      </c>
      <c r="X76" s="33">
        <v>0</v>
      </c>
      <c r="Y76" s="33">
        <v>0</v>
      </c>
      <c r="Z76" s="33">
        <v>0</v>
      </c>
      <c r="AA76" s="33">
        <v>0</v>
      </c>
      <c r="AB76" s="33">
        <v>0</v>
      </c>
      <c r="AC76" s="33">
        <v>0</v>
      </c>
      <c r="AD76" s="33">
        <v>0</v>
      </c>
      <c r="AE76" s="33">
        <v>0</v>
      </c>
      <c r="AF76" s="33">
        <v>0</v>
      </c>
      <c r="AG76" s="33">
        <v>0</v>
      </c>
      <c r="AH76" s="33">
        <v>0</v>
      </c>
      <c r="AI76" s="33">
        <v>0</v>
      </c>
      <c r="AJ76" s="33">
        <v>0</v>
      </c>
      <c r="AK76" s="33">
        <v>0</v>
      </c>
      <c r="AL76" s="33">
        <v>0</v>
      </c>
    </row>
    <row r="77" spans="1:38" ht="15.5">
      <c r="A77" s="31" t="s">
        <v>37</v>
      </c>
      <c r="B77" s="31" t="s">
        <v>27</v>
      </c>
      <c r="C77" s="31" t="s">
        <v>49</v>
      </c>
      <c r="D77" s="31" t="s">
        <v>3</v>
      </c>
      <c r="E77" s="31" t="s">
        <v>9</v>
      </c>
      <c r="F77" s="31">
        <v>2011</v>
      </c>
      <c r="G77" s="33" t="s">
        <v>58</v>
      </c>
      <c r="H77" s="33"/>
      <c r="I77" s="33"/>
      <c r="J77" s="33"/>
      <c r="K77" s="33"/>
      <c r="L77" s="33"/>
      <c r="M77" s="33">
        <v>0</v>
      </c>
      <c r="N77" s="33">
        <v>0</v>
      </c>
      <c r="O77" s="33">
        <v>0</v>
      </c>
      <c r="P77" s="33">
        <v>0</v>
      </c>
      <c r="Q77" s="33">
        <v>0</v>
      </c>
      <c r="R77" s="33">
        <v>0</v>
      </c>
      <c r="S77" s="33">
        <v>0</v>
      </c>
      <c r="T77" s="33">
        <v>0</v>
      </c>
      <c r="U77" s="33">
        <v>0</v>
      </c>
      <c r="V77" s="33">
        <v>0</v>
      </c>
      <c r="W77" s="33">
        <v>0</v>
      </c>
      <c r="X77" s="33">
        <v>0</v>
      </c>
      <c r="Y77" s="33">
        <v>0</v>
      </c>
      <c r="Z77" s="33">
        <v>0</v>
      </c>
      <c r="AA77" s="33">
        <v>0</v>
      </c>
      <c r="AB77" s="33">
        <v>0</v>
      </c>
      <c r="AC77" s="33">
        <v>0</v>
      </c>
      <c r="AD77" s="33">
        <v>0</v>
      </c>
      <c r="AE77" s="33">
        <v>0</v>
      </c>
      <c r="AF77" s="33">
        <v>0</v>
      </c>
      <c r="AG77" s="33">
        <v>0</v>
      </c>
      <c r="AH77" s="33">
        <v>0</v>
      </c>
      <c r="AI77" s="33">
        <v>0</v>
      </c>
      <c r="AJ77" s="33">
        <v>0</v>
      </c>
      <c r="AK77" s="33">
        <v>0</v>
      </c>
      <c r="AL77" s="33">
        <v>0</v>
      </c>
    </row>
    <row r="78" spans="1:38" ht="15.5">
      <c r="A78" s="31" t="s">
        <v>37</v>
      </c>
      <c r="B78" s="31" t="s">
        <v>50</v>
      </c>
      <c r="C78" s="31" t="s">
        <v>55</v>
      </c>
      <c r="D78" s="31" t="s">
        <v>3</v>
      </c>
      <c r="E78" s="31" t="s">
        <v>5</v>
      </c>
      <c r="F78" s="31">
        <v>2011</v>
      </c>
      <c r="G78" s="33" t="s">
        <v>71</v>
      </c>
      <c r="H78" s="33"/>
      <c r="I78" s="33"/>
      <c r="J78" s="33"/>
      <c r="K78" s="33"/>
      <c r="L78" s="33"/>
      <c r="M78" s="33">
        <v>1.2423171199999999E-2</v>
      </c>
      <c r="N78" s="33">
        <v>1.2423171199999999E-2</v>
      </c>
      <c r="O78" s="33">
        <v>1.2423171199999999E-2</v>
      </c>
      <c r="P78" s="33">
        <v>1.2423171199999999E-2</v>
      </c>
      <c r="Q78" s="33">
        <v>1.2423171199999999E-2</v>
      </c>
      <c r="R78" s="33">
        <v>1.2423171199999999E-2</v>
      </c>
      <c r="S78" s="33">
        <v>1.2423171199999999E-2</v>
      </c>
      <c r="T78" s="33">
        <v>1.2423171199999999E-2</v>
      </c>
      <c r="U78" s="33">
        <v>1.2423171199999999E-2</v>
      </c>
      <c r="V78" s="33">
        <v>1.2423171199999999E-2</v>
      </c>
      <c r="W78" s="33">
        <v>1.2423171199999999E-2</v>
      </c>
      <c r="X78" s="33">
        <v>1.2423171199999999E-2</v>
      </c>
      <c r="Y78" s="33">
        <v>1.2423171199999999E-2</v>
      </c>
      <c r="Z78" s="33">
        <v>0</v>
      </c>
      <c r="AA78" s="33">
        <v>0</v>
      </c>
      <c r="AB78" s="33">
        <v>0</v>
      </c>
      <c r="AC78" s="33">
        <v>0</v>
      </c>
      <c r="AD78" s="33">
        <v>0</v>
      </c>
      <c r="AE78" s="33">
        <v>0</v>
      </c>
      <c r="AF78" s="33">
        <v>0</v>
      </c>
      <c r="AG78" s="33">
        <v>0</v>
      </c>
      <c r="AH78" s="33">
        <v>0</v>
      </c>
      <c r="AI78" s="33">
        <v>0</v>
      </c>
      <c r="AJ78" s="33">
        <v>0</v>
      </c>
      <c r="AK78" s="33">
        <v>0</v>
      </c>
      <c r="AL78" s="33">
        <v>0</v>
      </c>
    </row>
    <row r="79" spans="1:38" ht="15.5">
      <c r="A79" s="31" t="s">
        <v>37</v>
      </c>
      <c r="B79" s="31" t="s">
        <v>50</v>
      </c>
      <c r="C79" s="31" t="s">
        <v>42</v>
      </c>
      <c r="D79" s="31" t="s">
        <v>3</v>
      </c>
      <c r="E79" s="31" t="s">
        <v>5</v>
      </c>
      <c r="F79" s="31">
        <v>2011</v>
      </c>
      <c r="G79" s="33" t="s">
        <v>57</v>
      </c>
      <c r="H79" s="33"/>
      <c r="I79" s="33"/>
      <c r="J79" s="33"/>
      <c r="K79" s="33"/>
      <c r="L79" s="33"/>
      <c r="M79" s="33">
        <v>6.445545105378446E-2</v>
      </c>
      <c r="N79" s="33">
        <v>6.445545105378446E-2</v>
      </c>
      <c r="O79" s="33">
        <v>6.445545105378446E-2</v>
      </c>
      <c r="P79" s="33">
        <v>6.445545105378446E-2</v>
      </c>
      <c r="Q79" s="33">
        <v>6.445545105378446E-2</v>
      </c>
      <c r="R79" s="33">
        <v>6.445545105378446E-2</v>
      </c>
      <c r="S79" s="33">
        <v>6.445545105378446E-2</v>
      </c>
      <c r="T79" s="33">
        <v>6.445545105378446E-2</v>
      </c>
      <c r="U79" s="33">
        <v>6.445545105378446E-2</v>
      </c>
      <c r="V79" s="33">
        <v>6.445545105378446E-2</v>
      </c>
      <c r="W79" s="33">
        <v>6.445545105378446E-2</v>
      </c>
      <c r="X79" s="33">
        <v>6.445545105378446E-2</v>
      </c>
      <c r="Y79" s="33">
        <v>6.445545105378446E-2</v>
      </c>
      <c r="Z79" s="33">
        <v>6.445545105378446E-2</v>
      </c>
      <c r="AA79" s="33">
        <v>6.445545105378446E-2</v>
      </c>
      <c r="AB79" s="33">
        <v>4.4645105378446223E-4</v>
      </c>
      <c r="AC79" s="33">
        <v>4.4645105378446223E-4</v>
      </c>
      <c r="AD79" s="33">
        <v>4.4645105378446223E-4</v>
      </c>
      <c r="AE79" s="33">
        <v>4.4645105378446223E-4</v>
      </c>
      <c r="AF79" s="33">
        <v>4.4645105378446223E-4</v>
      </c>
      <c r="AG79" s="33">
        <v>4.4645105378446223E-4</v>
      </c>
      <c r="AH79" s="33">
        <v>4.4645105378446223E-4</v>
      </c>
      <c r="AI79" s="33">
        <v>4.4645105378446223E-4</v>
      </c>
      <c r="AJ79" s="33">
        <v>4.4645105378446223E-4</v>
      </c>
      <c r="AK79" s="33">
        <v>4.4645105378446223E-4</v>
      </c>
      <c r="AL79" s="33">
        <v>4.4645105378446223E-4</v>
      </c>
    </row>
    <row r="80" spans="1:38" ht="15.5">
      <c r="A80" s="31" t="s">
        <v>37</v>
      </c>
      <c r="B80" s="31" t="s">
        <v>1</v>
      </c>
      <c r="C80" s="31" t="s">
        <v>38</v>
      </c>
      <c r="D80" s="31" t="s">
        <v>3</v>
      </c>
      <c r="E80" s="31" t="s">
        <v>5</v>
      </c>
      <c r="F80" s="31">
        <v>2012</v>
      </c>
      <c r="G80" s="33" t="s">
        <v>95</v>
      </c>
      <c r="H80" s="33"/>
      <c r="I80" s="33"/>
      <c r="J80" s="33"/>
      <c r="K80" s="33"/>
      <c r="L80" s="33"/>
      <c r="M80" s="33">
        <v>0</v>
      </c>
      <c r="N80" s="33">
        <v>0.2377121381276755</v>
      </c>
      <c r="O80" s="33">
        <v>0.2377121381276755</v>
      </c>
      <c r="P80" s="33">
        <v>0.2353244764076512</v>
      </c>
      <c r="Q80" s="33">
        <v>0.17424634752752116</v>
      </c>
      <c r="R80" s="33">
        <v>0.17424634752752116</v>
      </c>
      <c r="S80" s="33">
        <v>4.2976796593697394E-2</v>
      </c>
      <c r="T80" s="33">
        <v>4.2976796593697394E-2</v>
      </c>
      <c r="U80" s="33">
        <v>4.2834352189810194E-2</v>
      </c>
      <c r="V80" s="33">
        <v>4.2834352189810194E-2</v>
      </c>
      <c r="W80" s="33">
        <v>4.2834352189810194E-2</v>
      </c>
      <c r="X80" s="33">
        <v>3.5453015330728123E-2</v>
      </c>
      <c r="Y80" s="33">
        <v>3.5453015330728123E-2</v>
      </c>
      <c r="Z80" s="33">
        <v>0</v>
      </c>
      <c r="AA80" s="33">
        <v>0</v>
      </c>
      <c r="AB80" s="33">
        <v>0</v>
      </c>
      <c r="AC80" s="33">
        <v>0</v>
      </c>
      <c r="AD80" s="33">
        <v>0</v>
      </c>
      <c r="AE80" s="33">
        <v>0</v>
      </c>
      <c r="AF80" s="33">
        <v>0</v>
      </c>
      <c r="AG80" s="33">
        <v>0</v>
      </c>
      <c r="AH80" s="33">
        <v>0</v>
      </c>
      <c r="AI80" s="33">
        <v>0</v>
      </c>
      <c r="AJ80" s="33">
        <v>0</v>
      </c>
      <c r="AK80" s="33">
        <v>0</v>
      </c>
      <c r="AL80" s="33">
        <v>0</v>
      </c>
    </row>
    <row r="81" spans="1:38" ht="15.5">
      <c r="A81" s="31" t="s">
        <v>37</v>
      </c>
      <c r="B81" s="31" t="s">
        <v>1</v>
      </c>
      <c r="C81" s="31" t="s">
        <v>12</v>
      </c>
      <c r="D81" s="31" t="s">
        <v>3</v>
      </c>
      <c r="E81" s="31" t="s">
        <v>5</v>
      </c>
      <c r="F81" s="31">
        <v>2012</v>
      </c>
      <c r="G81" s="33" t="s">
        <v>96</v>
      </c>
      <c r="H81" s="33"/>
      <c r="I81" s="33"/>
      <c r="J81" s="33"/>
      <c r="K81" s="33"/>
      <c r="L81" s="33"/>
      <c r="M81" s="33">
        <v>0</v>
      </c>
      <c r="N81" s="33">
        <v>0.53631086835715347</v>
      </c>
      <c r="O81" s="33">
        <v>0.53631086835715347</v>
      </c>
      <c r="P81" s="33">
        <v>0.50824574030219083</v>
      </c>
      <c r="Q81" s="33">
        <v>0.46978124666636023</v>
      </c>
      <c r="R81" s="33">
        <v>0.46978124666636023</v>
      </c>
      <c r="S81" s="33">
        <v>0.36495555142924069</v>
      </c>
      <c r="T81" s="33">
        <v>0.36288057440404975</v>
      </c>
      <c r="U81" s="33">
        <v>0.36288057440404975</v>
      </c>
      <c r="V81" s="33">
        <v>0.35207978584178362</v>
      </c>
      <c r="W81" s="33">
        <v>0.32409897434093177</v>
      </c>
      <c r="X81" s="33">
        <v>0.28905886587088431</v>
      </c>
      <c r="Y81" s="33">
        <v>0.28905886587088431</v>
      </c>
      <c r="Z81" s="33">
        <v>0.15500419609239907</v>
      </c>
      <c r="AA81" s="33">
        <v>9.0496178911968483E-2</v>
      </c>
      <c r="AB81" s="33">
        <v>9.0496178911968483E-2</v>
      </c>
      <c r="AC81" s="33">
        <v>1.6015694575667556E-2</v>
      </c>
      <c r="AD81" s="33">
        <v>5.3442356042627103E-3</v>
      </c>
      <c r="AE81" s="33">
        <v>5.3442356042627103E-3</v>
      </c>
      <c r="AF81" s="33">
        <v>5.3442356042627103E-3</v>
      </c>
      <c r="AG81" s="33">
        <v>5.3442356042627103E-3</v>
      </c>
      <c r="AH81" s="33">
        <v>0</v>
      </c>
      <c r="AI81" s="33">
        <v>0</v>
      </c>
      <c r="AJ81" s="33">
        <v>0</v>
      </c>
      <c r="AK81" s="33">
        <v>0</v>
      </c>
      <c r="AL81" s="33">
        <v>0</v>
      </c>
    </row>
    <row r="82" spans="1:38" ht="15.5">
      <c r="A82" s="31" t="s">
        <v>37</v>
      </c>
      <c r="B82" s="31" t="s">
        <v>1</v>
      </c>
      <c r="C82" s="31" t="s">
        <v>40</v>
      </c>
      <c r="D82" s="31" t="s">
        <v>3</v>
      </c>
      <c r="E82" s="31" t="s">
        <v>5</v>
      </c>
      <c r="F82" s="31">
        <v>2012</v>
      </c>
      <c r="G82" s="33" t="s">
        <v>97</v>
      </c>
      <c r="H82" s="33"/>
      <c r="I82" s="33"/>
      <c r="J82" s="33"/>
      <c r="K82" s="33"/>
      <c r="L82" s="33"/>
      <c r="M82" s="33">
        <v>0</v>
      </c>
      <c r="N82" s="33">
        <v>2.5885873147823913E-2</v>
      </c>
      <c r="O82" s="33">
        <v>2.5885873147823913E-2</v>
      </c>
      <c r="P82" s="33">
        <v>2.5885873147823913E-2</v>
      </c>
      <c r="Q82" s="33">
        <v>2.5885873147823913E-2</v>
      </c>
      <c r="R82" s="33">
        <v>0</v>
      </c>
      <c r="S82" s="33">
        <v>0</v>
      </c>
      <c r="T82" s="33">
        <v>0</v>
      </c>
      <c r="U82" s="33">
        <v>0</v>
      </c>
      <c r="V82" s="33">
        <v>0</v>
      </c>
      <c r="W82" s="33">
        <v>0</v>
      </c>
      <c r="X82" s="33">
        <v>0</v>
      </c>
      <c r="Y82" s="33">
        <v>0</v>
      </c>
      <c r="Z82" s="33">
        <v>0</v>
      </c>
      <c r="AA82" s="33">
        <v>0</v>
      </c>
      <c r="AB82" s="33">
        <v>0</v>
      </c>
      <c r="AC82" s="33">
        <v>0</v>
      </c>
      <c r="AD82" s="33">
        <v>0</v>
      </c>
      <c r="AE82" s="33">
        <v>0</v>
      </c>
      <c r="AF82" s="33">
        <v>0</v>
      </c>
      <c r="AG82" s="33">
        <v>0</v>
      </c>
      <c r="AH82" s="33">
        <v>0</v>
      </c>
      <c r="AI82" s="33">
        <v>0</v>
      </c>
      <c r="AJ82" s="33">
        <v>0</v>
      </c>
      <c r="AK82" s="33">
        <v>0</v>
      </c>
      <c r="AL82" s="33">
        <v>0</v>
      </c>
    </row>
    <row r="83" spans="1:38" ht="15.5">
      <c r="A83" s="31" t="s">
        <v>37</v>
      </c>
      <c r="B83" s="31" t="s">
        <v>1</v>
      </c>
      <c r="C83" s="31" t="s">
        <v>42</v>
      </c>
      <c r="D83" s="31" t="s">
        <v>3</v>
      </c>
      <c r="E83" s="31" t="s">
        <v>5</v>
      </c>
      <c r="F83" s="31">
        <v>2012</v>
      </c>
      <c r="G83" s="33" t="s">
        <v>98</v>
      </c>
      <c r="H83" s="33"/>
      <c r="I83" s="33"/>
      <c r="J83" s="33"/>
      <c r="K83" s="33"/>
      <c r="L83" s="33"/>
      <c r="M83" s="33">
        <v>0</v>
      </c>
      <c r="N83" s="33">
        <v>7.3548999999999999E-4</v>
      </c>
      <c r="O83" s="33">
        <v>7.3548999999999999E-4</v>
      </c>
      <c r="P83" s="33">
        <v>7.3548999999999999E-4</v>
      </c>
      <c r="Q83" s="33">
        <v>7.3548999999999999E-4</v>
      </c>
      <c r="R83" s="33">
        <v>7.3548999999999999E-4</v>
      </c>
      <c r="S83" s="33">
        <v>7.3548999999999999E-4</v>
      </c>
      <c r="T83" s="33">
        <v>7.3548999999999999E-4</v>
      </c>
      <c r="U83" s="33">
        <v>7.3548999999999999E-4</v>
      </c>
      <c r="V83" s="33">
        <v>7.3548999999999999E-4</v>
      </c>
      <c r="W83" s="33">
        <v>7.3548999999999999E-4</v>
      </c>
      <c r="X83" s="33">
        <v>7.3548999999999999E-4</v>
      </c>
      <c r="Y83" s="33">
        <v>7.3548999999999999E-4</v>
      </c>
      <c r="Z83" s="33">
        <v>7.3548999999999999E-4</v>
      </c>
      <c r="AA83" s="33">
        <v>7.2862999999999997E-4</v>
      </c>
      <c r="AB83" s="33">
        <v>6.0661999999999999E-4</v>
      </c>
      <c r="AC83" s="33">
        <v>0</v>
      </c>
      <c r="AD83" s="33">
        <v>0</v>
      </c>
      <c r="AE83" s="33">
        <v>0</v>
      </c>
      <c r="AF83" s="33">
        <v>0</v>
      </c>
      <c r="AG83" s="33">
        <v>0</v>
      </c>
      <c r="AH83" s="33">
        <v>0</v>
      </c>
      <c r="AI83" s="33">
        <v>0</v>
      </c>
      <c r="AJ83" s="33">
        <v>0</v>
      </c>
      <c r="AK83" s="33">
        <v>0</v>
      </c>
      <c r="AL83" s="33">
        <v>0</v>
      </c>
    </row>
    <row r="84" spans="1:38" ht="15.5">
      <c r="A84" s="31" t="s">
        <v>37</v>
      </c>
      <c r="B84" s="31" t="s">
        <v>15</v>
      </c>
      <c r="C84" s="31" t="s">
        <v>19</v>
      </c>
      <c r="D84" s="31" t="s">
        <v>3</v>
      </c>
      <c r="E84" s="31" t="s">
        <v>5</v>
      </c>
      <c r="F84" s="31">
        <v>2012</v>
      </c>
      <c r="G84" s="33" t="s">
        <v>17</v>
      </c>
      <c r="H84" s="33"/>
      <c r="I84" s="33"/>
      <c r="J84" s="33"/>
      <c r="K84" s="33"/>
      <c r="L84" s="33"/>
      <c r="M84" s="33">
        <v>0</v>
      </c>
      <c r="N84" s="33">
        <v>9.361432367923507E-3</v>
      </c>
      <c r="O84" s="33">
        <v>9.361432367923507E-3</v>
      </c>
      <c r="P84" s="33">
        <v>9.361432367923507E-3</v>
      </c>
      <c r="Q84" s="33">
        <v>8.5854502475039632E-3</v>
      </c>
      <c r="R84" s="33">
        <v>0</v>
      </c>
      <c r="S84" s="33">
        <v>0</v>
      </c>
      <c r="T84" s="33">
        <v>0</v>
      </c>
      <c r="U84" s="33">
        <v>0</v>
      </c>
      <c r="V84" s="33">
        <v>0</v>
      </c>
      <c r="W84" s="33">
        <v>0</v>
      </c>
      <c r="X84" s="33">
        <v>0</v>
      </c>
      <c r="Y84" s="33">
        <v>0</v>
      </c>
      <c r="Z84" s="33">
        <v>0</v>
      </c>
      <c r="AA84" s="33">
        <v>0</v>
      </c>
      <c r="AB84" s="33">
        <v>0</v>
      </c>
      <c r="AC84" s="33">
        <v>0</v>
      </c>
      <c r="AD84" s="33">
        <v>0</v>
      </c>
      <c r="AE84" s="33">
        <v>0</v>
      </c>
      <c r="AF84" s="33">
        <v>0</v>
      </c>
      <c r="AG84" s="33">
        <v>0</v>
      </c>
      <c r="AH84" s="33">
        <v>0</v>
      </c>
      <c r="AI84" s="33">
        <v>0</v>
      </c>
      <c r="AJ84" s="33">
        <v>0</v>
      </c>
      <c r="AK84" s="33">
        <v>0</v>
      </c>
      <c r="AL84" s="33">
        <v>0</v>
      </c>
    </row>
    <row r="85" spans="1:38" ht="15.5">
      <c r="A85" s="31" t="s">
        <v>37</v>
      </c>
      <c r="B85" s="31" t="s">
        <v>15</v>
      </c>
      <c r="C85" s="31" t="s">
        <v>21</v>
      </c>
      <c r="D85" s="31" t="s">
        <v>3</v>
      </c>
      <c r="E85" s="31" t="s">
        <v>5</v>
      </c>
      <c r="F85" s="31">
        <v>2012</v>
      </c>
      <c r="G85" s="33" t="s">
        <v>17</v>
      </c>
      <c r="H85" s="33"/>
      <c r="I85" s="33"/>
      <c r="J85" s="33"/>
      <c r="K85" s="33"/>
      <c r="L85" s="33"/>
      <c r="M85" s="33">
        <v>0</v>
      </c>
      <c r="N85" s="33">
        <v>5.1037180188290392E-3</v>
      </c>
      <c r="O85" s="33">
        <v>5.1037180188290392E-3</v>
      </c>
      <c r="P85" s="33">
        <v>5.1037180188290392E-3</v>
      </c>
      <c r="Q85" s="33">
        <v>5.1037180188290392E-3</v>
      </c>
      <c r="R85" s="33">
        <v>2.8772237015347152E-3</v>
      </c>
      <c r="S85" s="33">
        <v>0</v>
      </c>
      <c r="T85" s="33">
        <v>0</v>
      </c>
      <c r="U85" s="33">
        <v>0</v>
      </c>
      <c r="V85" s="33">
        <v>0</v>
      </c>
      <c r="W85" s="33">
        <v>0</v>
      </c>
      <c r="X85" s="33">
        <v>0</v>
      </c>
      <c r="Y85" s="33">
        <v>0</v>
      </c>
      <c r="Z85" s="33">
        <v>0</v>
      </c>
      <c r="AA85" s="33">
        <v>0</v>
      </c>
      <c r="AB85" s="33">
        <v>0</v>
      </c>
      <c r="AC85" s="33">
        <v>0</v>
      </c>
      <c r="AD85" s="33">
        <v>0</v>
      </c>
      <c r="AE85" s="33">
        <v>0</v>
      </c>
      <c r="AF85" s="33">
        <v>0</v>
      </c>
      <c r="AG85" s="33">
        <v>0</v>
      </c>
      <c r="AH85" s="33">
        <v>0</v>
      </c>
      <c r="AI85" s="33">
        <v>0</v>
      </c>
      <c r="AJ85" s="33">
        <v>0</v>
      </c>
      <c r="AK85" s="33">
        <v>0</v>
      </c>
      <c r="AL85" s="33">
        <v>0</v>
      </c>
    </row>
    <row r="86" spans="1:38" ht="15.5">
      <c r="A86" s="31" t="s">
        <v>37</v>
      </c>
      <c r="B86" s="31" t="s">
        <v>15</v>
      </c>
      <c r="C86" s="31" t="s">
        <v>43</v>
      </c>
      <c r="D86" s="31" t="s">
        <v>3</v>
      </c>
      <c r="E86" s="31" t="s">
        <v>5</v>
      </c>
      <c r="F86" s="31">
        <v>2012</v>
      </c>
      <c r="G86" s="33" t="s">
        <v>17</v>
      </c>
      <c r="H86" s="33"/>
      <c r="I86" s="33"/>
      <c r="J86" s="33"/>
      <c r="K86" s="33"/>
      <c r="L86" s="33"/>
      <c r="M86" s="33">
        <v>0</v>
      </c>
      <c r="N86" s="33">
        <v>7.4202865281649492E-3</v>
      </c>
      <c r="O86" s="33">
        <v>7.4202865281649492E-3</v>
      </c>
      <c r="P86" s="33">
        <v>7.4202865281649492E-3</v>
      </c>
      <c r="Q86" s="33">
        <v>7.4202865281649492E-3</v>
      </c>
      <c r="R86" s="33">
        <v>6.7919315565284155E-3</v>
      </c>
      <c r="S86" s="33">
        <v>5.7475746556723412E-3</v>
      </c>
      <c r="T86" s="33">
        <v>4.3028235072494455E-3</v>
      </c>
      <c r="U86" s="33">
        <v>4.2869368937000583E-3</v>
      </c>
      <c r="V86" s="33">
        <v>4.2869368937000583E-3</v>
      </c>
      <c r="W86" s="33">
        <v>2.7646928861183463E-3</v>
      </c>
      <c r="X86" s="33">
        <v>1.0816562553620282E-3</v>
      </c>
      <c r="Y86" s="33">
        <v>1.0815612839661095E-3</v>
      </c>
      <c r="Z86" s="33">
        <v>1.0815612839661095E-3</v>
      </c>
      <c r="AA86" s="33">
        <v>1.0630008934500884E-3</v>
      </c>
      <c r="AB86" s="33">
        <v>1.0630008934500884E-3</v>
      </c>
      <c r="AC86" s="33">
        <v>1.0365899507272559E-3</v>
      </c>
      <c r="AD86" s="33">
        <v>2.9084714567998273E-4</v>
      </c>
      <c r="AE86" s="33">
        <v>2.9084714567998273E-4</v>
      </c>
      <c r="AF86" s="33">
        <v>2.9084714567998273E-4</v>
      </c>
      <c r="AG86" s="33">
        <v>2.9084714567998273E-4</v>
      </c>
      <c r="AH86" s="33">
        <v>0</v>
      </c>
      <c r="AI86" s="33">
        <v>0</v>
      </c>
      <c r="AJ86" s="33">
        <v>0</v>
      </c>
      <c r="AK86" s="33">
        <v>0</v>
      </c>
      <c r="AL86" s="33">
        <v>0</v>
      </c>
    </row>
    <row r="87" spans="1:38" ht="15.5">
      <c r="A87" s="31" t="s">
        <v>37</v>
      </c>
      <c r="B87" s="31" t="s">
        <v>15</v>
      </c>
      <c r="C87" s="31" t="s">
        <v>45</v>
      </c>
      <c r="D87" s="31" t="s">
        <v>3</v>
      </c>
      <c r="E87" s="31" t="s">
        <v>5</v>
      </c>
      <c r="F87" s="31">
        <v>2012</v>
      </c>
      <c r="G87" s="33" t="s">
        <v>17</v>
      </c>
      <c r="H87" s="33"/>
      <c r="I87" s="33"/>
      <c r="J87" s="33"/>
      <c r="K87" s="33"/>
      <c r="L87" s="33"/>
      <c r="M87" s="33">
        <v>0</v>
      </c>
      <c r="N87" s="33">
        <v>1.1552491382742643E-3</v>
      </c>
      <c r="O87" s="33">
        <v>1.1552491382742643E-3</v>
      </c>
      <c r="P87" s="33">
        <v>1.1552491382742643E-3</v>
      </c>
      <c r="Q87" s="33">
        <v>1.1552491382742643E-3</v>
      </c>
      <c r="R87" s="33">
        <v>1.1503725825611241E-3</v>
      </c>
      <c r="S87" s="33">
        <v>1.1503725825611241E-3</v>
      </c>
      <c r="T87" s="33">
        <v>9.8120824983549725E-4</v>
      </c>
      <c r="U87" s="33">
        <v>9.7915971282518154E-4</v>
      </c>
      <c r="V87" s="33">
        <v>9.7915971282518154E-4</v>
      </c>
      <c r="W87" s="33">
        <v>9.7915971282518154E-4</v>
      </c>
      <c r="X87" s="33">
        <v>1.8011337818279915E-5</v>
      </c>
      <c r="Y87" s="33">
        <v>1.7998933673902362E-5</v>
      </c>
      <c r="Z87" s="33">
        <v>1.7998933673902362E-5</v>
      </c>
      <c r="AA87" s="33">
        <v>1.7350808173443171E-5</v>
      </c>
      <c r="AB87" s="33">
        <v>1.7350808173443171E-5</v>
      </c>
      <c r="AC87" s="33">
        <v>1.6207027189383499E-5</v>
      </c>
      <c r="AD87" s="33">
        <v>0</v>
      </c>
      <c r="AE87" s="33">
        <v>0</v>
      </c>
      <c r="AF87" s="33">
        <v>0</v>
      </c>
      <c r="AG87" s="33">
        <v>0</v>
      </c>
      <c r="AH87" s="33">
        <v>0</v>
      </c>
      <c r="AI87" s="33">
        <v>0</v>
      </c>
      <c r="AJ87" s="33">
        <v>0</v>
      </c>
      <c r="AK87" s="33">
        <v>0</v>
      </c>
      <c r="AL87" s="33">
        <v>0</v>
      </c>
    </row>
    <row r="88" spans="1:38" ht="15.5">
      <c r="A88" s="31" t="s">
        <v>37</v>
      </c>
      <c r="B88" s="31" t="s">
        <v>15</v>
      </c>
      <c r="C88" s="31" t="s">
        <v>46</v>
      </c>
      <c r="D88" s="31" t="s">
        <v>3</v>
      </c>
      <c r="E88" s="31" t="s">
        <v>5</v>
      </c>
      <c r="F88" s="31">
        <v>2012</v>
      </c>
      <c r="G88" s="33" t="s">
        <v>17</v>
      </c>
      <c r="H88" s="33"/>
      <c r="I88" s="33"/>
      <c r="J88" s="33"/>
      <c r="K88" s="33"/>
      <c r="L88" s="33"/>
      <c r="M88" s="33">
        <v>0</v>
      </c>
      <c r="N88" s="33">
        <v>5.2903506202825884E-2</v>
      </c>
      <c r="O88" s="33">
        <v>5.2903506202825884E-2</v>
      </c>
      <c r="P88" s="33">
        <v>5.2903506202825884E-2</v>
      </c>
      <c r="Q88" s="33">
        <v>5.2903506202825884E-2</v>
      </c>
      <c r="R88" s="33">
        <v>5.2903506202825884E-2</v>
      </c>
      <c r="S88" s="33">
        <v>5.2903506202825884E-2</v>
      </c>
      <c r="T88" s="33">
        <v>5.2903506202825884E-2</v>
      </c>
      <c r="U88" s="33">
        <v>5.2903506202825884E-2</v>
      </c>
      <c r="V88" s="33">
        <v>5.2903506202825884E-2</v>
      </c>
      <c r="W88" s="33">
        <v>5.2903506202825884E-2</v>
      </c>
      <c r="X88" s="33">
        <v>5.2903506202825884E-2</v>
      </c>
      <c r="Y88" s="33">
        <v>5.2903506202825884E-2</v>
      </c>
      <c r="Z88" s="33">
        <v>5.2903506202825884E-2</v>
      </c>
      <c r="AA88" s="33">
        <v>5.2903506202825884E-2</v>
      </c>
      <c r="AB88" s="33">
        <v>5.2903506202825884E-2</v>
      </c>
      <c r="AC88" s="33">
        <v>5.2903506202825884E-2</v>
      </c>
      <c r="AD88" s="33">
        <v>5.2903506202825884E-2</v>
      </c>
      <c r="AE88" s="33">
        <v>5.2903506202825884E-2</v>
      </c>
      <c r="AF88" s="33">
        <v>4.6795541453567097E-2</v>
      </c>
      <c r="AG88" s="33">
        <v>0</v>
      </c>
      <c r="AH88" s="33">
        <v>0</v>
      </c>
      <c r="AI88" s="33">
        <v>0</v>
      </c>
      <c r="AJ88" s="33">
        <v>0</v>
      </c>
      <c r="AK88" s="33">
        <v>0</v>
      </c>
      <c r="AL88" s="33">
        <v>0</v>
      </c>
    </row>
    <row r="89" spans="1:38" ht="15.5">
      <c r="A89" s="31" t="s">
        <v>37</v>
      </c>
      <c r="B89" s="31" t="s">
        <v>48</v>
      </c>
      <c r="C89" s="31" t="s">
        <v>23</v>
      </c>
      <c r="D89" s="31" t="s">
        <v>3</v>
      </c>
      <c r="E89" s="31" t="s">
        <v>5</v>
      </c>
      <c r="F89" s="31">
        <v>2012</v>
      </c>
      <c r="G89" s="33" t="s">
        <v>17</v>
      </c>
      <c r="H89" s="33"/>
      <c r="I89" s="33"/>
      <c r="J89" s="33"/>
      <c r="K89" s="33"/>
      <c r="L89" s="33"/>
      <c r="M89" s="33">
        <v>0</v>
      </c>
      <c r="N89" s="33">
        <v>5.8680801645386964E-3</v>
      </c>
      <c r="O89" s="33">
        <v>5.740084510296584E-3</v>
      </c>
      <c r="P89" s="33">
        <v>5.740084510296584E-3</v>
      </c>
      <c r="Q89" s="33">
        <v>5.740084510296584E-3</v>
      </c>
      <c r="R89" s="33">
        <v>5.7348379353061342E-3</v>
      </c>
      <c r="S89" s="33">
        <v>5.7348379353061342E-3</v>
      </c>
      <c r="T89" s="33">
        <v>5.5974858012050391E-3</v>
      </c>
      <c r="U89" s="33">
        <v>5.5974858012050391E-3</v>
      </c>
      <c r="V89" s="33">
        <v>4.7108665630221369E-3</v>
      </c>
      <c r="W89" s="33">
        <v>4.4496073946356778E-3</v>
      </c>
      <c r="X89" s="33">
        <v>3.8620629180222748E-3</v>
      </c>
      <c r="Y89" s="33">
        <v>3.8620629180222748E-3</v>
      </c>
      <c r="Z89" s="33">
        <v>3.5703033376485111E-3</v>
      </c>
      <c r="AA89" s="33">
        <v>3.5703033376485111E-3</v>
      </c>
      <c r="AB89" s="33">
        <v>2.5357797909528017E-3</v>
      </c>
      <c r="AC89" s="33">
        <v>1.7523977309465409E-3</v>
      </c>
      <c r="AD89" s="33">
        <v>1.7523977309465409E-3</v>
      </c>
      <c r="AE89" s="33">
        <v>1.7523977309465409E-3</v>
      </c>
      <c r="AF89" s="33">
        <v>1.7523977309465409E-3</v>
      </c>
      <c r="AG89" s="33">
        <v>1.7523977309465409E-3</v>
      </c>
      <c r="AH89" s="33">
        <v>1.7172221839427949E-4</v>
      </c>
      <c r="AI89" s="33">
        <v>0</v>
      </c>
      <c r="AJ89" s="33">
        <v>0</v>
      </c>
      <c r="AK89" s="33">
        <v>0</v>
      </c>
      <c r="AL89" s="33">
        <v>0</v>
      </c>
    </row>
    <row r="90" spans="1:38" ht="15.5">
      <c r="A90" s="31" t="s">
        <v>37</v>
      </c>
      <c r="B90" s="31" t="s">
        <v>27</v>
      </c>
      <c r="C90" s="31" t="s">
        <v>49</v>
      </c>
      <c r="D90" s="31" t="s">
        <v>3</v>
      </c>
      <c r="E90" s="31" t="s">
        <v>9</v>
      </c>
      <c r="F90" s="31">
        <v>2012</v>
      </c>
      <c r="G90" s="33" t="s">
        <v>128</v>
      </c>
      <c r="H90" s="33"/>
      <c r="I90" s="33"/>
      <c r="J90" s="33"/>
      <c r="K90" s="33"/>
      <c r="L90" s="33"/>
      <c r="M90" s="33">
        <v>0</v>
      </c>
      <c r="N90" s="33">
        <v>0.34920435999999999</v>
      </c>
      <c r="O90" s="33">
        <v>0</v>
      </c>
      <c r="P90" s="33">
        <v>0</v>
      </c>
      <c r="Q90" s="33">
        <v>0</v>
      </c>
      <c r="R90" s="33">
        <v>0</v>
      </c>
      <c r="S90" s="33">
        <v>0</v>
      </c>
      <c r="T90" s="33">
        <v>0</v>
      </c>
      <c r="U90" s="33">
        <v>0</v>
      </c>
      <c r="V90" s="33">
        <v>0</v>
      </c>
      <c r="W90" s="33">
        <v>0</v>
      </c>
      <c r="X90" s="33">
        <v>0</v>
      </c>
      <c r="Y90" s="33">
        <v>0</v>
      </c>
      <c r="Z90" s="33">
        <v>0</v>
      </c>
      <c r="AA90" s="33">
        <v>0</v>
      </c>
      <c r="AB90" s="33">
        <v>0</v>
      </c>
      <c r="AC90" s="33">
        <v>0</v>
      </c>
      <c r="AD90" s="33">
        <v>0</v>
      </c>
      <c r="AE90" s="33">
        <v>0</v>
      </c>
      <c r="AF90" s="33">
        <v>0</v>
      </c>
      <c r="AG90" s="33">
        <v>0</v>
      </c>
      <c r="AH90" s="33">
        <v>0</v>
      </c>
      <c r="AI90" s="33">
        <v>0</v>
      </c>
      <c r="AJ90" s="33">
        <v>0</v>
      </c>
      <c r="AK90" s="33">
        <v>0</v>
      </c>
      <c r="AL90" s="33">
        <v>0</v>
      </c>
    </row>
    <row r="91" spans="1:38" ht="15.5">
      <c r="A91" s="31" t="s">
        <v>37</v>
      </c>
      <c r="B91" s="31" t="s">
        <v>50</v>
      </c>
      <c r="C91" s="31" t="s">
        <v>42</v>
      </c>
      <c r="D91" s="31" t="s">
        <v>3</v>
      </c>
      <c r="E91" s="31" t="s">
        <v>5</v>
      </c>
      <c r="F91" s="31">
        <v>2012</v>
      </c>
      <c r="G91" s="33" t="s">
        <v>57</v>
      </c>
      <c r="H91" s="33"/>
      <c r="I91" s="33"/>
      <c r="J91" s="33"/>
      <c r="K91" s="33"/>
      <c r="L91" s="33"/>
      <c r="M91" s="33">
        <v>0</v>
      </c>
      <c r="N91" s="33">
        <v>9.0391555267743048E-2</v>
      </c>
      <c r="O91" s="33">
        <v>9.0391555267743048E-2</v>
      </c>
      <c r="P91" s="33">
        <v>9.0391555267743048E-2</v>
      </c>
      <c r="Q91" s="33">
        <v>9.0391555267743048E-2</v>
      </c>
      <c r="R91" s="33">
        <v>9.0391555267743048E-2</v>
      </c>
      <c r="S91" s="33">
        <v>9.0391555267743048E-2</v>
      </c>
      <c r="T91" s="33">
        <v>9.0391555267743048E-2</v>
      </c>
      <c r="U91" s="33">
        <v>9.0391555267743048E-2</v>
      </c>
      <c r="V91" s="33">
        <v>9.0391555267743048E-2</v>
      </c>
      <c r="W91" s="33">
        <v>9.0391555267743048E-2</v>
      </c>
      <c r="X91" s="33">
        <v>9.0391555267743048E-2</v>
      </c>
      <c r="Y91" s="33">
        <v>9.0391555267743048E-2</v>
      </c>
      <c r="Z91" s="33">
        <v>0</v>
      </c>
      <c r="AA91" s="33">
        <v>0</v>
      </c>
      <c r="AB91" s="33">
        <v>0</v>
      </c>
      <c r="AC91" s="33">
        <v>0</v>
      </c>
      <c r="AD91" s="33">
        <v>0</v>
      </c>
      <c r="AE91" s="33">
        <v>0</v>
      </c>
      <c r="AF91" s="33">
        <v>0</v>
      </c>
      <c r="AG91" s="33">
        <v>0</v>
      </c>
      <c r="AH91" s="33">
        <v>0</v>
      </c>
      <c r="AI91" s="33">
        <v>0</v>
      </c>
      <c r="AJ91" s="33">
        <v>0</v>
      </c>
      <c r="AK91" s="33">
        <v>0</v>
      </c>
      <c r="AL91" s="33">
        <v>0</v>
      </c>
    </row>
    <row r="92" spans="1:38" ht="15.5">
      <c r="A92" s="31" t="s">
        <v>37</v>
      </c>
      <c r="B92" s="31" t="s">
        <v>1</v>
      </c>
      <c r="C92" s="31" t="s">
        <v>51</v>
      </c>
      <c r="D92" s="31" t="s">
        <v>3</v>
      </c>
      <c r="E92" s="31" t="s">
        <v>9</v>
      </c>
      <c r="F92" s="31">
        <v>2012</v>
      </c>
      <c r="G92" s="33" t="s">
        <v>128</v>
      </c>
      <c r="H92" s="33"/>
      <c r="I92" s="33"/>
      <c r="J92" s="33"/>
      <c r="K92" s="33"/>
      <c r="L92" s="33"/>
      <c r="M92" s="33">
        <v>0</v>
      </c>
      <c r="N92" s="33">
        <v>4.0302177390000002</v>
      </c>
      <c r="O92" s="33">
        <v>0</v>
      </c>
      <c r="P92" s="33">
        <v>0</v>
      </c>
      <c r="Q92" s="33">
        <v>0</v>
      </c>
      <c r="R92" s="33">
        <v>0</v>
      </c>
      <c r="S92" s="33">
        <v>0</v>
      </c>
      <c r="T92" s="33">
        <v>0</v>
      </c>
      <c r="U92" s="33">
        <v>0</v>
      </c>
      <c r="V92" s="33">
        <v>0</v>
      </c>
      <c r="W92" s="33">
        <v>0</v>
      </c>
      <c r="X92" s="33">
        <v>0</v>
      </c>
      <c r="Y92" s="33">
        <v>0</v>
      </c>
      <c r="Z92" s="33">
        <v>0</v>
      </c>
      <c r="AA92" s="33">
        <v>0</v>
      </c>
      <c r="AB92" s="33">
        <v>0</v>
      </c>
      <c r="AC92" s="33">
        <v>0</v>
      </c>
      <c r="AD92" s="33">
        <v>0</v>
      </c>
      <c r="AE92" s="33">
        <v>0</v>
      </c>
      <c r="AF92" s="33">
        <v>0</v>
      </c>
      <c r="AG92" s="33">
        <v>0</v>
      </c>
      <c r="AH92" s="33">
        <v>0</v>
      </c>
      <c r="AI92" s="33">
        <v>0</v>
      </c>
      <c r="AJ92" s="33">
        <v>0</v>
      </c>
      <c r="AK92" s="33">
        <v>0</v>
      </c>
      <c r="AL92" s="33">
        <v>0</v>
      </c>
    </row>
    <row r="93" spans="1:38" ht="15.5">
      <c r="A93" s="31" t="s">
        <v>52</v>
      </c>
      <c r="B93" s="31" t="s">
        <v>1</v>
      </c>
      <c r="C93" s="31" t="s">
        <v>12</v>
      </c>
      <c r="D93" s="31" t="s">
        <v>3</v>
      </c>
      <c r="E93" s="31" t="s">
        <v>5</v>
      </c>
      <c r="F93" s="31">
        <v>2011</v>
      </c>
      <c r="G93" s="33" t="s">
        <v>93</v>
      </c>
      <c r="H93" s="33"/>
      <c r="I93" s="33"/>
      <c r="J93" s="33"/>
      <c r="K93" s="33"/>
      <c r="L93" s="33"/>
      <c r="M93" s="33">
        <v>3.378154859751618E-3</v>
      </c>
      <c r="N93" s="33">
        <v>3.378154859751618E-3</v>
      </c>
      <c r="O93" s="33">
        <v>3.378154859751618E-3</v>
      </c>
      <c r="P93" s="33">
        <v>3.1507325252195365E-3</v>
      </c>
      <c r="Q93" s="33">
        <v>3.1507325252195365E-3</v>
      </c>
      <c r="R93" s="33">
        <v>3.1507325252195365E-3</v>
      </c>
      <c r="S93" s="33">
        <v>8.1429638321821318E-4</v>
      </c>
      <c r="T93" s="33">
        <v>8.1429638321821318E-4</v>
      </c>
      <c r="U93" s="33">
        <v>8.1429638321821318E-4</v>
      </c>
      <c r="V93" s="33">
        <v>8.1429638321821318E-4</v>
      </c>
      <c r="W93" s="33">
        <v>6.7051569755659322E-4</v>
      </c>
      <c r="X93" s="33">
        <v>6.7051569755659322E-4</v>
      </c>
      <c r="Y93" s="33">
        <v>0</v>
      </c>
      <c r="Z93" s="33">
        <v>0</v>
      </c>
      <c r="AA93" s="33">
        <v>0</v>
      </c>
      <c r="AB93" s="33">
        <v>0</v>
      </c>
      <c r="AC93" s="33">
        <v>0</v>
      </c>
      <c r="AD93" s="33">
        <v>0</v>
      </c>
      <c r="AE93" s="33">
        <v>0</v>
      </c>
      <c r="AF93" s="33">
        <v>0</v>
      </c>
      <c r="AG93" s="33">
        <v>0</v>
      </c>
      <c r="AH93" s="33">
        <v>0</v>
      </c>
      <c r="AI93" s="33">
        <v>0</v>
      </c>
      <c r="AJ93" s="33">
        <v>0</v>
      </c>
      <c r="AK93" s="33">
        <v>0</v>
      </c>
      <c r="AL93" s="33">
        <v>0</v>
      </c>
    </row>
    <row r="94" spans="1:38" ht="15.5">
      <c r="A94" s="31" t="s">
        <v>52</v>
      </c>
      <c r="B94" s="31" t="s">
        <v>1</v>
      </c>
      <c r="C94" s="31" t="s">
        <v>38</v>
      </c>
      <c r="D94" s="31" t="s">
        <v>3</v>
      </c>
      <c r="E94" s="31" t="s">
        <v>5</v>
      </c>
      <c r="F94" s="31">
        <v>2011</v>
      </c>
      <c r="G94" s="33" t="s">
        <v>92</v>
      </c>
      <c r="H94" s="33"/>
      <c r="I94" s="33"/>
      <c r="J94" s="33"/>
      <c r="K94" s="33"/>
      <c r="L94" s="33"/>
      <c r="M94" s="33">
        <v>5.4381765160506929E-3</v>
      </c>
      <c r="N94" s="33">
        <v>5.4381765160506929E-3</v>
      </c>
      <c r="O94" s="33">
        <v>5.4381765160506929E-3</v>
      </c>
      <c r="P94" s="33">
        <v>5.4381765160506929E-3</v>
      </c>
      <c r="Q94" s="33">
        <v>5.4381765160506929E-3</v>
      </c>
      <c r="R94" s="33">
        <v>5.4381765160506929E-3</v>
      </c>
      <c r="S94" s="33">
        <v>1.5335196912846338E-3</v>
      </c>
      <c r="T94" s="33">
        <v>1.5335196912846338E-3</v>
      </c>
      <c r="U94" s="33">
        <v>1.5335196912846338E-3</v>
      </c>
      <c r="V94" s="33">
        <v>1.5335196912846338E-3</v>
      </c>
      <c r="W94" s="33">
        <v>1.3779786256772517E-3</v>
      </c>
      <c r="X94" s="33">
        <v>1.3779786256772517E-3</v>
      </c>
      <c r="Y94" s="33">
        <v>0</v>
      </c>
      <c r="Z94" s="33">
        <v>0</v>
      </c>
      <c r="AA94" s="33">
        <v>0</v>
      </c>
      <c r="AB94" s="33">
        <v>0</v>
      </c>
      <c r="AC94" s="33">
        <v>0</v>
      </c>
      <c r="AD94" s="33">
        <v>0</v>
      </c>
      <c r="AE94" s="33">
        <v>0</v>
      </c>
      <c r="AF94" s="33">
        <v>0</v>
      </c>
      <c r="AG94" s="33">
        <v>0</v>
      </c>
      <c r="AH94" s="33">
        <v>0</v>
      </c>
      <c r="AI94" s="33">
        <v>0</v>
      </c>
      <c r="AJ94" s="33">
        <v>0</v>
      </c>
      <c r="AK94" s="33">
        <v>0</v>
      </c>
      <c r="AL94" s="33">
        <v>0</v>
      </c>
    </row>
    <row r="95" spans="1:38" ht="15.5">
      <c r="A95" s="31" t="s">
        <v>52</v>
      </c>
      <c r="B95" s="31" t="s">
        <v>1</v>
      </c>
      <c r="C95" s="31" t="s">
        <v>40</v>
      </c>
      <c r="D95" s="31" t="s">
        <v>3</v>
      </c>
      <c r="E95" s="31" t="s">
        <v>5</v>
      </c>
      <c r="F95" s="31">
        <v>2011</v>
      </c>
      <c r="G95" s="33" t="s">
        <v>94</v>
      </c>
      <c r="H95" s="33"/>
      <c r="I95" s="33"/>
      <c r="J95" s="33"/>
      <c r="K95" s="33"/>
      <c r="L95" s="33"/>
      <c r="M95" s="33">
        <v>1.0354349259129566E-2</v>
      </c>
      <c r="N95" s="33">
        <v>1.0354349259129566E-2</v>
      </c>
      <c r="O95" s="33">
        <v>1.0354349259129566E-2</v>
      </c>
      <c r="P95" s="33">
        <v>1.0354349259129566E-2</v>
      </c>
      <c r="Q95" s="33">
        <v>1.0354349259129566E-2</v>
      </c>
      <c r="R95" s="33">
        <v>0</v>
      </c>
      <c r="S95" s="33">
        <v>0</v>
      </c>
      <c r="T95" s="33">
        <v>0</v>
      </c>
      <c r="U95" s="33">
        <v>0</v>
      </c>
      <c r="V95" s="33">
        <v>0</v>
      </c>
      <c r="W95" s="33">
        <v>0</v>
      </c>
      <c r="X95" s="33">
        <v>0</v>
      </c>
      <c r="Y95" s="33">
        <v>0</v>
      </c>
      <c r="Z95" s="33">
        <v>0</v>
      </c>
      <c r="AA95" s="33">
        <v>0</v>
      </c>
      <c r="AB95" s="33">
        <v>0</v>
      </c>
      <c r="AC95" s="33">
        <v>0</v>
      </c>
      <c r="AD95" s="33">
        <v>0</v>
      </c>
      <c r="AE95" s="33">
        <v>0</v>
      </c>
      <c r="AF95" s="33">
        <v>0</v>
      </c>
      <c r="AG95" s="33">
        <v>0</v>
      </c>
      <c r="AH95" s="33">
        <v>0</v>
      </c>
      <c r="AI95" s="33">
        <v>0</v>
      </c>
      <c r="AJ95" s="33">
        <v>0</v>
      </c>
      <c r="AK95" s="33">
        <v>0</v>
      </c>
      <c r="AL95" s="33">
        <v>0</v>
      </c>
    </row>
    <row r="96" spans="1:38" ht="15.5">
      <c r="A96" s="31" t="s">
        <v>52</v>
      </c>
      <c r="B96" s="31" t="s">
        <v>50</v>
      </c>
      <c r="C96" s="31" t="s">
        <v>42</v>
      </c>
      <c r="D96" s="31" t="s">
        <v>3</v>
      </c>
      <c r="E96" s="31" t="s">
        <v>5</v>
      </c>
      <c r="F96" s="31">
        <v>2011</v>
      </c>
      <c r="G96" s="33" t="s">
        <v>57</v>
      </c>
      <c r="H96" s="33"/>
      <c r="I96" s="33"/>
      <c r="J96" s="33"/>
      <c r="K96" s="33"/>
      <c r="L96" s="33"/>
      <c r="M96" s="33">
        <v>8.6568548946215532E-2</v>
      </c>
      <c r="N96" s="33">
        <v>8.6568548946215532E-2</v>
      </c>
      <c r="O96" s="33">
        <v>8.6568548946215532E-2</v>
      </c>
      <c r="P96" s="33">
        <v>8.6568548946215532E-2</v>
      </c>
      <c r="Q96" s="33">
        <v>8.6568548946215504E-2</v>
      </c>
      <c r="R96" s="33">
        <v>8.6568548946215504E-2</v>
      </c>
      <c r="S96" s="33">
        <v>8.6568548946215504E-2</v>
      </c>
      <c r="T96" s="33">
        <v>8.6568548946215504E-2</v>
      </c>
      <c r="U96" s="33">
        <v>8.6568548946215504E-2</v>
      </c>
      <c r="V96" s="33">
        <v>8.6568548946215504E-2</v>
      </c>
      <c r="W96" s="33">
        <v>8.6568548946215504E-2</v>
      </c>
      <c r="X96" s="33">
        <v>8.6568548946215504E-2</v>
      </c>
      <c r="Y96" s="33">
        <v>8.6568548946215504E-2</v>
      </c>
      <c r="Z96" s="33">
        <v>8.6568548946215504E-2</v>
      </c>
      <c r="AA96" s="33">
        <v>8.6568548946215504E-2</v>
      </c>
      <c r="AB96" s="33">
        <v>0</v>
      </c>
      <c r="AC96" s="33">
        <v>0</v>
      </c>
      <c r="AD96" s="33">
        <v>0</v>
      </c>
      <c r="AE96" s="33">
        <v>0</v>
      </c>
      <c r="AF96" s="33">
        <v>0</v>
      </c>
      <c r="AG96" s="33">
        <v>0</v>
      </c>
      <c r="AH96" s="33">
        <v>0</v>
      </c>
      <c r="AI96" s="33">
        <v>0</v>
      </c>
      <c r="AJ96" s="33">
        <v>0</v>
      </c>
      <c r="AK96" s="33">
        <v>0</v>
      </c>
      <c r="AL96" s="33">
        <v>0</v>
      </c>
    </row>
    <row r="97" spans="1:38" ht="15.5">
      <c r="A97" s="31" t="s">
        <v>52</v>
      </c>
      <c r="B97" s="31" t="s">
        <v>15</v>
      </c>
      <c r="C97" s="31" t="s">
        <v>46</v>
      </c>
      <c r="D97" s="31" t="s">
        <v>3</v>
      </c>
      <c r="E97" s="31" t="s">
        <v>5</v>
      </c>
      <c r="F97" s="31">
        <v>2011</v>
      </c>
      <c r="G97" s="33" t="s">
        <v>17</v>
      </c>
      <c r="H97" s="33"/>
      <c r="I97" s="33"/>
      <c r="J97" s="33"/>
      <c r="K97" s="33"/>
      <c r="L97" s="33"/>
      <c r="M97" s="33">
        <v>-2.3685847270150318E-2</v>
      </c>
      <c r="N97" s="33">
        <v>-2.3685847270150318E-2</v>
      </c>
      <c r="O97" s="33">
        <v>-2.3685847270150318E-2</v>
      </c>
      <c r="P97" s="33">
        <v>-2.3685847270150318E-2</v>
      </c>
      <c r="Q97" s="33">
        <v>-2.3685847270150318E-2</v>
      </c>
      <c r="R97" s="33">
        <v>-2.3685847270150318E-2</v>
      </c>
      <c r="S97" s="33">
        <v>-2.3685847270150318E-2</v>
      </c>
      <c r="T97" s="33">
        <v>-2.3685847270150318E-2</v>
      </c>
      <c r="U97" s="33">
        <v>-2.3685847270150318E-2</v>
      </c>
      <c r="V97" s="33">
        <v>-2.3685847270150318E-2</v>
      </c>
      <c r="W97" s="33">
        <v>-2.3685847270150318E-2</v>
      </c>
      <c r="X97" s="33">
        <v>-2.3685847270150318E-2</v>
      </c>
      <c r="Y97" s="33">
        <v>-2.3685847270150318E-2</v>
      </c>
      <c r="Z97" s="33">
        <v>-2.3685847270150318E-2</v>
      </c>
      <c r="AA97" s="33">
        <v>-2.3685847270150318E-2</v>
      </c>
      <c r="AB97" s="33">
        <v>-2.3685847270150318E-2</v>
      </c>
      <c r="AC97" s="33">
        <v>-2.3685847270150318E-2</v>
      </c>
      <c r="AD97" s="33">
        <v>-2.3685847270150318E-2</v>
      </c>
      <c r="AE97" s="33">
        <v>-2.1446832855818238E-2</v>
      </c>
      <c r="AF97" s="33">
        <v>0</v>
      </c>
      <c r="AG97" s="33">
        <v>0</v>
      </c>
      <c r="AH97" s="33">
        <v>0</v>
      </c>
      <c r="AI97" s="33">
        <v>0</v>
      </c>
      <c r="AJ97" s="33">
        <v>0</v>
      </c>
      <c r="AK97" s="33">
        <v>0</v>
      </c>
      <c r="AL97" s="33">
        <v>0</v>
      </c>
    </row>
    <row r="98" spans="1:38" ht="15.5">
      <c r="A98" s="31" t="s">
        <v>52</v>
      </c>
      <c r="B98" s="31" t="s">
        <v>15</v>
      </c>
      <c r="C98" s="31" t="s">
        <v>43</v>
      </c>
      <c r="D98" s="31" t="s">
        <v>3</v>
      </c>
      <c r="E98" s="31" t="s">
        <v>5</v>
      </c>
      <c r="F98" s="31">
        <v>2011</v>
      </c>
      <c r="G98" s="33" t="s">
        <v>17</v>
      </c>
      <c r="H98" s="33"/>
      <c r="I98" s="33"/>
      <c r="J98" s="33"/>
      <c r="K98" s="33"/>
      <c r="L98" s="33"/>
      <c r="M98" s="33">
        <v>5.4080493656570279E-4</v>
      </c>
      <c r="N98" s="33">
        <v>5.4080493656570279E-4</v>
      </c>
      <c r="O98" s="33">
        <v>5.4080493656570279E-4</v>
      </c>
      <c r="P98" s="33">
        <v>5.4080493656570279E-4</v>
      </c>
      <c r="Q98" s="33">
        <v>5.4080493656570279E-4</v>
      </c>
      <c r="R98" s="33">
        <v>4.9453369266803601E-4</v>
      </c>
      <c r="S98" s="33">
        <v>2.8260324476133932E-4</v>
      </c>
      <c r="T98" s="33">
        <v>2.824783436041136E-4</v>
      </c>
      <c r="U98" s="33">
        <v>2.824783436041136E-4</v>
      </c>
      <c r="V98" s="33">
        <v>8.8700957299895782E-5</v>
      </c>
      <c r="W98" s="33">
        <v>3.6854148344642996E-5</v>
      </c>
      <c r="X98" s="33">
        <v>3.6844282817465873E-5</v>
      </c>
      <c r="Y98" s="33">
        <v>3.6844282817465873E-5</v>
      </c>
      <c r="Z98" s="33">
        <v>3.5150193788265586E-5</v>
      </c>
      <c r="AA98" s="33">
        <v>3.5150193788265586E-5</v>
      </c>
      <c r="AB98" s="33">
        <v>3.5072623649487696E-5</v>
      </c>
      <c r="AC98" s="33">
        <v>0</v>
      </c>
      <c r="AD98" s="33">
        <v>0</v>
      </c>
      <c r="AE98" s="33">
        <v>0</v>
      </c>
      <c r="AF98" s="33">
        <v>0</v>
      </c>
      <c r="AG98" s="33">
        <v>0</v>
      </c>
      <c r="AH98" s="33">
        <v>0</v>
      </c>
      <c r="AI98" s="33">
        <v>0</v>
      </c>
      <c r="AJ98" s="33">
        <v>0</v>
      </c>
      <c r="AK98" s="33">
        <v>0</v>
      </c>
      <c r="AL98" s="33">
        <v>0</v>
      </c>
    </row>
    <row r="99" spans="1:38" ht="15.5">
      <c r="A99" s="31" t="s">
        <v>52</v>
      </c>
      <c r="B99" s="31" t="s">
        <v>15</v>
      </c>
      <c r="C99" s="31" t="s">
        <v>45</v>
      </c>
      <c r="D99" s="31" t="s">
        <v>3</v>
      </c>
      <c r="E99" s="31" t="s">
        <v>5</v>
      </c>
      <c r="F99" s="31">
        <v>2011</v>
      </c>
      <c r="G99" s="33" t="s">
        <v>17</v>
      </c>
      <c r="H99" s="33"/>
      <c r="I99" s="33"/>
      <c r="J99" s="33"/>
      <c r="K99" s="33"/>
      <c r="L99" s="33"/>
      <c r="M99" s="33">
        <v>8.0716536029210186E-5</v>
      </c>
      <c r="N99" s="33">
        <v>8.0716536029210186E-5</v>
      </c>
      <c r="O99" s="33">
        <v>8.0716536029210186E-5</v>
      </c>
      <c r="P99" s="33">
        <v>8.0716536029210186E-5</v>
      </c>
      <c r="Q99" s="33">
        <v>8.0716536029210186E-5</v>
      </c>
      <c r="R99" s="33">
        <v>7.5192632285304986E-5</v>
      </c>
      <c r="S99" s="33">
        <v>5.2593472630295316E-5</v>
      </c>
      <c r="T99" s="33">
        <v>5.2473064996120374E-5</v>
      </c>
      <c r="U99" s="33">
        <v>5.2473064996120374E-5</v>
      </c>
      <c r="V99" s="33">
        <v>2.9339742017871936E-5</v>
      </c>
      <c r="W99" s="33">
        <v>3.8783157347381345E-6</v>
      </c>
      <c r="X99" s="33">
        <v>3.8742248453693084E-6</v>
      </c>
      <c r="Y99" s="33">
        <v>3.8742248453693084E-6</v>
      </c>
      <c r="Z99" s="33">
        <v>3.7736336550427315E-6</v>
      </c>
      <c r="AA99" s="33">
        <v>3.7736336550427315E-6</v>
      </c>
      <c r="AB99" s="33">
        <v>3.7046160849597967E-6</v>
      </c>
      <c r="AC99" s="33">
        <v>0</v>
      </c>
      <c r="AD99" s="33">
        <v>0</v>
      </c>
      <c r="AE99" s="33">
        <v>0</v>
      </c>
      <c r="AF99" s="33">
        <v>0</v>
      </c>
      <c r="AG99" s="33">
        <v>0</v>
      </c>
      <c r="AH99" s="33">
        <v>0</v>
      </c>
      <c r="AI99" s="33">
        <v>0</v>
      </c>
      <c r="AJ99" s="33">
        <v>0</v>
      </c>
      <c r="AK99" s="33">
        <v>0</v>
      </c>
      <c r="AL99" s="33">
        <v>0</v>
      </c>
    </row>
    <row r="100" spans="1:38" ht="15.5">
      <c r="A100" s="31" t="s">
        <v>0</v>
      </c>
      <c r="B100" s="31" t="s">
        <v>1</v>
      </c>
      <c r="C100" s="31" t="s">
        <v>2</v>
      </c>
      <c r="D100" s="31" t="s">
        <v>3</v>
      </c>
      <c r="E100" s="31" t="s">
        <v>5</v>
      </c>
      <c r="F100" s="31">
        <v>2012</v>
      </c>
      <c r="G100" s="33" t="s">
        <v>97</v>
      </c>
      <c r="H100" s="33"/>
      <c r="I100" s="33"/>
      <c r="J100" s="33"/>
      <c r="K100" s="33"/>
      <c r="L100" s="33"/>
      <c r="M100" s="33" t="s">
        <v>7</v>
      </c>
      <c r="N100" s="33">
        <v>1.0354349258999999E-2</v>
      </c>
      <c r="O100" s="33">
        <v>1.0354349258999999E-2</v>
      </c>
      <c r="P100" s="33">
        <v>1.0354349258999999E-2</v>
      </c>
      <c r="Q100" s="33">
        <v>1.0354349258999999E-2</v>
      </c>
      <c r="R100" s="33" t="s">
        <v>7</v>
      </c>
      <c r="S100" s="33" t="s">
        <v>7</v>
      </c>
      <c r="T100" s="33" t="s">
        <v>7</v>
      </c>
      <c r="U100" s="33" t="s">
        <v>7</v>
      </c>
      <c r="V100" s="33" t="s">
        <v>7</v>
      </c>
      <c r="W100" s="33" t="s">
        <v>7</v>
      </c>
      <c r="X100" s="33" t="s">
        <v>7</v>
      </c>
      <c r="Y100" s="33" t="s">
        <v>7</v>
      </c>
      <c r="Z100" s="33" t="s">
        <v>7</v>
      </c>
      <c r="AA100" s="33" t="s">
        <v>7</v>
      </c>
      <c r="AB100" s="33" t="s">
        <v>7</v>
      </c>
      <c r="AC100" s="33" t="s">
        <v>7</v>
      </c>
      <c r="AD100" s="33" t="s">
        <v>7</v>
      </c>
      <c r="AE100" s="33" t="s">
        <v>7</v>
      </c>
      <c r="AF100" s="33" t="s">
        <v>7</v>
      </c>
      <c r="AG100" s="33" t="s">
        <v>7</v>
      </c>
      <c r="AH100" s="33" t="s">
        <v>7</v>
      </c>
      <c r="AI100" s="33" t="s">
        <v>7</v>
      </c>
      <c r="AJ100" s="33" t="s">
        <v>7</v>
      </c>
      <c r="AK100" s="33" t="s">
        <v>7</v>
      </c>
      <c r="AL100" s="33" t="s">
        <v>7</v>
      </c>
    </row>
    <row r="101" spans="1:38" ht="15.5">
      <c r="A101" s="31" t="s">
        <v>0</v>
      </c>
      <c r="B101" s="31" t="s">
        <v>1</v>
      </c>
      <c r="C101" s="31" t="s">
        <v>2</v>
      </c>
      <c r="D101" s="31" t="s">
        <v>3</v>
      </c>
      <c r="E101" s="31" t="s">
        <v>5</v>
      </c>
      <c r="F101" s="31">
        <v>2013</v>
      </c>
      <c r="G101" s="33" t="s">
        <v>99</v>
      </c>
      <c r="H101" s="33"/>
      <c r="I101" s="33"/>
      <c r="J101" s="33"/>
      <c r="K101" s="33"/>
      <c r="L101" s="33"/>
      <c r="M101" s="33" t="s">
        <v>7</v>
      </c>
      <c r="N101" s="33" t="s">
        <v>7</v>
      </c>
      <c r="O101" s="33">
        <v>1.7625353245999998E-2</v>
      </c>
      <c r="P101" s="33">
        <v>1.7625353245999998E-2</v>
      </c>
      <c r="Q101" s="33">
        <v>1.7625353245999998E-2</v>
      </c>
      <c r="R101" s="33">
        <v>1.7625353245999998E-2</v>
      </c>
      <c r="S101" s="33" t="s">
        <v>7</v>
      </c>
      <c r="T101" s="33" t="s">
        <v>7</v>
      </c>
      <c r="U101" s="33" t="s">
        <v>7</v>
      </c>
      <c r="V101" s="33" t="s">
        <v>7</v>
      </c>
      <c r="W101" s="33" t="s">
        <v>7</v>
      </c>
      <c r="X101" s="33" t="s">
        <v>7</v>
      </c>
      <c r="Y101" s="33" t="s">
        <v>7</v>
      </c>
      <c r="Z101" s="33" t="s">
        <v>7</v>
      </c>
      <c r="AA101" s="33" t="s">
        <v>7</v>
      </c>
      <c r="AB101" s="33" t="s">
        <v>7</v>
      </c>
      <c r="AC101" s="33" t="s">
        <v>7</v>
      </c>
      <c r="AD101" s="33" t="s">
        <v>7</v>
      </c>
      <c r="AE101" s="33" t="s">
        <v>7</v>
      </c>
      <c r="AF101" s="33" t="s">
        <v>7</v>
      </c>
      <c r="AG101" s="33" t="s">
        <v>7</v>
      </c>
      <c r="AH101" s="33" t="s">
        <v>7</v>
      </c>
      <c r="AI101" s="33" t="s">
        <v>7</v>
      </c>
      <c r="AJ101" s="33" t="s">
        <v>7</v>
      </c>
      <c r="AK101" s="33" t="s">
        <v>7</v>
      </c>
      <c r="AL101" s="33" t="s">
        <v>7</v>
      </c>
    </row>
    <row r="102" spans="1:38" ht="15.5">
      <c r="A102" s="31" t="s">
        <v>0</v>
      </c>
      <c r="B102" s="31" t="s">
        <v>1</v>
      </c>
      <c r="C102" s="31" t="s">
        <v>8</v>
      </c>
      <c r="D102" s="31" t="s">
        <v>3</v>
      </c>
      <c r="E102" s="31" t="s">
        <v>9</v>
      </c>
      <c r="F102" s="31">
        <v>2013</v>
      </c>
      <c r="G102" s="33" t="s">
        <v>128</v>
      </c>
      <c r="H102" s="33"/>
      <c r="I102" s="33"/>
      <c r="J102" s="33"/>
      <c r="K102" s="33"/>
      <c r="L102" s="33"/>
      <c r="M102" s="33" t="s">
        <v>7</v>
      </c>
      <c r="N102" s="33" t="s">
        <v>7</v>
      </c>
      <c r="O102" s="33">
        <v>3.8944540000000001</v>
      </c>
      <c r="P102" s="33" t="s">
        <v>7</v>
      </c>
      <c r="Q102" s="33" t="s">
        <v>7</v>
      </c>
      <c r="R102" s="33" t="s">
        <v>7</v>
      </c>
      <c r="S102" s="33" t="s">
        <v>7</v>
      </c>
      <c r="T102" s="33" t="s">
        <v>7</v>
      </c>
      <c r="U102" s="33" t="s">
        <v>7</v>
      </c>
      <c r="V102" s="33" t="s">
        <v>7</v>
      </c>
      <c r="W102" s="33" t="s">
        <v>7</v>
      </c>
      <c r="X102" s="33" t="s">
        <v>7</v>
      </c>
      <c r="Y102" s="33" t="s">
        <v>7</v>
      </c>
      <c r="Z102" s="33" t="s">
        <v>7</v>
      </c>
      <c r="AA102" s="33" t="s">
        <v>7</v>
      </c>
      <c r="AB102" s="33" t="s">
        <v>7</v>
      </c>
      <c r="AC102" s="33" t="s">
        <v>7</v>
      </c>
      <c r="AD102" s="33" t="s">
        <v>7</v>
      </c>
      <c r="AE102" s="33" t="s">
        <v>7</v>
      </c>
      <c r="AF102" s="33" t="s">
        <v>7</v>
      </c>
      <c r="AG102" s="33" t="s">
        <v>7</v>
      </c>
      <c r="AH102" s="33" t="s">
        <v>7</v>
      </c>
      <c r="AI102" s="33" t="s">
        <v>7</v>
      </c>
      <c r="AJ102" s="33" t="s">
        <v>7</v>
      </c>
      <c r="AK102" s="33" t="s">
        <v>7</v>
      </c>
      <c r="AL102" s="33" t="s">
        <v>7</v>
      </c>
    </row>
    <row r="103" spans="1:38" ht="15.5">
      <c r="A103" s="31" t="s">
        <v>0</v>
      </c>
      <c r="B103" s="31" t="s">
        <v>1</v>
      </c>
      <c r="C103" s="31" t="s">
        <v>11</v>
      </c>
      <c r="D103" s="31" t="s">
        <v>3</v>
      </c>
      <c r="E103" s="31" t="s">
        <v>5</v>
      </c>
      <c r="F103" s="31">
        <v>2013</v>
      </c>
      <c r="G103" s="33" t="s">
        <v>100</v>
      </c>
      <c r="H103" s="33"/>
      <c r="I103" s="33"/>
      <c r="J103" s="33"/>
      <c r="K103" s="33"/>
      <c r="L103" s="33"/>
      <c r="M103" s="33" t="s">
        <v>7</v>
      </c>
      <c r="N103" s="33" t="s">
        <v>7</v>
      </c>
      <c r="O103" s="33">
        <v>2.1600000000000001E-2</v>
      </c>
      <c r="P103" s="33">
        <v>2.1600000000000001E-2</v>
      </c>
      <c r="Q103" s="33">
        <v>2.1600000000000001E-2</v>
      </c>
      <c r="R103" s="33">
        <v>2.1600000000000001E-2</v>
      </c>
      <c r="S103" s="33">
        <v>2.1600000000000001E-2</v>
      </c>
      <c r="T103" s="33">
        <v>2.1600000000000001E-2</v>
      </c>
      <c r="U103" s="33">
        <v>2.1600000000000001E-2</v>
      </c>
      <c r="V103" s="33">
        <v>2.1600000000000001E-2</v>
      </c>
      <c r="W103" s="33">
        <v>2.1600000000000001E-2</v>
      </c>
      <c r="X103" s="33">
        <v>2.1600000000000001E-2</v>
      </c>
      <c r="Y103" s="33">
        <v>2.1600000000000001E-2</v>
      </c>
      <c r="Z103" s="33">
        <v>2.1600000000000001E-2</v>
      </c>
      <c r="AA103" s="33">
        <v>2.1600000000000001E-2</v>
      </c>
      <c r="AB103" s="33">
        <v>2.1600000000000001E-2</v>
      </c>
      <c r="AC103" s="33">
        <v>2.1600000000000001E-2</v>
      </c>
      <c r="AD103" s="33">
        <v>0</v>
      </c>
      <c r="AE103" s="33">
        <v>0</v>
      </c>
      <c r="AF103" s="33">
        <v>0</v>
      </c>
      <c r="AG103" s="33">
        <v>0</v>
      </c>
      <c r="AH103" s="33">
        <v>0</v>
      </c>
      <c r="AI103" s="33">
        <v>0</v>
      </c>
      <c r="AJ103" s="33">
        <v>0</v>
      </c>
      <c r="AK103" s="33">
        <v>0</v>
      </c>
      <c r="AL103" s="33">
        <v>0</v>
      </c>
    </row>
    <row r="104" spans="1:38" ht="15.5">
      <c r="A104" s="31" t="s">
        <v>0</v>
      </c>
      <c r="B104" s="31" t="s">
        <v>1</v>
      </c>
      <c r="C104" s="31" t="s">
        <v>12</v>
      </c>
      <c r="D104" s="31" t="s">
        <v>3</v>
      </c>
      <c r="E104" s="31" t="s">
        <v>5</v>
      </c>
      <c r="F104" s="31">
        <v>2012</v>
      </c>
      <c r="G104" s="33" t="s">
        <v>96</v>
      </c>
      <c r="H104" s="33"/>
      <c r="I104" s="33"/>
      <c r="J104" s="33"/>
      <c r="K104" s="33"/>
      <c r="L104" s="33"/>
      <c r="M104" s="33" t="s">
        <v>7</v>
      </c>
      <c r="N104" s="33">
        <v>1.3515025522E-2</v>
      </c>
      <c r="O104" s="33">
        <v>1.3515025522E-2</v>
      </c>
      <c r="P104" s="33">
        <v>1.3515025522E-2</v>
      </c>
      <c r="Q104" s="33">
        <v>1.3515025522E-2</v>
      </c>
      <c r="R104" s="33">
        <v>1.3515025522E-2</v>
      </c>
      <c r="S104" s="33">
        <v>1.3515025522E-2</v>
      </c>
      <c r="T104" s="33">
        <v>1.3515025522E-2</v>
      </c>
      <c r="U104" s="33">
        <v>1.3515025522E-2</v>
      </c>
      <c r="V104" s="33">
        <v>1.3515025522E-2</v>
      </c>
      <c r="W104" s="33">
        <v>1.3515025522E-2</v>
      </c>
      <c r="X104" s="33">
        <v>1.3515025522E-2</v>
      </c>
      <c r="Y104" s="33">
        <v>1.3515025522E-2</v>
      </c>
      <c r="Z104" s="33">
        <v>1.3515025522E-2</v>
      </c>
      <c r="AA104" s="33">
        <v>1.3515025522E-2</v>
      </c>
      <c r="AB104" s="33">
        <v>1.3515025522E-2</v>
      </c>
      <c r="AC104" s="33">
        <v>9.6639943269999987E-3</v>
      </c>
      <c r="AD104" s="33">
        <v>0</v>
      </c>
      <c r="AE104" s="33">
        <v>0</v>
      </c>
      <c r="AF104" s="33">
        <v>0</v>
      </c>
      <c r="AG104" s="33">
        <v>0</v>
      </c>
      <c r="AH104" s="33">
        <v>0</v>
      </c>
      <c r="AI104" s="33">
        <v>0</v>
      </c>
      <c r="AJ104" s="33">
        <v>0</v>
      </c>
      <c r="AK104" s="33">
        <v>0</v>
      </c>
      <c r="AL104" s="33">
        <v>0</v>
      </c>
    </row>
    <row r="105" spans="1:38" ht="15.5">
      <c r="A105" s="31" t="s">
        <v>0</v>
      </c>
      <c r="B105" s="31" t="s">
        <v>1</v>
      </c>
      <c r="C105" s="31" t="s">
        <v>12</v>
      </c>
      <c r="D105" s="31" t="s">
        <v>3</v>
      </c>
      <c r="E105" s="31" t="s">
        <v>5</v>
      </c>
      <c r="F105" s="31">
        <v>2013</v>
      </c>
      <c r="G105" s="33" t="s">
        <v>101</v>
      </c>
      <c r="H105" s="33"/>
      <c r="I105" s="33"/>
      <c r="J105" s="33"/>
      <c r="K105" s="33"/>
      <c r="L105" s="33"/>
      <c r="M105" s="33" t="s">
        <v>7</v>
      </c>
      <c r="N105" s="33" t="s">
        <v>7</v>
      </c>
      <c r="O105" s="33">
        <v>0.240247059165</v>
      </c>
      <c r="P105" s="33">
        <v>0.240247059165</v>
      </c>
      <c r="Q105" s="33">
        <v>0.240247059165</v>
      </c>
      <c r="R105" s="33">
        <v>0.15139045493600001</v>
      </c>
      <c r="S105" s="33">
        <v>0.138290203567</v>
      </c>
      <c r="T105" s="33">
        <v>0.136043313458</v>
      </c>
      <c r="U105" s="33">
        <v>0.136043313458</v>
      </c>
      <c r="V105" s="33">
        <v>0.136043313458</v>
      </c>
      <c r="W105" s="33">
        <v>0.13564660698</v>
      </c>
      <c r="X105" s="33">
        <v>0.122835742931</v>
      </c>
      <c r="Y105" s="33">
        <v>0.10722446109</v>
      </c>
      <c r="Z105" s="33">
        <v>0.10722446109</v>
      </c>
      <c r="AA105" s="33">
        <v>6.8424480384000008E-2</v>
      </c>
      <c r="AB105" s="33">
        <v>6.8424480384000008E-2</v>
      </c>
      <c r="AC105" s="33">
        <v>6.8424480384000008E-2</v>
      </c>
      <c r="AD105" s="33">
        <v>5.9805434121999998E-2</v>
      </c>
      <c r="AE105" s="33">
        <v>2.3652452804999998E-2</v>
      </c>
      <c r="AF105" s="33">
        <v>2.3472398347E-2</v>
      </c>
      <c r="AG105" s="33">
        <v>2.3472398347E-2</v>
      </c>
      <c r="AH105" s="33">
        <v>2.3472398347E-2</v>
      </c>
      <c r="AI105" s="33">
        <v>0</v>
      </c>
      <c r="AJ105" s="33">
        <v>0</v>
      </c>
      <c r="AK105" s="33">
        <v>0</v>
      </c>
      <c r="AL105" s="33">
        <v>0</v>
      </c>
    </row>
    <row r="106" spans="1:38" ht="15.5">
      <c r="A106" s="31" t="s">
        <v>0</v>
      </c>
      <c r="B106" s="31" t="s">
        <v>1</v>
      </c>
      <c r="C106" s="31" t="s">
        <v>14</v>
      </c>
      <c r="D106" s="31" t="s">
        <v>3</v>
      </c>
      <c r="E106" s="31" t="s">
        <v>5</v>
      </c>
      <c r="F106" s="31">
        <v>2012</v>
      </c>
      <c r="G106" s="33" t="s">
        <v>95</v>
      </c>
      <c r="H106" s="33"/>
      <c r="I106" s="33"/>
      <c r="J106" s="33"/>
      <c r="K106" s="33"/>
      <c r="L106" s="33"/>
      <c r="M106" s="33" t="s">
        <v>7</v>
      </c>
      <c r="N106" s="33">
        <v>1.9581511959999999E-2</v>
      </c>
      <c r="O106" s="33">
        <v>1.9581511959999999E-2</v>
      </c>
      <c r="P106" s="33">
        <v>1.9581511959999999E-2</v>
      </c>
      <c r="Q106" s="33">
        <v>1.5990289335000001E-2</v>
      </c>
      <c r="R106" s="33">
        <v>1.5990289335000001E-2</v>
      </c>
      <c r="S106" s="33">
        <v>4.8894790290000007E-3</v>
      </c>
      <c r="T106" s="33">
        <v>4.8894790290000007E-3</v>
      </c>
      <c r="U106" s="33">
        <v>4.8894790290000007E-3</v>
      </c>
      <c r="V106" s="33">
        <v>4.8894790290000007E-3</v>
      </c>
      <c r="W106" s="33">
        <v>4.8894790290000007E-3</v>
      </c>
      <c r="X106" s="33">
        <v>4.2056494559999996E-3</v>
      </c>
      <c r="Y106" s="33">
        <v>4.2056494559999996E-3</v>
      </c>
      <c r="Z106" s="33">
        <v>0</v>
      </c>
      <c r="AA106" s="33">
        <v>0</v>
      </c>
      <c r="AB106" s="33">
        <v>0</v>
      </c>
      <c r="AC106" s="33">
        <v>0</v>
      </c>
      <c r="AD106" s="33">
        <v>0</v>
      </c>
      <c r="AE106" s="33">
        <v>0</v>
      </c>
      <c r="AF106" s="33">
        <v>0</v>
      </c>
      <c r="AG106" s="33">
        <v>0</v>
      </c>
      <c r="AH106" s="33">
        <v>0</v>
      </c>
      <c r="AI106" s="33">
        <v>0</v>
      </c>
      <c r="AJ106" s="33">
        <v>0</v>
      </c>
      <c r="AK106" s="33">
        <v>0</v>
      </c>
      <c r="AL106" s="33">
        <v>0</v>
      </c>
    </row>
    <row r="107" spans="1:38" ht="15.5">
      <c r="A107" s="31" t="s">
        <v>0</v>
      </c>
      <c r="B107" s="31" t="s">
        <v>1</v>
      </c>
      <c r="C107" s="31" t="s">
        <v>14</v>
      </c>
      <c r="D107" s="31" t="s">
        <v>3</v>
      </c>
      <c r="E107" s="31" t="s">
        <v>5</v>
      </c>
      <c r="F107" s="31">
        <v>2013</v>
      </c>
      <c r="G107" s="33" t="s">
        <v>102</v>
      </c>
      <c r="H107" s="33"/>
      <c r="I107" s="33"/>
      <c r="J107" s="33"/>
      <c r="K107" s="33"/>
      <c r="L107" s="33"/>
      <c r="M107" s="33" t="s">
        <v>7</v>
      </c>
      <c r="N107" s="33" t="s">
        <v>7</v>
      </c>
      <c r="O107" s="33">
        <v>6.4120936588000013E-2</v>
      </c>
      <c r="P107" s="33">
        <v>6.4120936588000013E-2</v>
      </c>
      <c r="Q107" s="33">
        <v>6.2021401407E-2</v>
      </c>
      <c r="R107" s="33">
        <v>4.8870097676E-2</v>
      </c>
      <c r="S107" s="33">
        <v>1.9300007295000001E-2</v>
      </c>
      <c r="T107" s="33">
        <v>1.9300007295000001E-2</v>
      </c>
      <c r="U107" s="33">
        <v>1.9300007295000001E-2</v>
      </c>
      <c r="V107" s="33">
        <v>1.9300007295000001E-2</v>
      </c>
      <c r="W107" s="33">
        <v>1.9300007295000001E-2</v>
      </c>
      <c r="X107" s="33">
        <v>1.9300007295000001E-2</v>
      </c>
      <c r="Y107" s="33">
        <v>1.7743160717999997E-2</v>
      </c>
      <c r="Z107" s="33">
        <v>1.5942877756E-2</v>
      </c>
      <c r="AA107" s="33">
        <v>0</v>
      </c>
      <c r="AB107" s="33">
        <v>0</v>
      </c>
      <c r="AC107" s="33">
        <v>0</v>
      </c>
      <c r="AD107" s="33">
        <v>0</v>
      </c>
      <c r="AE107" s="33">
        <v>0</v>
      </c>
      <c r="AF107" s="33">
        <v>0</v>
      </c>
      <c r="AG107" s="33">
        <v>0</v>
      </c>
      <c r="AH107" s="33">
        <v>0</v>
      </c>
      <c r="AI107" s="33">
        <v>0</v>
      </c>
      <c r="AJ107" s="33">
        <v>0</v>
      </c>
      <c r="AK107" s="33">
        <v>0</v>
      </c>
      <c r="AL107" s="33">
        <v>0</v>
      </c>
    </row>
    <row r="108" spans="1:38" ht="15.5">
      <c r="A108" s="31" t="s">
        <v>0</v>
      </c>
      <c r="B108" s="31" t="s">
        <v>15</v>
      </c>
      <c r="C108" s="31" t="s">
        <v>16</v>
      </c>
      <c r="D108" s="31" t="s">
        <v>3</v>
      </c>
      <c r="E108" s="31" t="s">
        <v>5</v>
      </c>
      <c r="F108" s="31">
        <v>2013</v>
      </c>
      <c r="G108" s="33" t="s">
        <v>17</v>
      </c>
      <c r="H108" s="33"/>
      <c r="I108" s="33"/>
      <c r="J108" s="33"/>
      <c r="K108" s="33"/>
      <c r="L108" s="33"/>
      <c r="M108" s="33">
        <v>0</v>
      </c>
      <c r="N108" s="33">
        <v>0</v>
      </c>
      <c r="O108" s="33">
        <v>2.5900391630000004E-3</v>
      </c>
      <c r="P108" s="33">
        <v>2.5900391630000004E-3</v>
      </c>
      <c r="Q108" s="33">
        <v>2.4965525639999999E-3</v>
      </c>
      <c r="R108" s="33">
        <v>2.140165062E-3</v>
      </c>
      <c r="S108" s="33">
        <v>2.140165062E-3</v>
      </c>
      <c r="T108" s="33">
        <v>2.140165062E-3</v>
      </c>
      <c r="U108" s="33">
        <v>2.140165062E-3</v>
      </c>
      <c r="V108" s="33">
        <v>2.1371703809999996E-3</v>
      </c>
      <c r="W108" s="33">
        <v>1.598479671E-3</v>
      </c>
      <c r="X108" s="33">
        <v>1.598479671E-3</v>
      </c>
      <c r="Y108" s="33">
        <v>1.2840042039999999E-3</v>
      </c>
      <c r="Z108" s="33">
        <v>1.2839682709999999E-3</v>
      </c>
      <c r="AA108" s="33">
        <v>1.2839682709999999E-3</v>
      </c>
      <c r="AB108" s="33">
        <v>1.2820541219999999E-3</v>
      </c>
      <c r="AC108" s="33">
        <v>1.2820541219999999E-3</v>
      </c>
      <c r="AD108" s="33">
        <v>1.2804860680000001E-3</v>
      </c>
      <c r="AE108" s="33">
        <v>1.2409174000000002E-3</v>
      </c>
      <c r="AF108" s="33">
        <v>7.2839098099999997E-4</v>
      </c>
      <c r="AG108" s="33">
        <v>7.2839098099999997E-4</v>
      </c>
      <c r="AH108" s="33">
        <v>7.2839098099999997E-4</v>
      </c>
      <c r="AI108" s="33">
        <v>0</v>
      </c>
      <c r="AJ108" s="33">
        <v>0</v>
      </c>
      <c r="AK108" s="33">
        <v>0</v>
      </c>
      <c r="AL108" s="33">
        <v>0</v>
      </c>
    </row>
    <row r="109" spans="1:38" ht="15.5">
      <c r="A109" s="31" t="s">
        <v>0</v>
      </c>
      <c r="B109" s="31" t="s">
        <v>15</v>
      </c>
      <c r="C109" s="31" t="s">
        <v>19</v>
      </c>
      <c r="D109" s="31" t="s">
        <v>3</v>
      </c>
      <c r="E109" s="31" t="s">
        <v>5</v>
      </c>
      <c r="F109" s="31">
        <v>2013</v>
      </c>
      <c r="G109" s="33" t="s">
        <v>17</v>
      </c>
      <c r="H109" s="33"/>
      <c r="I109" s="33"/>
      <c r="J109" s="33"/>
      <c r="K109" s="33"/>
      <c r="L109" s="33"/>
      <c r="M109" s="33" t="s">
        <v>7</v>
      </c>
      <c r="N109" s="33" t="s">
        <v>7</v>
      </c>
      <c r="O109" s="33">
        <v>1.4503586930000002E-3</v>
      </c>
      <c r="P109" s="33">
        <v>1.4503586930000002E-3</v>
      </c>
      <c r="Q109" s="33">
        <v>1.4503586930000002E-3</v>
      </c>
      <c r="R109" s="33">
        <v>1.4503586930000002E-3</v>
      </c>
      <c r="S109" s="33">
        <v>0</v>
      </c>
      <c r="T109" s="33">
        <v>0</v>
      </c>
      <c r="U109" s="33">
        <v>0</v>
      </c>
      <c r="V109" s="33">
        <v>0</v>
      </c>
      <c r="W109" s="33">
        <v>0</v>
      </c>
      <c r="X109" s="33">
        <v>0</v>
      </c>
      <c r="Y109" s="33">
        <v>0</v>
      </c>
      <c r="Z109" s="33">
        <v>0</v>
      </c>
      <c r="AA109" s="33">
        <v>0</v>
      </c>
      <c r="AB109" s="33">
        <v>0</v>
      </c>
      <c r="AC109" s="33">
        <v>0</v>
      </c>
      <c r="AD109" s="33">
        <v>0</v>
      </c>
      <c r="AE109" s="33">
        <v>0</v>
      </c>
      <c r="AF109" s="33">
        <v>0</v>
      </c>
      <c r="AG109" s="33">
        <v>0</v>
      </c>
      <c r="AH109" s="33">
        <v>0</v>
      </c>
      <c r="AI109" s="33">
        <v>0</v>
      </c>
      <c r="AJ109" s="33">
        <v>0</v>
      </c>
      <c r="AK109" s="33">
        <v>0</v>
      </c>
      <c r="AL109" s="33">
        <v>0</v>
      </c>
    </row>
    <row r="110" spans="1:38" ht="15.5">
      <c r="A110" s="31" t="s">
        <v>0</v>
      </c>
      <c r="B110" s="31" t="s">
        <v>15</v>
      </c>
      <c r="C110" s="31" t="s">
        <v>21</v>
      </c>
      <c r="D110" s="31" t="s">
        <v>3</v>
      </c>
      <c r="E110" s="31" t="s">
        <v>5</v>
      </c>
      <c r="F110" s="31">
        <v>2013</v>
      </c>
      <c r="G110" s="33" t="s">
        <v>17</v>
      </c>
      <c r="H110" s="33"/>
      <c r="I110" s="33"/>
      <c r="J110" s="33"/>
      <c r="K110" s="33"/>
      <c r="L110" s="33"/>
      <c r="M110" s="33" t="s">
        <v>7</v>
      </c>
      <c r="N110" s="33" t="s">
        <v>7</v>
      </c>
      <c r="O110" s="33">
        <v>3.0973453819999998E-3</v>
      </c>
      <c r="P110" s="33">
        <v>3.0973453819999998E-3</v>
      </c>
      <c r="Q110" s="33">
        <v>3.0973453819999998E-3</v>
      </c>
      <c r="R110" s="33">
        <v>2.9925613520000002E-3</v>
      </c>
      <c r="S110" s="33">
        <v>1.941960267E-3</v>
      </c>
      <c r="T110" s="33">
        <v>0</v>
      </c>
      <c r="U110" s="33">
        <v>0</v>
      </c>
      <c r="V110" s="33">
        <v>0</v>
      </c>
      <c r="W110" s="33">
        <v>0</v>
      </c>
      <c r="X110" s="33">
        <v>0</v>
      </c>
      <c r="Y110" s="33">
        <v>0</v>
      </c>
      <c r="Z110" s="33">
        <v>0</v>
      </c>
      <c r="AA110" s="33">
        <v>0</v>
      </c>
      <c r="AB110" s="33">
        <v>0</v>
      </c>
      <c r="AC110" s="33">
        <v>0</v>
      </c>
      <c r="AD110" s="33">
        <v>0</v>
      </c>
      <c r="AE110" s="33">
        <v>0</v>
      </c>
      <c r="AF110" s="33">
        <v>0</v>
      </c>
      <c r="AG110" s="33">
        <v>0</v>
      </c>
      <c r="AH110" s="33">
        <v>0</v>
      </c>
      <c r="AI110" s="33">
        <v>0</v>
      </c>
      <c r="AJ110" s="33">
        <v>0</v>
      </c>
      <c r="AK110" s="33">
        <v>0</v>
      </c>
      <c r="AL110" s="33">
        <v>0</v>
      </c>
    </row>
    <row r="111" spans="1:38" ht="15.5">
      <c r="A111" s="31" t="s">
        <v>0</v>
      </c>
      <c r="B111" s="31" t="s">
        <v>15</v>
      </c>
      <c r="C111" s="31" t="s">
        <v>22</v>
      </c>
      <c r="D111" s="31" t="s">
        <v>3</v>
      </c>
      <c r="E111" s="31" t="s">
        <v>5</v>
      </c>
      <c r="F111" s="31">
        <v>2013</v>
      </c>
      <c r="G111" s="33" t="s">
        <v>17</v>
      </c>
      <c r="H111" s="33"/>
      <c r="I111" s="33"/>
      <c r="J111" s="33"/>
      <c r="K111" s="33"/>
      <c r="L111" s="33"/>
      <c r="M111" s="33">
        <v>0</v>
      </c>
      <c r="N111" s="33">
        <v>0</v>
      </c>
      <c r="O111" s="33">
        <v>5.9345990720000002E-3</v>
      </c>
      <c r="P111" s="33">
        <v>5.9345990720000002E-3</v>
      </c>
      <c r="Q111" s="33">
        <v>5.6087923719999998E-3</v>
      </c>
      <c r="R111" s="33">
        <v>4.496896805E-3</v>
      </c>
      <c r="S111" s="33">
        <v>4.496896805E-3</v>
      </c>
      <c r="T111" s="33">
        <v>4.496896805E-3</v>
      </c>
      <c r="U111" s="33">
        <v>4.496896805E-3</v>
      </c>
      <c r="V111" s="33">
        <v>4.4883901749999998E-3</v>
      </c>
      <c r="W111" s="33">
        <v>3.8577274090000001E-3</v>
      </c>
      <c r="X111" s="33">
        <v>3.8577274090000001E-3</v>
      </c>
      <c r="Y111" s="33">
        <v>2.7992783100000002E-3</v>
      </c>
      <c r="Z111" s="33">
        <v>1.8081310680000001E-3</v>
      </c>
      <c r="AA111" s="33">
        <v>1.8081310680000001E-3</v>
      </c>
      <c r="AB111" s="33">
        <v>1.7725121669999999E-3</v>
      </c>
      <c r="AC111" s="33">
        <v>1.7725121669999999E-3</v>
      </c>
      <c r="AD111" s="33">
        <v>1.754238701E-3</v>
      </c>
      <c r="AE111" s="33">
        <v>1.5142027510000001E-3</v>
      </c>
      <c r="AF111" s="33">
        <v>8.8880281900000004E-4</v>
      </c>
      <c r="AG111" s="33">
        <v>8.8880281900000004E-4</v>
      </c>
      <c r="AH111" s="33">
        <v>8.8880281900000004E-4</v>
      </c>
      <c r="AI111" s="33">
        <v>0</v>
      </c>
      <c r="AJ111" s="33">
        <v>0</v>
      </c>
      <c r="AK111" s="33">
        <v>0</v>
      </c>
      <c r="AL111" s="33">
        <v>0</v>
      </c>
    </row>
    <row r="112" spans="1:38" ht="15.5">
      <c r="A112" s="31" t="s">
        <v>0</v>
      </c>
      <c r="B112" s="31" t="s">
        <v>15</v>
      </c>
      <c r="C112" s="31" t="s">
        <v>23</v>
      </c>
      <c r="D112" s="31" t="s">
        <v>3</v>
      </c>
      <c r="E112" s="31" t="s">
        <v>5</v>
      </c>
      <c r="F112" s="31">
        <v>2013</v>
      </c>
      <c r="G112" s="33" t="s">
        <v>17</v>
      </c>
      <c r="H112" s="33"/>
      <c r="I112" s="33"/>
      <c r="J112" s="33"/>
      <c r="K112" s="33"/>
      <c r="L112" s="33"/>
      <c r="M112" s="33">
        <v>0</v>
      </c>
      <c r="N112" s="33">
        <v>0</v>
      </c>
      <c r="O112" s="33">
        <v>2.6881332139E-2</v>
      </c>
      <c r="P112" s="33">
        <v>2.6594034959E-2</v>
      </c>
      <c r="Q112" s="33">
        <v>2.6498184522E-2</v>
      </c>
      <c r="R112" s="33">
        <v>2.5358590766999999E-2</v>
      </c>
      <c r="S112" s="33">
        <v>2.4864018113E-2</v>
      </c>
      <c r="T112" s="33">
        <v>2.4407409516000001E-2</v>
      </c>
      <c r="U112" s="33">
        <v>2.3978436115000001E-2</v>
      </c>
      <c r="V112" s="33">
        <v>2.3978436115000001E-2</v>
      </c>
      <c r="W112" s="33">
        <v>1.9200819296999998E-2</v>
      </c>
      <c r="X112" s="33">
        <v>1.8318592785000001E-2</v>
      </c>
      <c r="Y112" s="33">
        <v>1.7074210947000002E-2</v>
      </c>
      <c r="Z112" s="33">
        <v>1.7073214578000002E-2</v>
      </c>
      <c r="AA112" s="33">
        <v>1.4518080371000001E-2</v>
      </c>
      <c r="AB112" s="33">
        <v>1.4518080371000001E-2</v>
      </c>
      <c r="AC112" s="33">
        <v>5.8331719660000003E-3</v>
      </c>
      <c r="AD112" s="33">
        <v>4.5462213530000004E-3</v>
      </c>
      <c r="AE112" s="33">
        <v>4.5462213530000004E-3</v>
      </c>
      <c r="AF112" s="33">
        <v>4.5462213530000004E-3</v>
      </c>
      <c r="AG112" s="33">
        <v>4.5462213530000004E-3</v>
      </c>
      <c r="AH112" s="33">
        <v>4.5462213530000004E-3</v>
      </c>
      <c r="AI112" s="33">
        <v>2.4835860950000004E-3</v>
      </c>
      <c r="AJ112" s="33">
        <v>0</v>
      </c>
      <c r="AK112" s="33">
        <v>0</v>
      </c>
      <c r="AL112" s="33">
        <v>0</v>
      </c>
    </row>
    <row r="113" spans="1:40" ht="15.5">
      <c r="A113" s="31" t="s">
        <v>0</v>
      </c>
      <c r="B113" s="31" t="s">
        <v>15</v>
      </c>
      <c r="C113" s="31" t="s">
        <v>25</v>
      </c>
      <c r="D113" s="31" t="s">
        <v>3</v>
      </c>
      <c r="E113" s="31" t="s">
        <v>5</v>
      </c>
      <c r="F113" s="31">
        <v>2012</v>
      </c>
      <c r="G113" s="33" t="s">
        <v>17</v>
      </c>
      <c r="H113" s="33"/>
      <c r="I113" s="33"/>
      <c r="J113" s="33"/>
      <c r="K113" s="33"/>
      <c r="L113" s="33"/>
      <c r="M113" s="33" t="s">
        <v>7</v>
      </c>
      <c r="N113" s="33">
        <v>1.765202916E-3</v>
      </c>
      <c r="O113" s="33">
        <v>1.765202916E-3</v>
      </c>
      <c r="P113" s="33">
        <v>1.765202916E-3</v>
      </c>
      <c r="Q113" s="33">
        <v>1.765202916E-3</v>
      </c>
      <c r="R113" s="33">
        <v>1.765202916E-3</v>
      </c>
      <c r="S113" s="33">
        <v>1.765202916E-3</v>
      </c>
      <c r="T113" s="33">
        <v>1.765202916E-3</v>
      </c>
      <c r="U113" s="33">
        <v>1.765202916E-3</v>
      </c>
      <c r="V113" s="33">
        <v>1.765202916E-3</v>
      </c>
      <c r="W113" s="33">
        <v>1.765202916E-3</v>
      </c>
      <c r="X113" s="33">
        <v>1.765202916E-3</v>
      </c>
      <c r="Y113" s="33">
        <v>1.765202916E-3</v>
      </c>
      <c r="Z113" s="33">
        <v>1.765202916E-3</v>
      </c>
      <c r="AA113" s="33">
        <v>1.765202916E-3</v>
      </c>
      <c r="AB113" s="33">
        <v>1.765202916E-3</v>
      </c>
      <c r="AC113" s="33">
        <v>1.765202916E-3</v>
      </c>
      <c r="AD113" s="33">
        <v>1.765202916E-3</v>
      </c>
      <c r="AE113" s="33">
        <v>1.765202916E-3</v>
      </c>
      <c r="AF113" s="33">
        <v>1.765202916E-3</v>
      </c>
      <c r="AG113" s="33">
        <v>1.5037883720000001E-3</v>
      </c>
      <c r="AH113" s="33">
        <v>0</v>
      </c>
      <c r="AI113" s="33">
        <v>0</v>
      </c>
      <c r="AJ113" s="33">
        <v>0</v>
      </c>
      <c r="AK113" s="33">
        <v>0</v>
      </c>
      <c r="AL113" s="33">
        <v>0</v>
      </c>
    </row>
    <row r="114" spans="1:40" ht="15.5">
      <c r="A114" s="31" t="s">
        <v>0</v>
      </c>
      <c r="B114" s="31" t="s">
        <v>15</v>
      </c>
      <c r="C114" s="31" t="s">
        <v>25</v>
      </c>
      <c r="D114" s="31" t="s">
        <v>3</v>
      </c>
      <c r="E114" s="31" t="s">
        <v>5</v>
      </c>
      <c r="F114" s="31">
        <v>2013</v>
      </c>
      <c r="G114" s="33" t="s">
        <v>17</v>
      </c>
      <c r="H114" s="33"/>
      <c r="I114" s="33"/>
      <c r="J114" s="33"/>
      <c r="K114" s="33"/>
      <c r="L114" s="33"/>
      <c r="M114" s="33" t="s">
        <v>7</v>
      </c>
      <c r="N114" s="33" t="s">
        <v>7</v>
      </c>
      <c r="O114" s="33">
        <v>3.8167186908999999E-2</v>
      </c>
      <c r="P114" s="33">
        <v>3.8167186908999999E-2</v>
      </c>
      <c r="Q114" s="33">
        <v>3.8167186908999999E-2</v>
      </c>
      <c r="R114" s="33">
        <v>3.8167186908999999E-2</v>
      </c>
      <c r="S114" s="33">
        <v>3.8167186908999999E-2</v>
      </c>
      <c r="T114" s="33">
        <v>3.8167186908999999E-2</v>
      </c>
      <c r="U114" s="33">
        <v>3.8167186908999999E-2</v>
      </c>
      <c r="V114" s="33">
        <v>3.8167186908999999E-2</v>
      </c>
      <c r="W114" s="33">
        <v>3.8167186908999999E-2</v>
      </c>
      <c r="X114" s="33">
        <v>3.8167186908999999E-2</v>
      </c>
      <c r="Y114" s="33">
        <v>3.8167186908999999E-2</v>
      </c>
      <c r="Z114" s="33">
        <v>3.8167186908999999E-2</v>
      </c>
      <c r="AA114" s="33">
        <v>3.8167186908999999E-2</v>
      </c>
      <c r="AB114" s="33">
        <v>3.8167186908999999E-2</v>
      </c>
      <c r="AC114" s="33">
        <v>3.8167186908999999E-2</v>
      </c>
      <c r="AD114" s="33">
        <v>3.8167186908999999E-2</v>
      </c>
      <c r="AE114" s="33">
        <v>3.8167186908999999E-2</v>
      </c>
      <c r="AF114" s="33">
        <v>3.8167186908999999E-2</v>
      </c>
      <c r="AG114" s="33">
        <v>3.4181807161999998E-2</v>
      </c>
      <c r="AH114" s="33">
        <v>0</v>
      </c>
      <c r="AI114" s="33">
        <v>0</v>
      </c>
      <c r="AJ114" s="33">
        <v>0</v>
      </c>
      <c r="AK114" s="33">
        <v>0</v>
      </c>
      <c r="AL114" s="33">
        <v>0</v>
      </c>
    </row>
    <row r="115" spans="1:40" ht="15.5">
      <c r="A115" s="31" t="s">
        <v>0</v>
      </c>
      <c r="B115" s="31" t="s">
        <v>27</v>
      </c>
      <c r="C115" s="31" t="s">
        <v>8</v>
      </c>
      <c r="D115" s="31" t="s">
        <v>3</v>
      </c>
      <c r="E115" s="31" t="s">
        <v>9</v>
      </c>
      <c r="F115" s="31">
        <v>2013</v>
      </c>
      <c r="G115" s="33" t="s">
        <v>58</v>
      </c>
      <c r="H115" s="33"/>
      <c r="I115" s="33"/>
      <c r="J115" s="33"/>
      <c r="K115" s="33"/>
      <c r="L115" s="33"/>
      <c r="M115" s="33" t="s">
        <v>7</v>
      </c>
      <c r="N115" s="33" t="s">
        <v>7</v>
      </c>
      <c r="O115" s="33">
        <v>0.32550490000000004</v>
      </c>
      <c r="P115" s="33" t="s">
        <v>7</v>
      </c>
      <c r="Q115" s="33" t="s">
        <v>7</v>
      </c>
      <c r="R115" s="33" t="s">
        <v>7</v>
      </c>
      <c r="S115" s="33" t="s">
        <v>7</v>
      </c>
      <c r="T115" s="33" t="s">
        <v>7</v>
      </c>
      <c r="U115" s="33" t="s">
        <v>7</v>
      </c>
      <c r="V115" s="33" t="s">
        <v>7</v>
      </c>
      <c r="W115" s="33" t="s">
        <v>7</v>
      </c>
      <c r="X115" s="33" t="s">
        <v>7</v>
      </c>
      <c r="Y115" s="33" t="s">
        <v>7</v>
      </c>
      <c r="Z115" s="33" t="s">
        <v>7</v>
      </c>
      <c r="AA115" s="33" t="s">
        <v>7</v>
      </c>
      <c r="AB115" s="33" t="s">
        <v>7</v>
      </c>
      <c r="AC115" s="33" t="s">
        <v>7</v>
      </c>
      <c r="AD115" s="33" t="s">
        <v>7</v>
      </c>
      <c r="AE115" s="33" t="s">
        <v>7</v>
      </c>
      <c r="AF115" s="33" t="s">
        <v>7</v>
      </c>
      <c r="AG115" s="33" t="s">
        <v>7</v>
      </c>
      <c r="AH115" s="33" t="s">
        <v>7</v>
      </c>
      <c r="AI115" s="33" t="s">
        <v>7</v>
      </c>
      <c r="AJ115" s="33" t="s">
        <v>7</v>
      </c>
      <c r="AK115" s="33" t="s">
        <v>7</v>
      </c>
      <c r="AL115" s="33" t="s">
        <v>7</v>
      </c>
    </row>
    <row r="116" spans="1:40" ht="15.5">
      <c r="A116" s="29" t="s">
        <v>456</v>
      </c>
      <c r="B116" s="31" t="s">
        <v>1</v>
      </c>
      <c r="C116" s="31" t="s">
        <v>2</v>
      </c>
      <c r="D116" s="31" t="s">
        <v>3</v>
      </c>
      <c r="E116" s="29"/>
      <c r="F116" s="29">
        <v>2014</v>
      </c>
      <c r="G116" s="29" t="s">
        <v>104</v>
      </c>
      <c r="H116" s="29"/>
      <c r="I116" s="29"/>
      <c r="J116" s="29"/>
      <c r="K116" s="29"/>
      <c r="L116" s="29"/>
      <c r="M116" s="29">
        <f>SUMIF('2014 IESO persistence table'!$E:$E, "Audit Funding", '2014 IESO persistence table'!AS:AS)/1000</f>
        <v>4.9355045088638611E-4</v>
      </c>
      <c r="N116" s="29">
        <f>SUMIF('2014 IESO persistence table'!$E:$E, "Audit Funding", '2014 IESO persistence table'!AT:AT)/1000</f>
        <v>1.3558818137834249E-3</v>
      </c>
      <c r="O116" s="29">
        <f>SUMIF('2014 IESO persistence table'!$E:$E, "Audit Funding", '2014 IESO persistence table'!AU:AU)/1000</f>
        <v>1.3558818137834249E-3</v>
      </c>
      <c r="P116" s="29">
        <f>SUMIF('2014 IESO persistence table'!$E:$E, "Audit Funding", '2014 IESO persistence table'!AV:AV)/1000</f>
        <v>6.8190534392882196E-2</v>
      </c>
      <c r="Q116" s="29">
        <f>SUMIF('2014 IESO persistence table'!$E:$E, "Audit Funding", '2014 IESO persistence table'!AW:AW)/1000</f>
        <v>6.7696983941995803E-2</v>
      </c>
      <c r="R116" s="29">
        <f>SUMIF('2014 IESO persistence table'!$E:$E, "Audit Funding", '2014 IESO persistence table'!AX:AX)/1000</f>
        <v>6.6834652579098763E-2</v>
      </c>
      <c r="S116" s="29">
        <f>SUMIF('2014 IESO persistence table'!$E:$E, "Audit Funding", '2014 IESO persistence table'!AY:AY)/1000</f>
        <v>6.6834652579098763E-2</v>
      </c>
      <c r="T116" s="29">
        <f>SUMIF('2014 IESO persistence table'!$E:$E, "Audit Funding", '2014 IESO persistence table'!AZ:AZ)/1000</f>
        <v>0</v>
      </c>
      <c r="U116" s="29">
        <f>SUMIF('2014 IESO persistence table'!$E:$E, "Audit Funding", '2014 IESO persistence table'!BA:BA)/1000</f>
        <v>0</v>
      </c>
      <c r="V116" s="29">
        <f>SUMIF('2014 IESO persistence table'!$E:$E, "Audit Funding", '2014 IESO persistence table'!BB:BB)/1000</f>
        <v>0</v>
      </c>
      <c r="W116" s="29">
        <f>SUMIF('2014 IESO persistence table'!$E:$E, "Audit Funding", '2014 IESO persistence table'!BC:BC)/1000</f>
        <v>0</v>
      </c>
      <c r="X116" s="29">
        <f>SUMIF('2014 IESO persistence table'!$E:$E, "Audit Funding", '2014 IESO persistence table'!BD:BD)/1000</f>
        <v>0</v>
      </c>
      <c r="Y116" s="29">
        <f>SUMIF('2014 IESO persistence table'!$E:$E, "Audit Funding", '2014 IESO persistence table'!BE:BE)/1000</f>
        <v>0</v>
      </c>
      <c r="Z116" s="29">
        <f>SUMIF('2014 IESO persistence table'!$E:$E, "Audit Funding", '2014 IESO persistence table'!BF:BF)/1000</f>
        <v>0</v>
      </c>
      <c r="AA116" s="29">
        <f>SUMIF('2014 IESO persistence table'!$E:$E, "Audit Funding", '2014 IESO persistence table'!BG:BG)/1000</f>
        <v>0</v>
      </c>
      <c r="AB116" s="29">
        <f>SUMIF('2014 IESO persistence table'!$E:$E, "Audit Funding", '2014 IESO persistence table'!BH:BH)/1000</f>
        <v>0</v>
      </c>
      <c r="AC116" s="29">
        <f>SUMIF('2014 IESO persistence table'!$E:$E, "Audit Funding", '2014 IESO persistence table'!BI:BI)/1000</f>
        <v>0</v>
      </c>
      <c r="AD116" s="29">
        <f>SUMIF('2014 IESO persistence table'!$E:$E, "Audit Funding", '2014 IESO persistence table'!BJ:BJ)/1000</f>
        <v>0</v>
      </c>
      <c r="AE116" s="29">
        <f>SUMIF('2014 IESO persistence table'!$E:$E, "Audit Funding", '2014 IESO persistence table'!BK:BK)/1000</f>
        <v>0</v>
      </c>
      <c r="AF116" s="29">
        <f>SUMIF('2014 IESO persistence table'!$E:$E, "Audit Funding", '2014 IESO persistence table'!BL:BL)/1000</f>
        <v>0</v>
      </c>
      <c r="AG116" s="29">
        <f>SUMIF('2014 IESO persistence table'!$E:$E, "Audit Funding", '2014 IESO persistence table'!BM:BM)/1000</f>
        <v>0</v>
      </c>
      <c r="AH116" s="29">
        <f>SUMIF('2014 IESO persistence table'!$E:$E, "Audit Funding", '2014 IESO persistence table'!BN:BN)/1000</f>
        <v>0</v>
      </c>
      <c r="AI116" s="29">
        <f>SUMIF('2014 IESO persistence table'!$E:$E, "Audit Funding", '2014 IESO persistence table'!BO:BO)/1000</f>
        <v>0</v>
      </c>
      <c r="AJ116" s="29">
        <f>SUMIF('2014 IESO persistence table'!$E:$E, "Audit Funding", '2014 IESO persistence table'!BP:BP)/1000</f>
        <v>0</v>
      </c>
      <c r="AK116" s="29">
        <f>SUMIF('2014 IESO persistence table'!$E:$E, "Audit Funding", '2014 IESO persistence table'!BQ:BQ)/1000</f>
        <v>0</v>
      </c>
      <c r="AL116" s="29">
        <f>SUMIF('2014 IESO persistence table'!$E:$E, "Audit Funding", '2014 IESO persistence table'!BR:BR)/1000</f>
        <v>0</v>
      </c>
    </row>
    <row r="117" spans="1:40" ht="15.5">
      <c r="A117" s="29" t="s">
        <v>456</v>
      </c>
      <c r="B117" s="31" t="s">
        <v>1</v>
      </c>
      <c r="C117" s="31" t="s">
        <v>11</v>
      </c>
      <c r="D117" s="31" t="s">
        <v>3</v>
      </c>
      <c r="E117" s="29"/>
      <c r="F117" s="29">
        <v>2014</v>
      </c>
      <c r="G117" s="29" t="s">
        <v>105</v>
      </c>
      <c r="H117" s="29"/>
      <c r="I117" s="29"/>
      <c r="J117" s="29"/>
      <c r="K117" s="29"/>
      <c r="L117" s="29"/>
      <c r="M117" s="29">
        <f>SUMIF('2014 IESO persistence table'!$E:$E, "New Construction", '2014 IESO persistence table'!AS:AS)/1000</f>
        <v>0</v>
      </c>
      <c r="N117" s="29">
        <f>SUMIF('2014 IESO persistence table'!$E:$E, "New Construction", '2014 IESO persistence table'!AT:AT)/1000</f>
        <v>0</v>
      </c>
      <c r="O117" s="29">
        <f>SUMIF('2014 IESO persistence table'!$E:$E, "New Construction", '2014 IESO persistence table'!AU:AU)/1000</f>
        <v>3.3683024094421522E-3</v>
      </c>
      <c r="P117" s="29">
        <f>SUMIF('2014 IESO persistence table'!$E:$E, "New Construction", '2014 IESO persistence table'!AV:AV)/1000</f>
        <v>5.2273418609442152E-2</v>
      </c>
      <c r="Q117" s="29">
        <f>SUMIF('2014 IESO persistence table'!$E:$E, "New Construction", '2014 IESO persistence table'!AW:AW)/1000</f>
        <v>5.2273418609442152E-2</v>
      </c>
      <c r="R117" s="29">
        <f>SUMIF('2014 IESO persistence table'!$E:$E, "New Construction", '2014 IESO persistence table'!AX:AX)/1000</f>
        <v>5.2273418609442152E-2</v>
      </c>
      <c r="S117" s="29">
        <f>SUMIF('2014 IESO persistence table'!$E:$E, "New Construction", '2014 IESO persistence table'!AY:AY)/1000</f>
        <v>5.2273418609442152E-2</v>
      </c>
      <c r="T117" s="29">
        <f>SUMIF('2014 IESO persistence table'!$E:$E, "New Construction", '2014 IESO persistence table'!AZ:AZ)/1000</f>
        <v>5.2273418609442152E-2</v>
      </c>
      <c r="U117" s="29">
        <f>SUMIF('2014 IESO persistence table'!$E:$E, "New Construction", '2014 IESO persistence table'!BA:BA)/1000</f>
        <v>5.2273418609442152E-2</v>
      </c>
      <c r="V117" s="29">
        <f>SUMIF('2014 IESO persistence table'!$E:$E, "New Construction", '2014 IESO persistence table'!BB:BB)/1000</f>
        <v>5.2273418609442152E-2</v>
      </c>
      <c r="W117" s="29">
        <f>SUMIF('2014 IESO persistence table'!$E:$E, "New Construction", '2014 IESO persistence table'!BC:BC)/1000</f>
        <v>5.2273418609442152E-2</v>
      </c>
      <c r="X117" s="29">
        <f>SUMIF('2014 IESO persistence table'!$E:$E, "New Construction", '2014 IESO persistence table'!BD:BD)/1000</f>
        <v>5.2273418609442152E-2</v>
      </c>
      <c r="Y117" s="29">
        <f>SUMIF('2014 IESO persistence table'!$E:$E, "New Construction", '2014 IESO persistence table'!BE:BE)/1000</f>
        <v>5.2273418609442152E-2</v>
      </c>
      <c r="Z117" s="29">
        <f>SUMIF('2014 IESO persistence table'!$E:$E, "New Construction", '2014 IESO persistence table'!BF:BF)/1000</f>
        <v>5.2273418609442152E-2</v>
      </c>
      <c r="AA117" s="29">
        <f>SUMIF('2014 IESO persistence table'!$E:$E, "New Construction", '2014 IESO persistence table'!BG:BG)/1000</f>
        <v>5.2273418609442152E-2</v>
      </c>
      <c r="AB117" s="29">
        <f>SUMIF('2014 IESO persistence table'!$E:$E, "New Construction", '2014 IESO persistence table'!BH:BH)/1000</f>
        <v>4.9970302409442155E-2</v>
      </c>
      <c r="AC117" s="29">
        <f>SUMIF('2014 IESO persistence table'!$E:$E, "New Construction", '2014 IESO persistence table'!BI:BI)/1000</f>
        <v>4.9970302409442155E-2</v>
      </c>
      <c r="AD117" s="29">
        <f>SUMIF('2014 IESO persistence table'!$E:$E, "New Construction", '2014 IESO persistence table'!BJ:BJ)/1000</f>
        <v>4.9970302409442155E-2</v>
      </c>
      <c r="AE117" s="29">
        <f>SUMIF('2014 IESO persistence table'!$E:$E, "New Construction", '2014 IESO persistence table'!BK:BK)/1000</f>
        <v>3.3683024094421522E-3</v>
      </c>
      <c r="AF117" s="29">
        <f>SUMIF('2014 IESO persistence table'!$E:$E, "New Construction", '2014 IESO persistence table'!BL:BL)/1000</f>
        <v>3.3683024094421522E-3</v>
      </c>
      <c r="AG117" s="29">
        <f>SUMIF('2014 IESO persistence table'!$E:$E, "New Construction", '2014 IESO persistence table'!BM:BM)/1000</f>
        <v>3.3683024094421522E-3</v>
      </c>
      <c r="AH117" s="29">
        <f>SUMIF('2014 IESO persistence table'!$E:$E, "New Construction", '2014 IESO persistence table'!BN:BN)/1000</f>
        <v>3.3683024094421522E-3</v>
      </c>
      <c r="AI117" s="29">
        <f>SUMIF('2014 IESO persistence table'!$E:$E, "New Construction", '2014 IESO persistence table'!BO:BO)/1000</f>
        <v>3.3683024094421522E-3</v>
      </c>
      <c r="AJ117" s="29">
        <f>SUMIF('2014 IESO persistence table'!$E:$E, "New Construction", '2014 IESO persistence table'!BP:BP)/1000</f>
        <v>3.3683024094421522E-3</v>
      </c>
      <c r="AK117" s="29">
        <f>SUMIF('2014 IESO persistence table'!$E:$E, "New Construction", '2014 IESO persistence table'!BQ:BQ)/1000</f>
        <v>3.3683024094421522E-3</v>
      </c>
      <c r="AL117" s="29">
        <f>SUMIF('2014 IESO persistence table'!$E:$E, "New Construction", '2014 IESO persistence table'!BR:BR)/1000</f>
        <v>3.3683024094421522E-3</v>
      </c>
    </row>
    <row r="118" spans="1:40" ht="15.5">
      <c r="A118" s="29" t="s">
        <v>456</v>
      </c>
      <c r="B118" s="31" t="s">
        <v>1</v>
      </c>
      <c r="C118" s="31" t="s">
        <v>12</v>
      </c>
      <c r="D118" s="31" t="s">
        <v>3</v>
      </c>
      <c r="E118" s="29"/>
      <c r="F118" s="29">
        <v>2014</v>
      </c>
      <c r="G118" s="29" t="s">
        <v>103</v>
      </c>
      <c r="H118" s="29"/>
      <c r="I118" s="29"/>
      <c r="J118" s="29"/>
      <c r="K118" s="29"/>
      <c r="L118" s="29"/>
      <c r="M118" s="29">
        <f>SUMIF('2014 IESO persistence table'!$E:$E, "Retrofit", '2014 IESO persistence table'!AS:AS)/1000</f>
        <v>0</v>
      </c>
      <c r="N118" s="29">
        <f>SUMIF('2014 IESO persistence table'!$E:$E, "Retrofit", '2014 IESO persistence table'!AT:AT)/1000</f>
        <v>0</v>
      </c>
      <c r="O118" s="29">
        <f>SUMIF('2014 IESO persistence table'!$E:$E, "Retrofit", '2014 IESO persistence table'!AU:AU)/1000</f>
        <v>2.1047829802619149E-2</v>
      </c>
      <c r="P118" s="29">
        <f>SUMIF('2014 IESO persistence table'!$E:$E, "Retrofit", '2014 IESO persistence table'!AV:AV)/1000</f>
        <v>0.25409104635463547</v>
      </c>
      <c r="Q118" s="29">
        <f>SUMIF('2014 IESO persistence table'!$E:$E, "Retrofit", '2014 IESO persistence table'!AW:AW)/1000</f>
        <v>0.21238527462050405</v>
      </c>
      <c r="R118" s="29">
        <f>SUMIF('2014 IESO persistence table'!$E:$E, "Retrofit", '2014 IESO persistence table'!AX:AX)/1000</f>
        <v>0.21238527462050405</v>
      </c>
      <c r="S118" s="29">
        <f>SUMIF('2014 IESO persistence table'!$E:$E, "Retrofit", '2014 IESO persistence table'!AY:AY)/1000</f>
        <v>0.19527117761777127</v>
      </c>
      <c r="T118" s="29">
        <f>SUMIF('2014 IESO persistence table'!$E:$E, "Retrofit", '2014 IESO persistence table'!AZ:AZ)/1000</f>
        <v>0.19522559561807057</v>
      </c>
      <c r="U118" s="29">
        <f>SUMIF('2014 IESO persistence table'!$E:$E, "Retrofit", '2014 IESO persistence table'!BA:BA)/1000</f>
        <v>0.19522559561807057</v>
      </c>
      <c r="V118" s="29">
        <f>SUMIF('2014 IESO persistence table'!$E:$E, "Retrofit", '2014 IESO persistence table'!BB:BB)/1000</f>
        <v>0.1929235010736656</v>
      </c>
      <c r="W118" s="29">
        <f>SUMIF('2014 IESO persistence table'!$E:$E, "Retrofit", '2014 IESO persistence table'!BC:BC)/1000</f>
        <v>0.1929235010736656</v>
      </c>
      <c r="X118" s="29">
        <f>SUMIF('2014 IESO persistence table'!$E:$E, "Retrofit", '2014 IESO persistence table'!BD:BD)/1000</f>
        <v>0.19026145744618958</v>
      </c>
      <c r="Y118" s="29">
        <f>SUMIF('2014 IESO persistence table'!$E:$E, "Retrofit", '2014 IESO persistence table'!BE:BE)/1000</f>
        <v>0.18012752986382266</v>
      </c>
      <c r="Z118" s="29">
        <f>SUMIF('2014 IESO persistence table'!$E:$E, "Retrofit", '2014 IESO persistence table'!BF:BF)/1000</f>
        <v>0.1660106380649583</v>
      </c>
      <c r="AA118" s="29">
        <f>SUMIF('2014 IESO persistence table'!$E:$E, "Retrofit", '2014 IESO persistence table'!BG:BG)/1000</f>
        <v>0.164246058339547</v>
      </c>
      <c r="AB118" s="29">
        <f>SUMIF('2014 IESO persistence table'!$E:$E, "Retrofit", '2014 IESO persistence table'!BH:BH)/1000</f>
        <v>0.14125659068306826</v>
      </c>
      <c r="AC118" s="29">
        <f>SUMIF('2014 IESO persistence table'!$E:$E, "Retrofit", '2014 IESO persistence table'!BI:BI)/1000</f>
        <v>7.8231230629417434E-2</v>
      </c>
      <c r="AD118" s="29">
        <f>SUMIF('2014 IESO persistence table'!$E:$E, "Retrofit", '2014 IESO persistence table'!BJ:BJ)/1000</f>
        <v>7.6471491247335821E-2</v>
      </c>
      <c r="AE118" s="29">
        <f>SUMIF('2014 IESO persistence table'!$E:$E, "Retrofit", '2014 IESO persistence table'!BK:BK)/1000</f>
        <v>5.9262295634728859E-2</v>
      </c>
      <c r="AF118" s="29">
        <f>SUMIF('2014 IESO persistence table'!$E:$E, "Retrofit", '2014 IESO persistence table'!BL:BL)/1000</f>
        <v>5.0596787400346642E-2</v>
      </c>
      <c r="AG118" s="29">
        <f>SUMIF('2014 IESO persistence table'!$E:$E, "Retrofit", '2014 IESO persistence table'!BM:BM)/1000</f>
        <v>5.0596787400346642E-2</v>
      </c>
      <c r="AH118" s="29">
        <f>SUMIF('2014 IESO persistence table'!$E:$E, "Retrofit", '2014 IESO persistence table'!BN:BN)/1000</f>
        <v>5.0596787400346642E-2</v>
      </c>
      <c r="AI118" s="29">
        <f>SUMIF('2014 IESO persistence table'!$E:$E, "Retrofit", '2014 IESO persistence table'!BO:BO)/1000</f>
        <v>3.9296029001663728E-2</v>
      </c>
      <c r="AJ118" s="29">
        <f>SUMIF('2014 IESO persistence table'!$E:$E, "Retrofit", '2014 IESO persistence table'!BP:BP)/1000</f>
        <v>0</v>
      </c>
      <c r="AK118" s="29">
        <f>SUMIF('2014 IESO persistence table'!$E:$E, "Retrofit", '2014 IESO persistence table'!BQ:BQ)/1000</f>
        <v>0</v>
      </c>
      <c r="AL118" s="29">
        <f>SUMIF('2014 IESO persistence table'!$E:$E, "Retrofit", '2014 IESO persistence table'!BR:BR)/1000</f>
        <v>0</v>
      </c>
    </row>
    <row r="119" spans="1:40" ht="15.5">
      <c r="A119" s="29" t="s">
        <v>456</v>
      </c>
      <c r="B119" s="31" t="s">
        <v>1</v>
      </c>
      <c r="C119" s="31" t="s">
        <v>14</v>
      </c>
      <c r="D119" s="31" t="s">
        <v>3</v>
      </c>
      <c r="E119" s="29"/>
      <c r="F119" s="29">
        <v>2014</v>
      </c>
      <c r="G119" s="29" t="s">
        <v>106</v>
      </c>
      <c r="H119" s="29"/>
      <c r="I119" s="29"/>
      <c r="J119" s="29"/>
      <c r="K119" s="29"/>
      <c r="L119" s="29"/>
      <c r="M119" s="29">
        <f>SUMIF('2014 IESO persistence table'!$E:$E, "SBL", '2014 IESO persistence table'!AS:AS)/1000</f>
        <v>0</v>
      </c>
      <c r="N119" s="29">
        <f>SUMIF('2014 IESO persistence table'!$E:$E, "SBL", '2014 IESO persistence table'!AT:AT)/1000</f>
        <v>0</v>
      </c>
      <c r="O119" s="29">
        <f>SUMIF('2014 IESO persistence table'!$E:$E, "SBL", '2014 IESO persistence table'!AU:AU)/1000</f>
        <v>0</v>
      </c>
      <c r="P119" s="29">
        <f>SUMIF('2014 IESO persistence table'!$E:$E, "SBL", '2014 IESO persistence table'!AV:AV)/1000</f>
        <v>9.3216427193194368E-2</v>
      </c>
      <c r="Q119" s="29">
        <f>SUMIF('2014 IESO persistence table'!$E:$E, "SBL", '2014 IESO persistence table'!AW:AW)/1000</f>
        <v>8.958188716211414E-2</v>
      </c>
      <c r="R119" s="29">
        <f>SUMIF('2014 IESO persistence table'!$E:$E, "SBL", '2014 IESO persistence table'!AX:AX)/1000</f>
        <v>7.9990366335424098E-2</v>
      </c>
      <c r="S119" s="29">
        <f>SUMIF('2014 IESO persistence table'!$E:$E, "SBL", '2014 IESO persistence table'!AY:AY)/1000</f>
        <v>3.854849710549893E-2</v>
      </c>
      <c r="T119" s="29">
        <f>SUMIF('2014 IESO persistence table'!$E:$E, "SBL", '2014 IESO persistence table'!AZ:AZ)/1000</f>
        <v>3.854849710549893E-2</v>
      </c>
      <c r="U119" s="29">
        <f>SUMIF('2014 IESO persistence table'!$E:$E, "SBL", '2014 IESO persistence table'!BA:BA)/1000</f>
        <v>3.854849710549893E-2</v>
      </c>
      <c r="V119" s="29">
        <f>SUMIF('2014 IESO persistence table'!$E:$E, "SBL", '2014 IESO persistence table'!BB:BB)/1000</f>
        <v>3.854849710549893E-2</v>
      </c>
      <c r="W119" s="29">
        <f>SUMIF('2014 IESO persistence table'!$E:$E, "SBL", '2014 IESO persistence table'!BC:BC)/1000</f>
        <v>3.854849710549893E-2</v>
      </c>
      <c r="X119" s="29">
        <f>SUMIF('2014 IESO persistence table'!$E:$E, "SBL", '2014 IESO persistence table'!BD:BD)/1000</f>
        <v>3.854849710549893E-2</v>
      </c>
      <c r="Y119" s="29">
        <f>SUMIF('2014 IESO persistence table'!$E:$E, "SBL", '2014 IESO persistence table'!BE:BE)/1000</f>
        <v>3.854849710549893E-2</v>
      </c>
      <c r="Z119" s="29">
        <f>SUMIF('2014 IESO persistence table'!$E:$E, "SBL", '2014 IESO persistence table'!BF:BF)/1000</f>
        <v>3.6968337928174999E-2</v>
      </c>
      <c r="AA119" s="29">
        <f>SUMIF('2014 IESO persistence table'!$E:$E, "SBL", '2014 IESO persistence table'!BG:BG)/1000</f>
        <v>1.72446175400537E-2</v>
      </c>
      <c r="AB119" s="29">
        <f>SUMIF('2014 IESO persistence table'!$E:$E, "SBL", '2014 IESO persistence table'!BH:BH)/1000</f>
        <v>0</v>
      </c>
      <c r="AC119" s="29">
        <f>SUMIF('2014 IESO persistence table'!$E:$E, "SBL", '2014 IESO persistence table'!BI:BI)/1000</f>
        <v>0</v>
      </c>
      <c r="AD119" s="29">
        <f>SUMIF('2014 IESO persistence table'!$E:$E, "SBL", '2014 IESO persistence table'!BJ:BJ)/1000</f>
        <v>0</v>
      </c>
      <c r="AE119" s="29">
        <f>SUMIF('2014 IESO persistence table'!$E:$E, "SBL", '2014 IESO persistence table'!BK:BK)/1000</f>
        <v>0</v>
      </c>
      <c r="AF119" s="29">
        <f>SUMIF('2014 IESO persistence table'!$E:$E, "SBL", '2014 IESO persistence table'!BL:BL)/1000</f>
        <v>0</v>
      </c>
      <c r="AG119" s="29">
        <f>SUMIF('2014 IESO persistence table'!$E:$E, "SBL", '2014 IESO persistence table'!BM:BM)/1000</f>
        <v>0</v>
      </c>
      <c r="AH119" s="29">
        <f>SUMIF('2014 IESO persistence table'!$E:$E, "SBL", '2014 IESO persistence table'!BN:BN)/1000</f>
        <v>0</v>
      </c>
      <c r="AI119" s="29">
        <f>SUMIF('2014 IESO persistence table'!$E:$E, "SBL", '2014 IESO persistence table'!BO:BO)/1000</f>
        <v>0</v>
      </c>
      <c r="AJ119" s="29">
        <f>SUMIF('2014 IESO persistence table'!$E:$E, "SBL", '2014 IESO persistence table'!BP:BP)/1000</f>
        <v>0</v>
      </c>
      <c r="AK119" s="29">
        <f>SUMIF('2014 IESO persistence table'!$E:$E, "SBL", '2014 IESO persistence table'!BQ:BQ)/1000</f>
        <v>0</v>
      </c>
      <c r="AL119" s="29">
        <f>SUMIF('2014 IESO persistence table'!$E:$E, "SBL", '2014 IESO persistence table'!BR:BR)/1000</f>
        <v>0</v>
      </c>
    </row>
    <row r="120" spans="1:40" ht="15.5">
      <c r="A120" s="29" t="s">
        <v>456</v>
      </c>
      <c r="B120" s="31" t="s">
        <v>15</v>
      </c>
      <c r="C120" s="31" t="s">
        <v>460</v>
      </c>
      <c r="D120" s="31" t="s">
        <v>3</v>
      </c>
      <c r="E120" s="29"/>
      <c r="F120" s="29">
        <v>2014</v>
      </c>
      <c r="G120" s="29" t="s">
        <v>17</v>
      </c>
      <c r="H120" s="29"/>
      <c r="I120" s="29"/>
      <c r="J120" s="29"/>
      <c r="K120" s="29"/>
      <c r="L120" s="29"/>
      <c r="M120" s="29">
        <f>SUMIF('2014 IESO persistence table'!$E:$E, "Conservation Instant Coupons Initiative", '2014 IESO persistence table'!AS:AS)/1000</f>
        <v>0</v>
      </c>
      <c r="N120" s="29">
        <f>SUMIF('2014 IESO persistence table'!$E:$E, "Conservation Instant Coupons Initiative", '2014 IESO persistence table'!AT:AT)/1000</f>
        <v>0</v>
      </c>
      <c r="O120" s="29">
        <f>SUMIF('2014 IESO persistence table'!$E:$E, "Conservation Instant Coupons Initiative", '2014 IESO persistence table'!AU:AU)/1000</f>
        <v>0</v>
      </c>
      <c r="P120" s="29">
        <f>SUMIF('2014 IESO persistence table'!$E:$E, "Conservation Instant Coupons Initiative", '2014 IESO persistence table'!AV:AV)/1000</f>
        <v>2.6323023704424098E-3</v>
      </c>
      <c r="Q120" s="29">
        <f>SUMIF('2014 IESO persistence table'!$E:$E, "Conservation Instant Coupons Initiative", '2014 IESO persistence table'!AW:AW)/1000</f>
        <v>2.2258149910016826E-3</v>
      </c>
      <c r="R120" s="29">
        <f>SUMIF('2014 IESO persistence table'!$E:$E, "Conservation Instant Coupons Initiative", '2014 IESO persistence table'!AX:AX)/1000</f>
        <v>1.8193276115609561E-3</v>
      </c>
      <c r="S120" s="29">
        <f>SUMIF('2014 IESO persistence table'!$E:$E, "Conservation Instant Coupons Initiative", '2014 IESO persistence table'!AY:AY)/1000</f>
        <v>1.8193276115609561E-3</v>
      </c>
      <c r="T120" s="29">
        <f>SUMIF('2014 IESO persistence table'!$E:$E, "Conservation Instant Coupons Initiative", '2014 IESO persistence table'!AZ:AZ)/1000</f>
        <v>1.8193276115609561E-3</v>
      </c>
      <c r="U120" s="29">
        <f>SUMIF('2014 IESO persistence table'!$E:$E, "Conservation Instant Coupons Initiative", '2014 IESO persistence table'!BA:BA)/1000</f>
        <v>1.8193276115609561E-3</v>
      </c>
      <c r="V120" s="29">
        <f>SUMIF('2014 IESO persistence table'!$E:$E, "Conservation Instant Coupons Initiative", '2014 IESO persistence table'!BB:BB)/1000</f>
        <v>1.8193276115609561E-3</v>
      </c>
      <c r="W120" s="29">
        <f>SUMIF('2014 IESO persistence table'!$E:$E, "Conservation Instant Coupons Initiative", '2014 IESO persistence table'!BC:BC)/1000</f>
        <v>1.8113501533611792E-3</v>
      </c>
      <c r="X120" s="29">
        <f>SUMIF('2014 IESO persistence table'!$E:$E, "Conservation Instant Coupons Initiative", '2014 IESO persistence table'!BD:BD)/1000</f>
        <v>1.8113501533611792E-3</v>
      </c>
      <c r="Y120" s="29">
        <f>SUMIF('2014 IESO persistence table'!$E:$E, "Conservation Instant Coupons Initiative", '2014 IESO persistence table'!BE:BE)/1000</f>
        <v>1.6316943266183666E-3</v>
      </c>
      <c r="Z120" s="29">
        <f>SUMIF('2014 IESO persistence table'!$E:$E, "Conservation Instant Coupons Initiative", '2014 IESO persistence table'!BF:BF)/1000</f>
        <v>1.6224093450140659E-3</v>
      </c>
      <c r="AA120" s="29">
        <f>SUMIF('2014 IESO persistence table'!$E:$E, "Conservation Instant Coupons Initiative", '2014 IESO persistence table'!BG:BG)/1000</f>
        <v>1.6224093450140659E-3</v>
      </c>
      <c r="AB120" s="29">
        <f>SUMIF('2014 IESO persistence table'!$E:$E, "Conservation Instant Coupons Initiative", '2014 IESO persistence table'!BH:BH)/1000</f>
        <v>1.6224093450140659E-3</v>
      </c>
      <c r="AC120" s="29">
        <f>SUMIF('2014 IESO persistence table'!$E:$E, "Conservation Instant Coupons Initiative", '2014 IESO persistence table'!BI:BI)/1000</f>
        <v>1.6224093450140659E-3</v>
      </c>
      <c r="AD120" s="29">
        <f>SUMIF('2014 IESO persistence table'!$E:$E, "Conservation Instant Coupons Initiative", '2014 IESO persistence table'!BJ:BJ)/1000</f>
        <v>1.6224093450140659E-3</v>
      </c>
      <c r="AE120" s="29">
        <f>SUMIF('2014 IESO persistence table'!$E:$E, "Conservation Instant Coupons Initiative", '2014 IESO persistence table'!BK:BK)/1000</f>
        <v>1.6224093450140659E-3</v>
      </c>
      <c r="AF120" s="29">
        <f>SUMIF('2014 IESO persistence table'!$E:$E, "Conservation Instant Coupons Initiative", '2014 IESO persistence table'!BL:BL)/1000</f>
        <v>0</v>
      </c>
      <c r="AG120" s="29">
        <f>SUMIF('2014 IESO persistence table'!$E:$E, "Conservation Instant Coupons Initiative", '2014 IESO persistence table'!BM:BM)/1000</f>
        <v>0</v>
      </c>
      <c r="AH120" s="29">
        <f>SUMIF('2014 IESO persistence table'!$E:$E, "Conservation Instant Coupons Initiative", '2014 IESO persistence table'!BN:BN)/1000</f>
        <v>0</v>
      </c>
      <c r="AI120" s="29">
        <f>SUMIF('2014 IESO persistence table'!$E:$E, "Conservation Instant Coupons Initiative", '2014 IESO persistence table'!BO:BO)/1000</f>
        <v>0</v>
      </c>
      <c r="AJ120" s="29">
        <f>SUMIF('2014 IESO persistence table'!$E:$E, "Conservation Instant Coupons Initiative", '2014 IESO persistence table'!BP:BP)/1000</f>
        <v>0</v>
      </c>
      <c r="AK120" s="29">
        <f>SUMIF('2014 IESO persistence table'!$E:$E, "Conservation Instant Coupons Initiative", '2014 IESO persistence table'!BQ:BQ)/1000</f>
        <v>0</v>
      </c>
      <c r="AL120" s="29">
        <f>SUMIF('2014 IESO persistence table'!$E:$E, "Conservation Instant Coupons Initiative", '2014 IESO persistence table'!BR:BR)/1000</f>
        <v>0</v>
      </c>
    </row>
    <row r="121" spans="1:40" ht="15.5">
      <c r="A121" s="29" t="s">
        <v>456</v>
      </c>
      <c r="B121" s="31" t="s">
        <v>15</v>
      </c>
      <c r="C121" s="31" t="s">
        <v>19</v>
      </c>
      <c r="D121" s="31" t="s">
        <v>3</v>
      </c>
      <c r="E121" s="29"/>
      <c r="F121" s="29">
        <v>2014</v>
      </c>
      <c r="G121" s="29" t="s">
        <v>17</v>
      </c>
      <c r="H121" s="29"/>
      <c r="I121" s="29"/>
      <c r="J121" s="29"/>
      <c r="K121" s="29"/>
      <c r="L121" s="29"/>
      <c r="M121" s="29">
        <f>SUMIF('2014 IESO persistence table'!$E:$E, "Appliance Exchange", '2014 IESO persistence table'!AS:AS)/1000</f>
        <v>0</v>
      </c>
      <c r="N121" s="29">
        <f>SUMIF('2014 IESO persistence table'!$E:$E, "Appliance Exchange", '2014 IESO persistence table'!AT:AT)/1000</f>
        <v>0</v>
      </c>
      <c r="O121" s="29">
        <f>SUMIF('2014 IESO persistence table'!$E:$E, "Appliance Exchange", '2014 IESO persistence table'!AU:AU)/1000</f>
        <v>0</v>
      </c>
      <c r="P121" s="29">
        <f>SUMIF('2014 IESO persistence table'!$E:$E, "Appliance Exchange", '2014 IESO persistence table'!AV:AV)/1000</f>
        <v>8.4949580606266291E-3</v>
      </c>
      <c r="Q121" s="29">
        <f>SUMIF('2014 IESO persistence table'!$E:$E, "Appliance Exchange", '2014 IESO persistence table'!AW:AW)/1000</f>
        <v>8.4949580606266291E-3</v>
      </c>
      <c r="R121" s="29">
        <f>SUMIF('2014 IESO persistence table'!$E:$E, "Appliance Exchange", '2014 IESO persistence table'!AX:AX)/1000</f>
        <v>8.4949580606266291E-3</v>
      </c>
      <c r="S121" s="29">
        <f>SUMIF('2014 IESO persistence table'!$E:$E, "Appliance Exchange", '2014 IESO persistence table'!AY:AY)/1000</f>
        <v>8.4949580606266291E-3</v>
      </c>
      <c r="T121" s="29">
        <f>SUMIF('2014 IESO persistence table'!$E:$E, "Appliance Exchange", '2014 IESO persistence table'!AZ:AZ)/1000</f>
        <v>0</v>
      </c>
      <c r="U121" s="29">
        <f>SUMIF('2014 IESO persistence table'!$E:$E, "Appliance Exchange", '2014 IESO persistence table'!BA:BA)/1000</f>
        <v>0</v>
      </c>
      <c r="V121" s="29">
        <f>SUMIF('2014 IESO persistence table'!$E:$E, "Appliance Exchange", '2014 IESO persistence table'!BB:BB)/1000</f>
        <v>0</v>
      </c>
      <c r="W121" s="29">
        <f>SUMIF('2014 IESO persistence table'!$E:$E, "Appliance Exchange", '2014 IESO persistence table'!BC:BC)/1000</f>
        <v>0</v>
      </c>
      <c r="X121" s="29">
        <f>SUMIF('2014 IESO persistence table'!$E:$E, "Appliance Exchange", '2014 IESO persistence table'!BD:BD)/1000</f>
        <v>0</v>
      </c>
      <c r="Y121" s="29">
        <f>SUMIF('2014 IESO persistence table'!$E:$E, "Appliance Exchange", '2014 IESO persistence table'!BE:BE)/1000</f>
        <v>0</v>
      </c>
      <c r="Z121" s="29">
        <f>SUMIF('2014 IESO persistence table'!$E:$E, "Appliance Exchange", '2014 IESO persistence table'!BF:BF)/1000</f>
        <v>0</v>
      </c>
      <c r="AA121" s="29">
        <f>SUMIF('2014 IESO persistence table'!$E:$E, "Appliance Exchange", '2014 IESO persistence table'!BG:BG)/1000</f>
        <v>0</v>
      </c>
      <c r="AB121" s="29">
        <f>SUMIF('2014 IESO persistence table'!$E:$E, "Appliance Exchange", '2014 IESO persistence table'!BH:BH)/1000</f>
        <v>0</v>
      </c>
      <c r="AC121" s="29">
        <f>SUMIF('2014 IESO persistence table'!$E:$E, "Appliance Exchange", '2014 IESO persistence table'!BI:BI)/1000</f>
        <v>0</v>
      </c>
      <c r="AD121" s="29">
        <f>SUMIF('2014 IESO persistence table'!$E:$E, "Appliance Exchange", '2014 IESO persistence table'!BJ:BJ)/1000</f>
        <v>0</v>
      </c>
      <c r="AE121" s="29">
        <f>SUMIF('2014 IESO persistence table'!$E:$E, "Appliance Exchange", '2014 IESO persistence table'!BK:BK)/1000</f>
        <v>0</v>
      </c>
      <c r="AF121" s="29">
        <f>SUMIF('2014 IESO persistence table'!$E:$E, "Appliance Exchange", '2014 IESO persistence table'!BL:BL)/1000</f>
        <v>0</v>
      </c>
      <c r="AG121" s="29">
        <f>SUMIF('2014 IESO persistence table'!$E:$E, "Appliance Exchange", '2014 IESO persistence table'!BM:BM)/1000</f>
        <v>0</v>
      </c>
      <c r="AH121" s="29">
        <f>SUMIF('2014 IESO persistence table'!$E:$E, "Appliance Exchange", '2014 IESO persistence table'!BN:BN)/1000</f>
        <v>0</v>
      </c>
      <c r="AI121" s="29">
        <f>SUMIF('2014 IESO persistence table'!$E:$E, "Appliance Exchange", '2014 IESO persistence table'!BO:BO)/1000</f>
        <v>0</v>
      </c>
      <c r="AJ121" s="29">
        <f>SUMIF('2014 IESO persistence table'!$E:$E, "Appliance Exchange", '2014 IESO persistence table'!BP:BP)/1000</f>
        <v>0</v>
      </c>
      <c r="AK121" s="29">
        <f>SUMIF('2014 IESO persistence table'!$E:$E, "Appliance Exchange", '2014 IESO persistence table'!BQ:BQ)/1000</f>
        <v>0</v>
      </c>
      <c r="AL121" s="29">
        <f>SUMIF('2014 IESO persistence table'!$E:$E, "Appliance Exchange", '2014 IESO persistence table'!BR:BR)/1000</f>
        <v>0</v>
      </c>
    </row>
    <row r="122" spans="1:40" ht="15.5">
      <c r="A122" s="29" t="s">
        <v>456</v>
      </c>
      <c r="B122" s="31" t="s">
        <v>15</v>
      </c>
      <c r="C122" s="31" t="s">
        <v>21</v>
      </c>
      <c r="D122" s="31" t="s">
        <v>3</v>
      </c>
      <c r="E122" s="29"/>
      <c r="F122" s="29">
        <v>2014</v>
      </c>
      <c r="G122" s="29" t="s">
        <v>17</v>
      </c>
      <c r="H122" s="29"/>
      <c r="I122" s="29"/>
      <c r="J122" s="29"/>
      <c r="K122" s="29"/>
      <c r="L122" s="29"/>
      <c r="M122" s="29">
        <f>SUMIF('2014 IESO persistence table'!$E:$E, "Appliance Retirement", '2014 IESO persistence table'!AS:AS)/1000</f>
        <v>0</v>
      </c>
      <c r="N122" s="29">
        <f>SUMIF('2014 IESO persistence table'!$E:$E, "Appliance Retirement", '2014 IESO persistence table'!AT:AT)/1000</f>
        <v>0</v>
      </c>
      <c r="O122" s="29">
        <f>SUMIF('2014 IESO persistence table'!$E:$E, "Appliance Retirement", '2014 IESO persistence table'!AU:AU)/1000</f>
        <v>0</v>
      </c>
      <c r="P122" s="29">
        <f>SUMIF('2014 IESO persistence table'!$E:$E, "Appliance Retirement", '2014 IESO persistence table'!AV:AV)/1000</f>
        <v>4.3138956591376853E-3</v>
      </c>
      <c r="Q122" s="29">
        <f>SUMIF('2014 IESO persistence table'!$E:$E, "Appliance Retirement", '2014 IESO persistence table'!AW:AW)/1000</f>
        <v>4.3138956591376853E-3</v>
      </c>
      <c r="R122" s="29">
        <f>SUMIF('2014 IESO persistence table'!$E:$E, "Appliance Retirement", '2014 IESO persistence table'!AX:AX)/1000</f>
        <v>4.3138956591376853E-3</v>
      </c>
      <c r="S122" s="29">
        <f>SUMIF('2014 IESO persistence table'!$E:$E, "Appliance Retirement", '2014 IESO persistence table'!AY:AY)/1000</f>
        <v>3.7301241717667389E-3</v>
      </c>
      <c r="T122" s="29">
        <f>SUMIF('2014 IESO persistence table'!$E:$E, "Appliance Retirement", '2014 IESO persistence table'!AZ:AZ)/1000</f>
        <v>1.5597801034009828E-3</v>
      </c>
      <c r="U122" s="29">
        <f>SUMIF('2014 IESO persistence table'!$E:$E, "Appliance Retirement", '2014 IESO persistence table'!BA:BA)/1000</f>
        <v>0</v>
      </c>
      <c r="V122" s="29">
        <f>SUMIF('2014 IESO persistence table'!$E:$E, "Appliance Retirement", '2014 IESO persistence table'!BB:BB)/1000</f>
        <v>0</v>
      </c>
      <c r="W122" s="29">
        <f>SUMIF('2014 IESO persistence table'!$E:$E, "Appliance Retirement", '2014 IESO persistence table'!BC:BC)/1000</f>
        <v>0</v>
      </c>
      <c r="X122" s="29">
        <f>SUMIF('2014 IESO persistence table'!$E:$E, "Appliance Retirement", '2014 IESO persistence table'!BD:BD)/1000</f>
        <v>0</v>
      </c>
      <c r="Y122" s="29">
        <f>SUMIF('2014 IESO persistence table'!$E:$E, "Appliance Retirement", '2014 IESO persistence table'!BE:BE)/1000</f>
        <v>0</v>
      </c>
      <c r="Z122" s="29">
        <f>SUMIF('2014 IESO persistence table'!$E:$E, "Appliance Retirement", '2014 IESO persistence table'!BF:BF)/1000</f>
        <v>0</v>
      </c>
      <c r="AA122" s="29">
        <f>SUMIF('2014 IESO persistence table'!$E:$E, "Appliance Retirement", '2014 IESO persistence table'!BG:BG)/1000</f>
        <v>0</v>
      </c>
      <c r="AB122" s="29">
        <f>SUMIF('2014 IESO persistence table'!$E:$E, "Appliance Retirement", '2014 IESO persistence table'!BH:BH)/1000</f>
        <v>0</v>
      </c>
      <c r="AC122" s="29">
        <f>SUMIF('2014 IESO persistence table'!$E:$E, "Appliance Retirement", '2014 IESO persistence table'!BI:BI)/1000</f>
        <v>0</v>
      </c>
      <c r="AD122" s="29">
        <f>SUMIF('2014 IESO persistence table'!$E:$E, "Appliance Retirement", '2014 IESO persistence table'!BJ:BJ)/1000</f>
        <v>0</v>
      </c>
      <c r="AE122" s="29">
        <f>SUMIF('2014 IESO persistence table'!$E:$E, "Appliance Retirement", '2014 IESO persistence table'!BK:BK)/1000</f>
        <v>0</v>
      </c>
      <c r="AF122" s="29">
        <f>SUMIF('2014 IESO persistence table'!$E:$E, "Appliance Retirement", '2014 IESO persistence table'!BL:BL)/1000</f>
        <v>0</v>
      </c>
      <c r="AG122" s="29">
        <f>SUMIF('2014 IESO persistence table'!$E:$E, "Appliance Retirement", '2014 IESO persistence table'!BM:BM)/1000</f>
        <v>0</v>
      </c>
      <c r="AH122" s="29">
        <f>SUMIF('2014 IESO persistence table'!$E:$E, "Appliance Retirement", '2014 IESO persistence table'!BN:BN)/1000</f>
        <v>0</v>
      </c>
      <c r="AI122" s="29">
        <f>SUMIF('2014 IESO persistence table'!$E:$E, "Appliance Retirement", '2014 IESO persistence table'!BO:BO)/1000</f>
        <v>0</v>
      </c>
      <c r="AJ122" s="29">
        <f>SUMIF('2014 IESO persistence table'!$E:$E, "Appliance Retirement", '2014 IESO persistence table'!BP:BP)/1000</f>
        <v>0</v>
      </c>
      <c r="AK122" s="29">
        <f>SUMIF('2014 IESO persistence table'!$E:$E, "Appliance Retirement", '2014 IESO persistence table'!BQ:BQ)/1000</f>
        <v>0</v>
      </c>
      <c r="AL122" s="29">
        <f>SUMIF('2014 IESO persistence table'!$E:$E, "Appliance Retirement", '2014 IESO persistence table'!BR:BR)/1000</f>
        <v>0</v>
      </c>
      <c r="AM122" s="29"/>
      <c r="AN122" s="29"/>
    </row>
    <row r="123" spans="1:40" ht="15.5">
      <c r="A123" s="29" t="s">
        <v>456</v>
      </c>
      <c r="B123" s="31" t="s">
        <v>15</v>
      </c>
      <c r="C123" s="31" t="s">
        <v>22</v>
      </c>
      <c r="D123" s="31" t="s">
        <v>3</v>
      </c>
      <c r="E123" s="29"/>
      <c r="F123" s="29">
        <v>2014</v>
      </c>
      <c r="G123" s="29" t="s">
        <v>17</v>
      </c>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row>
    <row r="124" spans="1:40" ht="15.5">
      <c r="A124" s="29" t="s">
        <v>456</v>
      </c>
      <c r="B124" s="31" t="s">
        <v>15</v>
      </c>
      <c r="C124" s="31" t="s">
        <v>23</v>
      </c>
      <c r="D124" s="31" t="s">
        <v>3</v>
      </c>
      <c r="E124" s="29"/>
      <c r="F124" s="29">
        <v>2014</v>
      </c>
      <c r="G124" s="29" t="s">
        <v>17</v>
      </c>
      <c r="H124" s="29"/>
      <c r="I124" s="29"/>
      <c r="J124" s="29"/>
      <c r="K124" s="29"/>
      <c r="L124" s="29"/>
      <c r="M124" s="29">
        <f>SUMIF('2014 IESO persistence table'!$E:$E, "HAP", '2014 IESO persistence table'!AS:AS)/1000</f>
        <v>0</v>
      </c>
      <c r="N124" s="29">
        <f>SUMIF('2014 IESO persistence table'!$E:$E, "HAP", '2014 IESO persistence table'!AT:AT)/1000</f>
        <v>0</v>
      </c>
      <c r="O124" s="29">
        <f>SUMIF('2014 IESO persistence table'!$E:$E, "HAP", '2014 IESO persistence table'!AU:AU)/1000</f>
        <v>0</v>
      </c>
      <c r="P124" s="29">
        <f>SUMIF('2014 IESO persistence table'!$E:$E, "HAP", '2014 IESO persistence table'!AV:AV)/1000</f>
        <v>7.6943772029189859E-3</v>
      </c>
      <c r="Q124" s="29">
        <f>SUMIF('2014 IESO persistence table'!$E:$E, "HAP", '2014 IESO persistence table'!AW:AW)/1000</f>
        <v>7.6840771540591961E-3</v>
      </c>
      <c r="R124" s="29">
        <f>SUMIF('2014 IESO persistence table'!$E:$E, "HAP", '2014 IESO persistence table'!AX:AX)/1000</f>
        <v>7.5814879662648308E-3</v>
      </c>
      <c r="S124" s="29">
        <f>SUMIF('2014 IESO persistence table'!$E:$E, "HAP", '2014 IESO persistence table'!AY:AY)/1000</f>
        <v>7.5368515928566924E-3</v>
      </c>
      <c r="T124" s="29">
        <f>SUMIF('2014 IESO persistence table'!$E:$E, "HAP", '2014 IESO persistence table'!AZ:AZ)/1000</f>
        <v>7.4882416408800058E-3</v>
      </c>
      <c r="U124" s="29">
        <f>SUMIF('2014 IESO persistence table'!$E:$E, "HAP", '2014 IESO persistence table'!BA:BA)/1000</f>
        <v>7.4882416408800058E-3</v>
      </c>
      <c r="V124" s="29">
        <f>SUMIF('2014 IESO persistence table'!$E:$E, "HAP", '2014 IESO persistence table'!BB:BB)/1000</f>
        <v>7.388127152837114E-3</v>
      </c>
      <c r="W124" s="29">
        <f>SUMIF('2014 IESO persistence table'!$E:$E, "HAP", '2014 IESO persistence table'!BC:BC)/1000</f>
        <v>7.388127152837114E-3</v>
      </c>
      <c r="X124" s="29">
        <f>SUMIF('2014 IESO persistence table'!$E:$E, "HAP", '2014 IESO persistence table'!BD:BD)/1000</f>
        <v>6.9070165742014071E-3</v>
      </c>
      <c r="Y124" s="29">
        <f>SUMIF('2014 IESO persistence table'!$E:$E, "HAP", '2014 IESO persistence table'!BE:BE)/1000</f>
        <v>6.9070165742014071E-3</v>
      </c>
      <c r="Z124" s="29">
        <f>SUMIF('2014 IESO persistence table'!$E:$E, "HAP", '2014 IESO persistence table'!BF:BF)/1000</f>
        <v>6.3399643891316375E-3</v>
      </c>
      <c r="AA124" s="29">
        <f>SUMIF('2014 IESO persistence table'!$E:$E, "HAP", '2014 IESO persistence table'!BG:BG)/1000</f>
        <v>6.3393841371871531E-3</v>
      </c>
      <c r="AB124" s="29">
        <f>SUMIF('2014 IESO persistence table'!$E:$E, "HAP", '2014 IESO persistence table'!BH:BH)/1000</f>
        <v>5.4914157078601424E-3</v>
      </c>
      <c r="AC124" s="29">
        <f>SUMIF('2014 IESO persistence table'!$E:$E, "HAP", '2014 IESO persistence table'!BI:BI)/1000</f>
        <v>5.4914157078601424E-3</v>
      </c>
      <c r="AD124" s="29">
        <f>SUMIF('2014 IESO persistence table'!$E:$E, "HAP", '2014 IESO persistence table'!BJ:BJ)/1000</f>
        <v>4.922115719411522E-3</v>
      </c>
      <c r="AE124" s="29">
        <f>SUMIF('2014 IESO persistence table'!$E:$E, "HAP", '2014 IESO persistence table'!BK:BK)/1000</f>
        <v>4.1974844858050347E-3</v>
      </c>
      <c r="AF124" s="29">
        <f>SUMIF('2014 IESO persistence table'!$E:$E, "HAP", '2014 IESO persistence table'!BL:BL)/1000</f>
        <v>4.1974844858050347E-3</v>
      </c>
      <c r="AG124" s="29">
        <f>SUMIF('2014 IESO persistence table'!$E:$E, "HAP", '2014 IESO persistence table'!BM:BM)/1000</f>
        <v>4.1974844858050347E-3</v>
      </c>
      <c r="AH124" s="29">
        <f>SUMIF('2014 IESO persistence table'!$E:$E, "HAP", '2014 IESO persistence table'!BN:BN)/1000</f>
        <v>4.1974844858050347E-3</v>
      </c>
      <c r="AI124" s="29">
        <f>SUMIF('2014 IESO persistence table'!$E:$E, "HAP", '2014 IESO persistence table'!BO:BO)/1000</f>
        <v>4.1974844858050347E-3</v>
      </c>
      <c r="AJ124" s="29">
        <f>SUMIF('2014 IESO persistence table'!$E:$E, "HAP", '2014 IESO persistence table'!BP:BP)/1000</f>
        <v>3.4360000491142273E-4</v>
      </c>
      <c r="AK124" s="29">
        <f>SUMIF('2014 IESO persistence table'!$E:$E, "HAP", '2014 IESO persistence table'!BQ:BQ)/1000</f>
        <v>0</v>
      </c>
      <c r="AL124" s="29">
        <f>SUMIF('2014 IESO persistence table'!$E:$E, "HAP", '2014 IESO persistence table'!BR:BR)/1000</f>
        <v>0</v>
      </c>
    </row>
    <row r="125" spans="1:40" ht="15.5">
      <c r="A125" s="29" t="s">
        <v>456</v>
      </c>
      <c r="B125" s="31" t="s">
        <v>15</v>
      </c>
      <c r="C125" s="31" t="s">
        <v>25</v>
      </c>
      <c r="D125" s="31" t="s">
        <v>3</v>
      </c>
      <c r="E125" s="29"/>
      <c r="F125" s="29">
        <v>2014</v>
      </c>
      <c r="G125" s="29" t="s">
        <v>17</v>
      </c>
      <c r="H125" s="29"/>
      <c r="I125" s="29"/>
      <c r="J125" s="29"/>
      <c r="K125" s="29"/>
      <c r="L125" s="29"/>
      <c r="M125" s="29">
        <f>SUMIF('2014 IESO persistence table'!$E:$E, "HVAC", '2014 IESO persistence table'!AS:AS)/1000</f>
        <v>0</v>
      </c>
      <c r="N125" s="29">
        <f>SUMIF('2014 IESO persistence table'!$E:$E, "HVAC", '2014 IESO persistence table'!AT:AT)/1000</f>
        <v>0</v>
      </c>
      <c r="O125" s="29">
        <f>SUMIF('2014 IESO persistence table'!$E:$E, "HVAC", '2014 IESO persistence table'!AU:AU)/1000</f>
        <v>3.2433412514891284E-3</v>
      </c>
      <c r="P125" s="29">
        <f>SUMIF('2014 IESO persistence table'!$E:$E, "HVAC", '2014 IESO persistence table'!AV:AV)/1000</f>
        <v>6.8705910576037116E-2</v>
      </c>
      <c r="Q125" s="29">
        <f>SUMIF('2014 IESO persistence table'!$E:$E, "HVAC", '2014 IESO persistence table'!AW:AW)/1000</f>
        <v>6.8705910576037116E-2</v>
      </c>
      <c r="R125" s="29">
        <f>SUMIF('2014 IESO persistence table'!$E:$E, "HVAC", '2014 IESO persistence table'!AX:AX)/1000</f>
        <v>6.8705910576037116E-2</v>
      </c>
      <c r="S125" s="29">
        <f>SUMIF('2014 IESO persistence table'!$E:$E, "HVAC", '2014 IESO persistence table'!AY:AY)/1000</f>
        <v>6.8705910576037116E-2</v>
      </c>
      <c r="T125" s="29">
        <f>SUMIF('2014 IESO persistence table'!$E:$E, "HVAC", '2014 IESO persistence table'!AZ:AZ)/1000</f>
        <v>6.8705910576037116E-2</v>
      </c>
      <c r="U125" s="29">
        <f>SUMIF('2014 IESO persistence table'!$E:$E, "HVAC", '2014 IESO persistence table'!BA:BA)/1000</f>
        <v>6.8705910576037116E-2</v>
      </c>
      <c r="V125" s="29">
        <f>SUMIF('2014 IESO persistence table'!$E:$E, "HVAC", '2014 IESO persistence table'!BB:BB)/1000</f>
        <v>6.8705910576037116E-2</v>
      </c>
      <c r="W125" s="29">
        <f>SUMIF('2014 IESO persistence table'!$E:$E, "HVAC", '2014 IESO persistence table'!BC:BC)/1000</f>
        <v>6.8705910576037116E-2</v>
      </c>
      <c r="X125" s="29">
        <f>SUMIF('2014 IESO persistence table'!$E:$E, "HVAC", '2014 IESO persistence table'!BD:BD)/1000</f>
        <v>6.8705910576037116E-2</v>
      </c>
      <c r="Y125" s="29">
        <f>SUMIF('2014 IESO persistence table'!$E:$E, "HVAC", '2014 IESO persistence table'!BE:BE)/1000</f>
        <v>6.8705910576037116E-2</v>
      </c>
      <c r="Z125" s="29">
        <f>SUMIF('2014 IESO persistence table'!$E:$E, "HVAC", '2014 IESO persistence table'!BF:BF)/1000</f>
        <v>6.8705910576037116E-2</v>
      </c>
      <c r="AA125" s="29">
        <f>SUMIF('2014 IESO persistence table'!$E:$E, "HVAC", '2014 IESO persistence table'!BG:BG)/1000</f>
        <v>6.8705910576037116E-2</v>
      </c>
      <c r="AB125" s="29">
        <f>SUMIF('2014 IESO persistence table'!$E:$E, "HVAC", '2014 IESO persistence table'!BH:BH)/1000</f>
        <v>6.8705910576037116E-2</v>
      </c>
      <c r="AC125" s="29">
        <f>SUMIF('2014 IESO persistence table'!$E:$E, "HVAC", '2014 IESO persistence table'!BI:BI)/1000</f>
        <v>6.8705910576037116E-2</v>
      </c>
      <c r="AD125" s="29">
        <f>SUMIF('2014 IESO persistence table'!$E:$E, "HVAC", '2014 IESO persistence table'!BJ:BJ)/1000</f>
        <v>6.8705910576037116E-2</v>
      </c>
      <c r="AE125" s="29">
        <f>SUMIF('2014 IESO persistence table'!$E:$E, "HVAC", '2014 IESO persistence table'!BK:BK)/1000</f>
        <v>6.8705910576037116E-2</v>
      </c>
      <c r="AF125" s="29">
        <f>SUMIF('2014 IESO persistence table'!$E:$E, "HVAC", '2014 IESO persistence table'!BL:BL)/1000</f>
        <v>6.8705910576037116E-2</v>
      </c>
      <c r="AG125" s="29">
        <f>SUMIF('2014 IESO persistence table'!$E:$E, "HVAC", '2014 IESO persistence table'!BM:BM)/1000</f>
        <v>6.8091939106254926E-2</v>
      </c>
      <c r="AH125" s="29">
        <f>SUMIF('2014 IESO persistence table'!$E:$E, "HVAC", '2014 IESO persistence table'!BN:BN)/1000</f>
        <v>6.0973651706244164E-2</v>
      </c>
      <c r="AI125" s="29">
        <f>SUMIF('2014 IESO persistence table'!$E:$E, "HVAC", '2014 IESO persistence table'!BO:BO)/1000</f>
        <v>0</v>
      </c>
      <c r="AJ125" s="29">
        <f>SUMIF('2014 IESO persistence table'!$E:$E, "HVAC", '2014 IESO persistence table'!BP:BP)/1000</f>
        <v>0</v>
      </c>
      <c r="AK125" s="29">
        <f>SUMIF('2014 IESO persistence table'!$E:$E, "HVAC", '2014 IESO persistence table'!BQ:BQ)/1000</f>
        <v>0</v>
      </c>
      <c r="AL125" s="29">
        <f>SUMIF('2014 IESO persistence table'!$E:$E, "HVAC", '2014 IESO persistence table'!BR:BR)/1000</f>
        <v>0</v>
      </c>
    </row>
    <row r="126" spans="1:40" ht="15.5">
      <c r="A126" s="29" t="s">
        <v>456</v>
      </c>
      <c r="B126" s="29" t="s">
        <v>15</v>
      </c>
      <c r="C126" s="29" t="s">
        <v>124</v>
      </c>
      <c r="D126" s="31" t="s">
        <v>3</v>
      </c>
      <c r="E126" s="29"/>
      <c r="F126" s="29">
        <v>2014</v>
      </c>
      <c r="G126" s="29" t="s">
        <v>17</v>
      </c>
      <c r="H126" s="29"/>
      <c r="I126" s="29"/>
      <c r="J126" s="29"/>
      <c r="K126" s="29"/>
      <c r="L126" s="29"/>
      <c r="M126" s="29">
        <f>SUMIF('2014 IESO persistence table'!$E:$E, "Program Enabled Savings", '2014 IESO persistence table'!AS:AS)/1000</f>
        <v>0</v>
      </c>
      <c r="N126" s="29">
        <f>SUMIF('2014 IESO persistence table'!$E:$E, "Program Enabled Savings", '2014 IESO persistence table'!AT:AT)/1000</f>
        <v>0</v>
      </c>
      <c r="O126" s="29">
        <f>SUMIF('2014 IESO persistence table'!$E:$E, "Program Enabled Savings", '2014 IESO persistence table'!AU:AU)/1000</f>
        <v>0</v>
      </c>
      <c r="P126" s="29">
        <f>SUMIF('2014 IESO persistence table'!$E:$E, "Program Enabled Savings", '2014 IESO persistence table'!AV:AV)/1000</f>
        <v>0</v>
      </c>
      <c r="Q126" s="29">
        <f>SUMIF('2014 IESO persistence table'!$E:$E, "Program Enabled Savings", '2014 IESO persistence table'!AW:AW)/1000</f>
        <v>0</v>
      </c>
      <c r="R126" s="29">
        <f>SUMIF('2014 IESO persistence table'!$E:$E, "Program Enabled Savings", '2014 IESO persistence table'!AX:AX)/1000</f>
        <v>0</v>
      </c>
      <c r="S126" s="29">
        <f>SUMIF('2014 IESO persistence table'!$E:$E, "Program Enabled Savings", '2014 IESO persistence table'!AY:AY)/1000</f>
        <v>0</v>
      </c>
      <c r="T126" s="29">
        <f>SUMIF('2014 IESO persistence table'!$E:$E, "Program Enabled Savings", '2014 IESO persistence table'!AZ:AZ)/1000</f>
        <v>0</v>
      </c>
      <c r="U126" s="29">
        <f>SUMIF('2014 IESO persistence table'!$E:$E, "Program Enabled Savings", '2014 IESO persistence table'!BA:BA)/1000</f>
        <v>0</v>
      </c>
      <c r="V126" s="29">
        <f>SUMIF('2014 IESO persistence table'!$E:$E, "Program Enabled Savings", '2014 IESO persistence table'!BB:BB)/1000</f>
        <v>0</v>
      </c>
      <c r="W126" s="29">
        <f>SUMIF('2014 IESO persistence table'!$E:$E, "Program Enabled Savings", '2014 IESO persistence table'!BC:BC)/1000</f>
        <v>0</v>
      </c>
      <c r="X126" s="29">
        <f>SUMIF('2014 IESO persistence table'!$E:$E, "Program Enabled Savings", '2014 IESO persistence table'!BD:BD)/1000</f>
        <v>0</v>
      </c>
      <c r="Y126" s="29">
        <f>SUMIF('2014 IESO persistence table'!$E:$E, "Program Enabled Savings", '2014 IESO persistence table'!BE:BE)/1000</f>
        <v>0</v>
      </c>
      <c r="Z126" s="29">
        <f>SUMIF('2014 IESO persistence table'!$E:$E, "Program Enabled Savings", '2014 IESO persistence table'!BF:BF)/1000</f>
        <v>0</v>
      </c>
      <c r="AA126" s="29">
        <f>SUMIF('2014 IESO persistence table'!$E:$E, "Program Enabled Savings", '2014 IESO persistence table'!BG:BG)/1000</f>
        <v>0</v>
      </c>
      <c r="AB126" s="29">
        <f>SUMIF('2014 IESO persistence table'!$E:$E, "Program Enabled Savings", '2014 IESO persistence table'!BH:BH)/1000</f>
        <v>0</v>
      </c>
      <c r="AC126" s="29">
        <f>SUMIF('2014 IESO persistence table'!$E:$E, "Program Enabled Savings", '2014 IESO persistence table'!BI:BI)/1000</f>
        <v>0</v>
      </c>
      <c r="AD126" s="29">
        <f>SUMIF('2014 IESO persistence table'!$E:$E, "Program Enabled Savings", '2014 IESO persistence table'!BJ:BJ)/1000</f>
        <v>0</v>
      </c>
      <c r="AE126" s="29">
        <f>SUMIF('2014 IESO persistence table'!$E:$E, "Program Enabled Savings", '2014 IESO persistence table'!BK:BK)/1000</f>
        <v>0</v>
      </c>
      <c r="AF126" s="29">
        <f>SUMIF('2014 IESO persistence table'!$E:$E, "Program Enabled Savings", '2014 IESO persistence table'!BL:BL)/1000</f>
        <v>0</v>
      </c>
      <c r="AG126" s="29">
        <f>SUMIF('2014 IESO persistence table'!$E:$E, "Program Enabled Savings", '2014 IESO persistence table'!BM:BM)/1000</f>
        <v>0</v>
      </c>
      <c r="AH126" s="29">
        <f>SUMIF('2014 IESO persistence table'!$E:$E, "Program Enabled Savings", '2014 IESO persistence table'!BN:BN)/1000</f>
        <v>0</v>
      </c>
      <c r="AI126" s="29">
        <f>SUMIF('2014 IESO persistence table'!$E:$E, "Program Enabled Savings", '2014 IESO persistence table'!BO:BO)/1000</f>
        <v>0</v>
      </c>
      <c r="AJ126" s="29">
        <f>SUMIF('2014 IESO persistence table'!$E:$E, "Program Enabled Savings", '2014 IESO persistence table'!BP:BP)/1000</f>
        <v>0</v>
      </c>
      <c r="AK126" s="29">
        <f>SUMIF('2014 IESO persistence table'!$E:$E, "Program Enabled Savings", '2014 IESO persistence table'!BQ:BQ)/1000</f>
        <v>0</v>
      </c>
      <c r="AL126" s="29">
        <f>SUMIF('2014 IESO persistence table'!$E:$E, "Program Enabled Savings", '2014 IESO persistence table'!BR:BR)/1000</f>
        <v>0</v>
      </c>
    </row>
    <row r="127" spans="1:40" ht="15.5">
      <c r="A127" s="29" t="s">
        <v>468</v>
      </c>
      <c r="B127" s="29" t="s">
        <v>1</v>
      </c>
      <c r="C127" s="29" t="s">
        <v>12</v>
      </c>
      <c r="D127" s="31" t="s">
        <v>3</v>
      </c>
      <c r="E127" s="29"/>
      <c r="F127" s="29" t="s">
        <v>481</v>
      </c>
      <c r="G127" s="29" t="s">
        <v>471</v>
      </c>
      <c r="H127" s="29"/>
      <c r="I127" s="29"/>
      <c r="J127" s="29"/>
      <c r="K127" s="29"/>
      <c r="L127" s="29"/>
      <c r="M127" s="29"/>
      <c r="N127" s="29"/>
      <c r="O127" s="29"/>
      <c r="P127" s="432"/>
      <c r="Q127" s="29">
        <v>0.4397411982388944</v>
      </c>
      <c r="R127" s="29">
        <v>0.95046664476836518</v>
      </c>
      <c r="S127" s="29">
        <v>1.5250063535209557</v>
      </c>
      <c r="T127" s="29">
        <v>2.1802734475058538</v>
      </c>
      <c r="U127" s="29">
        <v>2.91626792672306</v>
      </c>
      <c r="V127" s="29">
        <v>3.732989791172574</v>
      </c>
      <c r="W127" s="29">
        <v>3.732989791172574</v>
      </c>
      <c r="X127" s="29">
        <v>3.732989791172574</v>
      </c>
      <c r="Y127" s="29">
        <v>3.732989791172574</v>
      </c>
      <c r="Z127" s="29">
        <v>3.732989791172574</v>
      </c>
      <c r="AA127" s="29">
        <v>3.6817899551084823</v>
      </c>
      <c r="AB127" s="29">
        <v>3.1053631752938946</v>
      </c>
      <c r="AC127" s="29">
        <v>2.7424335843601928</v>
      </c>
      <c r="AD127" s="29">
        <v>2.3562174601787427</v>
      </c>
      <c r="AE127" s="29">
        <v>1.9298016797403545</v>
      </c>
      <c r="AF127" s="29">
        <v>1.5997191392159402</v>
      </c>
      <c r="AG127" s="29">
        <v>1.3460222940781166</v>
      </c>
      <c r="AH127" s="29">
        <v>1.1578732932132343</v>
      </c>
      <c r="AI127" s="29">
        <v>0.92919656337298129</v>
      </c>
      <c r="AJ127" s="29">
        <v>0.65999210455735791</v>
      </c>
      <c r="AK127" s="29">
        <v>0.3502599167663642</v>
      </c>
      <c r="AL127" s="29">
        <v>0</v>
      </c>
    </row>
    <row r="128" spans="1:40" ht="15.5">
      <c r="A128" s="29" t="s">
        <v>468</v>
      </c>
      <c r="B128" s="29" t="s">
        <v>15</v>
      </c>
      <c r="C128" s="29" t="s">
        <v>241</v>
      </c>
      <c r="D128" s="31" t="s">
        <v>3</v>
      </c>
      <c r="E128" s="29"/>
      <c r="F128" s="29" t="s">
        <v>481</v>
      </c>
      <c r="G128" s="29" t="s">
        <v>17</v>
      </c>
      <c r="H128" s="29"/>
      <c r="I128" s="29"/>
      <c r="J128" s="29"/>
      <c r="K128" s="29"/>
      <c r="L128" s="29"/>
      <c r="M128" s="29"/>
      <c r="N128" s="29"/>
      <c r="O128" s="29"/>
      <c r="P128" s="432"/>
      <c r="Q128" s="29">
        <v>7.6181012294899583E-2</v>
      </c>
      <c r="R128" s="29">
        <v>0.12398979831807605</v>
      </c>
      <c r="S128" s="29">
        <v>0.13461209392625403</v>
      </c>
      <c r="T128" s="29">
        <v>0.14523438953443205</v>
      </c>
      <c r="U128" s="29">
        <v>0.15585668514261003</v>
      </c>
      <c r="V128" s="29">
        <v>0.16647898075078801</v>
      </c>
      <c r="W128" s="29">
        <v>0.16647898075078801</v>
      </c>
      <c r="X128" s="29">
        <v>0.16647898075078801</v>
      </c>
      <c r="Y128" s="29">
        <v>0.16647898075078801</v>
      </c>
      <c r="Z128" s="29">
        <v>0.16647898075078801</v>
      </c>
      <c r="AA128" s="29">
        <v>0.16647898075078801</v>
      </c>
      <c r="AB128" s="29">
        <v>0.16647898075078801</v>
      </c>
      <c r="AC128" s="29">
        <v>0.16647898075078801</v>
      </c>
      <c r="AD128" s="29">
        <v>0.16647898075078801</v>
      </c>
      <c r="AE128" s="29">
        <v>0.16647898075078801</v>
      </c>
      <c r="AF128" s="29">
        <v>0.16647898075078801</v>
      </c>
      <c r="AG128" s="29">
        <v>0.16647898075078801</v>
      </c>
      <c r="AH128" s="29">
        <v>0.16647898075078801</v>
      </c>
      <c r="AI128" s="29">
        <v>0.12748445887088691</v>
      </c>
      <c r="AJ128" s="29">
        <v>8.380750511604361E-2</v>
      </c>
      <c r="AK128" s="29">
        <v>3.5998719092867164E-2</v>
      </c>
      <c r="AL128" s="29">
        <v>2.5376423484689162E-2</v>
      </c>
    </row>
    <row r="129" spans="1:38" ht="15.5">
      <c r="A129" s="29" t="s">
        <v>468</v>
      </c>
      <c r="B129" s="29" t="s">
        <v>15</v>
      </c>
      <c r="C129" s="29" t="s">
        <v>412</v>
      </c>
      <c r="D129" s="31" t="s">
        <v>3</v>
      </c>
      <c r="E129" s="29"/>
      <c r="F129" s="29" t="s">
        <v>481</v>
      </c>
      <c r="G129" s="29" t="s">
        <v>17</v>
      </c>
      <c r="H129" s="29"/>
      <c r="I129" s="29"/>
      <c r="J129" s="29"/>
      <c r="K129" s="29"/>
      <c r="L129" s="29"/>
      <c r="M129" s="29"/>
      <c r="N129" s="29"/>
      <c r="O129" s="29"/>
      <c r="P129" s="432"/>
      <c r="Q129" s="29">
        <v>1.7720404723722962E-2</v>
      </c>
      <c r="R129" s="29">
        <v>1.8311084881180391E-2</v>
      </c>
      <c r="S129" s="29">
        <v>1.8901765038637823E-2</v>
      </c>
      <c r="T129" s="29">
        <v>1.9492445196095255E-2</v>
      </c>
      <c r="U129" s="29">
        <v>2.0083125353552684E-2</v>
      </c>
      <c r="V129" s="29">
        <v>2.0673805511010116E-2</v>
      </c>
      <c r="W129" s="29">
        <v>2.0673805511010116E-2</v>
      </c>
      <c r="X129" s="29">
        <v>2.0673805511010116E-2</v>
      </c>
      <c r="Y129" s="29">
        <v>2.0673805511010116E-2</v>
      </c>
      <c r="Z129" s="29">
        <v>2.0673805511010116E-2</v>
      </c>
      <c r="AA129" s="29">
        <v>2.9534007872871601E-3</v>
      </c>
      <c r="AB129" s="29">
        <v>2.3627206298297283E-3</v>
      </c>
      <c r="AC129" s="29">
        <v>1.7720404723722961E-3</v>
      </c>
      <c r="AD129" s="29">
        <v>1.1813603149148642E-3</v>
      </c>
      <c r="AE129" s="29">
        <v>5.9068015745743208E-4</v>
      </c>
      <c r="AF129" s="29">
        <v>0</v>
      </c>
      <c r="AG129" s="29">
        <v>0</v>
      </c>
      <c r="AH129" s="29">
        <v>0</v>
      </c>
      <c r="AI129" s="29">
        <v>0</v>
      </c>
      <c r="AJ129" s="29">
        <v>0</v>
      </c>
      <c r="AK129" s="29">
        <v>0</v>
      </c>
      <c r="AL129" s="29">
        <v>0</v>
      </c>
    </row>
    <row r="130" spans="1:38" ht="15.5">
      <c r="A130" s="29" t="s">
        <v>468</v>
      </c>
      <c r="B130" s="29" t="s">
        <v>15</v>
      </c>
      <c r="C130" s="29" t="s">
        <v>23</v>
      </c>
      <c r="D130" s="31" t="s">
        <v>3</v>
      </c>
      <c r="E130" s="29"/>
      <c r="F130" s="29" t="s">
        <v>481</v>
      </c>
      <c r="G130" s="29" t="s">
        <v>17</v>
      </c>
      <c r="H130" s="29"/>
      <c r="I130" s="29"/>
      <c r="J130" s="29"/>
      <c r="K130" s="29"/>
      <c r="L130" s="29"/>
      <c r="M130" s="29"/>
      <c r="N130" s="29"/>
      <c r="O130" s="29"/>
      <c r="P130" s="432"/>
      <c r="Q130" s="29">
        <v>3.6634248921356694E-2</v>
      </c>
      <c r="R130" s="29">
        <v>7.3268497842713387E-2</v>
      </c>
      <c r="S130" s="29">
        <v>0.10990274676407009</v>
      </c>
      <c r="T130" s="29">
        <v>0.14653699568542677</v>
      </c>
      <c r="U130" s="29">
        <v>0.1831712446067835</v>
      </c>
      <c r="V130" s="29">
        <v>0.21980549352814019</v>
      </c>
      <c r="W130" s="29">
        <v>0.21980549352814019</v>
      </c>
      <c r="X130" s="29">
        <v>0.21980549352814019</v>
      </c>
      <c r="Y130" s="29">
        <v>0.21980549352814019</v>
      </c>
      <c r="Z130" s="29">
        <v>0.1831712446067835</v>
      </c>
      <c r="AA130" s="29">
        <v>0.14653699568542677</v>
      </c>
      <c r="AB130" s="29">
        <v>0.10990274676407009</v>
      </c>
      <c r="AC130" s="29">
        <v>7.3268497842713387E-2</v>
      </c>
      <c r="AD130" s="29">
        <v>3.6634248921356694E-2</v>
      </c>
      <c r="AE130" s="29">
        <v>0</v>
      </c>
      <c r="AF130" s="29">
        <v>0</v>
      </c>
      <c r="AG130" s="29">
        <v>0</v>
      </c>
      <c r="AH130" s="29">
        <v>0</v>
      </c>
      <c r="AI130" s="29">
        <v>0</v>
      </c>
      <c r="AJ130" s="29">
        <v>0</v>
      </c>
      <c r="AK130" s="29">
        <v>0</v>
      </c>
      <c r="AL130" s="29">
        <v>0</v>
      </c>
    </row>
    <row r="131" spans="1:38" ht="15.5">
      <c r="A131" s="29" t="s">
        <v>468</v>
      </c>
      <c r="B131" s="29" t="s">
        <v>1</v>
      </c>
      <c r="C131" s="29" t="s">
        <v>469</v>
      </c>
      <c r="D131" s="31" t="s">
        <v>3</v>
      </c>
      <c r="E131" s="29"/>
      <c r="F131" s="29" t="s">
        <v>481</v>
      </c>
      <c r="G131" s="29" t="s">
        <v>472</v>
      </c>
      <c r="H131" s="29"/>
      <c r="I131" s="29"/>
      <c r="J131" s="29"/>
      <c r="K131" s="29"/>
      <c r="L131" s="29"/>
      <c r="M131" s="29"/>
      <c r="N131" s="29"/>
      <c r="O131" s="29"/>
      <c r="P131" s="432"/>
      <c r="Q131" s="29">
        <v>0.11569634489222118</v>
      </c>
      <c r="R131" s="29">
        <v>0.23139296702899312</v>
      </c>
      <c r="S131" s="29">
        <v>0.3576074639054716</v>
      </c>
      <c r="T131" s="29">
        <v>0.49433983552165661</v>
      </c>
      <c r="U131" s="29">
        <v>0.64159008187754818</v>
      </c>
      <c r="V131" s="29">
        <v>0.79935820297314641</v>
      </c>
      <c r="W131" s="29">
        <v>0.79935820297314641</v>
      </c>
      <c r="X131" s="29">
        <v>0.79935820297314641</v>
      </c>
      <c r="Y131" s="29">
        <v>0.79935820297314641</v>
      </c>
      <c r="Z131" s="29">
        <v>0.68366185808092528</v>
      </c>
      <c r="AA131" s="29">
        <v>0.56796523594415327</v>
      </c>
      <c r="AB131" s="29">
        <v>0.44175073906767481</v>
      </c>
      <c r="AC131" s="29">
        <v>0.30501836745148975</v>
      </c>
      <c r="AD131" s="29">
        <v>0.15776812109559812</v>
      </c>
      <c r="AE131" s="29">
        <v>0</v>
      </c>
      <c r="AF131" s="29">
        <v>0</v>
      </c>
      <c r="AG131" s="29">
        <v>0</v>
      </c>
      <c r="AH131" s="29">
        <v>0</v>
      </c>
      <c r="AI131" s="29">
        <v>0</v>
      </c>
      <c r="AJ131" s="29">
        <v>0</v>
      </c>
      <c r="AK131" s="29">
        <v>0</v>
      </c>
      <c r="AL131" s="29">
        <v>0</v>
      </c>
    </row>
    <row r="132" spans="1:38" ht="15.5">
      <c r="A132" s="29" t="s">
        <v>468</v>
      </c>
      <c r="B132" s="29" t="s">
        <v>1</v>
      </c>
      <c r="C132" s="29" t="s">
        <v>151</v>
      </c>
      <c r="D132" s="31" t="s">
        <v>3</v>
      </c>
      <c r="E132" s="29"/>
      <c r="F132" s="29" t="s">
        <v>481</v>
      </c>
      <c r="G132" s="29" t="s">
        <v>473</v>
      </c>
      <c r="H132" s="29"/>
      <c r="I132" s="29"/>
      <c r="J132" s="29"/>
      <c r="K132" s="29"/>
      <c r="L132" s="29"/>
      <c r="M132" s="29"/>
      <c r="N132" s="29"/>
      <c r="O132" s="29"/>
      <c r="P132" s="432"/>
      <c r="Q132" s="29">
        <v>1.9207617595385685E-2</v>
      </c>
      <c r="R132" s="29">
        <v>5.5793555872310802E-2</v>
      </c>
      <c r="S132" s="29">
        <v>9.2379494149235922E-2</v>
      </c>
      <c r="T132" s="29">
        <v>0.12896543242616104</v>
      </c>
      <c r="U132" s="29">
        <v>0.16555137070308618</v>
      </c>
      <c r="V132" s="29">
        <v>0.20213730898001131</v>
      </c>
      <c r="W132" s="29">
        <v>0.20213730898001131</v>
      </c>
      <c r="X132" s="29">
        <v>0.20213730898001131</v>
      </c>
      <c r="Y132" s="29">
        <v>0.20213730898001131</v>
      </c>
      <c r="Z132" s="29">
        <v>0.20213730898001131</v>
      </c>
      <c r="AA132" s="29">
        <v>0.20213730898001131</v>
      </c>
      <c r="AB132" s="29">
        <v>0.20213730898001131</v>
      </c>
      <c r="AC132" s="29">
        <v>0.20213730898001131</v>
      </c>
      <c r="AD132" s="29">
        <v>0.20213730898001131</v>
      </c>
      <c r="AE132" s="29">
        <v>0.18292969138462561</v>
      </c>
      <c r="AF132" s="29">
        <v>0.14634375310770048</v>
      </c>
      <c r="AG132" s="29">
        <v>0.10975781483077536</v>
      </c>
      <c r="AH132" s="29">
        <v>7.317187655385024E-2</v>
      </c>
      <c r="AI132" s="29">
        <v>3.658593827692512E-2</v>
      </c>
      <c r="AJ132" s="29">
        <v>0</v>
      </c>
      <c r="AK132" s="29">
        <v>0</v>
      </c>
      <c r="AL132" s="29">
        <v>0</v>
      </c>
    </row>
    <row r="133" spans="1:38" ht="15.5">
      <c r="A133" s="29" t="s">
        <v>468</v>
      </c>
      <c r="B133" s="29" t="s">
        <v>1</v>
      </c>
      <c r="C133" s="29" t="s">
        <v>6</v>
      </c>
      <c r="D133" s="31" t="s">
        <v>3</v>
      </c>
      <c r="E133" s="29"/>
      <c r="F133" s="29" t="s">
        <v>481</v>
      </c>
      <c r="G133" s="29" t="s">
        <v>474</v>
      </c>
      <c r="H133" s="29"/>
      <c r="I133" s="29"/>
      <c r="J133" s="29"/>
      <c r="K133" s="29"/>
      <c r="L133" s="29"/>
      <c r="M133" s="29"/>
      <c r="N133" s="29"/>
      <c r="O133" s="29"/>
      <c r="P133" s="432"/>
      <c r="Q133" s="29">
        <v>1.7515828554380618E-2</v>
      </c>
      <c r="R133" s="29">
        <v>4.4054962727684582E-2</v>
      </c>
      <c r="S133" s="29">
        <v>7.0594096900988543E-2</v>
      </c>
      <c r="T133" s="29">
        <v>9.7133231074292517E-2</v>
      </c>
      <c r="U133" s="29">
        <v>0.10615653669321586</v>
      </c>
      <c r="V133" s="29">
        <v>0.10615653669321586</v>
      </c>
      <c r="W133" s="29">
        <v>7.9617402519911895E-2</v>
      </c>
      <c r="X133" s="29">
        <v>5.3078268346607928E-2</v>
      </c>
      <c r="Y133" s="29">
        <v>2.6539134173303964E-2</v>
      </c>
      <c r="Z133" s="29">
        <v>0</v>
      </c>
      <c r="AA133" s="29">
        <v>0</v>
      </c>
      <c r="AB133" s="29">
        <v>0</v>
      </c>
      <c r="AC133" s="29">
        <v>0</v>
      </c>
      <c r="AD133" s="29">
        <v>0</v>
      </c>
      <c r="AE133" s="29">
        <v>0</v>
      </c>
      <c r="AF133" s="29">
        <v>0</v>
      </c>
      <c r="AG133" s="29">
        <v>0</v>
      </c>
      <c r="AH133" s="29">
        <v>0</v>
      </c>
      <c r="AI133" s="29">
        <v>0</v>
      </c>
      <c r="AJ133" s="29">
        <v>0</v>
      </c>
      <c r="AK133" s="29">
        <v>0</v>
      </c>
      <c r="AL133" s="29">
        <v>0</v>
      </c>
    </row>
    <row r="134" spans="1:38" ht="15.5">
      <c r="A134" s="29" t="s">
        <v>468</v>
      </c>
      <c r="B134" s="29" t="s">
        <v>1</v>
      </c>
      <c r="C134" s="29" t="s">
        <v>478</v>
      </c>
      <c r="D134" s="31" t="s">
        <v>3</v>
      </c>
      <c r="E134" s="29"/>
      <c r="F134" s="29" t="s">
        <v>481</v>
      </c>
      <c r="G134" s="29" t="s">
        <v>57</v>
      </c>
      <c r="H134" s="29"/>
      <c r="I134" s="29"/>
      <c r="J134" s="29"/>
      <c r="K134" s="29"/>
      <c r="L134" s="29"/>
      <c r="M134" s="29"/>
      <c r="N134" s="29"/>
      <c r="O134" s="29"/>
      <c r="P134" s="432"/>
      <c r="Q134" s="29">
        <v>1.1435669721379271E-2</v>
      </c>
      <c r="R134" s="29">
        <v>1.1435669721379271E-2</v>
      </c>
      <c r="S134" s="29">
        <v>1.1435669721379271E-2</v>
      </c>
      <c r="T134" s="29">
        <v>1.1435669721379271E-2</v>
      </c>
      <c r="U134" s="29">
        <v>1.1435669721379271E-2</v>
      </c>
      <c r="V134" s="29">
        <v>1.1435669721379271E-2</v>
      </c>
      <c r="W134" s="29">
        <v>1.1435669721379271E-2</v>
      </c>
      <c r="X134" s="29">
        <v>1.1435669721379271E-2</v>
      </c>
      <c r="Y134" s="29">
        <v>1.1435669721379271E-2</v>
      </c>
      <c r="Z134" s="29">
        <v>1.1435669721379271E-2</v>
      </c>
      <c r="AA134" s="29">
        <v>0</v>
      </c>
      <c r="AB134" s="29">
        <v>0</v>
      </c>
      <c r="AC134" s="29">
        <v>0</v>
      </c>
      <c r="AD134" s="29">
        <v>0</v>
      </c>
      <c r="AE134" s="29">
        <v>0</v>
      </c>
      <c r="AF134" s="29">
        <v>0</v>
      </c>
      <c r="AG134" s="29">
        <v>0</v>
      </c>
      <c r="AH134" s="29">
        <v>0</v>
      </c>
      <c r="AI134" s="29">
        <v>0</v>
      </c>
      <c r="AJ134" s="29">
        <v>0</v>
      </c>
      <c r="AK134" s="29">
        <v>0</v>
      </c>
      <c r="AL134" s="29">
        <v>0</v>
      </c>
    </row>
    <row r="135" spans="1:38" ht="15.5">
      <c r="A135" s="29" t="s">
        <v>468</v>
      </c>
      <c r="B135" s="29" t="s">
        <v>1</v>
      </c>
      <c r="C135" s="29" t="s">
        <v>470</v>
      </c>
      <c r="D135" s="31" t="s">
        <v>3</v>
      </c>
      <c r="E135" s="29"/>
      <c r="F135" s="29" t="s">
        <v>481</v>
      </c>
      <c r="G135" s="29" t="s">
        <v>57</v>
      </c>
      <c r="H135" s="29"/>
      <c r="I135" s="29"/>
      <c r="J135" s="29"/>
      <c r="K135" s="29"/>
      <c r="L135" s="29"/>
      <c r="M135" s="29"/>
      <c r="N135" s="29"/>
      <c r="O135" s="29"/>
      <c r="P135" s="432"/>
      <c r="Q135" s="29">
        <v>0</v>
      </c>
      <c r="R135" s="29">
        <v>0.2267680859377747</v>
      </c>
      <c r="S135" s="29">
        <v>0.4535361718755494</v>
      </c>
      <c r="T135" s="29">
        <v>0.68030425781332415</v>
      </c>
      <c r="U135" s="29">
        <v>0.85038032226665505</v>
      </c>
      <c r="V135" s="29">
        <v>1.0204563867199861</v>
      </c>
      <c r="W135" s="29">
        <v>1.0204563867199861</v>
      </c>
      <c r="X135" s="29">
        <v>1.0204563867199861</v>
      </c>
      <c r="Y135" s="29">
        <v>1.0204563867199861</v>
      </c>
      <c r="Z135" s="29">
        <v>1.0204563867199861</v>
      </c>
      <c r="AA135" s="29">
        <v>1.0204563867199861</v>
      </c>
      <c r="AB135" s="29">
        <v>1.0204563867199861</v>
      </c>
      <c r="AC135" s="29">
        <v>1.0204563867199861</v>
      </c>
      <c r="AD135" s="29">
        <v>1.0204563867199861</v>
      </c>
      <c r="AE135" s="29">
        <v>1.0204563867199861</v>
      </c>
      <c r="AF135" s="29">
        <v>1.0204563867199861</v>
      </c>
      <c r="AG135" s="29">
        <v>1.0204563867199861</v>
      </c>
      <c r="AH135" s="29">
        <v>1.0204563867199861</v>
      </c>
      <c r="AI135" s="29">
        <v>1.0204563867199861</v>
      </c>
      <c r="AJ135" s="29">
        <v>1.0204563867199861</v>
      </c>
      <c r="AK135" s="29">
        <v>1.0204563867199861</v>
      </c>
      <c r="AL135" s="29">
        <v>0.79368830078221142</v>
      </c>
    </row>
    <row r="136" spans="1:38" ht="15.5">
      <c r="A136" s="29" t="s">
        <v>468</v>
      </c>
      <c r="B136" s="29" t="s">
        <v>1</v>
      </c>
      <c r="C136" s="29" t="s">
        <v>470</v>
      </c>
      <c r="D136" s="31" t="s">
        <v>3</v>
      </c>
      <c r="E136" s="29"/>
      <c r="F136" s="29" t="s">
        <v>481</v>
      </c>
      <c r="G136" s="29" t="s">
        <v>570</v>
      </c>
      <c r="H136" s="29"/>
      <c r="I136" s="29"/>
      <c r="J136" s="29"/>
      <c r="K136" s="29"/>
      <c r="L136" s="29"/>
      <c r="M136" s="29"/>
      <c r="N136" s="29"/>
      <c r="O136" s="29"/>
      <c r="P136" s="432"/>
      <c r="Q136" s="29">
        <v>0</v>
      </c>
      <c r="R136" s="29">
        <v>0.2267680859377747</v>
      </c>
      <c r="S136" s="29">
        <v>0.4535361718755494</v>
      </c>
      <c r="T136" s="29">
        <v>0.68030425781332415</v>
      </c>
      <c r="U136" s="29">
        <v>0.85038032226665505</v>
      </c>
      <c r="V136" s="29">
        <v>1.0204563867199861</v>
      </c>
      <c r="W136" s="29">
        <v>1.0204563867199861</v>
      </c>
      <c r="X136" s="29">
        <v>1.0204563867199861</v>
      </c>
      <c r="Y136" s="29">
        <v>1.0204563867199861</v>
      </c>
      <c r="Z136" s="29">
        <v>1.0204563867199861</v>
      </c>
      <c r="AA136" s="29">
        <v>1.0204563867199861</v>
      </c>
      <c r="AB136" s="29">
        <v>1.0204563867199861</v>
      </c>
      <c r="AC136" s="29">
        <v>1.0204563867199861</v>
      </c>
      <c r="AD136" s="29">
        <v>1.0204563867199861</v>
      </c>
      <c r="AE136" s="29">
        <v>1.0204563867199861</v>
      </c>
      <c r="AF136" s="29">
        <v>1.0204563867199861</v>
      </c>
      <c r="AG136" s="29">
        <v>1.0204563867199861</v>
      </c>
      <c r="AH136" s="29">
        <v>1.0204563867199861</v>
      </c>
      <c r="AI136" s="29">
        <v>1.0204563867199861</v>
      </c>
      <c r="AJ136" s="29">
        <v>1.0204563867199861</v>
      </c>
      <c r="AK136" s="29">
        <v>1.0204563867199861</v>
      </c>
      <c r="AL136" s="29">
        <v>0.79368830078221142</v>
      </c>
    </row>
    <row r="137" spans="1:38" ht="15.5">
      <c r="A137" s="29" t="s">
        <v>468</v>
      </c>
      <c r="B137" s="29" t="s">
        <v>1</v>
      </c>
      <c r="C137" s="460" t="s">
        <v>479</v>
      </c>
      <c r="D137" s="31" t="s">
        <v>3</v>
      </c>
      <c r="E137" s="29"/>
      <c r="F137" s="29" t="s">
        <v>481</v>
      </c>
      <c r="G137" s="29" t="s">
        <v>128</v>
      </c>
      <c r="H137" s="29"/>
      <c r="I137" s="29"/>
      <c r="J137" s="29"/>
      <c r="K137" s="29"/>
      <c r="L137" s="29"/>
      <c r="M137" s="29"/>
      <c r="N137" s="29"/>
      <c r="O137" s="29"/>
      <c r="P137" s="432"/>
      <c r="Q137" s="29">
        <v>0</v>
      </c>
      <c r="R137" s="29">
        <v>0.86001497924181647</v>
      </c>
      <c r="S137" s="29">
        <v>1.1605443837386027</v>
      </c>
      <c r="T137" s="29">
        <v>1.1605443837386027</v>
      </c>
      <c r="U137" s="29">
        <v>1.1605443837386027</v>
      </c>
      <c r="V137" s="29">
        <v>1.1605443837386027</v>
      </c>
      <c r="W137" s="29">
        <v>1.1605443837386027</v>
      </c>
      <c r="X137" s="29">
        <v>1.1605443837386027</v>
      </c>
      <c r="Y137" s="29">
        <v>1.1605443837386027</v>
      </c>
      <c r="Z137" s="29">
        <v>1.1605443837386027</v>
      </c>
      <c r="AA137" s="29">
        <v>1.1605443837386027</v>
      </c>
      <c r="AB137" s="29">
        <v>1.1605443837386027</v>
      </c>
      <c r="AC137" s="29">
        <v>1.1605443837386027</v>
      </c>
      <c r="AD137" s="29">
        <v>1.1605443837386027</v>
      </c>
      <c r="AE137" s="29">
        <v>1.1605443837386027</v>
      </c>
      <c r="AF137" s="29">
        <v>1.1605443837386027</v>
      </c>
      <c r="AG137" s="29">
        <v>1.1605443837386027</v>
      </c>
      <c r="AH137" s="29">
        <v>0.86001497924181647</v>
      </c>
      <c r="AI137" s="29">
        <v>0.86001497924181647</v>
      </c>
      <c r="AJ137" s="29">
        <v>0.86001497924181647</v>
      </c>
      <c r="AK137" s="29">
        <v>0.86001497924181647</v>
      </c>
      <c r="AL137" s="29">
        <v>0</v>
      </c>
    </row>
  </sheetData>
  <autoFilter ref="A1:AL137"/>
  <pageMargins left="0.7" right="0.7" top="0.75" bottom="0.75" header="0.3" footer="0.3"/>
  <pageSetup scale="13"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95"/>
  <sheetViews>
    <sheetView zoomScaleNormal="100" workbookViewId="0">
      <selection activeCell="G96" sqref="G96"/>
    </sheetView>
  </sheetViews>
  <sheetFormatPr defaultRowHeight="14.5"/>
  <cols>
    <col min="1" max="1" width="24.08984375" customWidth="1"/>
    <col min="2" max="6" width="11.08984375" customWidth="1"/>
    <col min="7" max="7" width="19.453125" customWidth="1"/>
    <col min="8" max="10" width="11.81640625" bestFit="1" customWidth="1"/>
    <col min="11" max="11" width="10.81640625" bestFit="1" customWidth="1"/>
    <col min="12" max="19" width="11.81640625" bestFit="1" customWidth="1"/>
    <col min="20" max="20" width="7.81640625" bestFit="1" customWidth="1"/>
    <col min="21" max="25" width="11.81640625" bestFit="1" customWidth="1"/>
    <col min="26" max="26" width="7.81640625" bestFit="1" customWidth="1"/>
    <col min="27" max="34" width="11.81640625" bestFit="1" customWidth="1"/>
    <col min="35" max="36" width="10.81640625" bestFit="1" customWidth="1"/>
    <col min="37" max="49" width="11.81640625" bestFit="1" customWidth="1"/>
    <col min="50" max="50" width="8.81640625" bestFit="1" customWidth="1"/>
    <col min="52" max="52" width="6.7265625" bestFit="1" customWidth="1"/>
    <col min="53" max="53" width="10.7265625" bestFit="1" customWidth="1"/>
  </cols>
  <sheetData>
    <row r="1" spans="1:5">
      <c r="A1" s="582" t="s">
        <v>33</v>
      </c>
      <c r="B1" s="53">
        <v>2011</v>
      </c>
    </row>
    <row r="2" spans="1:5">
      <c r="A2" s="847" t="s">
        <v>549</v>
      </c>
      <c r="B2" s="847"/>
      <c r="C2" s="847"/>
      <c r="D2" s="847"/>
      <c r="E2" s="847"/>
    </row>
    <row r="3" spans="1:5">
      <c r="A3" s="582" t="s">
        <v>517</v>
      </c>
      <c r="B3" s="45" t="s">
        <v>544</v>
      </c>
      <c r="C3" s="45" t="s">
        <v>545</v>
      </c>
      <c r="D3" s="45" t="s">
        <v>546</v>
      </c>
      <c r="E3" s="45" t="s">
        <v>547</v>
      </c>
    </row>
    <row r="4" spans="1:5">
      <c r="A4" s="53" t="s">
        <v>94</v>
      </c>
      <c r="B4" s="35">
        <v>1.0354349259129566E-2</v>
      </c>
      <c r="C4" s="35">
        <v>1.0354349259129566E-2</v>
      </c>
      <c r="D4" s="35">
        <v>1.0354349259129566E-2</v>
      </c>
      <c r="E4" s="35">
        <v>1.0354349259129566E-2</v>
      </c>
    </row>
    <row r="5" spans="1:5">
      <c r="A5" s="53" t="s">
        <v>92</v>
      </c>
      <c r="B5" s="35">
        <v>0.1104514389218641</v>
      </c>
      <c r="C5" s="35">
        <v>0.1104514389218641</v>
      </c>
      <c r="D5" s="35">
        <v>0.11029013707604904</v>
      </c>
      <c r="E5" s="35">
        <v>9.004560327021717E-2</v>
      </c>
    </row>
    <row r="6" spans="1:5">
      <c r="A6" s="53" t="s">
        <v>71</v>
      </c>
      <c r="B6" s="35">
        <v>1.2423171199999999E-2</v>
      </c>
      <c r="C6" s="35">
        <v>1.2423171199999999E-2</v>
      </c>
      <c r="D6" s="35">
        <v>1.2423171199999999E-2</v>
      </c>
      <c r="E6" s="35">
        <v>1.2423171199999999E-2</v>
      </c>
    </row>
    <row r="7" spans="1:5">
      <c r="A7" s="53" t="s">
        <v>57</v>
      </c>
      <c r="B7" s="35">
        <v>0.15102399999999999</v>
      </c>
      <c r="C7" s="35">
        <v>0.15102399999999999</v>
      </c>
      <c r="D7" s="35">
        <v>0.15102399999999999</v>
      </c>
      <c r="E7" s="35">
        <v>0.15102399999999999</v>
      </c>
    </row>
    <row r="8" spans="1:5">
      <c r="A8" s="53" t="s">
        <v>58</v>
      </c>
      <c r="B8" s="35">
        <v>4.0183739999999997</v>
      </c>
      <c r="C8" s="35">
        <v>0</v>
      </c>
      <c r="D8" s="35">
        <v>0</v>
      </c>
      <c r="E8" s="35">
        <v>0</v>
      </c>
    </row>
    <row r="9" spans="1:5">
      <c r="A9" s="53" t="s">
        <v>17</v>
      </c>
      <c r="B9" s="35">
        <v>0.1215762551521116</v>
      </c>
      <c r="C9" s="35">
        <v>0.1215762551521116</v>
      </c>
      <c r="D9" s="35">
        <v>0.1215762551521116</v>
      </c>
      <c r="E9" s="35">
        <v>0.11989505136426666</v>
      </c>
    </row>
    <row r="10" spans="1:5">
      <c r="A10" s="53" t="s">
        <v>93</v>
      </c>
      <c r="B10" s="35">
        <v>0.36362856751333628</v>
      </c>
      <c r="C10" s="35">
        <v>0.36362856751333628</v>
      </c>
      <c r="D10" s="35">
        <v>0.36362856751333628</v>
      </c>
      <c r="E10" s="35">
        <v>0.36340114517880417</v>
      </c>
    </row>
    <row r="11" spans="1:5">
      <c r="A11" s="53" t="s">
        <v>518</v>
      </c>
      <c r="B11" s="35">
        <v>4.7878317820464416</v>
      </c>
      <c r="C11" s="35">
        <v>0.76945778204644155</v>
      </c>
      <c r="D11" s="35">
        <v>0.76929648020062646</v>
      </c>
      <c r="E11" s="35">
        <v>0.74714332027241759</v>
      </c>
    </row>
    <row r="14" spans="1:5">
      <c r="A14" s="847" t="s">
        <v>550</v>
      </c>
      <c r="B14" s="847"/>
      <c r="C14" s="847"/>
      <c r="D14" s="847"/>
      <c r="E14" s="847"/>
    </row>
    <row r="15" spans="1:5">
      <c r="A15" s="53"/>
      <c r="B15">
        <v>2011</v>
      </c>
      <c r="C15">
        <v>2012</v>
      </c>
      <c r="D15">
        <v>2013</v>
      </c>
      <c r="E15">
        <v>2014</v>
      </c>
    </row>
    <row r="16" spans="1:5">
      <c r="A16" s="53" t="s">
        <v>71</v>
      </c>
      <c r="B16" s="35">
        <f>(GETPIVOTDATA("Sum of 2011",$A$3,"Rate Class","GS Greater Than 50kW")+(GETPIVOTDATA("Sum of 2011",$A$3,"Rate Class","AU 2011")*'Allocation to Rate Classes'!$E$43)+(GETPIVOTDATA("Sum of 2011",'KH MW Savings Pivot'!$A$3,"Rate Class","DI 2011")*'Allocation to Rate Classes'!$E$36)+(GETPIVOTDATA("Sum of 2011",$A$3,"Rate Class","RF 2011")*'Allocation to Rate Classes'!$E$50)*1000)/2</f>
        <v>80.821433970955852</v>
      </c>
      <c r="C16" s="35">
        <f>(GETPIVOTDATA("Sum of 2012",$A$3,"Rate Class","GS Greater Than 50kW")+(GETPIVOTDATA("Sum of 2012",$A$3,"Rate Class","AU 2011")*'Allocation to Rate Classes'!$E$43)+(GETPIVOTDATA("Sum of 2012",'KH MW Savings Pivot'!$A$3,"Rate Class","DI 2011")*'Allocation to Rate Classes'!$E$36)+(GETPIVOTDATA("Sum of 2012",$A$3,"Rate Class","RF 2011")*'Allocation to Rate Classes'!$E$50)*1000)</f>
        <v>161.6428679419117</v>
      </c>
      <c r="D16" s="35">
        <f>(GETPIVOTDATA("Sum of 2013",$A$3,"Rate Class","GS Greater Than 50kW")+(GETPIVOTDATA("Sum of 2013",$A$3,"Rate Class","AU 2011")*'Allocation to Rate Classes'!$E$43)+(GETPIVOTDATA("Sum of 2013",'KH MW Savings Pivot'!$A$3,"Rate Class","DI 2011")*'Allocation to Rate Classes'!$E$36)+(GETPIVOTDATA("Sum of 2013",$A$3,"Rate Class","RF 2011")*'Allocation to Rate Classes'!$E$50)*1000)</f>
        <v>161.64286644837608</v>
      </c>
      <c r="E16" s="35">
        <f>(GETPIVOTDATA("Sum of 2014",$A$3,"Rate Class","GS Greater Than 50kW")+(GETPIVOTDATA("Sum of 2014",$A$3,"Rate Class","AU 2011")*'Allocation to Rate Classes'!$E$43)+(GETPIVOTDATA("Sum of 2014",'KH MW Savings Pivot'!$A$3,"Rate Class","DI 2011")*'Allocation to Rate Classes'!$E$36)+(GETPIVOTDATA("Sum of 2014",$A$3,"Rate Class","RF 2011")*'Allocation to Rate Classes'!$E$50)*1000)</f>
        <v>161.54159842125057</v>
      </c>
    </row>
    <row r="17" spans="1:5">
      <c r="A17" s="53" t="s">
        <v>57</v>
      </c>
      <c r="B17" s="35">
        <f>((GETPIVOTDATA("Sum of 2011",$A$3,"Rate Class","Large User")+(GETPIVOTDATA("Sum of 2011",$A$3,"Rate Class","RF 2011")*'Allocation to Rate Classes'!$G$50))*1000)/2</f>
        <v>140.72585418904555</v>
      </c>
      <c r="C17" s="35">
        <f>((GETPIVOTDATA("Sum of 2012",$A$3,"Rate Class","Large User")+(GETPIVOTDATA("Sum of 2012",$A$3,"Rate Class","RF 2011")*'Allocation to Rate Classes'!$G$50))*1000)</f>
        <v>281.4517083780911</v>
      </c>
      <c r="D17" s="35">
        <f>((GETPIVOTDATA("Sum of 2013",$A$3,"Rate Class","Large User")+(GETPIVOTDATA("Sum of 2013",$A$3,"Rate Class","RF 2011")*'Allocation to Rate Classes'!$G$50))*1000)</f>
        <v>281.4517083780911</v>
      </c>
      <c r="E17" s="35">
        <f>((GETPIVOTDATA("Sum of 2014",$A$3,"Rate Class","Large User")+(GETPIVOTDATA("Sum of 2014",$A$3,"Rate Class","RF 2011")*'Allocation to Rate Classes'!$G$50))*1000)</f>
        <v>281.3701356509265</v>
      </c>
    </row>
    <row r="18" spans="1:5" s="45" customFormat="1">
      <c r="A18" s="53" t="s">
        <v>496</v>
      </c>
      <c r="B18" s="35">
        <v>0</v>
      </c>
      <c r="C18" s="35">
        <v>0</v>
      </c>
      <c r="D18" s="35">
        <v>0</v>
      </c>
      <c r="E18" s="35">
        <v>0</v>
      </c>
    </row>
    <row r="19" spans="1:5" s="45" customFormat="1">
      <c r="A19" s="53"/>
    </row>
    <row r="20" spans="1:5">
      <c r="A20" s="582" t="s">
        <v>33</v>
      </c>
      <c r="B20" s="53">
        <v>2012</v>
      </c>
    </row>
    <row r="21" spans="1:5">
      <c r="A21" s="847" t="s">
        <v>549</v>
      </c>
      <c r="B21" s="847"/>
      <c r="C21" s="847"/>
      <c r="D21" s="847"/>
      <c r="E21" s="847"/>
    </row>
    <row r="22" spans="1:5">
      <c r="A22" s="582" t="s">
        <v>517</v>
      </c>
      <c r="B22" s="45" t="s">
        <v>544</v>
      </c>
      <c r="C22" s="45" t="s">
        <v>545</v>
      </c>
      <c r="D22" s="45" t="s">
        <v>546</v>
      </c>
      <c r="E22" s="45" t="s">
        <v>547</v>
      </c>
    </row>
    <row r="23" spans="1:5">
      <c r="A23" s="53" t="s">
        <v>97</v>
      </c>
      <c r="B23" s="35">
        <v>0</v>
      </c>
      <c r="C23" s="35">
        <v>3.624022240682391E-2</v>
      </c>
      <c r="D23" s="35">
        <v>3.624022240682391E-2</v>
      </c>
      <c r="E23" s="35">
        <v>3.624022240682391E-2</v>
      </c>
    </row>
    <row r="24" spans="1:5">
      <c r="A24" s="53" t="s">
        <v>95</v>
      </c>
      <c r="B24" s="35">
        <v>0</v>
      </c>
      <c r="C24" s="35">
        <v>0.25729365008767552</v>
      </c>
      <c r="D24" s="35">
        <v>0.25729365008767552</v>
      </c>
      <c r="E24" s="35">
        <v>0.25490598836765122</v>
      </c>
    </row>
    <row r="25" spans="1:5">
      <c r="A25" s="53" t="s">
        <v>98</v>
      </c>
      <c r="B25" s="35">
        <v>0</v>
      </c>
      <c r="C25" s="35">
        <v>7.3548999999999999E-4</v>
      </c>
      <c r="D25" s="35">
        <v>7.3548999999999999E-4</v>
      </c>
      <c r="E25" s="35">
        <v>7.3548999999999999E-4</v>
      </c>
    </row>
    <row r="26" spans="1:5">
      <c r="A26" s="53" t="s">
        <v>57</v>
      </c>
      <c r="B26" s="35">
        <v>0</v>
      </c>
      <c r="C26" s="35">
        <v>9.0391555267743048E-2</v>
      </c>
      <c r="D26" s="35">
        <v>9.0391555267743048E-2</v>
      </c>
      <c r="E26" s="35">
        <v>9.0391555267743048E-2</v>
      </c>
    </row>
    <row r="27" spans="1:5">
      <c r="A27" s="53" t="s">
        <v>128</v>
      </c>
      <c r="B27" s="35">
        <v>0</v>
      </c>
      <c r="C27" s="35">
        <v>4.3794220990000001</v>
      </c>
      <c r="D27" s="35">
        <v>0</v>
      </c>
      <c r="E27" s="35">
        <v>0</v>
      </c>
    </row>
    <row r="28" spans="1:5">
      <c r="A28" s="53" t="s">
        <v>17</v>
      </c>
      <c r="B28" s="35">
        <v>0</v>
      </c>
      <c r="C28" s="35">
        <v>8.3577475336556351E-2</v>
      </c>
      <c r="D28" s="35">
        <v>8.3449479682314226E-2</v>
      </c>
      <c r="E28" s="35">
        <v>8.3449479682314226E-2</v>
      </c>
    </row>
    <row r="29" spans="1:5">
      <c r="A29" s="53" t="s">
        <v>96</v>
      </c>
      <c r="B29" s="35">
        <v>0</v>
      </c>
      <c r="C29" s="35">
        <v>0.54982589387915348</v>
      </c>
      <c r="D29" s="35">
        <v>0.54982589387915348</v>
      </c>
      <c r="E29" s="35">
        <v>0.52176076582419084</v>
      </c>
    </row>
    <row r="30" spans="1:5">
      <c r="A30" s="53" t="s">
        <v>518</v>
      </c>
      <c r="B30" s="35">
        <v>0</v>
      </c>
      <c r="C30" s="35">
        <v>5.3974863859779516</v>
      </c>
      <c r="D30" s="35">
        <v>1.0179362913237102</v>
      </c>
      <c r="E30" s="35">
        <v>0.98748350154872322</v>
      </c>
    </row>
    <row r="32" spans="1:5">
      <c r="A32" s="847" t="s">
        <v>551</v>
      </c>
      <c r="B32" s="847"/>
      <c r="C32" s="847"/>
      <c r="D32" s="847"/>
      <c r="E32" s="847"/>
    </row>
    <row r="33" spans="1:5">
      <c r="B33">
        <v>2011</v>
      </c>
      <c r="C33">
        <v>2012</v>
      </c>
      <c r="D33">
        <v>2013</v>
      </c>
      <c r="E33">
        <v>2014</v>
      </c>
    </row>
    <row r="34" spans="1:5">
      <c r="A34" t="s">
        <v>71</v>
      </c>
      <c r="B34" s="35">
        <v>0</v>
      </c>
      <c r="C34" s="35">
        <f>(((GETPIVOTDATA("Sum of 2012",$A$22,"Rate Class","AU 2012")*'Allocation to Rate Classes'!$E$44)+(GETPIVOTDATA("Sum of 2012",'KH MW Savings Pivot'!$A$22,"Rate Class","DI 2012")*'Allocation to Rate Classes'!$E$37)+(GETPIVOTDATA("Sum of 2012",'KH MW Savings Pivot'!$A$22,"Rate Class","RF 2012")*'Allocation to Rate Classes'!$E$51))*1000)/2</f>
        <v>224.85010209576274</v>
      </c>
      <c r="D34" s="35">
        <f>(((GETPIVOTDATA("Sum of 2013",$A$22,"Rate Class","AU 2012")*'Allocation to Rate Classes'!$E$44)+(GETPIVOTDATA("Sum of 2013",'KH MW Savings Pivot'!$A$22,"Rate Class","DI 2012")*'Allocation to Rate Classes'!$E$37)+(GETPIVOTDATA("Sum of 2013",'KH MW Savings Pivot'!$A$22,"Rate Class","RF 2012")*'Allocation to Rate Classes'!$E$51))*1000)</f>
        <v>449.70020419152547</v>
      </c>
      <c r="E34" s="35">
        <f>(((GETPIVOTDATA("Sum of 2013",$A$22,"Rate Class","AU 2012")*'Allocation to Rate Classes'!$E$44)+(GETPIVOTDATA("Sum of 2013",'KH MW Savings Pivot'!$A$22,"Rate Class","DI 2012")*'Allocation to Rate Classes'!$E$37)+(GETPIVOTDATA("Sum of 2013",'KH MW Savings Pivot'!$A$22,"Rate Class","RF 2012")*'Allocation to Rate Classes'!$E$51))*1000)</f>
        <v>449.70020419152547</v>
      </c>
    </row>
    <row r="35" spans="1:5">
      <c r="A35" t="s">
        <v>57</v>
      </c>
      <c r="B35" s="35">
        <v>0</v>
      </c>
      <c r="C35" s="35">
        <f>((GETPIVOTDATA("Sum of 2012",$A$22,"Rate Class","Large User")+(GETPIVOTDATA("Sum of 2012",$A$22,"Rate Class","RF 2012")*'Allocation to Rate Classes'!$G$51)+(GETPIVOTDATA("Sum of 2012",$A$22,"Rate Class","HP 2012")*'Allocation to Rate Classes'!$G$58))*1000)/2</f>
        <v>91.577149055114702</v>
      </c>
      <c r="D35" s="35">
        <f>((GETPIVOTDATA("Sum of 2013",$A$22,"Rate Class","Large User")+(GETPIVOTDATA("Sum of 2013",$A$22,"Rate Class","RF 2012")*'Allocation to Rate Classes'!$G$51)+(GETPIVOTDATA("Sum of 2013",$A$22,"Rate Class","HP 2012")*'Allocation to Rate Classes'!$G$58))*1000)</f>
        <v>183.1542981102294</v>
      </c>
      <c r="E35" s="35">
        <f>((GETPIVOTDATA("Sum of 2014",$A$22,"Rate Class","Large User")+(GETPIVOTDATA("Sum of 2014",$A$22,"Rate Class","RF 2012")*'Allocation to Rate Classes'!$G$51)+(GETPIVOTDATA("Sum of 2014",$A$22,"Rate Class","HP 2012")*'Allocation to Rate Classes'!$G$58))*1000)</f>
        <v>178.4443759244177</v>
      </c>
    </row>
    <row r="36" spans="1:5">
      <c r="A36" t="s">
        <v>496</v>
      </c>
      <c r="B36" s="35">
        <v>0</v>
      </c>
      <c r="C36" s="35">
        <f>('Allocation to Rate Classes'!M20/2)*'Kingston Hydro - NTGs'!$D$18*'Kingston Hydro - NTGs'!$H$18</f>
        <v>3.0331011986301371</v>
      </c>
      <c r="D36" s="35">
        <f>('Allocation to Rate Classes'!M20)*'Kingston Hydro - NTGs'!$D$18*'Kingston Hydro - NTGs'!$H$18</f>
        <v>6.0662023972602741</v>
      </c>
      <c r="E36" s="35">
        <f>('Allocation to Rate Classes'!M20)*'Kingston Hydro - NTGs'!$D$18*'Kingston Hydro - NTGs'!$H$18</f>
        <v>6.0662023972602741</v>
      </c>
    </row>
    <row r="37" spans="1:5" s="45" customFormat="1"/>
    <row r="38" spans="1:5">
      <c r="A38" s="582" t="s">
        <v>33</v>
      </c>
      <c r="B38" s="53">
        <v>2013</v>
      </c>
    </row>
    <row r="39" spans="1:5">
      <c r="A39" s="847" t="s">
        <v>549</v>
      </c>
      <c r="B39" s="847"/>
      <c r="C39" s="847"/>
      <c r="D39" s="847"/>
      <c r="E39" s="847"/>
    </row>
    <row r="40" spans="1:5">
      <c r="A40" s="582" t="s">
        <v>517</v>
      </c>
      <c r="B40" s="45" t="s">
        <v>544</v>
      </c>
      <c r="C40" s="45" t="s">
        <v>545</v>
      </c>
      <c r="D40" s="45" t="s">
        <v>546</v>
      </c>
      <c r="E40" s="45" t="s">
        <v>547</v>
      </c>
    </row>
    <row r="41" spans="1:5">
      <c r="A41" s="53" t="s">
        <v>99</v>
      </c>
      <c r="B41" s="35">
        <v>0</v>
      </c>
      <c r="C41" s="35">
        <v>0</v>
      </c>
      <c r="D41" s="35">
        <v>1.7625353245999998E-2</v>
      </c>
      <c r="E41" s="35">
        <v>1.7625353245999998E-2</v>
      </c>
    </row>
    <row r="42" spans="1:5">
      <c r="A42" s="53" t="s">
        <v>102</v>
      </c>
      <c r="B42" s="35">
        <v>0</v>
      </c>
      <c r="C42" s="35">
        <v>0</v>
      </c>
      <c r="D42" s="35">
        <v>6.4120936588000013E-2</v>
      </c>
      <c r="E42" s="35">
        <v>6.4120936588000013E-2</v>
      </c>
    </row>
    <row r="43" spans="1:5">
      <c r="A43" s="53" t="s">
        <v>100</v>
      </c>
      <c r="B43" s="35">
        <v>0</v>
      </c>
      <c r="C43" s="35">
        <v>0</v>
      </c>
      <c r="D43" s="35">
        <v>2.1600000000000001E-2</v>
      </c>
      <c r="E43" s="35">
        <v>2.1600000000000001E-2</v>
      </c>
    </row>
    <row r="44" spans="1:5">
      <c r="A44" s="53" t="s">
        <v>128</v>
      </c>
      <c r="B44" s="35">
        <v>0</v>
      </c>
      <c r="C44" s="35">
        <v>0</v>
      </c>
      <c r="D44" s="35">
        <v>3.8944540000000001</v>
      </c>
      <c r="E44" s="35">
        <v>0</v>
      </c>
    </row>
    <row r="45" spans="1:5">
      <c r="A45" s="53" t="s">
        <v>58</v>
      </c>
      <c r="B45" s="35">
        <v>0</v>
      </c>
      <c r="C45" s="35">
        <v>0</v>
      </c>
      <c r="D45" s="35">
        <v>0.32550490000000004</v>
      </c>
      <c r="E45" s="35">
        <v>0</v>
      </c>
    </row>
    <row r="46" spans="1:5">
      <c r="A46" s="53" t="s">
        <v>17</v>
      </c>
      <c r="B46" s="35">
        <v>0</v>
      </c>
      <c r="C46" s="35">
        <v>0</v>
      </c>
      <c r="D46" s="35">
        <v>7.8120861358000004E-2</v>
      </c>
      <c r="E46" s="35">
        <v>7.7833564178000011E-2</v>
      </c>
    </row>
    <row r="47" spans="1:5">
      <c r="A47" s="53" t="s">
        <v>101</v>
      </c>
      <c r="B47" s="35">
        <v>0</v>
      </c>
      <c r="C47" s="35">
        <v>0</v>
      </c>
      <c r="D47" s="35">
        <v>0.240247059165</v>
      </c>
      <c r="E47" s="35">
        <v>0.240247059165</v>
      </c>
    </row>
    <row r="48" spans="1:5">
      <c r="A48" s="53" t="s">
        <v>518</v>
      </c>
      <c r="B48" s="35">
        <v>0</v>
      </c>
      <c r="C48" s="35">
        <v>0</v>
      </c>
      <c r="D48" s="35">
        <v>4.6416731103570008</v>
      </c>
      <c r="E48" s="35">
        <v>0.42142691317700004</v>
      </c>
    </row>
    <row r="50" spans="1:5">
      <c r="A50" s="847" t="s">
        <v>552</v>
      </c>
      <c r="B50" s="847"/>
      <c r="C50" s="847"/>
      <c r="D50" s="847"/>
      <c r="E50" s="847"/>
    </row>
    <row r="51" spans="1:5">
      <c r="A51" s="45"/>
      <c r="B51" s="45">
        <v>2011</v>
      </c>
      <c r="C51" s="45">
        <v>2012</v>
      </c>
      <c r="D51" s="45">
        <v>2013</v>
      </c>
      <c r="E51" s="45">
        <v>2014</v>
      </c>
    </row>
    <row r="52" spans="1:5">
      <c r="A52" s="45" t="s">
        <v>71</v>
      </c>
      <c r="B52" s="35">
        <v>0</v>
      </c>
      <c r="C52" s="35">
        <v>0</v>
      </c>
      <c r="D52" s="35">
        <f>(((GETPIVOTDATA("Sum of 2013",'KH MW Savings Pivot'!$A$40,"Rate Class","DI 2013")*'Allocation to Rate Classes'!$E$38)+(GETPIVOTDATA("Sum of 2013",'KH MW Savings Pivot'!$A$40,"Rate Class","HP 2013")*'Allocation to Rate Classes'!$E$59)+(GETPIVOTDATA("Sum of 2013",'KH MW Savings Pivot'!$A$40,"Rate Class","RF 2013")*'Allocation to Rate Classes'!$E$52))*1000)/2</f>
        <v>113.1945622548897</v>
      </c>
      <c r="E52" s="35">
        <f>(((GETPIVOTDATA("Sum of 2014",'KH MW Savings Pivot'!$A$40,"Rate Class","DI 2013")*'Allocation to Rate Classes'!$E$38)+(GETPIVOTDATA("Sum of 2014",'KH MW Savings Pivot'!$A$40,"Rate Class","HP 2013")*'Allocation to Rate Classes'!$E$59)+(GETPIVOTDATA("Sum of 2014",'KH MW Savings Pivot'!$A$40,"Rate Class","RF 2013")*'Allocation to Rate Classes'!$E$52))*1000)</f>
        <v>226.38912450977941</v>
      </c>
    </row>
    <row r="53" spans="1:5">
      <c r="A53" s="45" t="s">
        <v>57</v>
      </c>
      <c r="B53" s="35">
        <v>0</v>
      </c>
      <c r="C53" s="35">
        <v>0</v>
      </c>
      <c r="D53" s="35">
        <f>((GETPIVOTDATA("Sum of 2013",$A$40,"Rate Class","RF 2013")*'Allocation to Rate Classes'!$G$52)*1000)/2</f>
        <v>0.45896534394799993</v>
      </c>
      <c r="E53" s="35">
        <f>((GETPIVOTDATA("Sum of 2014",$A$40,"Rate Class","RF 2013")*'Allocation to Rate Classes'!$G$52)*1000)</f>
        <v>0.91793068789599985</v>
      </c>
    </row>
    <row r="54" spans="1:5">
      <c r="A54" s="45" t="s">
        <v>496</v>
      </c>
      <c r="B54" s="35">
        <v>0</v>
      </c>
      <c r="C54" s="35">
        <v>0</v>
      </c>
      <c r="D54" s="35">
        <f>('Allocation to Rate Classes'!$M$21*'Kingston Hydro - NTGs'!$E$18*'Kingston Hydro - NTGs'!$I$18)/2</f>
        <v>192.93669936073061</v>
      </c>
      <c r="E54" s="35">
        <f>'Allocation to Rate Classes'!$M$21*'Kingston Hydro - NTGs'!$E$18*'Kingston Hydro - NTGs'!$I$18</f>
        <v>385.87339872146123</v>
      </c>
    </row>
    <row r="55" spans="1:5" s="45" customFormat="1"/>
    <row r="56" spans="1:5">
      <c r="A56" s="582" t="s">
        <v>33</v>
      </c>
      <c r="B56" s="53">
        <v>2014</v>
      </c>
    </row>
    <row r="57" spans="1:5">
      <c r="A57" s="847" t="s">
        <v>549</v>
      </c>
      <c r="B57" s="847"/>
      <c r="C57" s="847"/>
      <c r="D57" s="847"/>
      <c r="E57" s="847"/>
    </row>
    <row r="58" spans="1:5">
      <c r="A58" s="582" t="s">
        <v>517</v>
      </c>
      <c r="B58" s="45" t="s">
        <v>544</v>
      </c>
      <c r="C58" s="45" t="s">
        <v>545</v>
      </c>
      <c r="D58" s="45" t="s">
        <v>546</v>
      </c>
      <c r="E58" s="45" t="s">
        <v>547</v>
      </c>
    </row>
    <row r="59" spans="1:5">
      <c r="A59" s="53" t="s">
        <v>104</v>
      </c>
      <c r="B59" s="35">
        <v>4.9355045088638611E-4</v>
      </c>
      <c r="C59" s="35">
        <v>1.3558818137834249E-3</v>
      </c>
      <c r="D59" s="35">
        <v>1.3558818137834249E-3</v>
      </c>
      <c r="E59" s="35">
        <v>6.8190534392882196E-2</v>
      </c>
    </row>
    <row r="60" spans="1:5">
      <c r="A60" s="53" t="s">
        <v>106</v>
      </c>
      <c r="B60" s="35">
        <v>0</v>
      </c>
      <c r="C60" s="35">
        <v>0</v>
      </c>
      <c r="D60" s="35">
        <v>0</v>
      </c>
      <c r="E60" s="35">
        <v>9.3216427193194368E-2</v>
      </c>
    </row>
    <row r="61" spans="1:5">
      <c r="A61" s="53" t="s">
        <v>105</v>
      </c>
      <c r="B61" s="35">
        <v>0</v>
      </c>
      <c r="C61" s="35">
        <v>0</v>
      </c>
      <c r="D61" s="35">
        <v>3.3683024094421522E-3</v>
      </c>
      <c r="E61" s="35">
        <v>5.2273418609442152E-2</v>
      </c>
    </row>
    <row r="62" spans="1:5">
      <c r="A62" s="53" t="s">
        <v>17</v>
      </c>
      <c r="B62" s="35">
        <v>0</v>
      </c>
      <c r="C62" s="35">
        <v>0</v>
      </c>
      <c r="D62" s="35">
        <v>3.2433412514891284E-3</v>
      </c>
      <c r="E62" s="35">
        <v>9.1841443869162834E-2</v>
      </c>
    </row>
    <row r="63" spans="1:5">
      <c r="A63" s="53" t="s">
        <v>103</v>
      </c>
      <c r="B63" s="35">
        <v>0</v>
      </c>
      <c r="C63" s="35">
        <v>0</v>
      </c>
      <c r="D63" s="35">
        <v>2.1047829802619149E-2</v>
      </c>
      <c r="E63" s="35">
        <v>0.25409104635463547</v>
      </c>
    </row>
    <row r="64" spans="1:5">
      <c r="A64" s="53" t="s">
        <v>518</v>
      </c>
      <c r="B64" s="35">
        <v>4.9355045088638611E-4</v>
      </c>
      <c r="C64" s="35">
        <v>1.3558818137834249E-3</v>
      </c>
      <c r="D64" s="35">
        <v>2.9015355277333853E-2</v>
      </c>
      <c r="E64" s="35">
        <v>0.55961287041931707</v>
      </c>
    </row>
    <row r="67" spans="1:7">
      <c r="A67" s="847" t="s">
        <v>553</v>
      </c>
      <c r="B67" s="847"/>
      <c r="C67" s="847"/>
      <c r="D67" s="847"/>
      <c r="E67" s="847"/>
    </row>
    <row r="68" spans="1:7">
      <c r="A68" s="45"/>
      <c r="B68" s="45">
        <v>2011</v>
      </c>
      <c r="C68" s="45">
        <v>2012</v>
      </c>
      <c r="D68" s="45">
        <v>2013</v>
      </c>
      <c r="E68" s="45">
        <v>2014</v>
      </c>
    </row>
    <row r="69" spans="1:7">
      <c r="A69" s="45" t="s">
        <v>71</v>
      </c>
      <c r="B69" s="35">
        <v>0</v>
      </c>
      <c r="C69" s="35">
        <v>0</v>
      </c>
      <c r="D69" s="35">
        <v>0</v>
      </c>
      <c r="E69" s="35">
        <f>(((GETPIVOTDATA("Sum of 2014",$A$58,"Rate Class","AU 2014")*'Allocation to Rate Classes'!E46)+(GETPIVOTDATA("Sum of 2014",'KH MW Savings Pivot'!$A$58,"Rate Class","DI 2014")*'Allocation to Rate Classes'!E39)+(GETPIVOTDATA("Sum of 2014",'KH MW Savings Pivot'!$A$58,"Rate Class","HP 2014")*'Allocation to Rate Classes'!E60)+(GETPIVOTDATA("Sum of 2014",'KH MW Savings Pivot'!$A$58,"Rate Class","RF 2014")*'Allocation to Rate Classes'!E53))*1000)/2</f>
        <v>142.28021922425273</v>
      </c>
    </row>
    <row r="70" spans="1:7">
      <c r="A70" s="45" t="s">
        <v>57</v>
      </c>
      <c r="B70" s="35">
        <v>0</v>
      </c>
      <c r="C70" s="35">
        <v>0</v>
      </c>
      <c r="D70" s="596">
        <v>0</v>
      </c>
      <c r="E70" s="596">
        <f>((GETPIVOTDATA("Sum of 2014",'KH MW Savings Pivot'!$A$58,"Rate Class","RF 2014")*'Allocation to Rate Classes'!G53)*1000)/2</f>
        <v>9.3715200520106343</v>
      </c>
    </row>
    <row r="71" spans="1:7">
      <c r="A71" s="45" t="s">
        <v>496</v>
      </c>
      <c r="B71" s="35">
        <v>0</v>
      </c>
      <c r="C71" s="35">
        <v>0</v>
      </c>
      <c r="D71" s="35">
        <v>0</v>
      </c>
      <c r="E71" s="35">
        <v>0</v>
      </c>
    </row>
    <row r="74" spans="1:7">
      <c r="A74" s="582" t="s">
        <v>33</v>
      </c>
      <c r="B74" s="45" t="s">
        <v>481</v>
      </c>
      <c r="C74" s="45"/>
      <c r="D74" s="45"/>
      <c r="E74" s="45"/>
    </row>
    <row r="75" spans="1:7">
      <c r="A75" s="847" t="s">
        <v>549</v>
      </c>
      <c r="B75" s="847"/>
      <c r="C75" s="847"/>
      <c r="D75" s="847"/>
      <c r="E75" s="847"/>
    </row>
    <row r="76" spans="1:7">
      <c r="A76" s="582" t="s">
        <v>517</v>
      </c>
      <c r="B76" s="45" t="s">
        <v>548</v>
      </c>
      <c r="C76" s="45" t="s">
        <v>558</v>
      </c>
      <c r="D76" s="45" t="s">
        <v>559</v>
      </c>
      <c r="E76" s="45" t="s">
        <v>560</v>
      </c>
      <c r="F76" s="45" t="s">
        <v>561</v>
      </c>
      <c r="G76" s="45" t="s">
        <v>562</v>
      </c>
    </row>
    <row r="77" spans="1:7">
      <c r="A77" s="53" t="s">
        <v>474</v>
      </c>
      <c r="B77" s="35">
        <v>1.7515828554380618E-2</v>
      </c>
      <c r="C77" s="35">
        <v>4.4054962727684582E-2</v>
      </c>
      <c r="D77" s="35">
        <v>7.0594096900988543E-2</v>
      </c>
      <c r="E77" s="35">
        <v>9.7133231074292517E-2</v>
      </c>
      <c r="F77" s="35">
        <v>0.10615653669321586</v>
      </c>
      <c r="G77" s="35">
        <v>0.10615653669321586</v>
      </c>
    </row>
    <row r="78" spans="1:7">
      <c r="A78" s="53" t="s">
        <v>472</v>
      </c>
      <c r="B78" s="35">
        <v>0.11569634489222118</v>
      </c>
      <c r="C78" s="35">
        <v>0.23139296702899312</v>
      </c>
      <c r="D78" s="35">
        <v>0.3576074639054716</v>
      </c>
      <c r="E78" s="35">
        <v>0.49433983552165661</v>
      </c>
      <c r="F78" s="35">
        <v>0.64159008187754818</v>
      </c>
      <c r="G78" s="35">
        <v>0.79935820297314641</v>
      </c>
    </row>
    <row r="79" spans="1:7">
      <c r="A79" s="53" t="s">
        <v>71</v>
      </c>
      <c r="B79" s="35">
        <v>0</v>
      </c>
      <c r="C79" s="35">
        <v>0.2267680859377747</v>
      </c>
      <c r="D79" s="35">
        <v>0.4535361718755494</v>
      </c>
      <c r="E79" s="35">
        <v>0.68030425781332415</v>
      </c>
      <c r="F79" s="35">
        <v>0.85038032226665505</v>
      </c>
      <c r="G79" s="35">
        <v>1.0204563867199861</v>
      </c>
    </row>
    <row r="80" spans="1:7">
      <c r="A80" s="53" t="s">
        <v>473</v>
      </c>
      <c r="B80" s="35">
        <v>1.9207617595385685E-2</v>
      </c>
      <c r="C80" s="35">
        <v>5.5793555872310802E-2</v>
      </c>
      <c r="D80" s="35">
        <v>9.2379494149235922E-2</v>
      </c>
      <c r="E80" s="35">
        <v>0.12896543242616104</v>
      </c>
      <c r="F80" s="35">
        <v>0.16555137070308618</v>
      </c>
      <c r="G80" s="35">
        <v>0.20213730898001131</v>
      </c>
    </row>
    <row r="81" spans="1:13">
      <c r="A81" s="53" t="s">
        <v>57</v>
      </c>
      <c r="B81" s="35">
        <v>1.1435669721379271E-2</v>
      </c>
      <c r="C81" s="35">
        <v>0.23820375565915397</v>
      </c>
      <c r="D81" s="35">
        <v>0.46497184159692867</v>
      </c>
      <c r="E81" s="35">
        <v>0.69173992753470337</v>
      </c>
      <c r="F81" s="35">
        <v>0.86181599198803438</v>
      </c>
      <c r="G81" s="35">
        <v>1.0318920564413654</v>
      </c>
    </row>
    <row r="82" spans="1:13">
      <c r="A82" s="53" t="s">
        <v>128</v>
      </c>
      <c r="B82" s="35">
        <v>0</v>
      </c>
      <c r="C82" s="35">
        <v>0.86001497924181647</v>
      </c>
      <c r="D82" s="35">
        <v>1.1605443837386027</v>
      </c>
      <c r="E82" s="35">
        <v>1.1605443837386027</v>
      </c>
      <c r="F82" s="35">
        <v>1.1605443837386027</v>
      </c>
      <c r="G82" s="35">
        <v>1.1605443837386027</v>
      </c>
    </row>
    <row r="83" spans="1:13">
      <c r="A83" s="53" t="s">
        <v>17</v>
      </c>
      <c r="B83" s="35">
        <v>0.13053566593997923</v>
      </c>
      <c r="C83" s="35">
        <v>0.21556938104196982</v>
      </c>
      <c r="D83" s="35">
        <v>0.26341660572896197</v>
      </c>
      <c r="E83" s="35">
        <v>0.31126383041595407</v>
      </c>
      <c r="F83" s="35">
        <v>0.35911105510294622</v>
      </c>
      <c r="G83" s="35">
        <v>0.40695827978993832</v>
      </c>
    </row>
    <row r="84" spans="1:13">
      <c r="A84" s="53" t="s">
        <v>471</v>
      </c>
      <c r="B84" s="35">
        <v>0.4397411982388944</v>
      </c>
      <c r="C84" s="35">
        <v>0.95046664476836518</v>
      </c>
      <c r="D84" s="35">
        <v>1.5250063535209557</v>
      </c>
      <c r="E84" s="35">
        <v>2.1802734475058538</v>
      </c>
      <c r="F84" s="35">
        <v>2.91626792672306</v>
      </c>
      <c r="G84" s="35">
        <v>3.732989791172574</v>
      </c>
    </row>
    <row r="85" spans="1:13">
      <c r="A85" s="53" t="s">
        <v>518</v>
      </c>
      <c r="B85" s="35">
        <v>0.73413232494224046</v>
      </c>
      <c r="C85" s="35">
        <v>2.8222643322780687</v>
      </c>
      <c r="D85" s="35">
        <v>4.3880564114166942</v>
      </c>
      <c r="E85" s="35">
        <v>5.7445643460305487</v>
      </c>
      <c r="F85" s="35">
        <v>7.0614176690931494</v>
      </c>
      <c r="G85" s="35">
        <v>8.4604929465088397</v>
      </c>
    </row>
    <row r="86" spans="1:13">
      <c r="A86" s="45"/>
      <c r="B86" s="45">
        <v>2015</v>
      </c>
      <c r="C86" s="45">
        <v>2016</v>
      </c>
      <c r="D86" s="45">
        <v>2017</v>
      </c>
      <c r="E86" s="45">
        <v>2018</v>
      </c>
      <c r="F86" s="45">
        <v>2019</v>
      </c>
      <c r="G86" s="45">
        <v>2020</v>
      </c>
    </row>
    <row r="87" spans="1:13">
      <c r="A87" s="45" t="s">
        <v>71</v>
      </c>
      <c r="B87" s="35">
        <f>((GETPIVOTDATA("Sum of 2015",$A$76,"Rate Class","GS Greater Than 50kW")+(GETPIVOTDATA("Sum of 2015",$A$76,"Rate Class","AU 2015-20")*'Allocation to Rate Classes'!$E$47)+(GETPIVOTDATA("Sum of 2015",'KH MW Savings Pivot'!$A$76,"Rate Class","DI 2015-20")*'Allocation to Rate Classes'!$E$40)+(GETPIVOTDATA("Sum of 2015",'KH MW Savings Pivot'!$A$76,"Rate Class","HP 2015-20")*'Allocation to Rate Classes'!$E$61)+(GETPIVOTDATA("Sum of 2015",'KH MW Savings Pivot'!$A$76,"Rate Class","RF 2015-20")*'Allocation to Rate Classes'!$E$54))*1000)/2</f>
        <v>156.91042178848343</v>
      </c>
      <c r="C87" s="35">
        <f>((GETPIVOTDATA("Sum of 2016",$A$76,"Rate Class","GS Greater Than 50kW")+(GETPIVOTDATA("Sum of 2016",$A$76,"Rate Class","AU 2015-20")*'Allocation to Rate Classes'!$E$47)+(GETPIVOTDATA("Sum of 2016",'KH MW Savings Pivot'!$A$76,"Rate Class","DI 2015-20")*'Allocation to Rate Classes'!$E$40)+(GETPIVOTDATA("Sum of 2016",'KH MW Savings Pivot'!$A$76,"Rate Class","HP 2015-20")*'Allocation to Rate Classes'!$E$61)+(GETPIVOTDATA("Sum of 2016",'KH MW Savings Pivot'!$A$76,"Rate Class","RF 2015-20")*'Allocation to Rate Classes'!$E$54))*1000)</f>
        <v>909.17818554723419</v>
      </c>
      <c r="D87" s="35">
        <f>((GETPIVOTDATA("Sum of 2017",$A$76,"Rate Class","GS Greater Than 50kW")+(GETPIVOTDATA("Sum of 2017",$A$76,"Rate Class","AU 2015-20")*'Allocation to Rate Classes'!$E$47)+(GETPIVOTDATA("Sum of 2017",'KH MW Savings Pivot'!$A$76,"Rate Class","DI 2015-20")*'Allocation to Rate Classes'!$E$40)+(GETPIVOTDATA("Sum of 2017",'KH MW Savings Pivot'!$A$76,"Rate Class","HP 2015-20")*'Allocation to Rate Classes'!$E$61)+(GETPIVOTDATA("Sum of 2017",'KH MW Savings Pivot'!$A$76,"Rate Class","RF 2015-20")*'Allocation to Rate Classes'!$E$54))*1000)</f>
        <v>1548.0266443894636</v>
      </c>
      <c r="E87" s="35">
        <f>((GETPIVOTDATA("Sum of 2018",$A$76,"Rate Class","GS Greater Than 50kW")+(GETPIVOTDATA("Sum of 2018",$A$76,"Rate Class","AU 2015-20")*'Allocation to Rate Classes'!$E$47)+(GETPIVOTDATA("Sum of 2018",'KH MW Savings Pivot'!$A$76,"Rate Class","DI 2015-20")*'Allocation to Rate Classes'!$E$40)+(GETPIVOTDATA("Sum of 2018",'KH MW Savings Pivot'!$A$76,"Rate Class","HP 2015-20")*'Allocation to Rate Classes'!$E$61)+(GETPIVOTDATA("Sum of 2018",'KH MW Savings Pivot'!$A$76,"Rate Class","RF 2015-20")*'Allocation to Rate Classes'!$E$54))*1000)</f>
        <v>2241.635972362405</v>
      </c>
      <c r="F87" s="35">
        <f>((GETPIVOTDATA("Sum of 2019",$A$76,"Rate Class","GS Greater Than 50kW")+(GETPIVOTDATA("Sum of 2019",$A$76,"Rate Class","AU 2015-20")*'Allocation to Rate Classes'!$E$47)+(GETPIVOTDATA("Sum of 2019",'KH MW Savings Pivot'!$A$76,"Rate Class","DI 2015-20")*'Allocation to Rate Classes'!$E$40)+(GETPIVOTDATA("Sum of 2019",'KH MW Savings Pivot'!$A$76,"Rate Class","HP 2015-20")*'Allocation to Rate Classes'!$E$61)+(GETPIVOTDATA("Sum of 2019",'KH MW Savings Pivot'!$A$76,"Rate Class","RF 2015-20")*'Allocation to Rate Classes'!$E$54))*1000)</f>
        <v>2928.935190843019</v>
      </c>
      <c r="G87" s="35">
        <f>((GETPIVOTDATA("Sum of 2020",$A$76,"Rate Class","GS Greater Than 50kW")+(GETPIVOTDATA("Sum of 2020",$A$76,"Rate Class","AU 2015-20")*'Allocation to Rate Classes'!$E$47)+(GETPIVOTDATA("Sum of 2020",'KH MW Savings Pivot'!$A$76,"Rate Class","DI 2015-20")*'Allocation to Rate Classes'!$E$40)+(GETPIVOTDATA("Sum of 2020",'KH MW Savings Pivot'!$A$76,"Rate Class","HP 2015-20")*'Allocation to Rate Classes'!$E$61)+(GETPIVOTDATA("Sum of 2020",'KH MW Savings Pivot'!$A$76,"Rate Class","RF 2015-20")*'Allocation to Rate Classes'!$E$54))*1000)</f>
        <v>3668.7394520496132</v>
      </c>
    </row>
    <row r="88" spans="1:13">
      <c r="A88" s="45" t="s">
        <v>57</v>
      </c>
      <c r="B88" s="35">
        <f>((GETPIVOTDATA("Sum of 2015",$A$76,"Rate Class","Large User")+(GETPIVOTDATA("Sum of 2015",$A$76,"Rate Class","AU 2015-20")*'Allocation to Rate Classes'!$F$47)+(GETPIVOTDATA("Sum of 2015",'KH MW Savings Pivot'!$A$76,"Rate Class","HP 2015-20")*'Allocation to Rate Classes'!$F$61)+(GETPIVOTDATA("Sum of 2015",'KH MW Savings Pivot'!$A$76,"Rate Class","RF 2015-20")*'Allocation to Rate Classes'!$G$54))*1000)/2</f>
        <v>52.563779702415715</v>
      </c>
      <c r="C88" s="35">
        <f>((GETPIVOTDATA("Sum of 2016",$A$76,"Rate Class","Large User")+(GETPIVOTDATA("Sum of 2016",$A$76,"Rate Class","AU 2015-20")*'Allocation to Rate Classes'!$F$47)+(GETPIVOTDATA("Sum of 2016",'KH MW Savings Pivot'!$A$76,"Rate Class","HP 2015-20")*'Allocation to Rate Classes'!$F$61)+(GETPIVOTDATA("Sum of 2016",'KH MW Savings Pivot'!$A$76,"Rate Class","RF 2015-20")*'Allocation to Rate Classes'!$G$54))*1000)</f>
        <v>450.94835336053939</v>
      </c>
      <c r="D88" s="35">
        <f>((GETPIVOTDATA("Sum of 2017",$A$76,"Rate Class","Large User")+(GETPIVOTDATA("Sum of 2017",$A$76,"Rate Class","AU 2015-20")*'Allocation to Rate Classes'!$F$47)+(GETPIVOTDATA("Sum of 2017",'KH MW Savings Pivot'!$A$76,"Rate Class","HP 2015-20")*'Allocation to Rate Classes'!$F$61)+(GETPIVOTDATA("Sum of 2017",'KH MW Savings Pivot'!$A$76,"Rate Class","RF 2015-20")*'Allocation to Rate Classes'!$G$54))*1000)</f>
        <v>807.70089313520293</v>
      </c>
      <c r="E88" s="35">
        <f>((GETPIVOTDATA("Sum of 2018",$A$76,"Rate Class","Large User")+(GETPIVOTDATA("Sum of 2018",$A$76,"Rate Class","AU 2015-20")*'Allocation to Rate Classes'!$F$47)+(GETPIVOTDATA("Sum of 2018",'KH MW Savings Pivot'!$A$76,"Rate Class","HP 2015-20")*'Allocation to Rate Classes'!$F$61)+(GETPIVOTDATA("Sum of 2018",'KH MW Savings Pivot'!$A$76,"Rate Class","RF 2015-20")*'Allocation to Rate Classes'!$G$54))*1000)</f>
        <v>1178.2824928291516</v>
      </c>
      <c r="F88" s="35">
        <f>((GETPIVOTDATA("Sum of 2019",$A$76,"Rate Class","Large User")+(GETPIVOTDATA("Sum of 2019",$A$76,"Rate Class","AU 2015-20")*'Allocation to Rate Classes'!$F$47)+(GETPIVOTDATA("Sum of 2019",'KH MW Savings Pivot'!$A$76,"Rate Class","HP 2015-20")*'Allocation to Rate Classes'!$F$61)+(GETPIVOTDATA("Sum of 2019",'KH MW Savings Pivot'!$A$76,"Rate Class","RF 2015-20")*'Allocation to Rate Classes'!$G$54))*1000)</f>
        <v>1497.2432166807509</v>
      </c>
      <c r="G88" s="35">
        <f>((GETPIVOTDATA("Sum of 2020",$A$76,"Rate Class","Large User")+(GETPIVOTDATA("Sum of 2020",$A$76,"Rate Class","AU 2015-20")*'Allocation to Rate Classes'!$F$47)+(GETPIVOTDATA("Sum of 2020",'KH MW Savings Pivot'!$A$76,"Rate Class","HP 2015-20")*'Allocation to Rate Classes'!$F$61)+(GETPIVOTDATA("Sum of 2020",'KH MW Savings Pivot'!$A$76,"Rate Class","RF 2015-20")*'Allocation to Rate Classes'!$G$54))*1000)</f>
        <v>1825.5213476421743</v>
      </c>
    </row>
    <row r="89" spans="1:13">
      <c r="A89" s="45"/>
    </row>
    <row r="90" spans="1:13">
      <c r="A90" s="846" t="s">
        <v>1213</v>
      </c>
      <c r="B90" s="846"/>
      <c r="C90" s="846"/>
      <c r="D90" s="846"/>
      <c r="E90" s="846"/>
      <c r="F90" s="846"/>
      <c r="G90" s="846"/>
    </row>
    <row r="91" spans="1:13">
      <c r="A91" s="45" t="s">
        <v>71</v>
      </c>
      <c r="B91" s="35">
        <f>B87</f>
        <v>156.91042178848343</v>
      </c>
      <c r="C91">
        <f>C87-(B87*2)</f>
        <v>595.35734197026727</v>
      </c>
      <c r="D91" s="35">
        <f>D87-C87</f>
        <v>638.84845884222943</v>
      </c>
      <c r="E91" s="35">
        <f t="shared" ref="E91:G91" si="0">E87-D87</f>
        <v>693.6093279729414</v>
      </c>
      <c r="F91" s="35">
        <f t="shared" si="0"/>
        <v>687.29921848061394</v>
      </c>
      <c r="G91" s="35">
        <f t="shared" si="0"/>
        <v>739.80426120659422</v>
      </c>
    </row>
    <row r="92" spans="1:13">
      <c r="A92" s="45" t="s">
        <v>57</v>
      </c>
      <c r="B92" s="35">
        <f>B88</f>
        <v>52.563779702415715</v>
      </c>
      <c r="C92" s="45">
        <f>C88-(B88*2)</f>
        <v>345.82079395570793</v>
      </c>
      <c r="D92" s="35">
        <f>D88-C88</f>
        <v>356.75253977466355</v>
      </c>
      <c r="E92" s="35">
        <f t="shared" ref="E92:G92" si="1">E88-D88</f>
        <v>370.58159969394865</v>
      </c>
      <c r="F92" s="35">
        <f t="shared" si="1"/>
        <v>318.96072385159937</v>
      </c>
      <c r="G92" s="35">
        <f t="shared" si="1"/>
        <v>328.27813096142336</v>
      </c>
    </row>
    <row r="93" spans="1:13">
      <c r="A93" s="846" t="s">
        <v>1215</v>
      </c>
      <c r="B93" s="846"/>
      <c r="C93" s="846"/>
      <c r="D93" s="846"/>
      <c r="E93" s="846"/>
      <c r="F93" s="846"/>
      <c r="G93" s="846"/>
      <c r="H93" s="166"/>
      <c r="I93" s="166"/>
      <c r="J93" s="166"/>
      <c r="K93" s="166"/>
      <c r="L93" s="166"/>
      <c r="M93" s="166"/>
    </row>
    <row r="94" spans="1:13">
      <c r="A94" s="45" t="s">
        <v>71</v>
      </c>
      <c r="B94" s="35">
        <f>B91</f>
        <v>156.91042178848343</v>
      </c>
      <c r="C94">
        <f>C87-(C91/2)</f>
        <v>611.49951456210056</v>
      </c>
      <c r="D94" s="45">
        <f t="shared" ref="D94:G95" si="2">D87-(D91/2)</f>
        <v>1228.602414968349</v>
      </c>
      <c r="E94" s="45">
        <f t="shared" si="2"/>
        <v>1894.8313083759344</v>
      </c>
      <c r="F94" s="45">
        <f t="shared" si="2"/>
        <v>2585.2855816027122</v>
      </c>
      <c r="G94" s="45">
        <f t="shared" si="2"/>
        <v>3298.8373214463163</v>
      </c>
    </row>
    <row r="95" spans="1:13">
      <c r="A95" s="45" t="s">
        <v>57</v>
      </c>
      <c r="B95" s="35">
        <f>B92</f>
        <v>52.563779702415715</v>
      </c>
      <c r="C95" s="45">
        <f>C88-(C92/2)</f>
        <v>278.03795638268542</v>
      </c>
      <c r="D95" s="45">
        <f t="shared" si="2"/>
        <v>629.32462324787116</v>
      </c>
      <c r="E95" s="45">
        <f t="shared" si="2"/>
        <v>992.99169298217726</v>
      </c>
      <c r="F95" s="45">
        <f t="shared" si="2"/>
        <v>1337.7628547549511</v>
      </c>
      <c r="G95" s="45">
        <f t="shared" si="2"/>
        <v>1661.3822821614626</v>
      </c>
    </row>
  </sheetData>
  <mergeCells count="11">
    <mergeCell ref="A90:G90"/>
    <mergeCell ref="A93:G93"/>
    <mergeCell ref="A75:E75"/>
    <mergeCell ref="A14:E14"/>
    <mergeCell ref="A2:E2"/>
    <mergeCell ref="A32:E32"/>
    <mergeCell ref="A50:E50"/>
    <mergeCell ref="A67:E67"/>
    <mergeCell ref="A21:E21"/>
    <mergeCell ref="A39:E39"/>
    <mergeCell ref="A57:E57"/>
  </mergeCells>
  <pageMargins left="0.7" right="0.7" top="0.75" bottom="0.75" header="0.3" footer="0.3"/>
  <pageSetup scale="88" orientation="portrait" r:id="rId6"/>
  <rowBreaks count="1" manualBreakCount="1">
    <brk id="37" max="16383" man="1"/>
  </rowBreaks>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S142"/>
  <sheetViews>
    <sheetView topLeftCell="H1" zoomScaleNormal="100" workbookViewId="0">
      <pane ySplit="1" topLeftCell="A113" activePane="bottomLeft" state="frozen"/>
      <selection activeCell="E1" sqref="E1"/>
      <selection pane="bottomLeft" activeCell="O126" sqref="O126"/>
    </sheetView>
  </sheetViews>
  <sheetFormatPr defaultRowHeight="15.5"/>
  <cols>
    <col min="1" max="1" width="25.1796875" style="29" bestFit="1" customWidth="1"/>
    <col min="2" max="2" width="56.26953125" style="29" bestFit="1" customWidth="1"/>
    <col min="3" max="3" width="69.1796875" style="29" bestFit="1" customWidth="1"/>
    <col min="4" max="4" width="28.453125" style="29" bestFit="1" customWidth="1"/>
    <col min="5" max="5" width="26.81640625" style="29" bestFit="1" customWidth="1"/>
    <col min="6" max="6" width="8.1796875" style="29" bestFit="1" customWidth="1"/>
    <col min="7" max="7" width="10.6328125" style="29" bestFit="1" customWidth="1"/>
    <col min="8" max="8" width="20.36328125" style="29" bestFit="1" customWidth="1"/>
    <col min="9" max="9" width="29.1796875" style="29" bestFit="1" customWidth="1"/>
    <col min="10" max="17" width="10.54296875" style="29" bestFit="1" customWidth="1"/>
    <col min="18" max="18" width="11.7265625" style="29" bestFit="1" customWidth="1"/>
    <col min="19" max="43" width="12.90625" style="29" bestFit="1" customWidth="1"/>
    <col min="44" max="44" width="6.36328125" style="29" bestFit="1" customWidth="1"/>
    <col min="45" max="45" width="5.1796875" style="29" bestFit="1" customWidth="1"/>
  </cols>
  <sheetData>
    <row r="1" spans="1:45" ht="62">
      <c r="A1" s="3" t="s">
        <v>28</v>
      </c>
      <c r="B1" s="3" t="s">
        <v>29</v>
      </c>
      <c r="C1" s="3" t="s">
        <v>30</v>
      </c>
      <c r="D1" s="2" t="s">
        <v>0</v>
      </c>
      <c r="E1" s="2" t="s">
        <v>31</v>
      </c>
      <c r="F1" s="2" t="s">
        <v>32</v>
      </c>
      <c r="G1" s="1" t="s">
        <v>33</v>
      </c>
      <c r="H1" s="1" t="s">
        <v>34</v>
      </c>
      <c r="I1" s="1" t="s">
        <v>56</v>
      </c>
      <c r="J1" s="1">
        <v>2006</v>
      </c>
      <c r="K1" s="1">
        <v>2007</v>
      </c>
      <c r="L1" s="1">
        <v>2008</v>
      </c>
      <c r="M1" s="1">
        <v>2009</v>
      </c>
      <c r="N1" s="1">
        <v>2010</v>
      </c>
      <c r="O1" s="1">
        <v>2011</v>
      </c>
      <c r="P1" s="1">
        <v>2012</v>
      </c>
      <c r="Q1" s="1">
        <v>2013</v>
      </c>
      <c r="R1" s="1">
        <v>2014</v>
      </c>
      <c r="S1" s="1">
        <v>2015</v>
      </c>
      <c r="T1" s="1">
        <v>2016</v>
      </c>
      <c r="U1" s="1">
        <v>2017</v>
      </c>
      <c r="V1" s="1">
        <v>2018</v>
      </c>
      <c r="W1" s="1">
        <v>2019</v>
      </c>
      <c r="X1" s="1">
        <v>2020</v>
      </c>
      <c r="Y1" s="1">
        <v>2021</v>
      </c>
      <c r="Z1" s="1">
        <v>2022</v>
      </c>
      <c r="AA1" s="1">
        <v>2023</v>
      </c>
      <c r="AB1" s="1">
        <v>2024</v>
      </c>
      <c r="AC1" s="1">
        <v>2025</v>
      </c>
      <c r="AD1" s="1">
        <v>2026</v>
      </c>
      <c r="AE1" s="1">
        <v>2027</v>
      </c>
      <c r="AF1" s="1">
        <v>2028</v>
      </c>
      <c r="AG1" s="1">
        <v>2029</v>
      </c>
      <c r="AH1" s="1">
        <v>2030</v>
      </c>
      <c r="AI1" s="1">
        <v>2031</v>
      </c>
      <c r="AJ1" s="1">
        <v>2032</v>
      </c>
      <c r="AK1" s="1">
        <v>2033</v>
      </c>
      <c r="AL1" s="1">
        <v>2034</v>
      </c>
      <c r="AM1" s="1">
        <v>2035</v>
      </c>
      <c r="AN1" s="1">
        <v>2036</v>
      </c>
      <c r="AO1" s="1">
        <v>2037</v>
      </c>
      <c r="AP1" s="1">
        <v>2038</v>
      </c>
      <c r="AQ1" s="1">
        <v>2039</v>
      </c>
      <c r="AR1" s="1">
        <v>2040</v>
      </c>
      <c r="AS1" s="1">
        <v>2041</v>
      </c>
    </row>
    <row r="2" spans="1:45">
      <c r="A2" s="31">
        <v>1</v>
      </c>
      <c r="B2" s="31" t="s">
        <v>15</v>
      </c>
      <c r="C2" s="31" t="s">
        <v>519</v>
      </c>
      <c r="D2" s="31"/>
      <c r="E2" s="31"/>
      <c r="F2" s="31" t="s">
        <v>543</v>
      </c>
      <c r="G2" s="31">
        <v>2006</v>
      </c>
      <c r="H2" s="31"/>
      <c r="I2" s="33" t="s">
        <v>17</v>
      </c>
      <c r="J2" s="34">
        <v>27.786910128021361</v>
      </c>
      <c r="K2" s="34">
        <v>27.786910128021361</v>
      </c>
      <c r="L2" s="34">
        <v>27.786910128021361</v>
      </c>
      <c r="M2" s="34">
        <v>27.786910128021361</v>
      </c>
      <c r="N2" s="34">
        <v>27.786910128021361</v>
      </c>
      <c r="O2" s="33">
        <v>27.786910128021361</v>
      </c>
      <c r="P2" s="33">
        <v>0</v>
      </c>
      <c r="Q2" s="33">
        <v>0</v>
      </c>
      <c r="R2" s="33">
        <v>0</v>
      </c>
      <c r="S2" s="33">
        <v>0</v>
      </c>
      <c r="T2" s="33">
        <v>0</v>
      </c>
      <c r="U2" s="33">
        <v>0</v>
      </c>
      <c r="V2" s="33">
        <v>0</v>
      </c>
      <c r="W2" s="33">
        <v>0</v>
      </c>
      <c r="X2" s="33">
        <v>0</v>
      </c>
      <c r="Y2" s="33">
        <v>0</v>
      </c>
      <c r="Z2" s="33">
        <v>0</v>
      </c>
      <c r="AA2" s="33">
        <v>0</v>
      </c>
      <c r="AB2" s="33">
        <v>0</v>
      </c>
      <c r="AC2" s="33">
        <v>0</v>
      </c>
      <c r="AD2" s="33">
        <v>0</v>
      </c>
      <c r="AE2" s="33">
        <v>0</v>
      </c>
      <c r="AF2" s="33">
        <v>0</v>
      </c>
      <c r="AG2" s="33">
        <v>0</v>
      </c>
      <c r="AH2" s="33">
        <v>0</v>
      </c>
      <c r="AI2" s="33">
        <v>0</v>
      </c>
      <c r="AJ2" s="33">
        <v>0</v>
      </c>
      <c r="AK2" s="33">
        <v>0</v>
      </c>
      <c r="AL2" s="33">
        <v>0</v>
      </c>
      <c r="AM2" s="33">
        <v>0</v>
      </c>
      <c r="AN2" s="33"/>
      <c r="AO2" s="33"/>
      <c r="AS2" s="31"/>
    </row>
    <row r="3" spans="1:45">
      <c r="A3" s="31">
        <v>2</v>
      </c>
      <c r="B3" s="31" t="s">
        <v>15</v>
      </c>
      <c r="C3" s="31" t="s">
        <v>520</v>
      </c>
      <c r="D3" s="31"/>
      <c r="E3" s="31"/>
      <c r="F3" s="31" t="s">
        <v>543</v>
      </c>
      <c r="G3" s="31">
        <v>2006</v>
      </c>
      <c r="H3" s="31"/>
      <c r="I3" s="33" t="s">
        <v>17</v>
      </c>
      <c r="J3" s="34">
        <v>68.594205032184831</v>
      </c>
      <c r="K3" s="34">
        <v>68.594205032184831</v>
      </c>
      <c r="L3" s="34">
        <v>68.594205032184831</v>
      </c>
      <c r="M3" s="34">
        <v>68.594205032184831</v>
      </c>
      <c r="N3" s="34">
        <v>68.594205032184831</v>
      </c>
      <c r="O3" s="33">
        <v>68.594205032184831</v>
      </c>
      <c r="P3" s="33">
        <v>68.594205032184831</v>
      </c>
      <c r="Q3" s="33">
        <v>68.594205032184831</v>
      </c>
      <c r="R3" s="33">
        <v>50.606642727339562</v>
      </c>
      <c r="S3" s="33">
        <v>50.606642727339562</v>
      </c>
      <c r="T3" s="33">
        <v>50.606642727339562</v>
      </c>
      <c r="U3" s="33">
        <v>50.606642727339562</v>
      </c>
      <c r="V3" s="33">
        <v>50.606642727339562</v>
      </c>
      <c r="W3" s="33">
        <v>50.606642727339562</v>
      </c>
      <c r="X3" s="33">
        <v>25.517419987395233</v>
      </c>
      <c r="Y3" s="33">
        <v>9.9462305879994481</v>
      </c>
      <c r="Z3" s="33">
        <v>9.9462305879994481</v>
      </c>
      <c r="AA3" s="33">
        <v>9.9462305879994481</v>
      </c>
      <c r="AB3" s="33">
        <v>0</v>
      </c>
      <c r="AC3" s="33">
        <v>0</v>
      </c>
      <c r="AD3" s="33">
        <v>0</v>
      </c>
      <c r="AE3" s="33">
        <v>0</v>
      </c>
      <c r="AF3" s="33">
        <v>0</v>
      </c>
      <c r="AG3" s="33">
        <v>0</v>
      </c>
      <c r="AH3" s="33">
        <v>0</v>
      </c>
      <c r="AI3" s="33">
        <v>0</v>
      </c>
      <c r="AJ3" s="33">
        <v>0</v>
      </c>
      <c r="AK3" s="33">
        <v>0</v>
      </c>
      <c r="AL3" s="33">
        <v>0</v>
      </c>
      <c r="AM3" s="33">
        <v>0</v>
      </c>
      <c r="AN3" s="33"/>
      <c r="AO3" s="33"/>
      <c r="AS3" s="31"/>
    </row>
    <row r="4" spans="1:45">
      <c r="A4" s="31">
        <v>3</v>
      </c>
      <c r="B4" s="31" t="s">
        <v>15</v>
      </c>
      <c r="C4" s="31" t="s">
        <v>521</v>
      </c>
      <c r="D4" s="31"/>
      <c r="E4" s="31"/>
      <c r="F4" s="31" t="s">
        <v>543</v>
      </c>
      <c r="G4" s="31">
        <v>2006</v>
      </c>
      <c r="H4" s="31"/>
      <c r="I4" s="33" t="s">
        <v>17</v>
      </c>
      <c r="J4" s="34">
        <v>1779.857419207262</v>
      </c>
      <c r="K4" s="34">
        <v>1779.857419207262</v>
      </c>
      <c r="L4" s="34">
        <v>1779.857419207262</v>
      </c>
      <c r="M4" s="34">
        <v>1779.857419207262</v>
      </c>
      <c r="N4" s="34">
        <v>229.4799735529177</v>
      </c>
      <c r="O4" s="33">
        <v>229.4799735529177</v>
      </c>
      <c r="P4" s="33">
        <v>229.4799735529177</v>
      </c>
      <c r="Q4" s="33">
        <v>229.4799735529177</v>
      </c>
      <c r="R4" s="33">
        <v>229.4799735529177</v>
      </c>
      <c r="S4" s="33">
        <v>229.4799735529177</v>
      </c>
      <c r="T4" s="33">
        <v>214.01342869268902</v>
      </c>
      <c r="U4" s="33">
        <v>214.01342869268902</v>
      </c>
      <c r="V4" s="33">
        <v>214.01342869268902</v>
      </c>
      <c r="W4" s="33">
        <v>214.01342869268902</v>
      </c>
      <c r="X4" s="33">
        <v>214.01342869268902</v>
      </c>
      <c r="Y4" s="33">
        <v>198.25763518941719</v>
      </c>
      <c r="Z4" s="33">
        <v>198.25763518941719</v>
      </c>
      <c r="AA4" s="33">
        <v>198.25763518941719</v>
      </c>
      <c r="AB4" s="33">
        <v>112.49868174790195</v>
      </c>
      <c r="AC4" s="33">
        <v>112.49868174790195</v>
      </c>
      <c r="AD4" s="33">
        <v>65.642743632997878</v>
      </c>
      <c r="AE4" s="33">
        <v>65.642743632997878</v>
      </c>
      <c r="AF4" s="33">
        <v>65.642743632997878</v>
      </c>
      <c r="AG4" s="33">
        <v>65.642743632997878</v>
      </c>
      <c r="AH4" s="33">
        <v>65.642743632997878</v>
      </c>
      <c r="AI4" s="33">
        <v>10.651235022659334</v>
      </c>
      <c r="AJ4" s="33">
        <v>10.651235022659334</v>
      </c>
      <c r="AK4" s="33">
        <v>10.651235022659334</v>
      </c>
      <c r="AL4" s="33">
        <v>10.651235022659334</v>
      </c>
      <c r="AM4" s="33">
        <v>10.651235022659334</v>
      </c>
      <c r="AN4" s="33"/>
      <c r="AO4" s="33"/>
      <c r="AS4" s="31"/>
    </row>
    <row r="5" spans="1:45">
      <c r="A5" s="31">
        <v>4</v>
      </c>
      <c r="B5" s="31" t="s">
        <v>62</v>
      </c>
      <c r="C5" s="31" t="s">
        <v>522</v>
      </c>
      <c r="D5" s="31"/>
      <c r="E5" s="31"/>
      <c r="F5" s="31" t="s">
        <v>543</v>
      </c>
      <c r="G5" s="31">
        <v>2006</v>
      </c>
      <c r="H5" s="31"/>
      <c r="I5" s="33" t="s">
        <v>71</v>
      </c>
      <c r="J5" s="34">
        <v>0</v>
      </c>
      <c r="K5" s="34">
        <v>0</v>
      </c>
      <c r="L5" s="34">
        <v>0</v>
      </c>
      <c r="M5" s="34">
        <v>0</v>
      </c>
      <c r="N5" s="34">
        <v>0</v>
      </c>
      <c r="O5" s="33">
        <v>0</v>
      </c>
      <c r="P5" s="33">
        <v>0</v>
      </c>
      <c r="Q5" s="33">
        <v>0</v>
      </c>
      <c r="R5" s="33">
        <v>0</v>
      </c>
      <c r="S5" s="33">
        <v>0</v>
      </c>
      <c r="T5" s="33">
        <v>0</v>
      </c>
      <c r="U5" s="33">
        <v>0</v>
      </c>
      <c r="V5" s="33">
        <v>0</v>
      </c>
      <c r="W5" s="33">
        <v>0</v>
      </c>
      <c r="X5" s="33">
        <v>0</v>
      </c>
      <c r="Y5" s="33">
        <v>0</v>
      </c>
      <c r="Z5" s="33">
        <v>0</v>
      </c>
      <c r="AA5" s="33">
        <v>0</v>
      </c>
      <c r="AB5" s="33">
        <v>0</v>
      </c>
      <c r="AC5" s="33">
        <v>0</v>
      </c>
      <c r="AD5" s="33">
        <v>0</v>
      </c>
      <c r="AE5" s="33">
        <v>0</v>
      </c>
      <c r="AF5" s="33">
        <v>0</v>
      </c>
      <c r="AG5" s="33">
        <v>0</v>
      </c>
      <c r="AH5" s="33">
        <v>0</v>
      </c>
      <c r="AI5" s="33">
        <v>0</v>
      </c>
      <c r="AJ5" s="33">
        <v>0</v>
      </c>
      <c r="AK5" s="33">
        <v>0</v>
      </c>
      <c r="AL5" s="33">
        <v>0</v>
      </c>
      <c r="AM5" s="33">
        <v>0</v>
      </c>
      <c r="AN5" s="33"/>
      <c r="AO5" s="33"/>
      <c r="AS5" s="31"/>
    </row>
    <row r="6" spans="1:45">
      <c r="A6" s="31">
        <v>5</v>
      </c>
      <c r="B6" s="31" t="s">
        <v>62</v>
      </c>
      <c r="C6" s="31" t="s">
        <v>63</v>
      </c>
      <c r="D6" s="31"/>
      <c r="E6" s="31"/>
      <c r="F6" s="31" t="s">
        <v>543</v>
      </c>
      <c r="G6" s="31">
        <v>2006</v>
      </c>
      <c r="H6" s="31"/>
      <c r="I6" s="33" t="s">
        <v>71</v>
      </c>
      <c r="J6" s="34">
        <v>0</v>
      </c>
      <c r="K6" s="34">
        <v>0</v>
      </c>
      <c r="L6" s="34">
        <v>0</v>
      </c>
      <c r="M6" s="34">
        <v>0</v>
      </c>
      <c r="N6" s="34">
        <v>0</v>
      </c>
      <c r="O6" s="33">
        <v>0</v>
      </c>
      <c r="P6" s="33">
        <v>0</v>
      </c>
      <c r="Q6" s="33">
        <v>0</v>
      </c>
      <c r="R6" s="33">
        <v>0</v>
      </c>
      <c r="S6" s="33">
        <v>0</v>
      </c>
      <c r="T6" s="33">
        <v>0</v>
      </c>
      <c r="U6" s="33">
        <v>0</v>
      </c>
      <c r="V6" s="33">
        <v>0</v>
      </c>
      <c r="W6" s="33">
        <v>0</v>
      </c>
      <c r="X6" s="33">
        <v>0</v>
      </c>
      <c r="Y6" s="33">
        <v>0</v>
      </c>
      <c r="Z6" s="33">
        <v>0</v>
      </c>
      <c r="AA6" s="33">
        <v>0</v>
      </c>
      <c r="AB6" s="33">
        <v>0</v>
      </c>
      <c r="AC6" s="33">
        <v>0</v>
      </c>
      <c r="AD6" s="33">
        <v>0</v>
      </c>
      <c r="AE6" s="33">
        <v>0</v>
      </c>
      <c r="AF6" s="33">
        <v>0</v>
      </c>
      <c r="AG6" s="33">
        <v>0</v>
      </c>
      <c r="AH6" s="33">
        <v>0</v>
      </c>
      <c r="AI6" s="33">
        <v>0</v>
      </c>
      <c r="AJ6" s="33">
        <v>0</v>
      </c>
      <c r="AK6" s="33">
        <v>0</v>
      </c>
      <c r="AL6" s="33">
        <v>0</v>
      </c>
      <c r="AM6" s="33">
        <v>0</v>
      </c>
      <c r="AN6" s="33"/>
      <c r="AO6" s="33"/>
      <c r="AS6" s="31"/>
    </row>
    <row r="7" spans="1:45">
      <c r="A7" s="31">
        <v>6</v>
      </c>
      <c r="B7" s="31" t="s">
        <v>15</v>
      </c>
      <c r="C7" s="31" t="s">
        <v>523</v>
      </c>
      <c r="D7" s="31"/>
      <c r="E7" s="31"/>
      <c r="F7" s="31" t="s">
        <v>543</v>
      </c>
      <c r="G7" s="31">
        <v>2007</v>
      </c>
      <c r="H7" s="31"/>
      <c r="I7" s="33" t="s">
        <v>17</v>
      </c>
      <c r="J7" s="34">
        <v>0</v>
      </c>
      <c r="K7" s="34">
        <v>61.0890258095747</v>
      </c>
      <c r="L7" s="34">
        <v>61.0890258095747</v>
      </c>
      <c r="M7" s="34">
        <v>61.0890258095747</v>
      </c>
      <c r="N7" s="34">
        <v>61.0890258095747</v>
      </c>
      <c r="O7" s="33">
        <v>60.933754501886966</v>
      </c>
      <c r="P7" s="33">
        <v>60.778483194199232</v>
      </c>
      <c r="Q7" s="33">
        <v>60.778483194199232</v>
      </c>
      <c r="R7" s="33">
        <v>60.778483194199232</v>
      </c>
      <c r="S7" s="33">
        <v>50.585221194297702</v>
      </c>
      <c r="T7" s="33">
        <v>0</v>
      </c>
      <c r="U7" s="33">
        <v>0</v>
      </c>
      <c r="V7" s="33">
        <v>0</v>
      </c>
      <c r="W7" s="33">
        <v>0</v>
      </c>
      <c r="X7" s="33">
        <v>0</v>
      </c>
      <c r="Y7" s="33">
        <v>0</v>
      </c>
      <c r="Z7" s="33">
        <v>0</v>
      </c>
      <c r="AA7" s="33">
        <v>0</v>
      </c>
      <c r="AB7" s="33">
        <v>0</v>
      </c>
      <c r="AC7" s="33">
        <v>0</v>
      </c>
      <c r="AD7" s="33">
        <v>0</v>
      </c>
      <c r="AE7" s="33">
        <v>0</v>
      </c>
      <c r="AF7" s="33">
        <v>0</v>
      </c>
      <c r="AG7" s="33">
        <v>0</v>
      </c>
      <c r="AH7" s="33">
        <v>0</v>
      </c>
      <c r="AI7" s="33">
        <v>0</v>
      </c>
      <c r="AJ7" s="33">
        <v>0</v>
      </c>
      <c r="AK7" s="33">
        <v>0</v>
      </c>
      <c r="AL7" s="33">
        <v>0</v>
      </c>
      <c r="AM7" s="33">
        <v>0</v>
      </c>
      <c r="AN7" s="33"/>
      <c r="AO7" s="33"/>
      <c r="AS7" s="31"/>
    </row>
    <row r="8" spans="1:45">
      <c r="A8" s="31">
        <v>7</v>
      </c>
      <c r="B8" s="31" t="s">
        <v>15</v>
      </c>
      <c r="C8" s="31" t="s">
        <v>520</v>
      </c>
      <c r="D8" s="31"/>
      <c r="E8" s="31"/>
      <c r="F8" s="31" t="s">
        <v>543</v>
      </c>
      <c r="G8" s="31">
        <v>2007</v>
      </c>
      <c r="H8" s="31"/>
      <c r="I8" s="33" t="s">
        <v>17</v>
      </c>
      <c r="J8" s="34">
        <v>0</v>
      </c>
      <c r="K8" s="34">
        <v>117.87568510677875</v>
      </c>
      <c r="L8" s="34">
        <v>117.87568510677875</v>
      </c>
      <c r="M8" s="34">
        <v>117.87568510677875</v>
      </c>
      <c r="N8" s="34">
        <v>117.87568510677875</v>
      </c>
      <c r="O8" s="33">
        <v>117.87568510677875</v>
      </c>
      <c r="P8" s="33">
        <v>112.2872479638088</v>
      </c>
      <c r="Q8" s="33">
        <v>112.2872479638088</v>
      </c>
      <c r="R8" s="33">
        <v>112.2872479638088</v>
      </c>
      <c r="S8" s="33">
        <v>112.2872479638088</v>
      </c>
      <c r="T8" s="33">
        <v>112.2872479638088</v>
      </c>
      <c r="U8" s="33">
        <v>112.2872479638088</v>
      </c>
      <c r="V8" s="33">
        <v>112.2872479638088</v>
      </c>
      <c r="W8" s="33">
        <v>112.2872479638088</v>
      </c>
      <c r="X8" s="33">
        <v>112.2872479638088</v>
      </c>
      <c r="Y8" s="33">
        <v>112.2872479638088</v>
      </c>
      <c r="Z8" s="33">
        <v>12.313267905893658</v>
      </c>
      <c r="AA8" s="33">
        <v>12.313267905893658</v>
      </c>
      <c r="AB8" s="33">
        <v>12.313267905893658</v>
      </c>
      <c r="AC8" s="33">
        <v>0</v>
      </c>
      <c r="AD8" s="33">
        <v>0</v>
      </c>
      <c r="AE8" s="33">
        <v>0</v>
      </c>
      <c r="AF8" s="33">
        <v>0</v>
      </c>
      <c r="AG8" s="33">
        <v>0</v>
      </c>
      <c r="AH8" s="33">
        <v>0</v>
      </c>
      <c r="AI8" s="33">
        <v>0</v>
      </c>
      <c r="AJ8" s="33">
        <v>0</v>
      </c>
      <c r="AK8" s="33">
        <v>0</v>
      </c>
      <c r="AL8" s="33">
        <v>0</v>
      </c>
      <c r="AM8" s="33">
        <v>0</v>
      </c>
      <c r="AN8" s="33"/>
      <c r="AO8" s="33"/>
      <c r="AS8" s="31"/>
    </row>
    <row r="9" spans="1:45">
      <c r="A9" s="31">
        <v>8</v>
      </c>
      <c r="B9" s="31" t="s">
        <v>15</v>
      </c>
      <c r="C9" s="31" t="s">
        <v>521</v>
      </c>
      <c r="D9" s="31"/>
      <c r="E9" s="31"/>
      <c r="F9" s="31" t="s">
        <v>543</v>
      </c>
      <c r="G9" s="31">
        <v>2007</v>
      </c>
      <c r="H9" s="31"/>
      <c r="I9" s="33" t="s">
        <v>17</v>
      </c>
      <c r="J9" s="34">
        <v>0</v>
      </c>
      <c r="K9" s="34">
        <v>706.59765787836398</v>
      </c>
      <c r="L9" s="34">
        <v>697.95602111293226</v>
      </c>
      <c r="M9" s="34">
        <v>697.95602111293226</v>
      </c>
      <c r="N9" s="34">
        <v>697.95602111293226</v>
      </c>
      <c r="O9" s="33">
        <v>697.95602111293226</v>
      </c>
      <c r="P9" s="33">
        <v>674.12112793337371</v>
      </c>
      <c r="Q9" s="33">
        <v>674.12112793337371</v>
      </c>
      <c r="R9" s="33">
        <v>674.12112793337371</v>
      </c>
      <c r="S9" s="33">
        <v>54.749276375538201</v>
      </c>
      <c r="T9" s="33">
        <v>54.749276375538201</v>
      </c>
      <c r="U9" s="33">
        <v>10.316243513196282</v>
      </c>
      <c r="V9" s="33">
        <v>10.316243513196282</v>
      </c>
      <c r="W9" s="33">
        <v>10.316243513196282</v>
      </c>
      <c r="X9" s="33">
        <v>10.316243513196282</v>
      </c>
      <c r="Y9" s="33">
        <v>10.316243513196282</v>
      </c>
      <c r="Z9" s="33">
        <v>6.162747119732785</v>
      </c>
      <c r="AA9" s="33">
        <v>2.7960996273735383</v>
      </c>
      <c r="AB9" s="33">
        <v>2.7960996273735383</v>
      </c>
      <c r="AC9" s="33">
        <v>0</v>
      </c>
      <c r="AD9" s="33">
        <v>0</v>
      </c>
      <c r="AE9" s="33">
        <v>0</v>
      </c>
      <c r="AF9" s="33">
        <v>0</v>
      </c>
      <c r="AG9" s="33">
        <v>0</v>
      </c>
      <c r="AH9" s="33">
        <v>0</v>
      </c>
      <c r="AI9" s="33">
        <v>0</v>
      </c>
      <c r="AJ9" s="33">
        <v>0</v>
      </c>
      <c r="AK9" s="33">
        <v>0</v>
      </c>
      <c r="AL9" s="33">
        <v>0</v>
      </c>
      <c r="AM9" s="33">
        <v>0</v>
      </c>
      <c r="AN9" s="33"/>
      <c r="AO9" s="33"/>
      <c r="AS9" s="31"/>
    </row>
    <row r="10" spans="1:45">
      <c r="A10" s="31">
        <v>9</v>
      </c>
      <c r="B10" s="31" t="s">
        <v>65</v>
      </c>
      <c r="C10" s="31" t="s">
        <v>524</v>
      </c>
      <c r="D10" s="31"/>
      <c r="E10" s="31"/>
      <c r="F10" s="31" t="s">
        <v>543</v>
      </c>
      <c r="G10" s="31">
        <v>2007</v>
      </c>
      <c r="H10" s="31"/>
      <c r="I10" s="33" t="s">
        <v>58</v>
      </c>
      <c r="J10" s="34">
        <v>0</v>
      </c>
      <c r="K10" s="34">
        <v>0</v>
      </c>
      <c r="L10" s="34">
        <v>0</v>
      </c>
      <c r="M10" s="34">
        <v>0</v>
      </c>
      <c r="N10" s="34">
        <v>0</v>
      </c>
      <c r="O10" s="33">
        <v>0</v>
      </c>
      <c r="P10" s="33">
        <v>0</v>
      </c>
      <c r="Q10" s="33">
        <v>0</v>
      </c>
      <c r="R10" s="33">
        <v>0</v>
      </c>
      <c r="S10" s="33">
        <v>0</v>
      </c>
      <c r="T10" s="33">
        <v>0</v>
      </c>
      <c r="U10" s="33">
        <v>0</v>
      </c>
      <c r="V10" s="33">
        <v>0</v>
      </c>
      <c r="W10" s="33">
        <v>0</v>
      </c>
      <c r="X10" s="33">
        <v>0</v>
      </c>
      <c r="Y10" s="33">
        <v>0</v>
      </c>
      <c r="Z10" s="33">
        <v>0</v>
      </c>
      <c r="AA10" s="33">
        <v>0</v>
      </c>
      <c r="AB10" s="33">
        <v>0</v>
      </c>
      <c r="AC10" s="33">
        <v>0</v>
      </c>
      <c r="AD10" s="33">
        <v>0</v>
      </c>
      <c r="AE10" s="33">
        <v>0</v>
      </c>
      <c r="AF10" s="33">
        <v>0</v>
      </c>
      <c r="AG10" s="33">
        <v>0</v>
      </c>
      <c r="AH10" s="33">
        <v>0</v>
      </c>
      <c r="AI10" s="33">
        <v>0</v>
      </c>
      <c r="AJ10" s="33">
        <v>0</v>
      </c>
      <c r="AK10" s="33">
        <v>0</v>
      </c>
      <c r="AL10" s="33">
        <v>0</v>
      </c>
      <c r="AM10" s="33">
        <v>0</v>
      </c>
      <c r="AN10" s="33"/>
      <c r="AO10" s="33"/>
      <c r="AS10" s="31"/>
    </row>
    <row r="11" spans="1:45">
      <c r="A11" s="31">
        <v>10</v>
      </c>
      <c r="B11" s="31" t="s">
        <v>15</v>
      </c>
      <c r="C11" s="31" t="s">
        <v>525</v>
      </c>
      <c r="D11" s="31"/>
      <c r="E11" s="31"/>
      <c r="F11" s="31" t="s">
        <v>543</v>
      </c>
      <c r="G11" s="31">
        <v>2007</v>
      </c>
      <c r="H11" s="31"/>
      <c r="I11" s="33" t="s">
        <v>17</v>
      </c>
      <c r="J11" s="34">
        <v>0</v>
      </c>
      <c r="K11" s="34">
        <v>329.98675831798073</v>
      </c>
      <c r="L11" s="34">
        <v>55.620070514863954</v>
      </c>
      <c r="M11" s="34">
        <v>21.053092681750751</v>
      </c>
      <c r="N11" s="34">
        <v>21.053092681750751</v>
      </c>
      <c r="O11" s="33">
        <v>21.053092681750751</v>
      </c>
      <c r="P11" s="33">
        <v>21.053092681750751</v>
      </c>
      <c r="Q11" s="33">
        <v>21.053092681750751</v>
      </c>
      <c r="R11" s="33">
        <v>21.053092681750751</v>
      </c>
      <c r="S11" s="33">
        <v>13.370915840510813</v>
      </c>
      <c r="T11" s="33">
        <v>13.370915840510813</v>
      </c>
      <c r="U11" s="33">
        <v>13.370915840510813</v>
      </c>
      <c r="V11" s="33">
        <v>13.370915840510813</v>
      </c>
      <c r="W11" s="33">
        <v>13.370915840510813</v>
      </c>
      <c r="X11" s="33">
        <v>13.370915840510813</v>
      </c>
      <c r="Y11" s="33">
        <v>0</v>
      </c>
      <c r="Z11" s="33">
        <v>0</v>
      </c>
      <c r="AA11" s="33">
        <v>0</v>
      </c>
      <c r="AB11" s="33">
        <v>0</v>
      </c>
      <c r="AC11" s="33">
        <v>0</v>
      </c>
      <c r="AD11" s="33">
        <v>0</v>
      </c>
      <c r="AE11" s="33">
        <v>0</v>
      </c>
      <c r="AF11" s="33">
        <v>0</v>
      </c>
      <c r="AG11" s="33">
        <v>0</v>
      </c>
      <c r="AH11" s="33">
        <v>0</v>
      </c>
      <c r="AI11" s="33">
        <v>0</v>
      </c>
      <c r="AJ11" s="33">
        <v>0</v>
      </c>
      <c r="AK11" s="33">
        <v>0</v>
      </c>
      <c r="AL11" s="33">
        <v>0</v>
      </c>
      <c r="AM11" s="33">
        <v>0</v>
      </c>
      <c r="AN11" s="33"/>
      <c r="AO11" s="33"/>
      <c r="AS11" s="31"/>
    </row>
    <row r="12" spans="1:45">
      <c r="A12" s="31">
        <v>11</v>
      </c>
      <c r="B12" s="31" t="s">
        <v>15</v>
      </c>
      <c r="C12" s="31" t="s">
        <v>526</v>
      </c>
      <c r="D12" s="31"/>
      <c r="E12" s="31"/>
      <c r="F12" s="31" t="s">
        <v>543</v>
      </c>
      <c r="G12" s="31">
        <v>2007</v>
      </c>
      <c r="H12" s="31"/>
      <c r="I12" s="33" t="s">
        <v>58</v>
      </c>
      <c r="J12" s="34">
        <v>0</v>
      </c>
      <c r="K12" s="34">
        <v>0</v>
      </c>
      <c r="L12" s="34">
        <v>0</v>
      </c>
      <c r="M12" s="34">
        <v>0</v>
      </c>
      <c r="N12" s="34">
        <v>0</v>
      </c>
      <c r="O12" s="33">
        <v>0</v>
      </c>
      <c r="P12" s="33">
        <v>0</v>
      </c>
      <c r="Q12" s="33">
        <v>0</v>
      </c>
      <c r="R12" s="33">
        <v>0</v>
      </c>
      <c r="S12" s="33">
        <v>0</v>
      </c>
      <c r="T12" s="33">
        <v>0</v>
      </c>
      <c r="U12" s="33">
        <v>0</v>
      </c>
      <c r="V12" s="33">
        <v>0</v>
      </c>
      <c r="W12" s="33">
        <v>0</v>
      </c>
      <c r="X12" s="33">
        <v>0</v>
      </c>
      <c r="Y12" s="33">
        <v>0</v>
      </c>
      <c r="Z12" s="33">
        <v>0</v>
      </c>
      <c r="AA12" s="33">
        <v>0</v>
      </c>
      <c r="AB12" s="33">
        <v>0</v>
      </c>
      <c r="AC12" s="33">
        <v>0</v>
      </c>
      <c r="AD12" s="33">
        <v>0</v>
      </c>
      <c r="AE12" s="33">
        <v>0</v>
      </c>
      <c r="AF12" s="33">
        <v>0</v>
      </c>
      <c r="AG12" s="33">
        <v>0</v>
      </c>
      <c r="AH12" s="33">
        <v>0</v>
      </c>
      <c r="AI12" s="33">
        <v>0</v>
      </c>
      <c r="AJ12" s="33">
        <v>0</v>
      </c>
      <c r="AK12" s="33">
        <v>0</v>
      </c>
      <c r="AL12" s="33">
        <v>0</v>
      </c>
      <c r="AM12" s="33">
        <v>0</v>
      </c>
      <c r="AN12" s="33"/>
      <c r="AO12" s="33"/>
      <c r="AS12" s="31"/>
    </row>
    <row r="13" spans="1:45">
      <c r="A13" s="31">
        <v>12</v>
      </c>
      <c r="B13" s="31" t="s">
        <v>66</v>
      </c>
      <c r="C13" s="31" t="s">
        <v>527</v>
      </c>
      <c r="D13" s="31"/>
      <c r="E13" s="31"/>
      <c r="F13" s="31" t="s">
        <v>543</v>
      </c>
      <c r="G13" s="31">
        <v>2007</v>
      </c>
      <c r="H13" s="31"/>
      <c r="I13" s="33" t="s">
        <v>17</v>
      </c>
      <c r="J13" s="34">
        <v>0</v>
      </c>
      <c r="K13" s="34">
        <v>120.72139</v>
      </c>
      <c r="L13" s="34">
        <v>120.72139</v>
      </c>
      <c r="M13" s="34">
        <v>120.72139</v>
      </c>
      <c r="N13" s="34">
        <v>120.72139</v>
      </c>
      <c r="O13" s="33">
        <v>120.72139</v>
      </c>
      <c r="P13" s="33">
        <v>120.72139</v>
      </c>
      <c r="Q13" s="33">
        <v>120.72139</v>
      </c>
      <c r="R13" s="33">
        <v>120.72139</v>
      </c>
      <c r="S13" s="33">
        <v>120.72139</v>
      </c>
      <c r="T13" s="33">
        <v>120.72139</v>
      </c>
      <c r="U13" s="33">
        <v>120.72139</v>
      </c>
      <c r="V13" s="33">
        <v>120.72139</v>
      </c>
      <c r="W13" s="33">
        <v>120.72139</v>
      </c>
      <c r="X13" s="33">
        <v>120.72139</v>
      </c>
      <c r="Y13" s="33">
        <v>0</v>
      </c>
      <c r="Z13" s="33">
        <v>0</v>
      </c>
      <c r="AA13" s="33">
        <v>0</v>
      </c>
      <c r="AB13" s="33">
        <v>0</v>
      </c>
      <c r="AC13" s="33">
        <v>0</v>
      </c>
      <c r="AD13" s="33">
        <v>0</v>
      </c>
      <c r="AE13" s="33">
        <v>0</v>
      </c>
      <c r="AF13" s="33">
        <v>0</v>
      </c>
      <c r="AG13" s="33">
        <v>0</v>
      </c>
      <c r="AH13" s="33">
        <v>0</v>
      </c>
      <c r="AI13" s="33">
        <v>0</v>
      </c>
      <c r="AJ13" s="33">
        <v>0</v>
      </c>
      <c r="AK13" s="33">
        <v>0</v>
      </c>
      <c r="AL13" s="33">
        <v>0</v>
      </c>
      <c r="AM13" s="33">
        <v>0</v>
      </c>
      <c r="AN13" s="33"/>
      <c r="AO13" s="33"/>
      <c r="AS13" s="31"/>
    </row>
    <row r="14" spans="1:45">
      <c r="A14" s="31">
        <v>13</v>
      </c>
      <c r="B14" s="31" t="s">
        <v>66</v>
      </c>
      <c r="C14" s="31" t="s">
        <v>528</v>
      </c>
      <c r="D14" s="31"/>
      <c r="E14" s="31"/>
      <c r="F14" s="31" t="s">
        <v>543</v>
      </c>
      <c r="G14" s="31">
        <v>2007</v>
      </c>
      <c r="H14" s="31"/>
      <c r="I14" s="33" t="s">
        <v>17</v>
      </c>
      <c r="J14" s="34">
        <v>0</v>
      </c>
      <c r="K14" s="34">
        <v>64.220752287921457</v>
      </c>
      <c r="L14" s="34">
        <v>64.220752287921457</v>
      </c>
      <c r="M14" s="34">
        <v>64.220752287921457</v>
      </c>
      <c r="N14" s="34">
        <v>64.220752287921457</v>
      </c>
      <c r="O14" s="33">
        <v>64.220752287921457</v>
      </c>
      <c r="P14" s="33">
        <v>64.220752287921457</v>
      </c>
      <c r="Q14" s="33">
        <v>64.220752287921457</v>
      </c>
      <c r="R14" s="33">
        <v>64.220752287921457</v>
      </c>
      <c r="S14" s="33">
        <v>64.220752287921457</v>
      </c>
      <c r="T14" s="33">
        <v>64.220752287921457</v>
      </c>
      <c r="U14" s="33">
        <v>0</v>
      </c>
      <c r="V14" s="33">
        <v>0</v>
      </c>
      <c r="W14" s="33">
        <v>0</v>
      </c>
      <c r="X14" s="33">
        <v>0</v>
      </c>
      <c r="Y14" s="33">
        <v>0</v>
      </c>
      <c r="Z14" s="33">
        <v>0</v>
      </c>
      <c r="AA14" s="33">
        <v>0</v>
      </c>
      <c r="AB14" s="33">
        <v>0</v>
      </c>
      <c r="AC14" s="33">
        <v>0</v>
      </c>
      <c r="AD14" s="33">
        <v>0</v>
      </c>
      <c r="AE14" s="33">
        <v>0</v>
      </c>
      <c r="AF14" s="33">
        <v>0</v>
      </c>
      <c r="AG14" s="33">
        <v>0</v>
      </c>
      <c r="AH14" s="33">
        <v>0</v>
      </c>
      <c r="AI14" s="33">
        <v>0</v>
      </c>
      <c r="AJ14" s="33">
        <v>0</v>
      </c>
      <c r="AK14" s="33">
        <v>0</v>
      </c>
      <c r="AL14" s="33">
        <v>0</v>
      </c>
      <c r="AM14" s="33">
        <v>0</v>
      </c>
      <c r="AN14" s="33"/>
      <c r="AO14" s="33"/>
      <c r="AS14" s="31"/>
    </row>
    <row r="15" spans="1:45">
      <c r="A15" s="31">
        <v>14</v>
      </c>
      <c r="B15" s="31" t="s">
        <v>66</v>
      </c>
      <c r="C15" s="31" t="s">
        <v>529</v>
      </c>
      <c r="D15" s="31"/>
      <c r="E15" s="31"/>
      <c r="F15" s="31" t="s">
        <v>543</v>
      </c>
      <c r="G15" s="31">
        <v>2007</v>
      </c>
      <c r="H15" s="31"/>
      <c r="I15" s="33" t="s">
        <v>17</v>
      </c>
      <c r="J15" s="34">
        <v>0</v>
      </c>
      <c r="K15" s="34">
        <v>131.6722004675193</v>
      </c>
      <c r="L15" s="34">
        <v>131.6722004675193</v>
      </c>
      <c r="M15" s="34">
        <v>131.6722004675193</v>
      </c>
      <c r="N15" s="34">
        <v>131.6722004675193</v>
      </c>
      <c r="O15" s="33">
        <v>131.6722004675193</v>
      </c>
      <c r="P15" s="33">
        <v>131.6722004675193</v>
      </c>
      <c r="Q15" s="33">
        <v>131.6722004675193</v>
      </c>
      <c r="R15" s="33">
        <v>131.6722004675193</v>
      </c>
      <c r="S15" s="33">
        <v>131.6722004675193</v>
      </c>
      <c r="T15" s="33">
        <v>131.6722004675193</v>
      </c>
      <c r="U15" s="33">
        <v>131.6722004675193</v>
      </c>
      <c r="V15" s="33">
        <v>131.6722004675193</v>
      </c>
      <c r="W15" s="33">
        <v>131.6722004675193</v>
      </c>
      <c r="X15" s="33">
        <v>131.6722004675193</v>
      </c>
      <c r="Y15" s="33">
        <v>131.6722004675193</v>
      </c>
      <c r="Z15" s="33">
        <v>131.6722004675193</v>
      </c>
      <c r="AA15" s="33">
        <v>131.6722004675193</v>
      </c>
      <c r="AB15" s="33">
        <v>131.6722004675193</v>
      </c>
      <c r="AC15" s="33">
        <v>131.6722004675193</v>
      </c>
      <c r="AD15" s="33">
        <v>0</v>
      </c>
      <c r="AE15" s="33">
        <v>0</v>
      </c>
      <c r="AF15" s="33">
        <v>0</v>
      </c>
      <c r="AG15" s="33">
        <v>0</v>
      </c>
      <c r="AH15" s="33">
        <v>0</v>
      </c>
      <c r="AI15" s="33">
        <v>0</v>
      </c>
      <c r="AJ15" s="33">
        <v>0</v>
      </c>
      <c r="AK15" s="33">
        <v>0</v>
      </c>
      <c r="AL15" s="33">
        <v>0</v>
      </c>
      <c r="AM15" s="33">
        <v>0</v>
      </c>
      <c r="AN15" s="33"/>
      <c r="AO15" s="33"/>
      <c r="AS15" s="31"/>
    </row>
    <row r="16" spans="1:45">
      <c r="A16" s="31">
        <v>15</v>
      </c>
      <c r="B16" s="31" t="s">
        <v>1</v>
      </c>
      <c r="C16" s="31" t="s">
        <v>530</v>
      </c>
      <c r="D16" s="31"/>
      <c r="E16" s="31"/>
      <c r="F16" s="31" t="s">
        <v>543</v>
      </c>
      <c r="G16" s="31">
        <v>2007</v>
      </c>
      <c r="H16" s="31"/>
      <c r="I16" s="33" t="s">
        <v>71</v>
      </c>
      <c r="J16" s="34">
        <v>0</v>
      </c>
      <c r="K16" s="34">
        <v>0</v>
      </c>
      <c r="L16" s="34">
        <v>0</v>
      </c>
      <c r="M16" s="34">
        <v>0</v>
      </c>
      <c r="N16" s="34">
        <v>0</v>
      </c>
      <c r="O16" s="33">
        <v>0</v>
      </c>
      <c r="P16" s="33">
        <v>0</v>
      </c>
      <c r="Q16" s="33">
        <v>0</v>
      </c>
      <c r="R16" s="33">
        <v>0</v>
      </c>
      <c r="S16" s="33">
        <v>0</v>
      </c>
      <c r="T16" s="33">
        <v>0</v>
      </c>
      <c r="U16" s="33">
        <v>0</v>
      </c>
      <c r="V16" s="33">
        <v>0</v>
      </c>
      <c r="W16" s="33">
        <v>0</v>
      </c>
      <c r="X16" s="33">
        <v>0</v>
      </c>
      <c r="Y16" s="33">
        <v>0</v>
      </c>
      <c r="Z16" s="33">
        <v>0</v>
      </c>
      <c r="AA16" s="33">
        <v>0</v>
      </c>
      <c r="AB16" s="33">
        <v>0</v>
      </c>
      <c r="AC16" s="33">
        <v>0</v>
      </c>
      <c r="AD16" s="33">
        <v>0</v>
      </c>
      <c r="AE16" s="33">
        <v>0</v>
      </c>
      <c r="AF16" s="33">
        <v>0</v>
      </c>
      <c r="AG16" s="33">
        <v>0</v>
      </c>
      <c r="AH16" s="33">
        <v>0</v>
      </c>
      <c r="AI16" s="33">
        <v>0</v>
      </c>
      <c r="AJ16" s="33">
        <v>0</v>
      </c>
      <c r="AK16" s="33">
        <v>0</v>
      </c>
      <c r="AL16" s="33">
        <v>0</v>
      </c>
      <c r="AM16" s="33">
        <v>0</v>
      </c>
      <c r="AN16" s="33"/>
      <c r="AO16" s="33"/>
      <c r="AS16" s="31"/>
    </row>
    <row r="17" spans="1:45">
      <c r="A17" s="31">
        <v>16</v>
      </c>
      <c r="B17" s="31" t="s">
        <v>1</v>
      </c>
      <c r="C17" s="31" t="s">
        <v>139</v>
      </c>
      <c r="D17" s="31"/>
      <c r="E17" s="31"/>
      <c r="F17" s="31" t="s">
        <v>543</v>
      </c>
      <c r="G17" s="31">
        <v>2007</v>
      </c>
      <c r="H17" s="31"/>
      <c r="I17" s="33" t="s">
        <v>58</v>
      </c>
      <c r="J17" s="34">
        <v>0</v>
      </c>
      <c r="K17" s="34">
        <v>0</v>
      </c>
      <c r="L17" s="34">
        <v>0</v>
      </c>
      <c r="M17" s="34">
        <v>0</v>
      </c>
      <c r="N17" s="34">
        <v>0</v>
      </c>
      <c r="O17" s="33">
        <v>0</v>
      </c>
      <c r="P17" s="33">
        <v>0</v>
      </c>
      <c r="Q17" s="33">
        <v>0</v>
      </c>
      <c r="R17" s="33">
        <v>0</v>
      </c>
      <c r="S17" s="33">
        <v>0</v>
      </c>
      <c r="T17" s="33">
        <v>0</v>
      </c>
      <c r="U17" s="33">
        <v>0</v>
      </c>
      <c r="V17" s="33">
        <v>0</v>
      </c>
      <c r="W17" s="33">
        <v>0</v>
      </c>
      <c r="X17" s="33">
        <v>0</v>
      </c>
      <c r="Y17" s="33">
        <v>0</v>
      </c>
      <c r="Z17" s="33">
        <v>0</v>
      </c>
      <c r="AA17" s="33">
        <v>0</v>
      </c>
      <c r="AB17" s="33">
        <v>0</v>
      </c>
      <c r="AC17" s="33">
        <v>0</v>
      </c>
      <c r="AD17" s="33">
        <v>0</v>
      </c>
      <c r="AE17" s="33">
        <v>0</v>
      </c>
      <c r="AF17" s="33">
        <v>0</v>
      </c>
      <c r="AG17" s="33">
        <v>0</v>
      </c>
      <c r="AH17" s="33">
        <v>0</v>
      </c>
      <c r="AI17" s="33">
        <v>0</v>
      </c>
      <c r="AJ17" s="33">
        <v>0</v>
      </c>
      <c r="AK17" s="33">
        <v>0</v>
      </c>
      <c r="AL17" s="33">
        <v>0</v>
      </c>
      <c r="AM17" s="33">
        <v>0</v>
      </c>
      <c r="AN17" s="33"/>
      <c r="AO17" s="33"/>
      <c r="AS17" s="31"/>
    </row>
    <row r="18" spans="1:45">
      <c r="A18" s="31">
        <v>17</v>
      </c>
      <c r="B18" s="31" t="s">
        <v>62</v>
      </c>
      <c r="C18" s="31" t="s">
        <v>522</v>
      </c>
      <c r="D18" s="31"/>
      <c r="E18" s="31"/>
      <c r="F18" s="31" t="s">
        <v>543</v>
      </c>
      <c r="G18" s="31">
        <v>2007</v>
      </c>
      <c r="H18" s="31"/>
      <c r="I18" s="33" t="s">
        <v>71</v>
      </c>
      <c r="J18" s="34">
        <v>0</v>
      </c>
      <c r="K18" s="34">
        <v>0</v>
      </c>
      <c r="L18" s="34">
        <v>0</v>
      </c>
      <c r="M18" s="34">
        <v>0</v>
      </c>
      <c r="N18" s="34">
        <v>0</v>
      </c>
      <c r="O18" s="33">
        <v>0</v>
      </c>
      <c r="P18" s="33">
        <v>0</v>
      </c>
      <c r="Q18" s="33">
        <v>0</v>
      </c>
      <c r="R18" s="33">
        <v>0</v>
      </c>
      <c r="S18" s="33">
        <v>0</v>
      </c>
      <c r="T18" s="33">
        <v>0</v>
      </c>
      <c r="U18" s="33">
        <v>0</v>
      </c>
      <c r="V18" s="33">
        <v>0</v>
      </c>
      <c r="W18" s="33">
        <v>0</v>
      </c>
      <c r="X18" s="33">
        <v>0</v>
      </c>
      <c r="Y18" s="33">
        <v>0</v>
      </c>
      <c r="Z18" s="33">
        <v>0</v>
      </c>
      <c r="AA18" s="33">
        <v>0</v>
      </c>
      <c r="AB18" s="33">
        <v>0</v>
      </c>
      <c r="AC18" s="33">
        <v>0</v>
      </c>
      <c r="AD18" s="33">
        <v>0</v>
      </c>
      <c r="AE18" s="33">
        <v>0</v>
      </c>
      <c r="AF18" s="33">
        <v>0</v>
      </c>
      <c r="AG18" s="33">
        <v>0</v>
      </c>
      <c r="AH18" s="33">
        <v>0</v>
      </c>
      <c r="AI18" s="33">
        <v>0</v>
      </c>
      <c r="AJ18" s="33">
        <v>0</v>
      </c>
      <c r="AK18" s="33">
        <v>0</v>
      </c>
      <c r="AL18" s="33">
        <v>0</v>
      </c>
      <c r="AM18" s="33">
        <v>0</v>
      </c>
      <c r="AN18" s="33"/>
      <c r="AO18" s="33"/>
      <c r="AS18" s="31"/>
    </row>
    <row r="19" spans="1:45">
      <c r="A19" s="31">
        <v>18</v>
      </c>
      <c r="B19" s="31" t="s">
        <v>62</v>
      </c>
      <c r="C19" s="31" t="s">
        <v>63</v>
      </c>
      <c r="D19" s="31"/>
      <c r="E19" s="31"/>
      <c r="F19" s="31" t="s">
        <v>543</v>
      </c>
      <c r="G19" s="31">
        <v>2007</v>
      </c>
      <c r="H19" s="31"/>
      <c r="I19" s="33" t="s">
        <v>71</v>
      </c>
      <c r="J19" s="34">
        <v>0</v>
      </c>
      <c r="K19" s="34">
        <v>0</v>
      </c>
      <c r="L19" s="34">
        <v>0</v>
      </c>
      <c r="M19" s="34">
        <v>0</v>
      </c>
      <c r="N19" s="34">
        <v>0</v>
      </c>
      <c r="O19" s="33">
        <v>0</v>
      </c>
      <c r="P19" s="33">
        <v>0</v>
      </c>
      <c r="Q19" s="33">
        <v>0</v>
      </c>
      <c r="R19" s="33">
        <v>0</v>
      </c>
      <c r="S19" s="33">
        <v>0</v>
      </c>
      <c r="T19" s="33">
        <v>0</v>
      </c>
      <c r="U19" s="33">
        <v>0</v>
      </c>
      <c r="V19" s="33">
        <v>0</v>
      </c>
      <c r="W19" s="33">
        <v>0</v>
      </c>
      <c r="X19" s="33">
        <v>0</v>
      </c>
      <c r="Y19" s="33">
        <v>0</v>
      </c>
      <c r="Z19" s="33">
        <v>0</v>
      </c>
      <c r="AA19" s="33">
        <v>0</v>
      </c>
      <c r="AB19" s="33">
        <v>0</v>
      </c>
      <c r="AC19" s="33">
        <v>0</v>
      </c>
      <c r="AD19" s="33">
        <v>0</v>
      </c>
      <c r="AE19" s="33">
        <v>0</v>
      </c>
      <c r="AF19" s="33">
        <v>0</v>
      </c>
      <c r="AG19" s="33">
        <v>0</v>
      </c>
      <c r="AH19" s="33">
        <v>0</v>
      </c>
      <c r="AI19" s="33">
        <v>0</v>
      </c>
      <c r="AJ19" s="33">
        <v>0</v>
      </c>
      <c r="AK19" s="33">
        <v>0</v>
      </c>
      <c r="AL19" s="33">
        <v>0</v>
      </c>
      <c r="AM19" s="33">
        <v>0</v>
      </c>
      <c r="AN19" s="33"/>
      <c r="AO19" s="33"/>
      <c r="AS19" s="31"/>
    </row>
    <row r="20" spans="1:45">
      <c r="A20" s="31">
        <v>19</v>
      </c>
      <c r="B20" s="31" t="s">
        <v>67</v>
      </c>
      <c r="C20" s="31" t="s">
        <v>531</v>
      </c>
      <c r="D20" s="31"/>
      <c r="E20" s="31"/>
      <c r="F20" s="31" t="s">
        <v>543</v>
      </c>
      <c r="G20" s="31">
        <v>2007</v>
      </c>
      <c r="H20" s="31"/>
      <c r="I20" s="33" t="s">
        <v>17</v>
      </c>
      <c r="J20" s="34">
        <v>0</v>
      </c>
      <c r="K20" s="34">
        <v>24.438648000000001</v>
      </c>
      <c r="L20" s="34">
        <v>24.438648000000001</v>
      </c>
      <c r="M20" s="34">
        <v>24.438648000000001</v>
      </c>
      <c r="N20" s="34">
        <v>24.438648000000001</v>
      </c>
      <c r="O20" s="33">
        <v>24.438648000000001</v>
      </c>
      <c r="P20" s="33">
        <v>24.438648000000001</v>
      </c>
      <c r="Q20" s="33">
        <v>24.438648000000001</v>
      </c>
      <c r="R20" s="33">
        <v>24.438648000000001</v>
      </c>
      <c r="S20" s="33">
        <v>24.438648000000001</v>
      </c>
      <c r="T20" s="33">
        <v>24.438648000000001</v>
      </c>
      <c r="U20" s="33">
        <v>24.438648000000001</v>
      </c>
      <c r="V20" s="33">
        <v>24.438648000000001</v>
      </c>
      <c r="W20" s="33">
        <v>24.438648000000001</v>
      </c>
      <c r="X20" s="33">
        <v>24.438648000000001</v>
      </c>
      <c r="Y20" s="33">
        <v>24.438648000000001</v>
      </c>
      <c r="Z20" s="33">
        <v>24.438648000000001</v>
      </c>
      <c r="AA20" s="33">
        <v>24.438648000000001</v>
      </c>
      <c r="AB20" s="33">
        <v>24.438648000000001</v>
      </c>
      <c r="AC20" s="33">
        <v>24.438648000000001</v>
      </c>
      <c r="AD20" s="33">
        <v>24.438648000000001</v>
      </c>
      <c r="AE20" s="33">
        <v>0</v>
      </c>
      <c r="AF20" s="33">
        <v>0</v>
      </c>
      <c r="AG20" s="33">
        <v>0</v>
      </c>
      <c r="AH20" s="33">
        <v>0</v>
      </c>
      <c r="AI20" s="33">
        <v>0</v>
      </c>
      <c r="AJ20" s="33">
        <v>0</v>
      </c>
      <c r="AK20" s="33">
        <v>0</v>
      </c>
      <c r="AL20" s="33">
        <v>0</v>
      </c>
      <c r="AM20" s="33">
        <v>0</v>
      </c>
      <c r="AN20" s="33"/>
      <c r="AO20" s="33"/>
      <c r="AS20" s="31"/>
    </row>
    <row r="21" spans="1:45">
      <c r="A21" s="31">
        <v>20</v>
      </c>
      <c r="B21" s="31" t="s">
        <v>15</v>
      </c>
      <c r="C21" s="31" t="s">
        <v>523</v>
      </c>
      <c r="D21" s="31"/>
      <c r="E21" s="31"/>
      <c r="F21" s="31" t="s">
        <v>543</v>
      </c>
      <c r="G21" s="31">
        <v>2008</v>
      </c>
      <c r="H21" s="31"/>
      <c r="I21" s="33" t="s">
        <v>17</v>
      </c>
      <c r="J21" s="34">
        <v>0</v>
      </c>
      <c r="K21" s="34">
        <v>0</v>
      </c>
      <c r="L21" s="34">
        <v>114.40516</v>
      </c>
      <c r="M21" s="34">
        <v>114.40516</v>
      </c>
      <c r="N21" s="34">
        <v>114.40516</v>
      </c>
      <c r="O21" s="33">
        <v>114.40516</v>
      </c>
      <c r="P21" s="33">
        <v>114.12147999999998</v>
      </c>
      <c r="Q21" s="33">
        <v>113.83779999999999</v>
      </c>
      <c r="R21" s="33">
        <v>113.83779999999999</v>
      </c>
      <c r="S21" s="33">
        <v>113.83779999999999</v>
      </c>
      <c r="T21" s="33">
        <v>90.364999999999995</v>
      </c>
      <c r="U21" s="33">
        <v>0</v>
      </c>
      <c r="V21" s="33">
        <v>0</v>
      </c>
      <c r="W21" s="33">
        <v>0</v>
      </c>
      <c r="X21" s="33">
        <v>0</v>
      </c>
      <c r="Y21" s="33">
        <v>0</v>
      </c>
      <c r="Z21" s="33">
        <v>0</v>
      </c>
      <c r="AA21" s="33">
        <v>0</v>
      </c>
      <c r="AB21" s="33">
        <v>0</v>
      </c>
      <c r="AC21" s="33">
        <v>0</v>
      </c>
      <c r="AD21" s="33">
        <v>0</v>
      </c>
      <c r="AE21" s="33">
        <v>0</v>
      </c>
      <c r="AF21" s="33">
        <v>0</v>
      </c>
      <c r="AG21" s="33">
        <v>0</v>
      </c>
      <c r="AH21" s="33">
        <v>0</v>
      </c>
      <c r="AI21" s="33">
        <v>0</v>
      </c>
      <c r="AJ21" s="33">
        <v>0</v>
      </c>
      <c r="AK21" s="33">
        <v>0</v>
      </c>
      <c r="AL21" s="33">
        <v>0</v>
      </c>
      <c r="AM21" s="33">
        <v>0</v>
      </c>
      <c r="AN21" s="33"/>
      <c r="AO21" s="33"/>
      <c r="AS21" s="31"/>
    </row>
    <row r="22" spans="1:45">
      <c r="A22" s="31">
        <v>21</v>
      </c>
      <c r="B22" s="31" t="s">
        <v>15</v>
      </c>
      <c r="C22" s="31" t="s">
        <v>532</v>
      </c>
      <c r="D22" s="31"/>
      <c r="E22" s="31"/>
      <c r="F22" s="31" t="s">
        <v>543</v>
      </c>
      <c r="G22" s="31">
        <v>2008</v>
      </c>
      <c r="H22" s="31"/>
      <c r="I22" s="33" t="s">
        <v>17</v>
      </c>
      <c r="J22" s="34">
        <v>0</v>
      </c>
      <c r="K22" s="34">
        <v>0</v>
      </c>
      <c r="L22" s="34">
        <v>115.59733116888511</v>
      </c>
      <c r="M22" s="34">
        <v>115.59733116888511</v>
      </c>
      <c r="N22" s="34">
        <v>115.59733116888511</v>
      </c>
      <c r="O22" s="33">
        <v>115.59733116888511</v>
      </c>
      <c r="P22" s="33">
        <v>115.59733116888511</v>
      </c>
      <c r="Q22" s="33">
        <v>115.59733116888511</v>
      </c>
      <c r="R22" s="33">
        <v>115.59733116888511</v>
      </c>
      <c r="S22" s="33">
        <v>115.59733116888511</v>
      </c>
      <c r="T22" s="33">
        <v>115.59733116888511</v>
      </c>
      <c r="U22" s="33">
        <v>115.59733116888511</v>
      </c>
      <c r="V22" s="33">
        <v>115.59733116888511</v>
      </c>
      <c r="W22" s="33">
        <v>115.59733116888511</v>
      </c>
      <c r="X22" s="33">
        <v>115.59733116888511</v>
      </c>
      <c r="Y22" s="33">
        <v>115.59733116888511</v>
      </c>
      <c r="Z22" s="33">
        <v>115.59733116888511</v>
      </c>
      <c r="AA22" s="33">
        <v>92.180854829928066</v>
      </c>
      <c r="AB22" s="33">
        <v>92.180854829928066</v>
      </c>
      <c r="AC22" s="33">
        <v>92.180854829928066</v>
      </c>
      <c r="AD22" s="33">
        <v>0</v>
      </c>
      <c r="AE22" s="33">
        <v>0</v>
      </c>
      <c r="AF22" s="33">
        <v>0</v>
      </c>
      <c r="AG22" s="33">
        <v>0</v>
      </c>
      <c r="AH22" s="33">
        <v>0</v>
      </c>
      <c r="AI22" s="33">
        <v>0</v>
      </c>
      <c r="AJ22" s="33">
        <v>0</v>
      </c>
      <c r="AK22" s="33">
        <v>0</v>
      </c>
      <c r="AL22" s="33">
        <v>0</v>
      </c>
      <c r="AM22" s="33">
        <v>0</v>
      </c>
      <c r="AN22" s="33"/>
      <c r="AO22" s="33"/>
      <c r="AS22" s="31"/>
    </row>
    <row r="23" spans="1:45">
      <c r="A23" s="31">
        <v>22</v>
      </c>
      <c r="B23" s="31" t="s">
        <v>15</v>
      </c>
      <c r="C23" s="31" t="s">
        <v>533</v>
      </c>
      <c r="D23" s="31"/>
      <c r="E23" s="31"/>
      <c r="F23" s="31" t="s">
        <v>543</v>
      </c>
      <c r="G23" s="31">
        <v>2008</v>
      </c>
      <c r="H23" s="31"/>
      <c r="I23" s="33" t="s">
        <v>17</v>
      </c>
      <c r="J23" s="34">
        <v>0</v>
      </c>
      <c r="K23" s="34">
        <v>0</v>
      </c>
      <c r="L23" s="34">
        <v>586.80083092528616</v>
      </c>
      <c r="M23" s="34">
        <v>584.24816249900425</v>
      </c>
      <c r="N23" s="34">
        <v>584.24816249900425</v>
      </c>
      <c r="O23" s="33">
        <v>584.24816249900425</v>
      </c>
      <c r="P23" s="33">
        <v>495.89046442035021</v>
      </c>
      <c r="Q23" s="33">
        <v>495.89046442035021</v>
      </c>
      <c r="R23" s="33">
        <v>403.88130234424233</v>
      </c>
      <c r="S23" s="33">
        <v>335.1426669440844</v>
      </c>
      <c r="T23" s="33">
        <v>211.5981537201412</v>
      </c>
      <c r="U23" s="33">
        <v>208.9010914171856</v>
      </c>
      <c r="V23" s="33">
        <v>171.30116197290698</v>
      </c>
      <c r="W23" s="33">
        <v>171.30116197290698</v>
      </c>
      <c r="X23" s="33">
        <v>162.49249884426379</v>
      </c>
      <c r="Y23" s="33">
        <v>162.49249884426379</v>
      </c>
      <c r="Z23" s="33">
        <v>162.49249884426379</v>
      </c>
      <c r="AA23" s="33">
        <v>156.421604982259</v>
      </c>
      <c r="AB23" s="33">
        <v>0</v>
      </c>
      <c r="AC23" s="33">
        <v>0</v>
      </c>
      <c r="AD23" s="33">
        <v>0</v>
      </c>
      <c r="AE23" s="33">
        <v>0</v>
      </c>
      <c r="AF23" s="33">
        <v>0</v>
      </c>
      <c r="AG23" s="33">
        <v>0</v>
      </c>
      <c r="AH23" s="33">
        <v>0</v>
      </c>
      <c r="AI23" s="33">
        <v>0</v>
      </c>
      <c r="AJ23" s="33">
        <v>0</v>
      </c>
      <c r="AK23" s="33">
        <v>0</v>
      </c>
      <c r="AL23" s="33">
        <v>0</v>
      </c>
      <c r="AM23" s="33">
        <v>0</v>
      </c>
      <c r="AN23" s="33"/>
      <c r="AO23" s="33"/>
      <c r="AS23" s="31"/>
    </row>
    <row r="24" spans="1:45">
      <c r="A24" s="31">
        <v>23</v>
      </c>
      <c r="B24" s="31" t="s">
        <v>65</v>
      </c>
      <c r="C24" s="31" t="s">
        <v>524</v>
      </c>
      <c r="D24" s="31"/>
      <c r="E24" s="31"/>
      <c r="F24" s="31" t="s">
        <v>543</v>
      </c>
      <c r="G24" s="31">
        <v>2008</v>
      </c>
      <c r="H24" s="31"/>
      <c r="I24" s="33" t="s">
        <v>58</v>
      </c>
      <c r="J24" s="34">
        <v>0</v>
      </c>
      <c r="K24" s="34">
        <v>0</v>
      </c>
      <c r="L24" s="34">
        <v>0</v>
      </c>
      <c r="M24" s="34">
        <v>0</v>
      </c>
      <c r="N24" s="34">
        <v>0</v>
      </c>
      <c r="O24" s="33">
        <v>0</v>
      </c>
      <c r="P24" s="33">
        <v>0</v>
      </c>
      <c r="Q24" s="33">
        <v>0</v>
      </c>
      <c r="R24" s="33">
        <v>0</v>
      </c>
      <c r="S24" s="33">
        <v>0</v>
      </c>
      <c r="T24" s="33">
        <v>0</v>
      </c>
      <c r="U24" s="33">
        <v>0</v>
      </c>
      <c r="V24" s="33">
        <v>0</v>
      </c>
      <c r="W24" s="33">
        <v>0</v>
      </c>
      <c r="X24" s="33">
        <v>0</v>
      </c>
      <c r="Y24" s="33">
        <v>0</v>
      </c>
      <c r="Z24" s="33">
        <v>0</v>
      </c>
      <c r="AA24" s="33">
        <v>0</v>
      </c>
      <c r="AB24" s="33">
        <v>0</v>
      </c>
      <c r="AC24" s="33">
        <v>0</v>
      </c>
      <c r="AD24" s="33">
        <v>0</v>
      </c>
      <c r="AE24" s="33">
        <v>0</v>
      </c>
      <c r="AF24" s="33">
        <v>0</v>
      </c>
      <c r="AG24" s="33">
        <v>0</v>
      </c>
      <c r="AH24" s="33">
        <v>0</v>
      </c>
      <c r="AI24" s="33">
        <v>0</v>
      </c>
      <c r="AJ24" s="33">
        <v>0</v>
      </c>
      <c r="AK24" s="33">
        <v>0</v>
      </c>
      <c r="AL24" s="33">
        <v>0</v>
      </c>
      <c r="AM24" s="33">
        <v>0</v>
      </c>
      <c r="AN24" s="33"/>
      <c r="AO24" s="33"/>
      <c r="AS24" s="31"/>
    </row>
    <row r="25" spans="1:45">
      <c r="A25" s="31">
        <v>24</v>
      </c>
      <c r="B25" s="31" t="s">
        <v>15</v>
      </c>
      <c r="C25" s="31" t="s">
        <v>534</v>
      </c>
      <c r="D25" s="31"/>
      <c r="E25" s="31"/>
      <c r="F25" s="31" t="s">
        <v>543</v>
      </c>
      <c r="G25" s="31">
        <v>2008</v>
      </c>
      <c r="H25" s="31"/>
      <c r="I25" s="33" t="s">
        <v>17</v>
      </c>
      <c r="J25" s="34">
        <v>0</v>
      </c>
      <c r="K25" s="34">
        <v>0</v>
      </c>
      <c r="L25" s="34">
        <v>263.04053755573591</v>
      </c>
      <c r="M25" s="34">
        <v>94.919061593347493</v>
      </c>
      <c r="N25" s="34">
        <v>94.919061593347493</v>
      </c>
      <c r="O25" s="33">
        <v>94.919061593347493</v>
      </c>
      <c r="P25" s="33">
        <v>94.919061593347493</v>
      </c>
      <c r="Q25" s="33">
        <v>94.919061593347493</v>
      </c>
      <c r="R25" s="33">
        <v>94.919061593347493</v>
      </c>
      <c r="S25" s="33">
        <v>94.919061593347493</v>
      </c>
      <c r="T25" s="33">
        <v>52.000047194422017</v>
      </c>
      <c r="U25" s="33">
        <v>52.000047194422017</v>
      </c>
      <c r="V25" s="33">
        <v>39.400394351800976</v>
      </c>
      <c r="W25" s="33">
        <v>39.400394351800976</v>
      </c>
      <c r="X25" s="33">
        <v>39.400394351800976</v>
      </c>
      <c r="Y25" s="33">
        <v>34.858617178971095</v>
      </c>
      <c r="Z25" s="33">
        <v>33.240359680946696</v>
      </c>
      <c r="AA25" s="33">
        <v>31.603078487661914</v>
      </c>
      <c r="AB25" s="33">
        <v>31.603078487661914</v>
      </c>
      <c r="AC25" s="33">
        <v>31.603078487661914</v>
      </c>
      <c r="AD25" s="33">
        <v>31.603078487661914</v>
      </c>
      <c r="AE25" s="33">
        <v>31.603078487661914</v>
      </c>
      <c r="AF25" s="33">
        <v>0</v>
      </c>
      <c r="AG25" s="33">
        <v>0</v>
      </c>
      <c r="AH25" s="33">
        <v>0</v>
      </c>
      <c r="AI25" s="33">
        <v>0</v>
      </c>
      <c r="AJ25" s="33">
        <v>0</v>
      </c>
      <c r="AK25" s="33">
        <v>0</v>
      </c>
      <c r="AL25" s="33">
        <v>0</v>
      </c>
      <c r="AM25" s="33">
        <v>0</v>
      </c>
      <c r="AN25" s="33"/>
      <c r="AO25" s="33"/>
      <c r="AS25" s="31"/>
    </row>
    <row r="26" spans="1:45">
      <c r="A26" s="31">
        <v>25</v>
      </c>
      <c r="B26" s="31" t="s">
        <v>65</v>
      </c>
      <c r="C26" s="31" t="s">
        <v>530</v>
      </c>
      <c r="D26" s="31"/>
      <c r="E26" s="31"/>
      <c r="F26" s="31" t="s">
        <v>543</v>
      </c>
      <c r="G26" s="31">
        <v>2008</v>
      </c>
      <c r="H26" s="31"/>
      <c r="I26" s="33" t="s">
        <v>71</v>
      </c>
      <c r="J26" s="34">
        <v>0</v>
      </c>
      <c r="K26" s="34">
        <v>0</v>
      </c>
      <c r="L26" s="34">
        <v>1366.6943951189435</v>
      </c>
      <c r="M26" s="34">
        <v>1366.6850616468018</v>
      </c>
      <c r="N26" s="34">
        <v>1366.6850616468018</v>
      </c>
      <c r="O26" s="33">
        <v>1366.6850616468018</v>
      </c>
      <c r="P26" s="33">
        <v>1366.6850616468018</v>
      </c>
      <c r="Q26" s="33">
        <v>1366.6850616468018</v>
      </c>
      <c r="R26" s="33">
        <v>1366.6850616468018</v>
      </c>
      <c r="S26" s="33">
        <v>1366.6850616468018</v>
      </c>
      <c r="T26" s="33">
        <v>1255.2022258965644</v>
      </c>
      <c r="U26" s="33">
        <v>1255.2022258965644</v>
      </c>
      <c r="V26" s="33">
        <v>1255.2022258965644</v>
      </c>
      <c r="W26" s="33">
        <v>1255.2022258965644</v>
      </c>
      <c r="X26" s="33">
        <v>1255.2022258965644</v>
      </c>
      <c r="Y26" s="33">
        <v>1255.2022258965644</v>
      </c>
      <c r="Z26" s="33">
        <v>1255.2022258965644</v>
      </c>
      <c r="AA26" s="33">
        <v>1217.5461591196672</v>
      </c>
      <c r="AB26" s="33">
        <v>0</v>
      </c>
      <c r="AC26" s="33">
        <v>0</v>
      </c>
      <c r="AD26" s="33">
        <v>0</v>
      </c>
      <c r="AE26" s="33">
        <v>0</v>
      </c>
      <c r="AF26" s="33">
        <v>0</v>
      </c>
      <c r="AG26" s="33">
        <v>0</v>
      </c>
      <c r="AH26" s="33">
        <v>0</v>
      </c>
      <c r="AI26" s="33">
        <v>0</v>
      </c>
      <c r="AJ26" s="33">
        <v>0</v>
      </c>
      <c r="AK26" s="33">
        <v>0</v>
      </c>
      <c r="AL26" s="33">
        <v>0</v>
      </c>
      <c r="AM26" s="33">
        <v>0</v>
      </c>
      <c r="AN26" s="33"/>
      <c r="AO26" s="33"/>
      <c r="AS26" s="31"/>
    </row>
    <row r="27" spans="1:45">
      <c r="A27" s="31">
        <v>26</v>
      </c>
      <c r="B27" s="31" t="s">
        <v>68</v>
      </c>
      <c r="C27" s="31" t="s">
        <v>139</v>
      </c>
      <c r="D27" s="31"/>
      <c r="E27" s="31"/>
      <c r="F27" s="31" t="s">
        <v>543</v>
      </c>
      <c r="G27" s="31">
        <v>2008</v>
      </c>
      <c r="H27" s="31"/>
      <c r="I27" s="33" t="s">
        <v>58</v>
      </c>
      <c r="J27" s="34">
        <v>0</v>
      </c>
      <c r="K27" s="34">
        <v>0</v>
      </c>
      <c r="L27" s="34">
        <v>0</v>
      </c>
      <c r="M27" s="34">
        <v>0</v>
      </c>
      <c r="N27" s="34">
        <v>0</v>
      </c>
      <c r="O27" s="33">
        <v>0</v>
      </c>
      <c r="P27" s="33">
        <v>0</v>
      </c>
      <c r="Q27" s="33">
        <v>0</v>
      </c>
      <c r="R27" s="33">
        <v>0</v>
      </c>
      <c r="S27" s="33">
        <v>0</v>
      </c>
      <c r="T27" s="33">
        <v>0</v>
      </c>
      <c r="U27" s="33">
        <v>0</v>
      </c>
      <c r="V27" s="33">
        <v>0</v>
      </c>
      <c r="W27" s="33">
        <v>0</v>
      </c>
      <c r="X27" s="33">
        <v>0</v>
      </c>
      <c r="Y27" s="33">
        <v>0</v>
      </c>
      <c r="Z27" s="33">
        <v>0</v>
      </c>
      <c r="AA27" s="33">
        <v>0</v>
      </c>
      <c r="AB27" s="33">
        <v>0</v>
      </c>
      <c r="AC27" s="33">
        <v>0</v>
      </c>
      <c r="AD27" s="33">
        <v>0</v>
      </c>
      <c r="AE27" s="33">
        <v>0</v>
      </c>
      <c r="AF27" s="33">
        <v>0</v>
      </c>
      <c r="AG27" s="33">
        <v>0</v>
      </c>
      <c r="AH27" s="33">
        <v>0</v>
      </c>
      <c r="AI27" s="33">
        <v>0</v>
      </c>
      <c r="AJ27" s="33">
        <v>0</v>
      </c>
      <c r="AK27" s="33">
        <v>0</v>
      </c>
      <c r="AL27" s="33">
        <v>0</v>
      </c>
      <c r="AM27" s="33">
        <v>0</v>
      </c>
      <c r="AN27" s="33"/>
      <c r="AO27" s="33"/>
      <c r="AS27" s="31"/>
    </row>
    <row r="28" spans="1:45">
      <c r="A28" s="31">
        <v>27</v>
      </c>
      <c r="B28" s="31" t="s">
        <v>1</v>
      </c>
      <c r="C28" s="31" t="s">
        <v>42</v>
      </c>
      <c r="D28" s="31"/>
      <c r="E28" s="31"/>
      <c r="F28" s="31" t="s">
        <v>543</v>
      </c>
      <c r="G28" s="31">
        <v>2008</v>
      </c>
      <c r="H28" s="31"/>
      <c r="I28" s="33" t="s">
        <v>71</v>
      </c>
      <c r="J28" s="34">
        <v>0</v>
      </c>
      <c r="K28" s="34">
        <v>0</v>
      </c>
      <c r="L28" s="34">
        <v>1.898213735600969</v>
      </c>
      <c r="M28" s="34">
        <v>1.898213735600969</v>
      </c>
      <c r="N28" s="34">
        <v>1.898213735600969</v>
      </c>
      <c r="O28" s="33">
        <v>1.898213735600969</v>
      </c>
      <c r="P28" s="33">
        <v>1.898213735600969</v>
      </c>
      <c r="Q28" s="33">
        <v>1.898213735600969</v>
      </c>
      <c r="R28" s="33">
        <v>1.898213735600969</v>
      </c>
      <c r="S28" s="33">
        <v>1.898213735600969</v>
      </c>
      <c r="T28" s="33">
        <v>1.898213735600969</v>
      </c>
      <c r="U28" s="33">
        <v>1.898213735600969</v>
      </c>
      <c r="V28" s="33">
        <v>1.898213735600969</v>
      </c>
      <c r="W28" s="33">
        <v>1.898213735600969</v>
      </c>
      <c r="X28" s="33">
        <v>1.898213735600969</v>
      </c>
      <c r="Y28" s="33">
        <v>1.898213735600969</v>
      </c>
      <c r="Z28" s="33">
        <v>0</v>
      </c>
      <c r="AA28" s="33">
        <v>0</v>
      </c>
      <c r="AB28" s="33">
        <v>0</v>
      </c>
      <c r="AC28" s="33">
        <v>0</v>
      </c>
      <c r="AD28" s="33">
        <v>0</v>
      </c>
      <c r="AE28" s="33">
        <v>0</v>
      </c>
      <c r="AF28" s="33">
        <v>0</v>
      </c>
      <c r="AG28" s="33">
        <v>0</v>
      </c>
      <c r="AH28" s="33">
        <v>0</v>
      </c>
      <c r="AI28" s="33">
        <v>0</v>
      </c>
      <c r="AJ28" s="33">
        <v>0</v>
      </c>
      <c r="AK28" s="33">
        <v>0</v>
      </c>
      <c r="AL28" s="33">
        <v>0</v>
      </c>
      <c r="AM28" s="33">
        <v>0</v>
      </c>
      <c r="AN28" s="33"/>
      <c r="AO28" s="33"/>
      <c r="AS28" s="31"/>
    </row>
    <row r="29" spans="1:45">
      <c r="A29" s="31">
        <v>28</v>
      </c>
      <c r="B29" s="31" t="s">
        <v>1</v>
      </c>
      <c r="C29" s="31" t="s">
        <v>535</v>
      </c>
      <c r="D29" s="31"/>
      <c r="E29" s="31"/>
      <c r="F29" s="31" t="s">
        <v>543</v>
      </c>
      <c r="G29" s="31">
        <v>2008</v>
      </c>
      <c r="H29" s="31"/>
      <c r="I29" s="33" t="s">
        <v>70</v>
      </c>
      <c r="J29" s="34">
        <v>0</v>
      </c>
      <c r="K29" s="34">
        <v>0</v>
      </c>
      <c r="L29" s="34">
        <v>0</v>
      </c>
      <c r="M29" s="34">
        <v>0</v>
      </c>
      <c r="N29" s="34">
        <v>0</v>
      </c>
      <c r="O29" s="33">
        <v>0</v>
      </c>
      <c r="P29" s="33">
        <v>0</v>
      </c>
      <c r="Q29" s="33">
        <v>0</v>
      </c>
      <c r="R29" s="33">
        <v>0</v>
      </c>
      <c r="S29" s="33">
        <v>0</v>
      </c>
      <c r="T29" s="33">
        <v>0</v>
      </c>
      <c r="U29" s="33">
        <v>0</v>
      </c>
      <c r="V29" s="33">
        <v>0</v>
      </c>
      <c r="W29" s="33">
        <v>0</v>
      </c>
      <c r="X29" s="33">
        <v>0</v>
      </c>
      <c r="Y29" s="33">
        <v>0</v>
      </c>
      <c r="Z29" s="33">
        <v>0</v>
      </c>
      <c r="AA29" s="33">
        <v>0</v>
      </c>
      <c r="AB29" s="33">
        <v>0</v>
      </c>
      <c r="AC29" s="33">
        <v>0</v>
      </c>
      <c r="AD29" s="33">
        <v>0</v>
      </c>
      <c r="AE29" s="33">
        <v>0</v>
      </c>
      <c r="AF29" s="33">
        <v>0</v>
      </c>
      <c r="AG29" s="33">
        <v>0</v>
      </c>
      <c r="AH29" s="33">
        <v>0</v>
      </c>
      <c r="AI29" s="33">
        <v>0</v>
      </c>
      <c r="AJ29" s="33">
        <v>0</v>
      </c>
      <c r="AK29" s="33">
        <v>0</v>
      </c>
      <c r="AL29" s="33">
        <v>0</v>
      </c>
      <c r="AM29" s="33">
        <v>0</v>
      </c>
      <c r="AN29" s="33"/>
      <c r="AO29" s="33"/>
      <c r="AS29" s="31"/>
    </row>
    <row r="30" spans="1:45">
      <c r="A30" s="31">
        <v>29</v>
      </c>
      <c r="B30" s="31" t="s">
        <v>62</v>
      </c>
      <c r="C30" s="31" t="s">
        <v>522</v>
      </c>
      <c r="D30" s="31"/>
      <c r="E30" s="31"/>
      <c r="F30" s="31" t="s">
        <v>543</v>
      </c>
      <c r="G30" s="31">
        <v>2008</v>
      </c>
      <c r="H30" s="31"/>
      <c r="I30" s="33" t="s">
        <v>71</v>
      </c>
      <c r="J30" s="34">
        <v>0</v>
      </c>
      <c r="K30" s="34">
        <v>0</v>
      </c>
      <c r="L30" s="34">
        <v>0</v>
      </c>
      <c r="M30" s="34">
        <v>0</v>
      </c>
      <c r="N30" s="34">
        <v>0</v>
      </c>
      <c r="O30" s="33">
        <v>0</v>
      </c>
      <c r="P30" s="33">
        <v>0</v>
      </c>
      <c r="Q30" s="33">
        <v>0</v>
      </c>
      <c r="R30" s="33">
        <v>0</v>
      </c>
      <c r="S30" s="33">
        <v>0</v>
      </c>
      <c r="T30" s="33">
        <v>0</v>
      </c>
      <c r="U30" s="33">
        <v>0</v>
      </c>
      <c r="V30" s="33">
        <v>0</v>
      </c>
      <c r="W30" s="33">
        <v>0</v>
      </c>
      <c r="X30" s="33">
        <v>0</v>
      </c>
      <c r="Y30" s="33">
        <v>0</v>
      </c>
      <c r="Z30" s="33">
        <v>0</v>
      </c>
      <c r="AA30" s="33">
        <v>0</v>
      </c>
      <c r="AB30" s="33">
        <v>0</v>
      </c>
      <c r="AC30" s="33">
        <v>0</v>
      </c>
      <c r="AD30" s="33">
        <v>0</v>
      </c>
      <c r="AE30" s="33">
        <v>0</v>
      </c>
      <c r="AF30" s="33">
        <v>0</v>
      </c>
      <c r="AG30" s="33">
        <v>0</v>
      </c>
      <c r="AH30" s="33">
        <v>0</v>
      </c>
      <c r="AI30" s="33">
        <v>0</v>
      </c>
      <c r="AJ30" s="33">
        <v>0</v>
      </c>
      <c r="AK30" s="33">
        <v>0</v>
      </c>
      <c r="AL30" s="33">
        <v>0</v>
      </c>
      <c r="AM30" s="33">
        <v>0</v>
      </c>
      <c r="AN30" s="33"/>
      <c r="AO30" s="33"/>
      <c r="AS30" s="31"/>
    </row>
    <row r="31" spans="1:45">
      <c r="A31" s="31">
        <v>30</v>
      </c>
      <c r="B31" s="31" t="s">
        <v>62</v>
      </c>
      <c r="C31" s="31" t="s">
        <v>49</v>
      </c>
      <c r="D31" s="31"/>
      <c r="E31" s="31"/>
      <c r="F31" s="31" t="s">
        <v>543</v>
      </c>
      <c r="G31" s="31">
        <v>2008</v>
      </c>
      <c r="H31" s="31"/>
      <c r="I31" s="33" t="s">
        <v>71</v>
      </c>
      <c r="J31" s="34">
        <v>0</v>
      </c>
      <c r="K31" s="34">
        <v>0</v>
      </c>
      <c r="L31" s="34">
        <v>0</v>
      </c>
      <c r="M31" s="34">
        <v>0</v>
      </c>
      <c r="N31" s="34">
        <v>0</v>
      </c>
      <c r="O31" s="33">
        <v>0</v>
      </c>
      <c r="P31" s="33">
        <v>0</v>
      </c>
      <c r="Q31" s="33">
        <v>0</v>
      </c>
      <c r="R31" s="33">
        <v>0</v>
      </c>
      <c r="S31" s="33">
        <v>0</v>
      </c>
      <c r="T31" s="33">
        <v>0</v>
      </c>
      <c r="U31" s="33">
        <v>0</v>
      </c>
      <c r="V31" s="33">
        <v>0</v>
      </c>
      <c r="W31" s="33">
        <v>0</v>
      </c>
      <c r="X31" s="33">
        <v>0</v>
      </c>
      <c r="Y31" s="33">
        <v>0</v>
      </c>
      <c r="Z31" s="33">
        <v>0</v>
      </c>
      <c r="AA31" s="33">
        <v>0</v>
      </c>
      <c r="AB31" s="33">
        <v>0</v>
      </c>
      <c r="AC31" s="33">
        <v>0</v>
      </c>
      <c r="AD31" s="33">
        <v>0</v>
      </c>
      <c r="AE31" s="33">
        <v>0</v>
      </c>
      <c r="AF31" s="33">
        <v>0</v>
      </c>
      <c r="AG31" s="33">
        <v>0</v>
      </c>
      <c r="AH31" s="33">
        <v>0</v>
      </c>
      <c r="AI31" s="33">
        <v>0</v>
      </c>
      <c r="AJ31" s="33">
        <v>0</v>
      </c>
      <c r="AK31" s="33">
        <v>0</v>
      </c>
      <c r="AL31" s="33">
        <v>0</v>
      </c>
      <c r="AM31" s="33">
        <v>0</v>
      </c>
      <c r="AN31" s="33"/>
      <c r="AO31" s="33"/>
      <c r="AS31" s="31"/>
    </row>
    <row r="32" spans="1:45">
      <c r="A32" s="31">
        <v>31</v>
      </c>
      <c r="B32" s="31" t="s">
        <v>62</v>
      </c>
      <c r="C32" s="31" t="s">
        <v>63</v>
      </c>
      <c r="D32" s="31"/>
      <c r="E32" s="31"/>
      <c r="F32" s="31" t="s">
        <v>543</v>
      </c>
      <c r="G32" s="31">
        <v>2008</v>
      </c>
      <c r="H32" s="31"/>
      <c r="I32" s="33" t="s">
        <v>71</v>
      </c>
      <c r="J32" s="34">
        <v>0</v>
      </c>
      <c r="K32" s="34">
        <v>0</v>
      </c>
      <c r="L32" s="34">
        <v>0</v>
      </c>
      <c r="M32" s="34">
        <v>0</v>
      </c>
      <c r="N32" s="34">
        <v>0</v>
      </c>
      <c r="O32" s="33">
        <v>0</v>
      </c>
      <c r="P32" s="33">
        <v>0</v>
      </c>
      <c r="Q32" s="33">
        <v>0</v>
      </c>
      <c r="R32" s="33">
        <v>0</v>
      </c>
      <c r="S32" s="33">
        <v>0</v>
      </c>
      <c r="T32" s="33">
        <v>0</v>
      </c>
      <c r="U32" s="33">
        <v>0</v>
      </c>
      <c r="V32" s="33">
        <v>0</v>
      </c>
      <c r="W32" s="33">
        <v>0</v>
      </c>
      <c r="X32" s="33">
        <v>0</v>
      </c>
      <c r="Y32" s="33">
        <v>0</v>
      </c>
      <c r="Z32" s="33">
        <v>0</v>
      </c>
      <c r="AA32" s="33">
        <v>0</v>
      </c>
      <c r="AB32" s="33">
        <v>0</v>
      </c>
      <c r="AC32" s="33">
        <v>0</v>
      </c>
      <c r="AD32" s="33">
        <v>0</v>
      </c>
      <c r="AE32" s="33">
        <v>0</v>
      </c>
      <c r="AF32" s="33">
        <v>0</v>
      </c>
      <c r="AG32" s="33">
        <v>0</v>
      </c>
      <c r="AH32" s="33">
        <v>0</v>
      </c>
      <c r="AI32" s="33">
        <v>0</v>
      </c>
      <c r="AJ32" s="33">
        <v>0</v>
      </c>
      <c r="AK32" s="33">
        <v>0</v>
      </c>
      <c r="AL32" s="33">
        <v>0</v>
      </c>
      <c r="AM32" s="33">
        <v>0</v>
      </c>
      <c r="AN32" s="33"/>
      <c r="AO32" s="33"/>
      <c r="AS32" s="31"/>
    </row>
    <row r="33" spans="1:45">
      <c r="A33" s="31">
        <v>32</v>
      </c>
      <c r="B33" s="31" t="s">
        <v>65</v>
      </c>
      <c r="C33" s="31" t="s">
        <v>531</v>
      </c>
      <c r="D33" s="31"/>
      <c r="E33" s="31"/>
      <c r="F33" s="31" t="s">
        <v>543</v>
      </c>
      <c r="G33" s="31">
        <v>2008</v>
      </c>
      <c r="H33" s="31"/>
      <c r="I33" s="33" t="s">
        <v>17</v>
      </c>
      <c r="J33" s="34">
        <v>0</v>
      </c>
      <c r="K33" s="34">
        <v>0</v>
      </c>
      <c r="L33" s="34">
        <v>13.927524000000002</v>
      </c>
      <c r="M33" s="34">
        <v>13.927524000000002</v>
      </c>
      <c r="N33" s="34">
        <v>13.927524000000002</v>
      </c>
      <c r="O33" s="33">
        <v>13.927524000000002</v>
      </c>
      <c r="P33" s="33">
        <v>13.927524000000002</v>
      </c>
      <c r="Q33" s="33">
        <v>13.927524000000002</v>
      </c>
      <c r="R33" s="33">
        <v>13.927524000000002</v>
      </c>
      <c r="S33" s="33">
        <v>13.927524000000002</v>
      </c>
      <c r="T33" s="33">
        <v>13.927524000000002</v>
      </c>
      <c r="U33" s="33">
        <v>13.927524000000002</v>
      </c>
      <c r="V33" s="33">
        <v>13.927524000000002</v>
      </c>
      <c r="W33" s="33">
        <v>13.927524000000002</v>
      </c>
      <c r="X33" s="33">
        <v>13.927524000000002</v>
      </c>
      <c r="Y33" s="33">
        <v>13.927524000000002</v>
      </c>
      <c r="Z33" s="33">
        <v>13.927524000000002</v>
      </c>
      <c r="AA33" s="33">
        <v>13.927524000000002</v>
      </c>
      <c r="AB33" s="33">
        <v>13.927524000000002</v>
      </c>
      <c r="AC33" s="33">
        <v>13.927524000000002</v>
      </c>
      <c r="AD33" s="33">
        <v>13.927524000000002</v>
      </c>
      <c r="AE33" s="33">
        <v>13.927524000000002</v>
      </c>
      <c r="AF33" s="33">
        <v>0</v>
      </c>
      <c r="AG33" s="33">
        <v>0</v>
      </c>
      <c r="AH33" s="33">
        <v>0</v>
      </c>
      <c r="AI33" s="33">
        <v>0</v>
      </c>
      <c r="AJ33" s="33">
        <v>0</v>
      </c>
      <c r="AK33" s="33">
        <v>0</v>
      </c>
      <c r="AL33" s="33">
        <v>0</v>
      </c>
      <c r="AM33" s="33">
        <v>0</v>
      </c>
      <c r="AN33" s="33"/>
      <c r="AO33" s="33"/>
      <c r="AS33" s="31"/>
    </row>
    <row r="34" spans="1:45">
      <c r="A34" s="31">
        <v>33</v>
      </c>
      <c r="B34" s="31" t="s">
        <v>1</v>
      </c>
      <c r="C34" s="31" t="s">
        <v>536</v>
      </c>
      <c r="D34" s="31"/>
      <c r="E34" s="31"/>
      <c r="F34" s="31" t="s">
        <v>543</v>
      </c>
      <c r="G34" s="31">
        <v>2008</v>
      </c>
      <c r="H34" s="31"/>
      <c r="I34" s="33" t="s">
        <v>17</v>
      </c>
      <c r="J34" s="34">
        <v>0</v>
      </c>
      <c r="K34" s="34">
        <v>0</v>
      </c>
      <c r="L34" s="34">
        <v>0</v>
      </c>
      <c r="M34" s="34">
        <v>0</v>
      </c>
      <c r="N34" s="34">
        <v>0</v>
      </c>
      <c r="O34" s="33">
        <v>0</v>
      </c>
      <c r="P34" s="33">
        <v>0</v>
      </c>
      <c r="Q34" s="33">
        <v>0</v>
      </c>
      <c r="R34" s="33">
        <v>0</v>
      </c>
      <c r="S34" s="33">
        <v>0</v>
      </c>
      <c r="T34" s="33">
        <v>0</v>
      </c>
      <c r="U34" s="33">
        <v>0</v>
      </c>
      <c r="V34" s="33">
        <v>0</v>
      </c>
      <c r="W34" s="33">
        <v>0</v>
      </c>
      <c r="X34" s="33">
        <v>0</v>
      </c>
      <c r="Y34" s="33">
        <v>0</v>
      </c>
      <c r="Z34" s="33">
        <v>0</v>
      </c>
      <c r="AA34" s="33">
        <v>0</v>
      </c>
      <c r="AB34" s="33">
        <v>0</v>
      </c>
      <c r="AC34" s="33">
        <v>0</v>
      </c>
      <c r="AD34" s="33">
        <v>0</v>
      </c>
      <c r="AE34" s="33">
        <v>0</v>
      </c>
      <c r="AF34" s="33">
        <v>0</v>
      </c>
      <c r="AG34" s="33">
        <v>0</v>
      </c>
      <c r="AH34" s="33">
        <v>0</v>
      </c>
      <c r="AI34" s="33">
        <v>0</v>
      </c>
      <c r="AJ34" s="33">
        <v>0</v>
      </c>
      <c r="AK34" s="33">
        <v>0</v>
      </c>
      <c r="AL34" s="33">
        <v>0</v>
      </c>
      <c r="AM34" s="33">
        <v>0</v>
      </c>
      <c r="AN34" s="33"/>
      <c r="AO34" s="33"/>
      <c r="AS34" s="31"/>
    </row>
    <row r="35" spans="1:45">
      <c r="A35" s="31">
        <v>34</v>
      </c>
      <c r="B35" s="31" t="s">
        <v>62</v>
      </c>
      <c r="C35" s="31" t="s">
        <v>537</v>
      </c>
      <c r="D35" s="31"/>
      <c r="E35" s="31"/>
      <c r="F35" s="31" t="s">
        <v>543</v>
      </c>
      <c r="G35" s="31">
        <v>2008</v>
      </c>
      <c r="H35" s="31"/>
      <c r="I35" s="33" t="s">
        <v>58</v>
      </c>
      <c r="J35" s="34">
        <v>0</v>
      </c>
      <c r="K35" s="34">
        <v>0</v>
      </c>
      <c r="L35" s="34">
        <v>0</v>
      </c>
      <c r="M35" s="34">
        <v>0</v>
      </c>
      <c r="N35" s="34">
        <v>0</v>
      </c>
      <c r="O35" s="33">
        <v>0</v>
      </c>
      <c r="P35" s="33">
        <v>0</v>
      </c>
      <c r="Q35" s="33">
        <v>0</v>
      </c>
      <c r="R35" s="33">
        <v>0</v>
      </c>
      <c r="S35" s="33">
        <v>0</v>
      </c>
      <c r="T35" s="33">
        <v>0</v>
      </c>
      <c r="U35" s="33">
        <v>0</v>
      </c>
      <c r="V35" s="33">
        <v>0</v>
      </c>
      <c r="W35" s="33">
        <v>0</v>
      </c>
      <c r="X35" s="33">
        <v>0</v>
      </c>
      <c r="Y35" s="33">
        <v>0</v>
      </c>
      <c r="Z35" s="33">
        <v>0</v>
      </c>
      <c r="AA35" s="33">
        <v>0</v>
      </c>
      <c r="AB35" s="33">
        <v>0</v>
      </c>
      <c r="AC35" s="33">
        <v>0</v>
      </c>
      <c r="AD35" s="33">
        <v>0</v>
      </c>
      <c r="AE35" s="33">
        <v>0</v>
      </c>
      <c r="AF35" s="33">
        <v>0</v>
      </c>
      <c r="AG35" s="33">
        <v>0</v>
      </c>
      <c r="AH35" s="33">
        <v>0</v>
      </c>
      <c r="AI35" s="33">
        <v>0</v>
      </c>
      <c r="AJ35" s="33">
        <v>0</v>
      </c>
      <c r="AK35" s="33">
        <v>0</v>
      </c>
      <c r="AL35" s="33">
        <v>0</v>
      </c>
      <c r="AM35" s="33">
        <v>0</v>
      </c>
      <c r="AN35" s="33"/>
      <c r="AO35" s="33"/>
      <c r="AS35" s="31"/>
    </row>
    <row r="36" spans="1:45">
      <c r="A36" s="31">
        <v>35</v>
      </c>
      <c r="B36" s="31" t="s">
        <v>15</v>
      </c>
      <c r="C36" s="31" t="s">
        <v>523</v>
      </c>
      <c r="D36" s="31"/>
      <c r="E36" s="31"/>
      <c r="F36" s="31" t="s">
        <v>543</v>
      </c>
      <c r="G36" s="31">
        <v>2009</v>
      </c>
      <c r="H36" s="31"/>
      <c r="I36" s="33" t="s">
        <v>17</v>
      </c>
      <c r="J36" s="34">
        <v>0</v>
      </c>
      <c r="K36" s="34">
        <v>0</v>
      </c>
      <c r="L36" s="34">
        <v>0</v>
      </c>
      <c r="M36" s="34">
        <v>115.53187274032652</v>
      </c>
      <c r="N36" s="34">
        <v>115.53187274032652</v>
      </c>
      <c r="O36" s="33">
        <v>115.53187274032652</v>
      </c>
      <c r="P36" s="33">
        <v>114.92346649327011</v>
      </c>
      <c r="Q36" s="33">
        <v>86.561788416999903</v>
      </c>
      <c r="R36" s="33">
        <v>0</v>
      </c>
      <c r="S36" s="33">
        <v>0</v>
      </c>
      <c r="T36" s="33">
        <v>0</v>
      </c>
      <c r="U36" s="33">
        <v>0</v>
      </c>
      <c r="V36" s="33">
        <v>0</v>
      </c>
      <c r="W36" s="33">
        <v>0</v>
      </c>
      <c r="X36" s="33">
        <v>0</v>
      </c>
      <c r="Y36" s="33">
        <v>0</v>
      </c>
      <c r="Z36" s="33">
        <v>0</v>
      </c>
      <c r="AA36" s="33">
        <v>0</v>
      </c>
      <c r="AB36" s="33">
        <v>0</v>
      </c>
      <c r="AC36" s="33">
        <v>0</v>
      </c>
      <c r="AD36" s="33">
        <v>0</v>
      </c>
      <c r="AE36" s="33">
        <v>0</v>
      </c>
      <c r="AF36" s="33">
        <v>0</v>
      </c>
      <c r="AG36" s="33">
        <v>0</v>
      </c>
      <c r="AH36" s="33">
        <v>0</v>
      </c>
      <c r="AI36" s="33">
        <v>0</v>
      </c>
      <c r="AJ36" s="33">
        <v>0</v>
      </c>
      <c r="AK36" s="33">
        <v>0</v>
      </c>
      <c r="AL36" s="33">
        <v>0</v>
      </c>
      <c r="AM36" s="33">
        <v>0</v>
      </c>
      <c r="AN36" s="33"/>
      <c r="AO36" s="33"/>
      <c r="AS36" s="31"/>
    </row>
    <row r="37" spans="1:45">
      <c r="A37" s="31">
        <v>36</v>
      </c>
      <c r="B37" s="31" t="s">
        <v>15</v>
      </c>
      <c r="C37" s="31" t="s">
        <v>532</v>
      </c>
      <c r="D37" s="31"/>
      <c r="E37" s="31"/>
      <c r="F37" s="31" t="s">
        <v>543</v>
      </c>
      <c r="G37" s="31">
        <v>2009</v>
      </c>
      <c r="H37" s="31"/>
      <c r="I37" s="33" t="s">
        <v>17</v>
      </c>
      <c r="J37" s="34">
        <v>0</v>
      </c>
      <c r="K37" s="34">
        <v>0</v>
      </c>
      <c r="L37" s="34">
        <v>0</v>
      </c>
      <c r="M37" s="34">
        <v>146.27561780700796</v>
      </c>
      <c r="N37" s="34">
        <v>146.27561780700796</v>
      </c>
      <c r="O37" s="33">
        <v>146.27561780700796</v>
      </c>
      <c r="P37" s="33">
        <v>145.7554166277709</v>
      </c>
      <c r="Q37" s="33">
        <v>145.00734750560989</v>
      </c>
      <c r="R37" s="33">
        <v>144.12717321009495</v>
      </c>
      <c r="S37" s="33">
        <v>144.12717321009495</v>
      </c>
      <c r="T37" s="33">
        <v>144.12717321009495</v>
      </c>
      <c r="U37" s="33">
        <v>144.12717321009495</v>
      </c>
      <c r="V37" s="33">
        <v>144.12717321009495</v>
      </c>
      <c r="W37" s="33">
        <v>140.90734238703621</v>
      </c>
      <c r="X37" s="33">
        <v>140.90734238703621</v>
      </c>
      <c r="Y37" s="33">
        <v>140.90734238703621</v>
      </c>
      <c r="Z37" s="33">
        <v>140.90734238703621</v>
      </c>
      <c r="AA37" s="33">
        <v>140.90734238703621</v>
      </c>
      <c r="AB37" s="33">
        <v>137.90318261341815</v>
      </c>
      <c r="AC37" s="33">
        <v>137.90318261341815</v>
      </c>
      <c r="AD37" s="33">
        <v>137.90318261341815</v>
      </c>
      <c r="AE37" s="33">
        <v>115.61685465596388</v>
      </c>
      <c r="AF37" s="33">
        <v>0</v>
      </c>
      <c r="AG37" s="33">
        <v>0</v>
      </c>
      <c r="AH37" s="33">
        <v>0</v>
      </c>
      <c r="AI37" s="33">
        <v>0</v>
      </c>
      <c r="AJ37" s="33">
        <v>0</v>
      </c>
      <c r="AK37" s="33">
        <v>0</v>
      </c>
      <c r="AL37" s="33">
        <v>0</v>
      </c>
      <c r="AM37" s="33">
        <v>0</v>
      </c>
      <c r="AN37" s="33"/>
      <c r="AO37" s="33"/>
      <c r="AS37" s="31"/>
    </row>
    <row r="38" spans="1:45">
      <c r="A38" s="31">
        <v>37</v>
      </c>
      <c r="B38" s="31" t="s">
        <v>15</v>
      </c>
      <c r="C38" s="31" t="s">
        <v>533</v>
      </c>
      <c r="D38" s="31"/>
      <c r="E38" s="31"/>
      <c r="F38" s="31" t="s">
        <v>543</v>
      </c>
      <c r="G38" s="31">
        <v>2009</v>
      </c>
      <c r="H38" s="31"/>
      <c r="I38" s="33" t="s">
        <v>17</v>
      </c>
      <c r="J38" s="34">
        <v>0</v>
      </c>
      <c r="K38" s="34">
        <v>0</v>
      </c>
      <c r="L38" s="34">
        <v>0</v>
      </c>
      <c r="M38" s="34">
        <v>254.35094570686604</v>
      </c>
      <c r="N38" s="34">
        <v>243.79656096353168</v>
      </c>
      <c r="O38" s="33">
        <v>243.79656096353168</v>
      </c>
      <c r="P38" s="33">
        <v>243.78165986686457</v>
      </c>
      <c r="Q38" s="33">
        <v>242.15973280654072</v>
      </c>
      <c r="R38" s="33">
        <v>232.60722200927268</v>
      </c>
      <c r="S38" s="33">
        <v>185.19224877707308</v>
      </c>
      <c r="T38" s="33">
        <v>184.15768808863157</v>
      </c>
      <c r="U38" s="33">
        <v>117.78468384098097</v>
      </c>
      <c r="V38" s="33">
        <v>117.78468384098097</v>
      </c>
      <c r="W38" s="33">
        <v>85.320398492060008</v>
      </c>
      <c r="X38" s="33">
        <v>85.256618646107654</v>
      </c>
      <c r="Y38" s="33">
        <v>59.751179372802049</v>
      </c>
      <c r="Z38" s="33">
        <v>59.751179372802049</v>
      </c>
      <c r="AA38" s="33">
        <v>56.116607131619212</v>
      </c>
      <c r="AB38" s="33">
        <v>28.989888578139634</v>
      </c>
      <c r="AC38" s="33">
        <v>10.292550046651648</v>
      </c>
      <c r="AD38" s="33">
        <v>6.5772055770340474</v>
      </c>
      <c r="AE38" s="33">
        <v>6.3874237982064335</v>
      </c>
      <c r="AF38" s="33">
        <v>6.3874237982064335</v>
      </c>
      <c r="AG38" s="33">
        <v>0</v>
      </c>
      <c r="AH38" s="33">
        <v>0</v>
      </c>
      <c r="AI38" s="33">
        <v>0</v>
      </c>
      <c r="AJ38" s="33">
        <v>0</v>
      </c>
      <c r="AK38" s="33">
        <v>0</v>
      </c>
      <c r="AL38" s="33">
        <v>0</v>
      </c>
      <c r="AM38" s="33">
        <v>0</v>
      </c>
      <c r="AN38" s="33"/>
      <c r="AO38" s="33"/>
      <c r="AS38" s="31"/>
    </row>
    <row r="39" spans="1:45">
      <c r="A39" s="31">
        <v>38</v>
      </c>
      <c r="B39" s="31" t="s">
        <v>65</v>
      </c>
      <c r="C39" s="31" t="s">
        <v>524</v>
      </c>
      <c r="D39" s="31"/>
      <c r="E39" s="31"/>
      <c r="F39" s="31" t="s">
        <v>543</v>
      </c>
      <c r="G39" s="31">
        <v>2009</v>
      </c>
      <c r="H39" s="31"/>
      <c r="I39" s="33" t="s">
        <v>58</v>
      </c>
      <c r="J39" s="34">
        <v>0</v>
      </c>
      <c r="K39" s="34">
        <v>0</v>
      </c>
      <c r="L39" s="34">
        <v>0</v>
      </c>
      <c r="M39" s="34">
        <v>0</v>
      </c>
      <c r="N39" s="34">
        <v>0</v>
      </c>
      <c r="O39" s="33">
        <v>0</v>
      </c>
      <c r="P39" s="33">
        <v>0</v>
      </c>
      <c r="Q39" s="33">
        <v>0</v>
      </c>
      <c r="R39" s="33">
        <v>0</v>
      </c>
      <c r="S39" s="33">
        <v>0</v>
      </c>
      <c r="T39" s="33">
        <v>0</v>
      </c>
      <c r="U39" s="33">
        <v>0</v>
      </c>
      <c r="V39" s="33">
        <v>0</v>
      </c>
      <c r="W39" s="33">
        <v>0</v>
      </c>
      <c r="X39" s="33">
        <v>0</v>
      </c>
      <c r="Y39" s="33">
        <v>0</v>
      </c>
      <c r="Z39" s="33">
        <v>0</v>
      </c>
      <c r="AA39" s="33">
        <v>0</v>
      </c>
      <c r="AB39" s="33">
        <v>0</v>
      </c>
      <c r="AC39" s="33">
        <v>0</v>
      </c>
      <c r="AD39" s="33">
        <v>0</v>
      </c>
      <c r="AE39" s="33">
        <v>0</v>
      </c>
      <c r="AF39" s="33">
        <v>0</v>
      </c>
      <c r="AG39" s="33">
        <v>0</v>
      </c>
      <c r="AH39" s="33">
        <v>0</v>
      </c>
      <c r="AI39" s="33">
        <v>0</v>
      </c>
      <c r="AJ39" s="33">
        <v>0</v>
      </c>
      <c r="AK39" s="33">
        <v>0</v>
      </c>
      <c r="AL39" s="33">
        <v>0</v>
      </c>
      <c r="AM39" s="33">
        <v>0</v>
      </c>
      <c r="AN39" s="33"/>
      <c r="AO39" s="33"/>
      <c r="AS39" s="31"/>
    </row>
    <row r="40" spans="1:45">
      <c r="A40" s="31">
        <v>39</v>
      </c>
      <c r="B40" s="31" t="s">
        <v>65</v>
      </c>
      <c r="C40" s="31" t="s">
        <v>530</v>
      </c>
      <c r="D40" s="31"/>
      <c r="E40" s="31"/>
      <c r="F40" s="31" t="s">
        <v>543</v>
      </c>
      <c r="G40" s="31">
        <v>2009</v>
      </c>
      <c r="H40" s="31"/>
      <c r="I40" s="33" t="s">
        <v>71</v>
      </c>
      <c r="J40" s="34">
        <v>0</v>
      </c>
      <c r="K40" s="34">
        <v>0</v>
      </c>
      <c r="L40" s="34">
        <v>0</v>
      </c>
      <c r="M40" s="34">
        <v>658.28349282296642</v>
      </c>
      <c r="N40" s="34">
        <v>658.28349282296642</v>
      </c>
      <c r="O40" s="33">
        <v>658.28349282296642</v>
      </c>
      <c r="P40" s="33">
        <v>658.28349282296642</v>
      </c>
      <c r="Q40" s="33">
        <v>658.28349282296642</v>
      </c>
      <c r="R40" s="33">
        <v>658.28349282296642</v>
      </c>
      <c r="S40" s="33">
        <v>509.85191387561861</v>
      </c>
      <c r="T40" s="33">
        <v>406.70454545454544</v>
      </c>
      <c r="U40" s="33">
        <v>406.70454545454544</v>
      </c>
      <c r="V40" s="33">
        <v>406.70454545454544</v>
      </c>
      <c r="W40" s="33">
        <v>329.4306818181596</v>
      </c>
      <c r="X40" s="33">
        <v>0</v>
      </c>
      <c r="Y40" s="33">
        <v>0</v>
      </c>
      <c r="Z40" s="33">
        <v>0</v>
      </c>
      <c r="AA40" s="33">
        <v>0</v>
      </c>
      <c r="AB40" s="33">
        <v>0</v>
      </c>
      <c r="AC40" s="33">
        <v>0</v>
      </c>
      <c r="AD40" s="33">
        <v>0</v>
      </c>
      <c r="AE40" s="33">
        <v>0</v>
      </c>
      <c r="AF40" s="33">
        <v>0</v>
      </c>
      <c r="AG40" s="33">
        <v>0</v>
      </c>
      <c r="AH40" s="33">
        <v>0</v>
      </c>
      <c r="AI40" s="33">
        <v>0</v>
      </c>
      <c r="AJ40" s="33">
        <v>0</v>
      </c>
      <c r="AK40" s="33">
        <v>0</v>
      </c>
      <c r="AL40" s="33">
        <v>0</v>
      </c>
      <c r="AM40" s="33">
        <v>0</v>
      </c>
      <c r="AN40" s="33"/>
      <c r="AO40" s="33"/>
      <c r="AS40" s="31"/>
    </row>
    <row r="41" spans="1:45">
      <c r="A41" s="31">
        <v>40</v>
      </c>
      <c r="B41" s="31" t="s">
        <v>69</v>
      </c>
      <c r="C41" s="31" t="s">
        <v>139</v>
      </c>
      <c r="D41" s="31"/>
      <c r="E41" s="31"/>
      <c r="F41" s="31" t="s">
        <v>543</v>
      </c>
      <c r="G41" s="31">
        <v>2009</v>
      </c>
      <c r="H41" s="31"/>
      <c r="I41" s="33" t="s">
        <v>58</v>
      </c>
      <c r="J41" s="34">
        <v>0</v>
      </c>
      <c r="K41" s="34">
        <v>0</v>
      </c>
      <c r="L41" s="34">
        <v>0</v>
      </c>
      <c r="M41" s="34">
        <v>0</v>
      </c>
      <c r="N41" s="34">
        <v>0</v>
      </c>
      <c r="O41" s="33">
        <v>0</v>
      </c>
      <c r="P41" s="33">
        <v>0</v>
      </c>
      <c r="Q41" s="33">
        <v>0</v>
      </c>
      <c r="R41" s="33">
        <v>0</v>
      </c>
      <c r="S41" s="33">
        <v>0</v>
      </c>
      <c r="T41" s="33">
        <v>0</v>
      </c>
      <c r="U41" s="33">
        <v>0</v>
      </c>
      <c r="V41" s="33">
        <v>0</v>
      </c>
      <c r="W41" s="33">
        <v>0</v>
      </c>
      <c r="X41" s="33">
        <v>0</v>
      </c>
      <c r="Y41" s="33">
        <v>0</v>
      </c>
      <c r="Z41" s="33">
        <v>0</v>
      </c>
      <c r="AA41" s="33">
        <v>0</v>
      </c>
      <c r="AB41" s="33">
        <v>0</v>
      </c>
      <c r="AC41" s="33">
        <v>0</v>
      </c>
      <c r="AD41" s="33">
        <v>0</v>
      </c>
      <c r="AE41" s="33">
        <v>0</v>
      </c>
      <c r="AF41" s="33">
        <v>0</v>
      </c>
      <c r="AG41" s="33">
        <v>0</v>
      </c>
      <c r="AH41" s="33">
        <v>0</v>
      </c>
      <c r="AI41" s="33">
        <v>0</v>
      </c>
      <c r="AJ41" s="33">
        <v>0</v>
      </c>
      <c r="AK41" s="33">
        <v>0</v>
      </c>
      <c r="AL41" s="33">
        <v>0</v>
      </c>
      <c r="AM41" s="33">
        <v>0</v>
      </c>
      <c r="AN41" s="33"/>
      <c r="AO41" s="33"/>
      <c r="AS41" s="31"/>
    </row>
    <row r="42" spans="1:45">
      <c r="A42" s="31">
        <v>41</v>
      </c>
      <c r="B42" s="31" t="s">
        <v>1</v>
      </c>
      <c r="C42" s="31" t="s">
        <v>42</v>
      </c>
      <c r="D42" s="31"/>
      <c r="E42" s="31"/>
      <c r="F42" s="31" t="s">
        <v>543</v>
      </c>
      <c r="G42" s="31">
        <v>2009</v>
      </c>
      <c r="H42" s="31"/>
      <c r="I42" s="33" t="s">
        <v>71</v>
      </c>
      <c r="J42" s="34">
        <v>0</v>
      </c>
      <c r="K42" s="34">
        <v>0</v>
      </c>
      <c r="L42" s="34">
        <v>0</v>
      </c>
      <c r="M42" s="34">
        <v>60.381379884896717</v>
      </c>
      <c r="N42" s="34">
        <v>60.381379884896717</v>
      </c>
      <c r="O42" s="33">
        <v>60.381379884896717</v>
      </c>
      <c r="P42" s="33">
        <v>60.381379884896717</v>
      </c>
      <c r="Q42" s="33">
        <v>60.381379884896717</v>
      </c>
      <c r="R42" s="33">
        <v>60.381379884896717</v>
      </c>
      <c r="S42" s="33">
        <v>60.381379884896717</v>
      </c>
      <c r="T42" s="33">
        <v>60.381379884896717</v>
      </c>
      <c r="U42" s="33">
        <v>60.381379884896717</v>
      </c>
      <c r="V42" s="33">
        <v>60.381379884896717</v>
      </c>
      <c r="W42" s="33">
        <v>60.381379884896717</v>
      </c>
      <c r="X42" s="33">
        <v>60.381379884896717</v>
      </c>
      <c r="Y42" s="33">
        <v>60.381379884896717</v>
      </c>
      <c r="Z42" s="33">
        <v>60.381379884896717</v>
      </c>
      <c r="AA42" s="33">
        <v>60.381379884896717</v>
      </c>
      <c r="AB42" s="33">
        <v>60.381379884896717</v>
      </c>
      <c r="AC42" s="33">
        <v>60.381379884896717</v>
      </c>
      <c r="AD42" s="33">
        <v>60.381379884896717</v>
      </c>
      <c r="AE42" s="33">
        <v>60.381379884896717</v>
      </c>
      <c r="AF42" s="33">
        <v>60.381379884896717</v>
      </c>
      <c r="AG42" s="33">
        <v>0</v>
      </c>
      <c r="AH42" s="33">
        <v>0</v>
      </c>
      <c r="AI42" s="33">
        <v>0</v>
      </c>
      <c r="AJ42" s="33">
        <v>0</v>
      </c>
      <c r="AK42" s="33">
        <v>0</v>
      </c>
      <c r="AL42" s="33">
        <v>0</v>
      </c>
      <c r="AM42" s="33">
        <v>0</v>
      </c>
      <c r="AN42" s="33"/>
      <c r="AO42" s="33"/>
      <c r="AS42" s="31"/>
    </row>
    <row r="43" spans="1:45">
      <c r="A43" s="31">
        <v>42</v>
      </c>
      <c r="B43" s="31" t="s">
        <v>1</v>
      </c>
      <c r="C43" s="31" t="s">
        <v>535</v>
      </c>
      <c r="D43" s="31"/>
      <c r="E43" s="31"/>
      <c r="F43" s="31" t="s">
        <v>543</v>
      </c>
      <c r="G43" s="31">
        <v>2009</v>
      </c>
      <c r="H43" s="31"/>
      <c r="I43" s="33" t="s">
        <v>70</v>
      </c>
      <c r="J43" s="34">
        <v>0</v>
      </c>
      <c r="K43" s="34">
        <v>0</v>
      </c>
      <c r="L43" s="34">
        <v>0</v>
      </c>
      <c r="M43" s="34">
        <v>683.04351826294976</v>
      </c>
      <c r="N43" s="34">
        <v>683.04351826294976</v>
      </c>
      <c r="O43" s="33">
        <v>683.04351826294976</v>
      </c>
      <c r="P43" s="33">
        <v>683.04351826294976</v>
      </c>
      <c r="Q43" s="33">
        <v>683.04351826294976</v>
      </c>
      <c r="R43" s="33">
        <v>683.04351826294976</v>
      </c>
      <c r="S43" s="33">
        <v>683.04351826294976</v>
      </c>
      <c r="T43" s="33">
        <v>683.04351826294976</v>
      </c>
      <c r="U43" s="33">
        <v>384.7026712056051</v>
      </c>
      <c r="V43" s="33">
        <v>0</v>
      </c>
      <c r="W43" s="33">
        <v>0</v>
      </c>
      <c r="X43" s="33">
        <v>0</v>
      </c>
      <c r="Y43" s="33">
        <v>0</v>
      </c>
      <c r="Z43" s="33">
        <v>0</v>
      </c>
      <c r="AA43" s="33">
        <v>0</v>
      </c>
      <c r="AB43" s="33">
        <v>0</v>
      </c>
      <c r="AC43" s="33">
        <v>0</v>
      </c>
      <c r="AD43" s="33">
        <v>0</v>
      </c>
      <c r="AE43" s="33">
        <v>0</v>
      </c>
      <c r="AF43" s="33">
        <v>0</v>
      </c>
      <c r="AG43" s="33">
        <v>0</v>
      </c>
      <c r="AH43" s="33">
        <v>0</v>
      </c>
      <c r="AI43" s="33">
        <v>0</v>
      </c>
      <c r="AJ43" s="33">
        <v>0</v>
      </c>
      <c r="AK43" s="33">
        <v>0</v>
      </c>
      <c r="AL43" s="33">
        <v>0</v>
      </c>
      <c r="AM43" s="33">
        <v>0</v>
      </c>
      <c r="AN43" s="33"/>
      <c r="AO43" s="33"/>
      <c r="AS43" s="31"/>
    </row>
    <row r="44" spans="1:45">
      <c r="A44" s="31">
        <v>43</v>
      </c>
      <c r="B44" s="31" t="s">
        <v>60</v>
      </c>
      <c r="C44" s="31" t="s">
        <v>59</v>
      </c>
      <c r="D44" s="31"/>
      <c r="E44" s="31"/>
      <c r="F44" s="31" t="s">
        <v>543</v>
      </c>
      <c r="G44" s="31">
        <v>2009</v>
      </c>
      <c r="H44" s="31"/>
      <c r="I44" s="33" t="s">
        <v>58</v>
      </c>
      <c r="J44" s="34">
        <v>0</v>
      </c>
      <c r="K44" s="34">
        <v>0</v>
      </c>
      <c r="L44" s="34">
        <v>0</v>
      </c>
      <c r="M44" s="34">
        <v>0</v>
      </c>
      <c r="N44" s="34">
        <v>0</v>
      </c>
      <c r="O44" s="33">
        <v>0</v>
      </c>
      <c r="P44" s="33">
        <v>0</v>
      </c>
      <c r="Q44" s="33">
        <v>0</v>
      </c>
      <c r="R44" s="33">
        <v>0</v>
      </c>
      <c r="S44" s="33">
        <v>0</v>
      </c>
      <c r="T44" s="33">
        <v>0</v>
      </c>
      <c r="U44" s="33">
        <v>0</v>
      </c>
      <c r="V44" s="33">
        <v>0</v>
      </c>
      <c r="W44" s="33">
        <v>0</v>
      </c>
      <c r="X44" s="33">
        <v>0</v>
      </c>
      <c r="Y44" s="33">
        <v>0</v>
      </c>
      <c r="Z44" s="33">
        <v>0</v>
      </c>
      <c r="AA44" s="33">
        <v>0</v>
      </c>
      <c r="AB44" s="33">
        <v>0</v>
      </c>
      <c r="AC44" s="33">
        <v>0</v>
      </c>
      <c r="AD44" s="33">
        <v>0</v>
      </c>
      <c r="AE44" s="33">
        <v>0</v>
      </c>
      <c r="AF44" s="33">
        <v>0</v>
      </c>
      <c r="AG44" s="33">
        <v>0</v>
      </c>
      <c r="AH44" s="33">
        <v>0</v>
      </c>
      <c r="AI44" s="33">
        <v>0</v>
      </c>
      <c r="AJ44" s="33">
        <v>0</v>
      </c>
      <c r="AK44" s="33">
        <v>0</v>
      </c>
      <c r="AL44" s="33">
        <v>0</v>
      </c>
      <c r="AM44" s="33">
        <v>0</v>
      </c>
      <c r="AN44" s="33"/>
      <c r="AO44" s="33"/>
      <c r="AS44" s="31"/>
    </row>
    <row r="45" spans="1:45">
      <c r="A45" s="31">
        <v>44</v>
      </c>
      <c r="B45" s="31" t="s">
        <v>62</v>
      </c>
      <c r="C45" s="31" t="s">
        <v>522</v>
      </c>
      <c r="D45" s="31"/>
      <c r="E45" s="31"/>
      <c r="F45" s="31" t="s">
        <v>543</v>
      </c>
      <c r="G45" s="31">
        <v>2009</v>
      </c>
      <c r="H45" s="31"/>
      <c r="I45" s="33" t="s">
        <v>71</v>
      </c>
      <c r="J45" s="34">
        <v>0</v>
      </c>
      <c r="K45" s="34">
        <v>0</v>
      </c>
      <c r="L45" s="34">
        <v>0</v>
      </c>
      <c r="M45" s="34">
        <v>52.538773828022777</v>
      </c>
      <c r="N45" s="34">
        <v>0</v>
      </c>
      <c r="O45" s="33">
        <v>0</v>
      </c>
      <c r="P45" s="33">
        <v>0</v>
      </c>
      <c r="Q45" s="33">
        <v>0</v>
      </c>
      <c r="R45" s="33">
        <v>0</v>
      </c>
      <c r="S45" s="33">
        <v>0</v>
      </c>
      <c r="T45" s="33">
        <v>0</v>
      </c>
      <c r="U45" s="33">
        <v>0</v>
      </c>
      <c r="V45" s="33">
        <v>0</v>
      </c>
      <c r="W45" s="33">
        <v>0</v>
      </c>
      <c r="X45" s="33">
        <v>0</v>
      </c>
      <c r="Y45" s="33">
        <v>0</v>
      </c>
      <c r="Z45" s="33">
        <v>0</v>
      </c>
      <c r="AA45" s="33">
        <v>0</v>
      </c>
      <c r="AB45" s="33">
        <v>0</v>
      </c>
      <c r="AC45" s="33">
        <v>0</v>
      </c>
      <c r="AD45" s="33">
        <v>0</v>
      </c>
      <c r="AE45" s="33">
        <v>0</v>
      </c>
      <c r="AF45" s="33">
        <v>0</v>
      </c>
      <c r="AG45" s="33">
        <v>0</v>
      </c>
      <c r="AH45" s="33">
        <v>0</v>
      </c>
      <c r="AI45" s="33">
        <v>0</v>
      </c>
      <c r="AJ45" s="33">
        <v>0</v>
      </c>
      <c r="AK45" s="33">
        <v>0</v>
      </c>
      <c r="AL45" s="33">
        <v>0</v>
      </c>
      <c r="AM45" s="33">
        <v>0</v>
      </c>
      <c r="AN45" s="33"/>
      <c r="AO45" s="33"/>
      <c r="AS45" s="31"/>
    </row>
    <row r="46" spans="1:45">
      <c r="A46" s="31">
        <v>45</v>
      </c>
      <c r="B46" s="31" t="s">
        <v>62</v>
      </c>
      <c r="C46" s="31" t="s">
        <v>61</v>
      </c>
      <c r="D46" s="31"/>
      <c r="E46" s="31"/>
      <c r="F46" s="31" t="s">
        <v>543</v>
      </c>
      <c r="G46" s="31">
        <v>2009</v>
      </c>
      <c r="H46" s="31"/>
      <c r="I46" s="33" t="s">
        <v>71</v>
      </c>
      <c r="J46" s="34">
        <v>0</v>
      </c>
      <c r="K46" s="34">
        <v>0</v>
      </c>
      <c r="L46" s="34">
        <v>0</v>
      </c>
      <c r="M46" s="34">
        <v>500.14183397325576</v>
      </c>
      <c r="N46" s="34">
        <v>0</v>
      </c>
      <c r="O46" s="33">
        <v>0</v>
      </c>
      <c r="P46" s="33">
        <v>0</v>
      </c>
      <c r="Q46" s="33">
        <v>0</v>
      </c>
      <c r="R46" s="33">
        <v>0</v>
      </c>
      <c r="S46" s="33">
        <v>0</v>
      </c>
      <c r="T46" s="33">
        <v>0</v>
      </c>
      <c r="U46" s="33">
        <v>0</v>
      </c>
      <c r="V46" s="33">
        <v>0</v>
      </c>
      <c r="W46" s="33">
        <v>0</v>
      </c>
      <c r="X46" s="33">
        <v>0</v>
      </c>
      <c r="Y46" s="33">
        <v>0</v>
      </c>
      <c r="Z46" s="33">
        <v>0</v>
      </c>
      <c r="AA46" s="33">
        <v>0</v>
      </c>
      <c r="AB46" s="33">
        <v>0</v>
      </c>
      <c r="AC46" s="33">
        <v>0</v>
      </c>
      <c r="AD46" s="33">
        <v>0</v>
      </c>
      <c r="AE46" s="33">
        <v>0</v>
      </c>
      <c r="AF46" s="33">
        <v>0</v>
      </c>
      <c r="AG46" s="33">
        <v>0</v>
      </c>
      <c r="AH46" s="33">
        <v>0</v>
      </c>
      <c r="AI46" s="33">
        <v>0</v>
      </c>
      <c r="AJ46" s="33">
        <v>0</v>
      </c>
      <c r="AK46" s="33">
        <v>0</v>
      </c>
      <c r="AL46" s="33">
        <v>0</v>
      </c>
      <c r="AM46" s="33">
        <v>0</v>
      </c>
      <c r="AN46" s="33"/>
      <c r="AO46" s="33"/>
      <c r="AS46" s="31"/>
    </row>
    <row r="47" spans="1:45">
      <c r="A47" s="31">
        <v>46</v>
      </c>
      <c r="B47" s="31" t="s">
        <v>62</v>
      </c>
      <c r="C47" s="31" t="s">
        <v>49</v>
      </c>
      <c r="D47" s="31"/>
      <c r="E47" s="31"/>
      <c r="F47" s="31" t="s">
        <v>543</v>
      </c>
      <c r="G47" s="31">
        <v>2009</v>
      </c>
      <c r="H47" s="31"/>
      <c r="I47" s="33" t="s">
        <v>71</v>
      </c>
      <c r="J47" s="34">
        <v>0</v>
      </c>
      <c r="K47" s="34">
        <v>0</v>
      </c>
      <c r="L47" s="34">
        <v>0</v>
      </c>
      <c r="M47" s="34">
        <v>9.5525043323677785</v>
      </c>
      <c r="N47" s="34">
        <v>0</v>
      </c>
      <c r="O47" s="33">
        <v>0</v>
      </c>
      <c r="P47" s="33">
        <v>0</v>
      </c>
      <c r="Q47" s="33">
        <v>0</v>
      </c>
      <c r="R47" s="33">
        <v>0</v>
      </c>
      <c r="S47" s="33">
        <v>0</v>
      </c>
      <c r="T47" s="33">
        <v>0</v>
      </c>
      <c r="U47" s="33">
        <v>0</v>
      </c>
      <c r="V47" s="33">
        <v>0</v>
      </c>
      <c r="W47" s="33">
        <v>0</v>
      </c>
      <c r="X47" s="33">
        <v>0</v>
      </c>
      <c r="Y47" s="33">
        <v>0</v>
      </c>
      <c r="Z47" s="33">
        <v>0</v>
      </c>
      <c r="AA47" s="33">
        <v>0</v>
      </c>
      <c r="AB47" s="33">
        <v>0</v>
      </c>
      <c r="AC47" s="33">
        <v>0</v>
      </c>
      <c r="AD47" s="33">
        <v>0</v>
      </c>
      <c r="AE47" s="33">
        <v>0</v>
      </c>
      <c r="AF47" s="33">
        <v>0</v>
      </c>
      <c r="AG47" s="33">
        <v>0</v>
      </c>
      <c r="AH47" s="33">
        <v>0</v>
      </c>
      <c r="AI47" s="33">
        <v>0</v>
      </c>
      <c r="AJ47" s="33">
        <v>0</v>
      </c>
      <c r="AK47" s="33">
        <v>0</v>
      </c>
      <c r="AL47" s="33">
        <v>0</v>
      </c>
      <c r="AM47" s="33">
        <v>0</v>
      </c>
      <c r="AN47" s="33"/>
      <c r="AO47" s="33"/>
      <c r="AS47" s="31"/>
    </row>
    <row r="48" spans="1:45">
      <c r="A48" s="31">
        <v>47</v>
      </c>
      <c r="B48" s="31" t="s">
        <v>62</v>
      </c>
      <c r="C48" s="31" t="s">
        <v>63</v>
      </c>
      <c r="D48" s="31"/>
      <c r="E48" s="31"/>
      <c r="F48" s="31" t="s">
        <v>543</v>
      </c>
      <c r="G48" s="31">
        <v>2009</v>
      </c>
      <c r="H48" s="31"/>
      <c r="I48" s="33" t="s">
        <v>71</v>
      </c>
      <c r="J48" s="34">
        <v>0</v>
      </c>
      <c r="K48" s="34">
        <v>0</v>
      </c>
      <c r="L48" s="34">
        <v>0</v>
      </c>
      <c r="M48" s="34">
        <v>0</v>
      </c>
      <c r="N48" s="34">
        <v>0</v>
      </c>
      <c r="O48" s="33">
        <v>0</v>
      </c>
      <c r="P48" s="33">
        <v>0</v>
      </c>
      <c r="Q48" s="33">
        <v>0</v>
      </c>
      <c r="R48" s="33">
        <v>0</v>
      </c>
      <c r="S48" s="33">
        <v>0</v>
      </c>
      <c r="T48" s="33">
        <v>0</v>
      </c>
      <c r="U48" s="33">
        <v>0</v>
      </c>
      <c r="V48" s="33">
        <v>0</v>
      </c>
      <c r="W48" s="33">
        <v>0</v>
      </c>
      <c r="X48" s="33">
        <v>0</v>
      </c>
      <c r="Y48" s="33">
        <v>0</v>
      </c>
      <c r="Z48" s="33">
        <v>0</v>
      </c>
      <c r="AA48" s="33">
        <v>0</v>
      </c>
      <c r="AB48" s="33">
        <v>0</v>
      </c>
      <c r="AC48" s="33">
        <v>0</v>
      </c>
      <c r="AD48" s="33">
        <v>0</v>
      </c>
      <c r="AE48" s="33">
        <v>0</v>
      </c>
      <c r="AF48" s="33">
        <v>0</v>
      </c>
      <c r="AG48" s="33">
        <v>0</v>
      </c>
      <c r="AH48" s="33">
        <v>0</v>
      </c>
      <c r="AI48" s="33">
        <v>0</v>
      </c>
      <c r="AJ48" s="33">
        <v>0</v>
      </c>
      <c r="AK48" s="33">
        <v>0</v>
      </c>
      <c r="AL48" s="33">
        <v>0</v>
      </c>
      <c r="AM48" s="33">
        <v>0</v>
      </c>
      <c r="AN48" s="33"/>
      <c r="AO48" s="33"/>
      <c r="AS48" s="31"/>
    </row>
    <row r="49" spans="1:45">
      <c r="A49" s="31">
        <v>48</v>
      </c>
      <c r="B49" s="31" t="s">
        <v>15</v>
      </c>
      <c r="C49" s="31" t="s">
        <v>538</v>
      </c>
      <c r="D49" s="31"/>
      <c r="E49" s="31"/>
      <c r="F49" s="31" t="s">
        <v>543</v>
      </c>
      <c r="G49" s="31">
        <v>2009</v>
      </c>
      <c r="H49" s="31"/>
      <c r="I49" s="33" t="s">
        <v>58</v>
      </c>
      <c r="J49" s="34">
        <v>0</v>
      </c>
      <c r="K49" s="34">
        <v>0</v>
      </c>
      <c r="L49" s="34">
        <v>0</v>
      </c>
      <c r="M49" s="34">
        <v>0</v>
      </c>
      <c r="N49" s="34">
        <v>0</v>
      </c>
      <c r="O49" s="33">
        <v>0</v>
      </c>
      <c r="P49" s="33">
        <v>0</v>
      </c>
      <c r="Q49" s="33">
        <v>0</v>
      </c>
      <c r="R49" s="33">
        <v>0</v>
      </c>
      <c r="S49" s="33">
        <v>0</v>
      </c>
      <c r="T49" s="33">
        <v>0</v>
      </c>
      <c r="U49" s="33">
        <v>0</v>
      </c>
      <c r="V49" s="33">
        <v>0</v>
      </c>
      <c r="W49" s="33">
        <v>0</v>
      </c>
      <c r="X49" s="33">
        <v>0</v>
      </c>
      <c r="Y49" s="33">
        <v>0</v>
      </c>
      <c r="Z49" s="33">
        <v>0</v>
      </c>
      <c r="AA49" s="33">
        <v>0</v>
      </c>
      <c r="AB49" s="33">
        <v>0</v>
      </c>
      <c r="AC49" s="33">
        <v>0</v>
      </c>
      <c r="AD49" s="33">
        <v>0</v>
      </c>
      <c r="AE49" s="33">
        <v>0</v>
      </c>
      <c r="AF49" s="33">
        <v>0</v>
      </c>
      <c r="AG49" s="33">
        <v>0</v>
      </c>
      <c r="AH49" s="33">
        <v>0</v>
      </c>
      <c r="AI49" s="33">
        <v>0</v>
      </c>
      <c r="AJ49" s="33">
        <v>0</v>
      </c>
      <c r="AK49" s="33">
        <v>0</v>
      </c>
      <c r="AL49" s="33">
        <v>0</v>
      </c>
      <c r="AM49" s="33">
        <v>0</v>
      </c>
      <c r="AN49" s="33"/>
      <c r="AO49" s="33"/>
      <c r="AS49" s="31"/>
    </row>
    <row r="50" spans="1:45">
      <c r="A50" s="31">
        <v>49</v>
      </c>
      <c r="B50" s="31" t="s">
        <v>15</v>
      </c>
      <c r="C50" s="31" t="s">
        <v>539</v>
      </c>
      <c r="D50" s="31"/>
      <c r="E50" s="31"/>
      <c r="F50" s="31" t="s">
        <v>543</v>
      </c>
      <c r="G50" s="31">
        <v>2009</v>
      </c>
      <c r="H50" s="31"/>
      <c r="I50" s="33" t="s">
        <v>58</v>
      </c>
      <c r="J50" s="34">
        <v>0</v>
      </c>
      <c r="K50" s="34">
        <v>0</v>
      </c>
      <c r="L50" s="34">
        <v>0</v>
      </c>
      <c r="M50" s="34">
        <v>0</v>
      </c>
      <c r="N50" s="34">
        <v>0</v>
      </c>
      <c r="O50" s="33">
        <v>0</v>
      </c>
      <c r="P50" s="33">
        <v>0</v>
      </c>
      <c r="Q50" s="33">
        <v>0</v>
      </c>
      <c r="R50" s="33">
        <v>0</v>
      </c>
      <c r="S50" s="33">
        <v>0</v>
      </c>
      <c r="T50" s="33">
        <v>0</v>
      </c>
      <c r="U50" s="33">
        <v>0</v>
      </c>
      <c r="V50" s="33">
        <v>0</v>
      </c>
      <c r="W50" s="33">
        <v>0</v>
      </c>
      <c r="X50" s="33">
        <v>0</v>
      </c>
      <c r="Y50" s="33">
        <v>0</v>
      </c>
      <c r="Z50" s="33">
        <v>0</v>
      </c>
      <c r="AA50" s="33">
        <v>0</v>
      </c>
      <c r="AB50" s="33">
        <v>0</v>
      </c>
      <c r="AC50" s="33">
        <v>0</v>
      </c>
      <c r="AD50" s="33">
        <v>0</v>
      </c>
      <c r="AE50" s="33">
        <v>0</v>
      </c>
      <c r="AF50" s="33">
        <v>0</v>
      </c>
      <c r="AG50" s="33">
        <v>0</v>
      </c>
      <c r="AH50" s="33">
        <v>0</v>
      </c>
      <c r="AI50" s="33">
        <v>0</v>
      </c>
      <c r="AJ50" s="33">
        <v>0</v>
      </c>
      <c r="AK50" s="33">
        <v>0</v>
      </c>
      <c r="AL50" s="33">
        <v>0</v>
      </c>
      <c r="AM50" s="33">
        <v>0</v>
      </c>
      <c r="AN50" s="33"/>
      <c r="AO50" s="33"/>
      <c r="AS50" s="31"/>
    </row>
    <row r="51" spans="1:45">
      <c r="A51" s="31">
        <v>50</v>
      </c>
      <c r="B51" s="31" t="s">
        <v>1</v>
      </c>
      <c r="C51" s="31" t="s">
        <v>540</v>
      </c>
      <c r="D51" s="31"/>
      <c r="E51" s="31"/>
      <c r="F51" s="31" t="s">
        <v>543</v>
      </c>
      <c r="G51" s="31">
        <v>2009</v>
      </c>
      <c r="H51" s="31"/>
      <c r="I51" s="33" t="s">
        <v>58</v>
      </c>
      <c r="J51" s="34">
        <v>0</v>
      </c>
      <c r="K51" s="34">
        <v>0</v>
      </c>
      <c r="L51" s="34">
        <v>0</v>
      </c>
      <c r="M51" s="34">
        <v>0</v>
      </c>
      <c r="N51" s="34">
        <v>0</v>
      </c>
      <c r="O51" s="33">
        <v>0</v>
      </c>
      <c r="P51" s="33">
        <v>0</v>
      </c>
      <c r="Q51" s="33">
        <v>0</v>
      </c>
      <c r="R51" s="33">
        <v>0</v>
      </c>
      <c r="S51" s="33">
        <v>0</v>
      </c>
      <c r="T51" s="33">
        <v>0</v>
      </c>
      <c r="U51" s="33">
        <v>0</v>
      </c>
      <c r="V51" s="33">
        <v>0</v>
      </c>
      <c r="W51" s="33">
        <v>0</v>
      </c>
      <c r="X51" s="33">
        <v>0</v>
      </c>
      <c r="Y51" s="33">
        <v>0</v>
      </c>
      <c r="Z51" s="33">
        <v>0</v>
      </c>
      <c r="AA51" s="33">
        <v>0</v>
      </c>
      <c r="AB51" s="33">
        <v>0</v>
      </c>
      <c r="AC51" s="33">
        <v>0</v>
      </c>
      <c r="AD51" s="33">
        <v>0</v>
      </c>
      <c r="AE51" s="33">
        <v>0</v>
      </c>
      <c r="AF51" s="33">
        <v>0</v>
      </c>
      <c r="AG51" s="33">
        <v>0</v>
      </c>
      <c r="AH51" s="33">
        <v>0</v>
      </c>
      <c r="AI51" s="33">
        <v>0</v>
      </c>
      <c r="AJ51" s="33">
        <v>0</v>
      </c>
      <c r="AK51" s="33">
        <v>0</v>
      </c>
      <c r="AL51" s="33">
        <v>0</v>
      </c>
      <c r="AM51" s="33">
        <v>0</v>
      </c>
      <c r="AN51" s="33"/>
      <c r="AO51" s="33"/>
      <c r="AS51" s="31"/>
    </row>
    <row r="52" spans="1:45">
      <c r="A52" s="31">
        <v>51</v>
      </c>
      <c r="B52" s="31" t="s">
        <v>65</v>
      </c>
      <c r="C52" s="31" t="s">
        <v>541</v>
      </c>
      <c r="D52" s="31"/>
      <c r="E52" s="31"/>
      <c r="F52" s="31" t="s">
        <v>543</v>
      </c>
      <c r="G52" s="31">
        <v>2008</v>
      </c>
      <c r="H52" s="31"/>
      <c r="I52" s="33" t="s">
        <v>58</v>
      </c>
      <c r="J52" s="34">
        <v>0</v>
      </c>
      <c r="K52" s="34">
        <v>0</v>
      </c>
      <c r="L52" s="34">
        <v>0</v>
      </c>
      <c r="M52" s="34">
        <v>0</v>
      </c>
      <c r="N52" s="34">
        <v>0</v>
      </c>
      <c r="O52" s="33">
        <v>0</v>
      </c>
      <c r="P52" s="33">
        <v>0</v>
      </c>
      <c r="Q52" s="33">
        <v>0</v>
      </c>
      <c r="R52" s="33">
        <v>0</v>
      </c>
      <c r="S52" s="33">
        <v>0</v>
      </c>
      <c r="T52" s="33">
        <v>0</v>
      </c>
      <c r="U52" s="33">
        <v>0</v>
      </c>
      <c r="V52" s="33">
        <v>0</v>
      </c>
      <c r="W52" s="33">
        <v>0</v>
      </c>
      <c r="X52" s="33">
        <v>0</v>
      </c>
      <c r="Y52" s="33">
        <v>0</v>
      </c>
      <c r="Z52" s="33">
        <v>0</v>
      </c>
      <c r="AA52" s="33">
        <v>0</v>
      </c>
      <c r="AB52" s="33">
        <v>0</v>
      </c>
      <c r="AC52" s="33">
        <v>0</v>
      </c>
      <c r="AD52" s="33">
        <v>0</v>
      </c>
      <c r="AE52" s="33">
        <v>0</v>
      </c>
      <c r="AF52" s="33">
        <v>0</v>
      </c>
      <c r="AG52" s="33">
        <v>0</v>
      </c>
      <c r="AH52" s="33">
        <v>0</v>
      </c>
      <c r="AI52" s="33">
        <v>0</v>
      </c>
      <c r="AJ52" s="33">
        <v>0</v>
      </c>
      <c r="AK52" s="33">
        <v>0</v>
      </c>
      <c r="AL52" s="33">
        <v>0</v>
      </c>
      <c r="AM52" s="33">
        <v>0</v>
      </c>
      <c r="AN52" s="33"/>
      <c r="AO52" s="33"/>
      <c r="AS52" s="31"/>
    </row>
    <row r="53" spans="1:45">
      <c r="A53" s="31">
        <v>52</v>
      </c>
      <c r="B53" s="31" t="s">
        <v>62</v>
      </c>
      <c r="C53" s="31" t="s">
        <v>542</v>
      </c>
      <c r="D53" s="31"/>
      <c r="E53" s="31"/>
      <c r="F53" s="31" t="s">
        <v>543</v>
      </c>
      <c r="G53" s="31">
        <v>2008</v>
      </c>
      <c r="H53" s="31"/>
      <c r="I53" s="33" t="s">
        <v>58</v>
      </c>
      <c r="J53" s="34">
        <v>0</v>
      </c>
      <c r="K53" s="34">
        <v>0</v>
      </c>
      <c r="L53" s="34">
        <v>0</v>
      </c>
      <c r="M53" s="34">
        <v>0</v>
      </c>
      <c r="N53" s="34">
        <v>0</v>
      </c>
      <c r="O53" s="33">
        <v>0</v>
      </c>
      <c r="P53" s="33">
        <v>0</v>
      </c>
      <c r="Q53" s="33">
        <v>0</v>
      </c>
      <c r="R53" s="33">
        <v>0</v>
      </c>
      <c r="S53" s="33">
        <v>0</v>
      </c>
      <c r="T53" s="33">
        <v>0</v>
      </c>
      <c r="U53" s="33">
        <v>0</v>
      </c>
      <c r="V53" s="33">
        <v>0</v>
      </c>
      <c r="W53" s="33">
        <v>0</v>
      </c>
      <c r="X53" s="33">
        <v>0</v>
      </c>
      <c r="Y53" s="33">
        <v>0</v>
      </c>
      <c r="Z53" s="33">
        <v>0</v>
      </c>
      <c r="AA53" s="33">
        <v>0</v>
      </c>
      <c r="AB53" s="33">
        <v>0</v>
      </c>
      <c r="AC53" s="33">
        <v>0</v>
      </c>
      <c r="AD53" s="33">
        <v>0</v>
      </c>
      <c r="AE53" s="33">
        <v>0</v>
      </c>
      <c r="AF53" s="33">
        <v>0</v>
      </c>
      <c r="AG53" s="33">
        <v>0</v>
      </c>
      <c r="AH53" s="33">
        <v>0</v>
      </c>
      <c r="AI53" s="33">
        <v>0</v>
      </c>
      <c r="AJ53" s="33">
        <v>0</v>
      </c>
      <c r="AK53" s="33">
        <v>0</v>
      </c>
      <c r="AL53" s="33">
        <v>0</v>
      </c>
      <c r="AM53" s="33">
        <v>0</v>
      </c>
      <c r="AN53" s="33"/>
      <c r="AO53" s="33"/>
      <c r="AS53" s="31"/>
    </row>
    <row r="54" spans="1:45">
      <c r="A54" s="31">
        <v>53</v>
      </c>
      <c r="B54" s="31" t="s">
        <v>15</v>
      </c>
      <c r="C54" s="31" t="s">
        <v>523</v>
      </c>
      <c r="D54" s="31"/>
      <c r="E54" s="31"/>
      <c r="F54" s="31" t="s">
        <v>543</v>
      </c>
      <c r="G54" s="31">
        <v>2010</v>
      </c>
      <c r="H54" s="31"/>
      <c r="I54" s="33" t="s">
        <v>17</v>
      </c>
      <c r="J54" s="34">
        <v>0</v>
      </c>
      <c r="K54" s="34">
        <v>0</v>
      </c>
      <c r="L54" s="34">
        <v>0</v>
      </c>
      <c r="M54" s="34">
        <v>0</v>
      </c>
      <c r="N54" s="34">
        <v>90.761836237952139</v>
      </c>
      <c r="O54" s="33">
        <v>90.761836237952139</v>
      </c>
      <c r="P54" s="33">
        <v>90.761836237952139</v>
      </c>
      <c r="Q54" s="33">
        <v>89.819440608149833</v>
      </c>
      <c r="R54" s="33">
        <v>64.78083902315845</v>
      </c>
      <c r="S54" s="33">
        <v>0</v>
      </c>
      <c r="T54" s="33">
        <v>0</v>
      </c>
      <c r="U54" s="33">
        <v>0</v>
      </c>
      <c r="V54" s="33">
        <v>0</v>
      </c>
      <c r="W54" s="33">
        <v>0</v>
      </c>
      <c r="X54" s="33">
        <v>0</v>
      </c>
      <c r="Y54" s="33">
        <v>0</v>
      </c>
      <c r="Z54" s="33">
        <v>0</v>
      </c>
      <c r="AA54" s="33">
        <v>0</v>
      </c>
      <c r="AB54" s="33">
        <v>0</v>
      </c>
      <c r="AC54" s="33">
        <v>0</v>
      </c>
      <c r="AD54" s="33">
        <v>0</v>
      </c>
      <c r="AE54" s="33">
        <v>0</v>
      </c>
      <c r="AF54" s="33">
        <v>0</v>
      </c>
      <c r="AG54" s="33">
        <v>0</v>
      </c>
      <c r="AH54" s="33">
        <v>0</v>
      </c>
      <c r="AI54" s="33">
        <v>0</v>
      </c>
      <c r="AJ54" s="33">
        <v>0</v>
      </c>
      <c r="AK54" s="33">
        <v>0</v>
      </c>
      <c r="AL54" s="33">
        <v>0</v>
      </c>
      <c r="AM54" s="33">
        <v>0</v>
      </c>
      <c r="AN54" s="33"/>
      <c r="AO54" s="33"/>
      <c r="AS54" s="31"/>
    </row>
    <row r="55" spans="1:45">
      <c r="A55" s="31">
        <v>54</v>
      </c>
      <c r="B55" s="31" t="s">
        <v>15</v>
      </c>
      <c r="C55" s="31" t="s">
        <v>532</v>
      </c>
      <c r="D55" s="31"/>
      <c r="E55" s="31"/>
      <c r="F55" s="31" t="s">
        <v>543</v>
      </c>
      <c r="G55" s="31">
        <v>2010</v>
      </c>
      <c r="H55" s="31"/>
      <c r="I55" s="33" t="s">
        <v>17</v>
      </c>
      <c r="J55" s="34">
        <v>0</v>
      </c>
      <c r="K55" s="34">
        <v>0</v>
      </c>
      <c r="L55" s="34">
        <v>0</v>
      </c>
      <c r="M55" s="34">
        <v>0</v>
      </c>
      <c r="N55" s="34">
        <v>73.788540411879836</v>
      </c>
      <c r="O55" s="33">
        <v>73.788540411879836</v>
      </c>
      <c r="P55" s="33">
        <v>73.788540411879836</v>
      </c>
      <c r="Q55" s="33">
        <v>73.788540411879836</v>
      </c>
      <c r="R55" s="33">
        <v>73.788540411879836</v>
      </c>
      <c r="S55" s="33">
        <v>73.788540411879836</v>
      </c>
      <c r="T55" s="33">
        <v>73.788540411879836</v>
      </c>
      <c r="U55" s="33">
        <v>73.788540411879836</v>
      </c>
      <c r="V55" s="33">
        <v>73.788540411879836</v>
      </c>
      <c r="W55" s="33">
        <v>73.788540411879836</v>
      </c>
      <c r="X55" s="33">
        <v>73.788540411879836</v>
      </c>
      <c r="Y55" s="33">
        <v>73.788540411879836</v>
      </c>
      <c r="Z55" s="33">
        <v>73.788540411879836</v>
      </c>
      <c r="AA55" s="33">
        <v>73.788540411879836</v>
      </c>
      <c r="AB55" s="33">
        <v>73.788540411879836</v>
      </c>
      <c r="AC55" s="33">
        <v>72.650584633795674</v>
      </c>
      <c r="AD55" s="33">
        <v>72.650584633795674</v>
      </c>
      <c r="AE55" s="33">
        <v>72.650584633795674</v>
      </c>
      <c r="AF55" s="33">
        <v>68.492976820811506</v>
      </c>
      <c r="AG55" s="33">
        <v>0</v>
      </c>
      <c r="AH55" s="33">
        <v>0</v>
      </c>
      <c r="AI55" s="33">
        <v>0</v>
      </c>
      <c r="AJ55" s="33">
        <v>0</v>
      </c>
      <c r="AK55" s="33">
        <v>0</v>
      </c>
      <c r="AL55" s="33">
        <v>0</v>
      </c>
      <c r="AM55" s="33">
        <v>0</v>
      </c>
      <c r="AN55" s="33"/>
      <c r="AO55" s="33"/>
      <c r="AS55" s="31"/>
    </row>
    <row r="56" spans="1:45">
      <c r="A56" s="31">
        <v>55</v>
      </c>
      <c r="B56" s="31" t="s">
        <v>15</v>
      </c>
      <c r="C56" s="31" t="s">
        <v>533</v>
      </c>
      <c r="D56" s="31"/>
      <c r="E56" s="31"/>
      <c r="F56" s="31" t="s">
        <v>543</v>
      </c>
      <c r="G56" s="31">
        <v>2010</v>
      </c>
      <c r="H56" s="31"/>
      <c r="I56" s="33" t="s">
        <v>17</v>
      </c>
      <c r="J56" s="34">
        <v>0</v>
      </c>
      <c r="K56" s="34">
        <v>0</v>
      </c>
      <c r="L56" s="34">
        <v>0</v>
      </c>
      <c r="M56" s="34">
        <v>0</v>
      </c>
      <c r="N56" s="34">
        <v>89.169325477264849</v>
      </c>
      <c r="O56" s="33">
        <v>78.373205665959077</v>
      </c>
      <c r="P56" s="33">
        <v>75.878908270781039</v>
      </c>
      <c r="Q56" s="33">
        <v>75.878908270781039</v>
      </c>
      <c r="R56" s="33">
        <v>75.878908270781039</v>
      </c>
      <c r="S56" s="33">
        <v>39.056265787903357</v>
      </c>
      <c r="T56" s="33">
        <v>29.820787209951266</v>
      </c>
      <c r="U56" s="33">
        <v>29.820787209951266</v>
      </c>
      <c r="V56" s="33">
        <v>29.060493047651505</v>
      </c>
      <c r="W56" s="33">
        <v>27.342906458006642</v>
      </c>
      <c r="X56" s="33">
        <v>21.033030181417733</v>
      </c>
      <c r="Y56" s="33">
        <v>21.033030181417733</v>
      </c>
      <c r="Z56" s="33">
        <v>18.579670473626194</v>
      </c>
      <c r="AA56" s="33">
        <v>18.579670473626194</v>
      </c>
      <c r="AB56" s="33">
        <v>18.579670473626194</v>
      </c>
      <c r="AC56" s="33">
        <v>10.576196620479793</v>
      </c>
      <c r="AD56" s="33">
        <v>0.25818335244921631</v>
      </c>
      <c r="AE56" s="33">
        <v>0.25818335244921631</v>
      </c>
      <c r="AF56" s="33">
        <v>0.25818335244921631</v>
      </c>
      <c r="AG56" s="33">
        <v>0.25818335244921631</v>
      </c>
      <c r="AH56" s="33">
        <v>0</v>
      </c>
      <c r="AI56" s="33">
        <v>0</v>
      </c>
      <c r="AJ56" s="33">
        <v>0</v>
      </c>
      <c r="AK56" s="33">
        <v>0</v>
      </c>
      <c r="AL56" s="33">
        <v>0</v>
      </c>
      <c r="AM56" s="33">
        <v>0</v>
      </c>
      <c r="AN56" s="33"/>
      <c r="AO56" s="33"/>
      <c r="AS56" s="31"/>
    </row>
    <row r="57" spans="1:45">
      <c r="A57" s="31">
        <v>56</v>
      </c>
      <c r="B57" s="31" t="s">
        <v>65</v>
      </c>
      <c r="C57" s="31" t="s">
        <v>524</v>
      </c>
      <c r="D57" s="31"/>
      <c r="E57" s="31"/>
      <c r="F57" s="31" t="s">
        <v>543</v>
      </c>
      <c r="G57" s="31">
        <v>2010</v>
      </c>
      <c r="H57" s="31"/>
      <c r="I57" s="33" t="s">
        <v>58</v>
      </c>
      <c r="J57" s="34">
        <v>0</v>
      </c>
      <c r="K57" s="34">
        <v>0</v>
      </c>
      <c r="L57" s="34">
        <v>0</v>
      </c>
      <c r="M57" s="34">
        <v>0</v>
      </c>
      <c r="N57" s="34">
        <v>0</v>
      </c>
      <c r="O57" s="33">
        <v>0</v>
      </c>
      <c r="P57" s="33">
        <v>0</v>
      </c>
      <c r="Q57" s="33">
        <v>0</v>
      </c>
      <c r="R57" s="33">
        <v>0</v>
      </c>
      <c r="S57" s="33">
        <v>0</v>
      </c>
      <c r="T57" s="33">
        <v>0</v>
      </c>
      <c r="U57" s="33">
        <v>0</v>
      </c>
      <c r="V57" s="33">
        <v>0</v>
      </c>
      <c r="W57" s="33">
        <v>0</v>
      </c>
      <c r="X57" s="33">
        <v>0</v>
      </c>
      <c r="Y57" s="33">
        <v>0</v>
      </c>
      <c r="Z57" s="33">
        <v>0</v>
      </c>
      <c r="AA57" s="33">
        <v>0</v>
      </c>
      <c r="AB57" s="33">
        <v>0</v>
      </c>
      <c r="AC57" s="33">
        <v>0</v>
      </c>
      <c r="AD57" s="33">
        <v>0</v>
      </c>
      <c r="AE57" s="33">
        <v>0</v>
      </c>
      <c r="AF57" s="33">
        <v>0</v>
      </c>
      <c r="AG57" s="33">
        <v>0</v>
      </c>
      <c r="AH57" s="33">
        <v>0</v>
      </c>
      <c r="AI57" s="33">
        <v>0</v>
      </c>
      <c r="AJ57" s="33">
        <v>0</v>
      </c>
      <c r="AK57" s="33">
        <v>0</v>
      </c>
      <c r="AL57" s="33">
        <v>0</v>
      </c>
      <c r="AM57" s="33">
        <v>0</v>
      </c>
      <c r="AN57" s="33"/>
      <c r="AO57" s="33"/>
      <c r="AS57" s="31"/>
    </row>
    <row r="58" spans="1:45">
      <c r="A58" s="31">
        <v>57</v>
      </c>
      <c r="B58" s="31" t="s">
        <v>65</v>
      </c>
      <c r="C58" s="31" t="s">
        <v>530</v>
      </c>
      <c r="D58" s="31"/>
      <c r="E58" s="31"/>
      <c r="F58" s="31" t="s">
        <v>543</v>
      </c>
      <c r="G58" s="31">
        <v>2010</v>
      </c>
      <c r="H58" s="31"/>
      <c r="I58" s="33" t="s">
        <v>71</v>
      </c>
      <c r="J58" s="34">
        <v>0</v>
      </c>
      <c r="K58" s="34">
        <v>0</v>
      </c>
      <c r="L58" s="34">
        <v>0</v>
      </c>
      <c r="M58" s="34">
        <v>0</v>
      </c>
      <c r="N58" s="34">
        <v>240.79429308437139</v>
      </c>
      <c r="O58" s="33">
        <v>240.79429308437139</v>
      </c>
      <c r="P58" s="33">
        <v>240.79429308437139</v>
      </c>
      <c r="Q58" s="33">
        <v>240.79429308437139</v>
      </c>
      <c r="R58" s="33">
        <v>240.79429308437139</v>
      </c>
      <c r="S58" s="33">
        <v>240.79429308437139</v>
      </c>
      <c r="T58" s="33">
        <v>240.79429308437139</v>
      </c>
      <c r="U58" s="33">
        <v>240.79429308437139</v>
      </c>
      <c r="V58" s="33">
        <v>238.20742511927511</v>
      </c>
      <c r="W58" s="33">
        <v>53.893082606184144</v>
      </c>
      <c r="X58" s="33">
        <v>0</v>
      </c>
      <c r="Y58" s="33">
        <v>0</v>
      </c>
      <c r="Z58" s="33">
        <v>0</v>
      </c>
      <c r="AA58" s="33">
        <v>0</v>
      </c>
      <c r="AB58" s="33">
        <v>0</v>
      </c>
      <c r="AC58" s="33">
        <v>0</v>
      </c>
      <c r="AD58" s="33">
        <v>0</v>
      </c>
      <c r="AE58" s="33">
        <v>0</v>
      </c>
      <c r="AF58" s="33">
        <v>0</v>
      </c>
      <c r="AG58" s="33">
        <v>0</v>
      </c>
      <c r="AH58" s="33">
        <v>0</v>
      </c>
      <c r="AI58" s="33">
        <v>0</v>
      </c>
      <c r="AJ58" s="33">
        <v>0</v>
      </c>
      <c r="AK58" s="33">
        <v>0</v>
      </c>
      <c r="AL58" s="33">
        <v>0</v>
      </c>
      <c r="AM58" s="33">
        <v>0</v>
      </c>
      <c r="AN58" s="33"/>
      <c r="AO58" s="33"/>
      <c r="AS58" s="31"/>
    </row>
    <row r="59" spans="1:45">
      <c r="A59" s="31">
        <v>58</v>
      </c>
      <c r="B59" s="31" t="s">
        <v>69</v>
      </c>
      <c r="C59" s="31" t="s">
        <v>139</v>
      </c>
      <c r="D59" s="31"/>
      <c r="E59" s="31"/>
      <c r="F59" s="31" t="s">
        <v>543</v>
      </c>
      <c r="G59" s="31">
        <v>2010</v>
      </c>
      <c r="H59" s="31"/>
      <c r="I59" s="33" t="s">
        <v>58</v>
      </c>
      <c r="J59" s="34">
        <v>0</v>
      </c>
      <c r="K59" s="34">
        <v>0</v>
      </c>
      <c r="L59" s="34">
        <v>0</v>
      </c>
      <c r="M59" s="34">
        <v>0</v>
      </c>
      <c r="N59" s="34">
        <v>0</v>
      </c>
      <c r="O59" s="33">
        <v>0</v>
      </c>
      <c r="P59" s="33">
        <v>0</v>
      </c>
      <c r="Q59" s="33">
        <v>0</v>
      </c>
      <c r="R59" s="33">
        <v>0</v>
      </c>
      <c r="S59" s="33">
        <v>0</v>
      </c>
      <c r="T59" s="33">
        <v>0</v>
      </c>
      <c r="U59" s="33">
        <v>0</v>
      </c>
      <c r="V59" s="33">
        <v>0</v>
      </c>
      <c r="W59" s="33">
        <v>0</v>
      </c>
      <c r="X59" s="33">
        <v>0</v>
      </c>
      <c r="Y59" s="33">
        <v>0</v>
      </c>
      <c r="Z59" s="33">
        <v>0</v>
      </c>
      <c r="AA59" s="33">
        <v>0</v>
      </c>
      <c r="AB59" s="33">
        <v>0</v>
      </c>
      <c r="AC59" s="33">
        <v>0</v>
      </c>
      <c r="AD59" s="33">
        <v>0</v>
      </c>
      <c r="AE59" s="33">
        <v>0</v>
      </c>
      <c r="AF59" s="33">
        <v>0</v>
      </c>
      <c r="AG59" s="33">
        <v>0</v>
      </c>
      <c r="AH59" s="33">
        <v>0</v>
      </c>
      <c r="AI59" s="33">
        <v>0</v>
      </c>
      <c r="AJ59" s="33">
        <v>0</v>
      </c>
      <c r="AK59" s="33">
        <v>0</v>
      </c>
      <c r="AL59" s="33">
        <v>0</v>
      </c>
      <c r="AM59" s="33">
        <v>0</v>
      </c>
      <c r="AN59" s="33"/>
      <c r="AO59" s="33"/>
      <c r="AS59" s="31"/>
    </row>
    <row r="60" spans="1:45">
      <c r="A60" s="31">
        <v>59</v>
      </c>
      <c r="B60" s="31" t="s">
        <v>1</v>
      </c>
      <c r="C60" s="31" t="s">
        <v>42</v>
      </c>
      <c r="D60" s="31"/>
      <c r="E60" s="31"/>
      <c r="F60" s="31" t="s">
        <v>543</v>
      </c>
      <c r="G60" s="31">
        <v>2010</v>
      </c>
      <c r="H60" s="31"/>
      <c r="I60" s="33" t="s">
        <v>71</v>
      </c>
      <c r="J60" s="34">
        <v>0</v>
      </c>
      <c r="K60" s="34">
        <v>0</v>
      </c>
      <c r="L60" s="34">
        <v>0</v>
      </c>
      <c r="M60" s="34">
        <v>0</v>
      </c>
      <c r="N60" s="34">
        <v>196.16017213547786</v>
      </c>
      <c r="O60" s="33">
        <v>196.16017213547786</v>
      </c>
      <c r="P60" s="33">
        <v>196.16017213547786</v>
      </c>
      <c r="Q60" s="33">
        <v>196.16017213547786</v>
      </c>
      <c r="R60" s="33">
        <v>196.16017213547786</v>
      </c>
      <c r="S60" s="33">
        <v>196.16017213547786</v>
      </c>
      <c r="T60" s="33">
        <v>196.16017213547786</v>
      </c>
      <c r="U60" s="33">
        <v>196.16017213547786</v>
      </c>
      <c r="V60" s="33">
        <v>196.16017213547786</v>
      </c>
      <c r="W60" s="33">
        <v>196.16017213547786</v>
      </c>
      <c r="X60" s="33">
        <v>196.16017213547786</v>
      </c>
      <c r="Y60" s="33">
        <v>196.16017213547786</v>
      </c>
      <c r="Z60" s="33">
        <v>196.16017213547786</v>
      </c>
      <c r="AA60" s="33">
        <v>196.16017213547786</v>
      </c>
      <c r="AB60" s="33">
        <v>196.16017213547786</v>
      </c>
      <c r="AC60" s="33">
        <v>196.16017213547786</v>
      </c>
      <c r="AD60" s="33">
        <v>196.16017213547786</v>
      </c>
      <c r="AE60" s="33">
        <v>196.16017213547786</v>
      </c>
      <c r="AF60" s="33">
        <v>196.16017213547786</v>
      </c>
      <c r="AG60" s="33">
        <v>196.16017213547786</v>
      </c>
      <c r="AH60" s="33">
        <v>0</v>
      </c>
      <c r="AI60" s="33">
        <v>0</v>
      </c>
      <c r="AJ60" s="33">
        <v>0</v>
      </c>
      <c r="AK60" s="33">
        <v>0</v>
      </c>
      <c r="AL60" s="33">
        <v>0</v>
      </c>
      <c r="AM60" s="33">
        <v>0</v>
      </c>
      <c r="AN60" s="33"/>
      <c r="AO60" s="33"/>
      <c r="AS60" s="31"/>
    </row>
    <row r="61" spans="1:45">
      <c r="A61" s="31">
        <v>60</v>
      </c>
      <c r="B61" s="31" t="s">
        <v>1</v>
      </c>
      <c r="C61" s="31" t="s">
        <v>535</v>
      </c>
      <c r="D61" s="31"/>
      <c r="E61" s="31"/>
      <c r="F61" s="31" t="s">
        <v>543</v>
      </c>
      <c r="G61" s="31">
        <v>2010</v>
      </c>
      <c r="H61" s="31"/>
      <c r="I61" s="33" t="s">
        <v>70</v>
      </c>
      <c r="J61" s="34">
        <v>0</v>
      </c>
      <c r="K61" s="34">
        <v>0</v>
      </c>
      <c r="L61" s="34">
        <v>0</v>
      </c>
      <c r="M61" s="34">
        <v>0</v>
      </c>
      <c r="N61" s="34">
        <v>539.41236895018005</v>
      </c>
      <c r="O61" s="33">
        <v>539.41236895018005</v>
      </c>
      <c r="P61" s="33">
        <v>539.41236895018005</v>
      </c>
      <c r="Q61" s="33">
        <v>539.41236895018005</v>
      </c>
      <c r="R61" s="33">
        <v>539.41236895018005</v>
      </c>
      <c r="S61" s="33">
        <v>539.41236895018005</v>
      </c>
      <c r="T61" s="33">
        <v>539.41236895018005</v>
      </c>
      <c r="U61" s="33">
        <v>364.05128221036796</v>
      </c>
      <c r="V61" s="33">
        <v>0</v>
      </c>
      <c r="W61" s="33">
        <v>0</v>
      </c>
      <c r="X61" s="33">
        <v>0</v>
      </c>
      <c r="Y61" s="33">
        <v>0</v>
      </c>
      <c r="Z61" s="33">
        <v>0</v>
      </c>
      <c r="AA61" s="33">
        <v>0</v>
      </c>
      <c r="AB61" s="33">
        <v>0</v>
      </c>
      <c r="AC61" s="33">
        <v>0</v>
      </c>
      <c r="AD61" s="33">
        <v>0</v>
      </c>
      <c r="AE61" s="33">
        <v>0</v>
      </c>
      <c r="AF61" s="33">
        <v>0</v>
      </c>
      <c r="AG61" s="33">
        <v>0</v>
      </c>
      <c r="AH61" s="33">
        <v>0</v>
      </c>
      <c r="AI61" s="33">
        <v>0</v>
      </c>
      <c r="AJ61" s="33">
        <v>0</v>
      </c>
      <c r="AK61" s="33">
        <v>0</v>
      </c>
      <c r="AL61" s="33">
        <v>0</v>
      </c>
      <c r="AM61" s="33">
        <v>0</v>
      </c>
      <c r="AN61" s="33"/>
      <c r="AO61" s="33"/>
      <c r="AS61" s="31"/>
    </row>
    <row r="62" spans="1:45">
      <c r="A62" s="31">
        <v>61</v>
      </c>
      <c r="B62" s="31" t="s">
        <v>60</v>
      </c>
      <c r="C62" s="31" t="s">
        <v>59</v>
      </c>
      <c r="D62" s="31"/>
      <c r="E62" s="31"/>
      <c r="F62" s="31" t="s">
        <v>543</v>
      </c>
      <c r="G62" s="31">
        <v>2010</v>
      </c>
      <c r="H62" s="31"/>
      <c r="I62" s="33" t="s">
        <v>17</v>
      </c>
      <c r="J62" s="34">
        <v>0</v>
      </c>
      <c r="K62" s="34">
        <v>0</v>
      </c>
      <c r="L62" s="34">
        <v>0</v>
      </c>
      <c r="M62" s="34">
        <v>0</v>
      </c>
      <c r="N62" s="34">
        <v>99.460353780097165</v>
      </c>
      <c r="O62" s="33">
        <v>99.460353780097165</v>
      </c>
      <c r="P62" s="33">
        <v>99.460353780097165</v>
      </c>
      <c r="Q62" s="33">
        <v>99.460353780097165</v>
      </c>
      <c r="R62" s="33">
        <v>99.460353780097165</v>
      </c>
      <c r="S62" s="33">
        <v>99.460353780097165</v>
      </c>
      <c r="T62" s="33">
        <v>99.460353780097165</v>
      </c>
      <c r="U62" s="33">
        <v>99.460353780097165</v>
      </c>
      <c r="V62" s="33">
        <v>99.460353780097165</v>
      </c>
      <c r="W62" s="33">
        <v>8.8903109524138273</v>
      </c>
      <c r="X62" s="33">
        <v>0</v>
      </c>
      <c r="Y62" s="33">
        <v>0</v>
      </c>
      <c r="Z62" s="33">
        <v>0</v>
      </c>
      <c r="AA62" s="33">
        <v>0</v>
      </c>
      <c r="AB62" s="33">
        <v>0</v>
      </c>
      <c r="AC62" s="33">
        <v>0</v>
      </c>
      <c r="AD62" s="33">
        <v>0</v>
      </c>
      <c r="AE62" s="33">
        <v>0</v>
      </c>
      <c r="AF62" s="33">
        <v>0</v>
      </c>
      <c r="AG62" s="33">
        <v>0</v>
      </c>
      <c r="AH62" s="33">
        <v>0</v>
      </c>
      <c r="AI62" s="33">
        <v>0</v>
      </c>
      <c r="AJ62" s="33">
        <v>0</v>
      </c>
      <c r="AK62" s="33">
        <v>0</v>
      </c>
      <c r="AL62" s="33">
        <v>0</v>
      </c>
      <c r="AM62" s="33">
        <v>0</v>
      </c>
      <c r="AN62" s="33"/>
      <c r="AO62" s="33"/>
      <c r="AS62" s="31"/>
    </row>
    <row r="63" spans="1:45">
      <c r="A63" s="31">
        <v>62</v>
      </c>
      <c r="B63" s="31" t="s">
        <v>62</v>
      </c>
      <c r="C63" s="31" t="s">
        <v>61</v>
      </c>
      <c r="D63" s="31"/>
      <c r="E63" s="31"/>
      <c r="F63" s="31" t="s">
        <v>543</v>
      </c>
      <c r="G63" s="31">
        <v>2010</v>
      </c>
      <c r="H63" s="31"/>
      <c r="I63" s="33" t="s">
        <v>71</v>
      </c>
      <c r="J63" s="34">
        <v>0</v>
      </c>
      <c r="K63" s="34">
        <v>0</v>
      </c>
      <c r="L63" s="34">
        <v>0</v>
      </c>
      <c r="M63" s="34">
        <v>0</v>
      </c>
      <c r="N63" s="34">
        <v>927.03949446998331</v>
      </c>
      <c r="O63" s="33">
        <v>0</v>
      </c>
      <c r="P63" s="33">
        <v>0</v>
      </c>
      <c r="Q63" s="33">
        <v>0</v>
      </c>
      <c r="R63" s="33">
        <v>0</v>
      </c>
      <c r="S63" s="33">
        <v>0</v>
      </c>
      <c r="T63" s="33">
        <v>0</v>
      </c>
      <c r="U63" s="33">
        <v>0</v>
      </c>
      <c r="V63" s="33">
        <v>0</v>
      </c>
      <c r="W63" s="33">
        <v>0</v>
      </c>
      <c r="X63" s="33">
        <v>0</v>
      </c>
      <c r="Y63" s="33">
        <v>0</v>
      </c>
      <c r="Z63" s="33">
        <v>0</v>
      </c>
      <c r="AA63" s="33">
        <v>0</v>
      </c>
      <c r="AB63" s="33">
        <v>0</v>
      </c>
      <c r="AC63" s="33">
        <v>0</v>
      </c>
      <c r="AD63" s="33">
        <v>0</v>
      </c>
      <c r="AE63" s="33">
        <v>0</v>
      </c>
      <c r="AF63" s="33">
        <v>0</v>
      </c>
      <c r="AG63" s="33">
        <v>0</v>
      </c>
      <c r="AH63" s="33">
        <v>0</v>
      </c>
      <c r="AI63" s="33">
        <v>0</v>
      </c>
      <c r="AJ63" s="33">
        <v>0</v>
      </c>
      <c r="AK63" s="33">
        <v>0</v>
      </c>
      <c r="AL63" s="33">
        <v>0</v>
      </c>
      <c r="AM63" s="33">
        <v>0</v>
      </c>
      <c r="AN63" s="33"/>
      <c r="AO63" s="33"/>
      <c r="AS63" s="31"/>
    </row>
    <row r="64" spans="1:45">
      <c r="A64" s="31">
        <v>63</v>
      </c>
      <c r="B64" s="31" t="s">
        <v>62</v>
      </c>
      <c r="C64" s="31" t="s">
        <v>49</v>
      </c>
      <c r="D64" s="31"/>
      <c r="E64" s="31"/>
      <c r="F64" s="31" t="s">
        <v>543</v>
      </c>
      <c r="G64" s="31">
        <v>2010</v>
      </c>
      <c r="H64" s="31"/>
      <c r="I64" s="33" t="s">
        <v>71</v>
      </c>
      <c r="J64" s="34">
        <v>0</v>
      </c>
      <c r="K64" s="34">
        <v>0</v>
      </c>
      <c r="L64" s="34">
        <v>0</v>
      </c>
      <c r="M64" s="34">
        <v>0</v>
      </c>
      <c r="N64" s="34">
        <v>32.85625239207058</v>
      </c>
      <c r="O64" s="33">
        <v>0</v>
      </c>
      <c r="P64" s="33">
        <v>0</v>
      </c>
      <c r="Q64" s="33">
        <v>0</v>
      </c>
      <c r="R64" s="33">
        <v>0</v>
      </c>
      <c r="S64" s="33">
        <v>0</v>
      </c>
      <c r="T64" s="33">
        <v>0</v>
      </c>
      <c r="U64" s="33">
        <v>0</v>
      </c>
      <c r="V64" s="33">
        <v>0</v>
      </c>
      <c r="W64" s="33">
        <v>0</v>
      </c>
      <c r="X64" s="33">
        <v>0</v>
      </c>
      <c r="Y64" s="33">
        <v>0</v>
      </c>
      <c r="Z64" s="33">
        <v>0</v>
      </c>
      <c r="AA64" s="33">
        <v>0</v>
      </c>
      <c r="AB64" s="33">
        <v>0</v>
      </c>
      <c r="AC64" s="33">
        <v>0</v>
      </c>
      <c r="AD64" s="33">
        <v>0</v>
      </c>
      <c r="AE64" s="33">
        <v>0</v>
      </c>
      <c r="AF64" s="33">
        <v>0</v>
      </c>
      <c r="AG64" s="33">
        <v>0</v>
      </c>
      <c r="AH64" s="33">
        <v>0</v>
      </c>
      <c r="AI64" s="33">
        <v>0</v>
      </c>
      <c r="AJ64" s="33">
        <v>0</v>
      </c>
      <c r="AK64" s="33">
        <v>0</v>
      </c>
      <c r="AL64" s="33">
        <v>0</v>
      </c>
      <c r="AM64" s="33">
        <v>0</v>
      </c>
      <c r="AN64" s="33"/>
      <c r="AO64" s="33"/>
      <c r="AS64" s="31"/>
    </row>
    <row r="65" spans="1:45">
      <c r="A65" s="31">
        <v>64</v>
      </c>
      <c r="B65" s="31" t="s">
        <v>62</v>
      </c>
      <c r="C65" s="31" t="s">
        <v>63</v>
      </c>
      <c r="D65" s="31"/>
      <c r="E65" s="31"/>
      <c r="F65" s="31" t="s">
        <v>543</v>
      </c>
      <c r="G65" s="31">
        <v>2010</v>
      </c>
      <c r="H65" s="31"/>
      <c r="I65" s="33" t="s">
        <v>71</v>
      </c>
      <c r="J65" s="34">
        <v>0</v>
      </c>
      <c r="K65" s="34">
        <v>0</v>
      </c>
      <c r="L65" s="34">
        <v>0</v>
      </c>
      <c r="M65" s="34">
        <v>0</v>
      </c>
      <c r="N65" s="34">
        <v>0</v>
      </c>
      <c r="O65" s="33">
        <v>0</v>
      </c>
      <c r="P65" s="33">
        <v>0</v>
      </c>
      <c r="Q65" s="33">
        <v>0</v>
      </c>
      <c r="R65" s="33">
        <v>0</v>
      </c>
      <c r="S65" s="33">
        <v>0</v>
      </c>
      <c r="T65" s="33">
        <v>0</v>
      </c>
      <c r="U65" s="33">
        <v>0</v>
      </c>
      <c r="V65" s="33">
        <v>0</v>
      </c>
      <c r="W65" s="33">
        <v>0</v>
      </c>
      <c r="X65" s="33">
        <v>0</v>
      </c>
      <c r="Y65" s="33">
        <v>0</v>
      </c>
      <c r="Z65" s="33">
        <v>0</v>
      </c>
      <c r="AA65" s="33">
        <v>0</v>
      </c>
      <c r="AB65" s="33">
        <v>0</v>
      </c>
      <c r="AC65" s="33">
        <v>0</v>
      </c>
      <c r="AD65" s="33">
        <v>0</v>
      </c>
      <c r="AE65" s="33">
        <v>0</v>
      </c>
      <c r="AF65" s="33">
        <v>0</v>
      </c>
      <c r="AG65" s="33">
        <v>0</v>
      </c>
      <c r="AH65" s="33">
        <v>0</v>
      </c>
      <c r="AI65" s="33">
        <v>0</v>
      </c>
      <c r="AJ65" s="33">
        <v>0</v>
      </c>
      <c r="AK65" s="33">
        <v>0</v>
      </c>
      <c r="AL65" s="33">
        <v>0</v>
      </c>
      <c r="AM65" s="33">
        <v>0</v>
      </c>
      <c r="AN65" s="33"/>
      <c r="AO65" s="33"/>
      <c r="AS65" s="31"/>
    </row>
    <row r="66" spans="1:45">
      <c r="A66" s="31">
        <v>65</v>
      </c>
      <c r="B66" s="31" t="s">
        <v>15</v>
      </c>
      <c r="C66" s="31" t="s">
        <v>64</v>
      </c>
      <c r="D66" s="31"/>
      <c r="E66" s="31"/>
      <c r="F66" s="31" t="s">
        <v>543</v>
      </c>
      <c r="G66" s="31">
        <v>2010</v>
      </c>
      <c r="H66" s="31"/>
      <c r="I66" s="33" t="s">
        <v>58</v>
      </c>
      <c r="J66" s="34">
        <v>0</v>
      </c>
      <c r="K66" s="34">
        <v>0</v>
      </c>
      <c r="L66" s="34">
        <v>0</v>
      </c>
      <c r="M66" s="34">
        <v>0</v>
      </c>
      <c r="N66" s="34">
        <v>0</v>
      </c>
      <c r="O66" s="33">
        <v>0</v>
      </c>
      <c r="P66" s="33">
        <v>0</v>
      </c>
      <c r="Q66" s="33">
        <v>0</v>
      </c>
      <c r="R66" s="33">
        <v>0</v>
      </c>
      <c r="S66" s="33">
        <v>0</v>
      </c>
      <c r="T66" s="33">
        <v>0</v>
      </c>
      <c r="U66" s="33">
        <v>0</v>
      </c>
      <c r="V66" s="33">
        <v>0</v>
      </c>
      <c r="W66" s="33">
        <v>0</v>
      </c>
      <c r="X66" s="33">
        <v>0</v>
      </c>
      <c r="Y66" s="33">
        <v>0</v>
      </c>
      <c r="Z66" s="33">
        <v>0</v>
      </c>
      <c r="AA66" s="33">
        <v>0</v>
      </c>
      <c r="AB66" s="33">
        <v>0</v>
      </c>
      <c r="AC66" s="33">
        <v>0</v>
      </c>
      <c r="AD66" s="33">
        <v>0</v>
      </c>
      <c r="AE66" s="33">
        <v>0</v>
      </c>
      <c r="AF66" s="33">
        <v>0</v>
      </c>
      <c r="AG66" s="33">
        <v>0</v>
      </c>
      <c r="AH66" s="33">
        <v>0</v>
      </c>
      <c r="AI66" s="33">
        <v>0</v>
      </c>
      <c r="AJ66" s="33">
        <v>0</v>
      </c>
      <c r="AK66" s="33">
        <v>0</v>
      </c>
      <c r="AL66" s="33">
        <v>0</v>
      </c>
      <c r="AM66" s="33">
        <v>0</v>
      </c>
      <c r="AN66" s="33"/>
      <c r="AO66" s="33"/>
      <c r="AS66" s="31"/>
    </row>
    <row r="67" spans="1:45">
      <c r="A67" s="31" t="s">
        <v>37</v>
      </c>
      <c r="B67" s="31" t="s">
        <v>15</v>
      </c>
      <c r="C67" s="31" t="s">
        <v>19</v>
      </c>
      <c r="D67" s="31" t="s">
        <v>3</v>
      </c>
      <c r="E67" s="31" t="s">
        <v>17</v>
      </c>
      <c r="F67" s="31" t="s">
        <v>5</v>
      </c>
      <c r="G67" s="31">
        <v>2011</v>
      </c>
      <c r="H67" s="31" t="s">
        <v>20</v>
      </c>
      <c r="I67" s="33" t="s">
        <v>17</v>
      </c>
      <c r="J67" s="34"/>
      <c r="K67" s="34"/>
      <c r="L67" s="34"/>
      <c r="M67" s="34"/>
      <c r="N67" s="34"/>
      <c r="O67" s="33">
        <v>2.6455572143763835</v>
      </c>
      <c r="P67" s="33">
        <v>2.6455572143763835</v>
      </c>
      <c r="Q67" s="33">
        <v>2.6455572143763835</v>
      </c>
      <c r="R67" s="33">
        <v>1.3449039579844146</v>
      </c>
      <c r="S67" s="33">
        <v>0</v>
      </c>
      <c r="T67" s="33">
        <v>0</v>
      </c>
      <c r="U67" s="33">
        <v>0</v>
      </c>
      <c r="V67" s="33">
        <v>0</v>
      </c>
      <c r="W67" s="33">
        <v>0</v>
      </c>
      <c r="X67" s="33">
        <v>0</v>
      </c>
      <c r="Y67" s="33">
        <v>0</v>
      </c>
      <c r="Z67" s="33">
        <v>0</v>
      </c>
      <c r="AA67" s="33">
        <v>0</v>
      </c>
      <c r="AB67" s="33">
        <v>0</v>
      </c>
      <c r="AC67" s="33">
        <v>0</v>
      </c>
      <c r="AD67" s="33">
        <v>0</v>
      </c>
      <c r="AE67" s="33">
        <v>0</v>
      </c>
      <c r="AF67" s="33">
        <v>0</v>
      </c>
      <c r="AG67" s="33">
        <v>0</v>
      </c>
      <c r="AH67" s="33">
        <v>0</v>
      </c>
      <c r="AI67" s="33">
        <v>0</v>
      </c>
      <c r="AJ67" s="33">
        <v>0</v>
      </c>
      <c r="AK67" s="33">
        <v>0</v>
      </c>
      <c r="AL67" s="33">
        <v>0</v>
      </c>
      <c r="AM67" s="33">
        <v>0</v>
      </c>
      <c r="AN67" s="33">
        <v>0</v>
      </c>
      <c r="AO67" s="33">
        <v>0</v>
      </c>
      <c r="AS67" s="31"/>
    </row>
    <row r="68" spans="1:45">
      <c r="A68" s="31" t="s">
        <v>37</v>
      </c>
      <c r="B68" s="31" t="s">
        <v>15</v>
      </c>
      <c r="C68" s="31" t="s">
        <v>21</v>
      </c>
      <c r="D68" s="31" t="s">
        <v>3</v>
      </c>
      <c r="E68" s="31" t="s">
        <v>17</v>
      </c>
      <c r="F68" s="31" t="s">
        <v>5</v>
      </c>
      <c r="G68" s="31">
        <v>2011</v>
      </c>
      <c r="H68" s="31" t="s">
        <v>20</v>
      </c>
      <c r="I68" s="33" t="s">
        <v>17</v>
      </c>
      <c r="J68" s="34"/>
      <c r="K68" s="34"/>
      <c r="L68" s="34"/>
      <c r="M68" s="34"/>
      <c r="N68" s="34"/>
      <c r="O68" s="33">
        <v>69.601599460639406</v>
      </c>
      <c r="P68" s="33">
        <v>69.601599460639406</v>
      </c>
      <c r="Q68" s="33">
        <v>69.601599460639406</v>
      </c>
      <c r="R68" s="33">
        <v>69.39882879829203</v>
      </c>
      <c r="S68" s="33">
        <v>53.021472672112083</v>
      </c>
      <c r="T68" s="33">
        <v>0</v>
      </c>
      <c r="U68" s="33">
        <v>0</v>
      </c>
      <c r="V68" s="33">
        <v>0</v>
      </c>
      <c r="W68" s="33">
        <v>0</v>
      </c>
      <c r="X68" s="33">
        <v>0</v>
      </c>
      <c r="Y68" s="33">
        <v>0</v>
      </c>
      <c r="Z68" s="33">
        <v>0</v>
      </c>
      <c r="AA68" s="33">
        <v>0</v>
      </c>
      <c r="AB68" s="33">
        <v>0</v>
      </c>
      <c r="AC68" s="33">
        <v>0</v>
      </c>
      <c r="AD68" s="33">
        <v>0</v>
      </c>
      <c r="AE68" s="33">
        <v>0</v>
      </c>
      <c r="AF68" s="33">
        <v>0</v>
      </c>
      <c r="AG68" s="33">
        <v>0</v>
      </c>
      <c r="AH68" s="33">
        <v>0</v>
      </c>
      <c r="AI68" s="33">
        <v>0</v>
      </c>
      <c r="AJ68" s="33">
        <v>0</v>
      </c>
      <c r="AK68" s="33">
        <v>0</v>
      </c>
      <c r="AL68" s="33">
        <v>0</v>
      </c>
      <c r="AM68" s="33">
        <v>0</v>
      </c>
      <c r="AN68" s="33">
        <v>0</v>
      </c>
      <c r="AO68" s="33">
        <v>0</v>
      </c>
      <c r="AS68" s="31"/>
    </row>
    <row r="69" spans="1:45">
      <c r="A69" s="31" t="s">
        <v>37</v>
      </c>
      <c r="B69" s="31" t="s">
        <v>15</v>
      </c>
      <c r="C69" s="31" t="s">
        <v>43</v>
      </c>
      <c r="D69" s="31" t="s">
        <v>3</v>
      </c>
      <c r="E69" s="31" t="s">
        <v>17</v>
      </c>
      <c r="F69" s="31" t="s">
        <v>5</v>
      </c>
      <c r="G69" s="31">
        <v>2011</v>
      </c>
      <c r="H69" s="31" t="s">
        <v>44</v>
      </c>
      <c r="I69" s="33" t="s">
        <v>17</v>
      </c>
      <c r="J69" s="34"/>
      <c r="K69" s="34"/>
      <c r="L69" s="34"/>
      <c r="M69" s="34"/>
      <c r="N69" s="34"/>
      <c r="O69" s="33">
        <v>147.34181483343073</v>
      </c>
      <c r="P69" s="33">
        <v>147.34181483343073</v>
      </c>
      <c r="Q69" s="33">
        <v>147.34181483343073</v>
      </c>
      <c r="R69" s="33">
        <v>147.34181483343073</v>
      </c>
      <c r="S69" s="33">
        <v>134.6595677972341</v>
      </c>
      <c r="T69" s="33">
        <v>120.80474712380592</v>
      </c>
      <c r="U69" s="33">
        <v>91.079078220949626</v>
      </c>
      <c r="V69" s="33">
        <v>90.746825395207281</v>
      </c>
      <c r="W69" s="33">
        <v>117.2838931048321</v>
      </c>
      <c r="X69" s="33">
        <v>37.635379146352172</v>
      </c>
      <c r="Y69" s="33">
        <v>13.551282440501565</v>
      </c>
      <c r="Z69" s="33">
        <v>11.928815044419586</v>
      </c>
      <c r="AA69" s="33">
        <v>11.928815044419586</v>
      </c>
      <c r="AB69" s="33">
        <v>8.8099309406581483</v>
      </c>
      <c r="AC69" s="33">
        <v>8.8099309406581483</v>
      </c>
      <c r="AD69" s="33">
        <v>8.004767440986658</v>
      </c>
      <c r="AE69" s="33">
        <v>0</v>
      </c>
      <c r="AF69" s="33">
        <v>0</v>
      </c>
      <c r="AG69" s="33">
        <v>0</v>
      </c>
      <c r="AH69" s="33">
        <v>0</v>
      </c>
      <c r="AI69" s="33">
        <v>0</v>
      </c>
      <c r="AJ69" s="33">
        <v>0</v>
      </c>
      <c r="AK69" s="33">
        <v>0</v>
      </c>
      <c r="AL69" s="33">
        <v>0</v>
      </c>
      <c r="AM69" s="33">
        <v>0</v>
      </c>
      <c r="AN69" s="33">
        <v>0</v>
      </c>
      <c r="AO69" s="33">
        <v>0</v>
      </c>
      <c r="AP69" s="29">
        <v>0</v>
      </c>
      <c r="AQ69" s="29">
        <v>0</v>
      </c>
      <c r="AR69" s="29">
        <v>0</v>
      </c>
      <c r="AS69" s="31"/>
    </row>
    <row r="70" spans="1:45">
      <c r="A70" s="31" t="s">
        <v>37</v>
      </c>
      <c r="B70" s="31" t="s">
        <v>15</v>
      </c>
      <c r="C70" s="31" t="s">
        <v>45</v>
      </c>
      <c r="D70" s="31" t="s">
        <v>3</v>
      </c>
      <c r="E70" s="31" t="s">
        <v>17</v>
      </c>
      <c r="F70" s="31" t="s">
        <v>5</v>
      </c>
      <c r="G70" s="31">
        <v>2011</v>
      </c>
      <c r="H70" s="31" t="s">
        <v>44</v>
      </c>
      <c r="I70" s="33" t="s">
        <v>17</v>
      </c>
      <c r="J70" s="34"/>
      <c r="K70" s="34"/>
      <c r="L70" s="34"/>
      <c r="M70" s="34"/>
      <c r="N70" s="34"/>
      <c r="O70" s="33">
        <v>98.588392128109732</v>
      </c>
      <c r="P70" s="33">
        <v>98.588392128109732</v>
      </c>
      <c r="Q70" s="33">
        <v>98.588392128109732</v>
      </c>
      <c r="R70" s="33">
        <v>98.588392128109732</v>
      </c>
      <c r="S70" s="33">
        <v>90.691192149495038</v>
      </c>
      <c r="T70" s="33">
        <v>82.063833826192706</v>
      </c>
      <c r="U70" s="33">
        <v>63.466740211501737</v>
      </c>
      <c r="V70" s="33">
        <v>63.073310674987773</v>
      </c>
      <c r="W70" s="33">
        <v>79.59786897690482</v>
      </c>
      <c r="X70" s="33">
        <v>30.00096072126539</v>
      </c>
      <c r="Y70" s="33">
        <v>9.5688028688967588</v>
      </c>
      <c r="Z70" s="33">
        <v>7.6793459358531697</v>
      </c>
      <c r="AA70" s="33">
        <v>7.6793459358531697</v>
      </c>
      <c r="AB70" s="33">
        <v>7.0977623575864515</v>
      </c>
      <c r="AC70" s="33">
        <v>7.0977623575864515</v>
      </c>
      <c r="AD70" s="33">
        <v>6.8728127425727399</v>
      </c>
      <c r="AE70" s="33">
        <v>0</v>
      </c>
      <c r="AF70" s="33">
        <v>0</v>
      </c>
      <c r="AG70" s="33">
        <v>0</v>
      </c>
      <c r="AH70" s="33">
        <v>0</v>
      </c>
      <c r="AI70" s="33">
        <v>0</v>
      </c>
      <c r="AJ70" s="33">
        <v>0</v>
      </c>
      <c r="AK70" s="33">
        <v>0</v>
      </c>
      <c r="AL70" s="33">
        <v>0</v>
      </c>
      <c r="AM70" s="33">
        <v>0</v>
      </c>
      <c r="AN70" s="33">
        <v>0</v>
      </c>
      <c r="AO70" s="33">
        <v>0</v>
      </c>
      <c r="AP70" s="29">
        <v>0</v>
      </c>
      <c r="AQ70" s="29">
        <v>0</v>
      </c>
      <c r="AR70" s="29">
        <v>0</v>
      </c>
      <c r="AS70" s="31"/>
    </row>
    <row r="71" spans="1:45">
      <c r="A71" s="31" t="s">
        <v>37</v>
      </c>
      <c r="B71" s="31" t="s">
        <v>15</v>
      </c>
      <c r="C71" s="31" t="s">
        <v>46</v>
      </c>
      <c r="D71" s="31" t="s">
        <v>3</v>
      </c>
      <c r="E71" s="31" t="s">
        <v>17</v>
      </c>
      <c r="F71" s="31" t="s">
        <v>5</v>
      </c>
      <c r="G71" s="31">
        <v>2011</v>
      </c>
      <c r="H71" s="31" t="s">
        <v>47</v>
      </c>
      <c r="I71" s="33" t="s">
        <v>17</v>
      </c>
      <c r="J71" s="34"/>
      <c r="K71" s="34"/>
      <c r="L71" s="34"/>
      <c r="M71" s="34"/>
      <c r="N71" s="34"/>
      <c r="O71" s="33">
        <v>230.81965448490041</v>
      </c>
      <c r="P71" s="33">
        <v>230.81965448490041</v>
      </c>
      <c r="Q71" s="33">
        <v>230.81965448490041</v>
      </c>
      <c r="R71" s="33">
        <v>230.81965448490041</v>
      </c>
      <c r="S71" s="33">
        <v>230.81965448490041</v>
      </c>
      <c r="T71" s="33">
        <v>230.81965448490041</v>
      </c>
      <c r="U71" s="33">
        <v>230.81965448490041</v>
      </c>
      <c r="V71" s="33">
        <v>230.81965448490041</v>
      </c>
      <c r="W71" s="33">
        <v>230.81965448490041</v>
      </c>
      <c r="X71" s="33">
        <v>230.81965448490041</v>
      </c>
      <c r="Y71" s="33">
        <v>230.81965448490041</v>
      </c>
      <c r="Z71" s="33">
        <v>230.81965448490041</v>
      </c>
      <c r="AA71" s="33">
        <v>230.81965448490041</v>
      </c>
      <c r="AB71" s="33">
        <v>230.81965448490041</v>
      </c>
      <c r="AC71" s="33">
        <v>230.81965448490041</v>
      </c>
      <c r="AD71" s="33">
        <v>230.81965448490041</v>
      </c>
      <c r="AE71" s="33">
        <v>230.81965448490041</v>
      </c>
      <c r="AF71" s="33">
        <v>230.81965448490041</v>
      </c>
      <c r="AG71" s="33">
        <v>221.61809416401363</v>
      </c>
      <c r="AH71" s="33">
        <v>0</v>
      </c>
      <c r="AI71" s="33">
        <v>0</v>
      </c>
      <c r="AJ71" s="33">
        <v>0</v>
      </c>
      <c r="AK71" s="33">
        <v>0</v>
      </c>
      <c r="AL71" s="33">
        <v>0</v>
      </c>
      <c r="AM71" s="33">
        <v>0</v>
      </c>
      <c r="AN71" s="33">
        <v>0</v>
      </c>
      <c r="AO71" s="33">
        <v>0</v>
      </c>
      <c r="AP71" s="29">
        <v>0</v>
      </c>
      <c r="AQ71" s="29">
        <v>0</v>
      </c>
      <c r="AR71" s="29">
        <v>0</v>
      </c>
      <c r="AS71" s="31"/>
    </row>
    <row r="72" spans="1:45">
      <c r="A72" s="31" t="s">
        <v>37</v>
      </c>
      <c r="B72" s="31" t="s">
        <v>15</v>
      </c>
      <c r="C72" s="31" t="s">
        <v>54</v>
      </c>
      <c r="D72" s="31" t="s">
        <v>3</v>
      </c>
      <c r="E72" s="31" t="s">
        <v>17</v>
      </c>
      <c r="F72" s="31" t="s">
        <v>5</v>
      </c>
      <c r="G72" s="31">
        <v>2011</v>
      </c>
      <c r="H72" s="31" t="s">
        <v>44</v>
      </c>
      <c r="I72" s="33" t="s">
        <v>17</v>
      </c>
      <c r="J72" s="34"/>
      <c r="K72" s="34"/>
      <c r="L72" s="34"/>
      <c r="M72" s="34"/>
      <c r="N72" s="34"/>
      <c r="O72" s="33">
        <v>0</v>
      </c>
      <c r="P72" s="33">
        <v>0</v>
      </c>
      <c r="Q72" s="33">
        <v>0</v>
      </c>
      <c r="R72" s="33">
        <v>0</v>
      </c>
      <c r="S72" s="33">
        <v>0</v>
      </c>
      <c r="T72" s="33">
        <v>0</v>
      </c>
      <c r="U72" s="33">
        <v>0</v>
      </c>
      <c r="V72" s="33">
        <v>0</v>
      </c>
      <c r="W72" s="33">
        <v>0</v>
      </c>
      <c r="X72" s="33">
        <v>0</v>
      </c>
      <c r="Y72" s="33">
        <v>0</v>
      </c>
      <c r="Z72" s="33">
        <v>0</v>
      </c>
      <c r="AA72" s="33">
        <v>0</v>
      </c>
      <c r="AB72" s="33">
        <v>0</v>
      </c>
      <c r="AC72" s="33">
        <v>0</v>
      </c>
      <c r="AD72" s="33">
        <v>0</v>
      </c>
      <c r="AE72" s="33">
        <v>0</v>
      </c>
      <c r="AF72" s="33">
        <v>0</v>
      </c>
      <c r="AG72" s="33">
        <v>0</v>
      </c>
      <c r="AH72" s="33">
        <v>0</v>
      </c>
      <c r="AI72" s="33">
        <v>0</v>
      </c>
      <c r="AJ72" s="33">
        <v>0</v>
      </c>
      <c r="AK72" s="33">
        <v>0</v>
      </c>
      <c r="AL72" s="33">
        <v>0</v>
      </c>
      <c r="AM72" s="33">
        <v>0</v>
      </c>
      <c r="AN72" s="33">
        <v>0</v>
      </c>
      <c r="AO72" s="33">
        <v>0</v>
      </c>
      <c r="AP72" s="29">
        <v>0</v>
      </c>
      <c r="AQ72" s="29">
        <v>0</v>
      </c>
      <c r="AR72" s="29">
        <v>0</v>
      </c>
      <c r="AS72" s="31"/>
    </row>
    <row r="73" spans="1:45">
      <c r="A73" s="31" t="s">
        <v>37</v>
      </c>
      <c r="B73" s="31" t="s">
        <v>1</v>
      </c>
      <c r="C73" s="31" t="s">
        <v>51</v>
      </c>
      <c r="D73" s="31" t="s">
        <v>3</v>
      </c>
      <c r="E73" s="31" t="s">
        <v>4</v>
      </c>
      <c r="F73" s="31" t="s">
        <v>9</v>
      </c>
      <c r="G73" s="31">
        <v>2011</v>
      </c>
      <c r="H73" s="31" t="s">
        <v>10</v>
      </c>
      <c r="I73" s="33" t="s">
        <v>128</v>
      </c>
      <c r="J73" s="34"/>
      <c r="K73" s="34"/>
      <c r="L73" s="34"/>
      <c r="M73" s="34"/>
      <c r="N73" s="34"/>
      <c r="O73" s="33">
        <v>156.88929999999999</v>
      </c>
      <c r="P73" s="33">
        <v>0</v>
      </c>
      <c r="Q73" s="33">
        <v>0</v>
      </c>
      <c r="R73" s="33">
        <v>0</v>
      </c>
      <c r="S73" s="33">
        <v>0</v>
      </c>
      <c r="T73" s="33">
        <v>0</v>
      </c>
      <c r="U73" s="33">
        <v>0</v>
      </c>
      <c r="V73" s="33">
        <v>0</v>
      </c>
      <c r="W73" s="33">
        <v>0</v>
      </c>
      <c r="X73" s="33">
        <v>0</v>
      </c>
      <c r="Y73" s="33">
        <v>0</v>
      </c>
      <c r="Z73" s="33">
        <v>0</v>
      </c>
      <c r="AA73" s="33">
        <v>0</v>
      </c>
      <c r="AB73" s="33">
        <v>0</v>
      </c>
      <c r="AC73" s="33">
        <v>0</v>
      </c>
      <c r="AD73" s="33">
        <v>0</v>
      </c>
      <c r="AE73" s="33">
        <v>0</v>
      </c>
      <c r="AF73" s="33">
        <v>0</v>
      </c>
      <c r="AG73" s="33">
        <v>0</v>
      </c>
      <c r="AH73" s="33">
        <v>0</v>
      </c>
      <c r="AI73" s="33">
        <v>0</v>
      </c>
      <c r="AJ73" s="33">
        <v>0</v>
      </c>
      <c r="AK73" s="33">
        <v>0</v>
      </c>
      <c r="AL73" s="33">
        <v>0</v>
      </c>
      <c r="AM73" s="33">
        <v>0</v>
      </c>
      <c r="AN73" s="33">
        <v>0</v>
      </c>
      <c r="AO73" s="33">
        <v>0</v>
      </c>
      <c r="AP73" s="29">
        <v>0</v>
      </c>
      <c r="AQ73" s="29">
        <v>0</v>
      </c>
      <c r="AR73" s="29">
        <v>0</v>
      </c>
      <c r="AS73" s="31"/>
    </row>
    <row r="74" spans="1:45">
      <c r="A74" s="31" t="s">
        <v>37</v>
      </c>
      <c r="B74" s="31" t="s">
        <v>1</v>
      </c>
      <c r="C74" s="31" t="s">
        <v>38</v>
      </c>
      <c r="D74" s="31" t="s">
        <v>3</v>
      </c>
      <c r="E74" s="31" t="s">
        <v>4</v>
      </c>
      <c r="F74" s="31" t="s">
        <v>5</v>
      </c>
      <c r="G74" s="31">
        <v>2011</v>
      </c>
      <c r="H74" s="31" t="s">
        <v>13</v>
      </c>
      <c r="I74" s="33" t="s">
        <v>92</v>
      </c>
      <c r="J74" s="34"/>
      <c r="K74" s="34"/>
      <c r="L74" s="34"/>
      <c r="M74" s="34"/>
      <c r="N74" s="34"/>
      <c r="O74" s="33">
        <v>264.37571118334665</v>
      </c>
      <c r="P74" s="33">
        <v>264.37571118334665</v>
      </c>
      <c r="Q74" s="33">
        <v>263.79150502727242</v>
      </c>
      <c r="R74" s="33">
        <v>207.20964262103513</v>
      </c>
      <c r="S74" s="33">
        <v>207.20964262103513</v>
      </c>
      <c r="T74" s="33">
        <v>207.20964262103513</v>
      </c>
      <c r="U74" s="33">
        <v>66.328488080987924</v>
      </c>
      <c r="V74" s="33">
        <v>64.585815387443134</v>
      </c>
      <c r="W74" s="33">
        <v>64.585815387443134</v>
      </c>
      <c r="X74" s="33">
        <v>64.585815387443134</v>
      </c>
      <c r="Y74" s="33">
        <v>41.266623434886171</v>
      </c>
      <c r="Z74" s="33">
        <v>41.266623434886171</v>
      </c>
      <c r="AA74" s="33">
        <v>6.2269197982741717</v>
      </c>
      <c r="AB74" s="33">
        <v>6.2269197982741717</v>
      </c>
      <c r="AC74" s="33">
        <v>6.2269197982741717</v>
      </c>
      <c r="AD74" s="33">
        <v>0</v>
      </c>
      <c r="AE74" s="33">
        <v>0</v>
      </c>
      <c r="AF74" s="33">
        <v>0</v>
      </c>
      <c r="AG74" s="33">
        <v>0</v>
      </c>
      <c r="AH74" s="33">
        <v>0</v>
      </c>
      <c r="AI74" s="33">
        <v>0</v>
      </c>
      <c r="AJ74" s="33">
        <v>0</v>
      </c>
      <c r="AK74" s="33">
        <v>0</v>
      </c>
      <c r="AL74" s="33">
        <v>0</v>
      </c>
      <c r="AM74" s="33">
        <v>0</v>
      </c>
      <c r="AN74" s="33">
        <v>0</v>
      </c>
      <c r="AO74" s="33">
        <v>0</v>
      </c>
      <c r="AP74" s="29">
        <v>0</v>
      </c>
      <c r="AQ74" s="29">
        <v>0</v>
      </c>
      <c r="AR74" s="29">
        <v>0</v>
      </c>
      <c r="AS74" s="31"/>
    </row>
    <row r="75" spans="1:45">
      <c r="A75" s="31" t="s">
        <v>37</v>
      </c>
      <c r="B75" s="31" t="s">
        <v>1</v>
      </c>
      <c r="C75" s="31" t="s">
        <v>12</v>
      </c>
      <c r="D75" s="31" t="s">
        <v>3</v>
      </c>
      <c r="E75" s="31" t="s">
        <v>4</v>
      </c>
      <c r="F75" s="31" t="s">
        <v>5</v>
      </c>
      <c r="G75" s="31">
        <v>2011</v>
      </c>
      <c r="H75" s="31" t="s">
        <v>13</v>
      </c>
      <c r="I75" s="33" t="s">
        <v>93</v>
      </c>
      <c r="J75" s="34"/>
      <c r="K75" s="34"/>
      <c r="L75" s="34"/>
      <c r="M75" s="34"/>
      <c r="N75" s="34"/>
      <c r="O75" s="33">
        <v>1921.8350055572723</v>
      </c>
      <c r="P75" s="33">
        <v>1921.8350055572723</v>
      </c>
      <c r="Q75" s="33">
        <v>1921.8350055572723</v>
      </c>
      <c r="R75" s="33">
        <v>1921.8350055572723</v>
      </c>
      <c r="S75" s="33">
        <v>1921.8350055572723</v>
      </c>
      <c r="T75" s="33">
        <v>1921.8350055572723</v>
      </c>
      <c r="U75" s="33">
        <v>1921.8350055572723</v>
      </c>
      <c r="V75" s="33">
        <v>1921.8350055572723</v>
      </c>
      <c r="W75" s="33">
        <v>1921.8350055572723</v>
      </c>
      <c r="X75" s="33">
        <v>1404.474747747041</v>
      </c>
      <c r="Y75" s="33">
        <v>1404.474747747041</v>
      </c>
      <c r="Z75" s="33">
        <v>1404.474747747041</v>
      </c>
      <c r="AA75" s="33">
        <v>1404.474747747041</v>
      </c>
      <c r="AB75" s="33">
        <v>1404.474747747041</v>
      </c>
      <c r="AC75" s="33">
        <v>32.013294315175727</v>
      </c>
      <c r="AD75" s="33">
        <v>0</v>
      </c>
      <c r="AE75" s="33">
        <v>0</v>
      </c>
      <c r="AF75" s="33">
        <v>0</v>
      </c>
      <c r="AG75" s="33">
        <v>0</v>
      </c>
      <c r="AH75" s="33">
        <v>0</v>
      </c>
      <c r="AI75" s="33">
        <v>0</v>
      </c>
      <c r="AJ75" s="33">
        <v>0</v>
      </c>
      <c r="AK75" s="33">
        <v>0</v>
      </c>
      <c r="AL75" s="33">
        <v>0</v>
      </c>
      <c r="AM75" s="33">
        <v>0</v>
      </c>
      <c r="AN75" s="33">
        <v>0</v>
      </c>
      <c r="AO75" s="33">
        <v>0</v>
      </c>
      <c r="AP75" s="29">
        <v>0</v>
      </c>
      <c r="AQ75" s="29">
        <v>0</v>
      </c>
      <c r="AR75" s="29">
        <v>0</v>
      </c>
      <c r="AS75" s="31"/>
    </row>
    <row r="76" spans="1:45">
      <c r="A76" s="31" t="s">
        <v>37</v>
      </c>
      <c r="B76" s="31" t="s">
        <v>1</v>
      </c>
      <c r="C76" s="31" t="s">
        <v>40</v>
      </c>
      <c r="D76" s="31" t="s">
        <v>3</v>
      </c>
      <c r="E76" s="31" t="s">
        <v>4</v>
      </c>
      <c r="F76" s="31" t="s">
        <v>5</v>
      </c>
      <c r="G76" s="31">
        <v>2011</v>
      </c>
      <c r="H76" s="31" t="s">
        <v>41</v>
      </c>
      <c r="I76" s="33" t="s">
        <v>94</v>
      </c>
      <c r="J76" s="34"/>
      <c r="K76" s="34"/>
      <c r="L76" s="34"/>
      <c r="M76" s="34"/>
      <c r="N76" s="34"/>
      <c r="O76" s="33">
        <v>0</v>
      </c>
      <c r="P76" s="33">
        <v>0</v>
      </c>
      <c r="Q76" s="33">
        <v>0</v>
      </c>
      <c r="R76" s="33">
        <v>0</v>
      </c>
      <c r="S76" s="33">
        <v>0</v>
      </c>
      <c r="T76" s="33">
        <v>0</v>
      </c>
      <c r="U76" s="33">
        <v>0</v>
      </c>
      <c r="V76" s="33">
        <v>0</v>
      </c>
      <c r="W76" s="33">
        <v>0</v>
      </c>
      <c r="X76" s="33">
        <v>0</v>
      </c>
      <c r="Y76" s="33">
        <v>0</v>
      </c>
      <c r="Z76" s="33">
        <v>0</v>
      </c>
      <c r="AA76" s="33">
        <v>0</v>
      </c>
      <c r="AB76" s="33">
        <v>0</v>
      </c>
      <c r="AC76" s="33">
        <v>0</v>
      </c>
      <c r="AD76" s="33">
        <v>0</v>
      </c>
      <c r="AE76" s="33">
        <v>0</v>
      </c>
      <c r="AF76" s="33">
        <v>0</v>
      </c>
      <c r="AG76" s="33">
        <v>0</v>
      </c>
      <c r="AH76" s="33">
        <v>0</v>
      </c>
      <c r="AI76" s="33">
        <v>0</v>
      </c>
      <c r="AJ76" s="33">
        <v>0</v>
      </c>
      <c r="AK76" s="33">
        <v>0</v>
      </c>
      <c r="AL76" s="33">
        <v>0</v>
      </c>
      <c r="AM76" s="33">
        <v>0</v>
      </c>
      <c r="AN76" s="33">
        <v>0</v>
      </c>
      <c r="AO76" s="33">
        <v>0</v>
      </c>
      <c r="AP76" s="29">
        <v>0</v>
      </c>
      <c r="AQ76" s="29">
        <v>0</v>
      </c>
      <c r="AR76" s="29">
        <v>0</v>
      </c>
      <c r="AS76" s="31"/>
    </row>
    <row r="77" spans="1:45">
      <c r="A77" s="31" t="s">
        <v>37</v>
      </c>
      <c r="B77" s="31" t="s">
        <v>27</v>
      </c>
      <c r="C77" s="31" t="s">
        <v>49</v>
      </c>
      <c r="D77" s="31" t="s">
        <v>3</v>
      </c>
      <c r="E77" s="31" t="s">
        <v>27</v>
      </c>
      <c r="F77" s="31" t="s">
        <v>9</v>
      </c>
      <c r="G77" s="31">
        <v>2011</v>
      </c>
      <c r="H77" s="31" t="s">
        <v>10</v>
      </c>
      <c r="I77" s="33" t="s">
        <v>58</v>
      </c>
      <c r="J77" s="34"/>
      <c r="K77" s="34"/>
      <c r="L77" s="34"/>
      <c r="M77" s="34"/>
      <c r="N77" s="34"/>
      <c r="O77" s="33">
        <v>0</v>
      </c>
      <c r="P77" s="33">
        <v>0</v>
      </c>
      <c r="Q77" s="33">
        <v>0</v>
      </c>
      <c r="R77" s="33">
        <v>0</v>
      </c>
      <c r="S77" s="33">
        <v>0</v>
      </c>
      <c r="T77" s="33">
        <v>0</v>
      </c>
      <c r="U77" s="33">
        <v>0</v>
      </c>
      <c r="V77" s="33">
        <v>0</v>
      </c>
      <c r="W77" s="33">
        <v>0</v>
      </c>
      <c r="X77" s="33">
        <v>0</v>
      </c>
      <c r="Y77" s="33">
        <v>0</v>
      </c>
      <c r="Z77" s="33">
        <v>0</v>
      </c>
      <c r="AA77" s="33">
        <v>0</v>
      </c>
      <c r="AB77" s="33">
        <v>0</v>
      </c>
      <c r="AC77" s="33">
        <v>0</v>
      </c>
      <c r="AD77" s="33">
        <v>0</v>
      </c>
      <c r="AE77" s="33">
        <v>0</v>
      </c>
      <c r="AF77" s="33">
        <v>0</v>
      </c>
      <c r="AG77" s="33">
        <v>0</v>
      </c>
      <c r="AH77" s="33">
        <v>0</v>
      </c>
      <c r="AI77" s="33">
        <v>0</v>
      </c>
      <c r="AJ77" s="33">
        <v>0</v>
      </c>
      <c r="AK77" s="33">
        <v>0</v>
      </c>
      <c r="AL77" s="33">
        <v>0</v>
      </c>
      <c r="AM77" s="33">
        <v>0</v>
      </c>
      <c r="AN77" s="33">
        <v>0</v>
      </c>
      <c r="AO77" s="33">
        <v>0</v>
      </c>
      <c r="AP77" s="29">
        <v>0</v>
      </c>
      <c r="AQ77" s="29">
        <v>0</v>
      </c>
      <c r="AR77" s="29">
        <v>0</v>
      </c>
      <c r="AS77" s="31"/>
    </row>
    <row r="78" spans="1:45">
      <c r="A78" s="31" t="s">
        <v>37</v>
      </c>
      <c r="B78" s="31" t="s">
        <v>50</v>
      </c>
      <c r="C78" s="31" t="s">
        <v>55</v>
      </c>
      <c r="D78" s="31" t="s">
        <v>3</v>
      </c>
      <c r="E78" s="31" t="s">
        <v>4</v>
      </c>
      <c r="F78" s="31" t="s">
        <v>5</v>
      </c>
      <c r="G78" s="31">
        <v>2011</v>
      </c>
      <c r="H78" s="31" t="s">
        <v>13</v>
      </c>
      <c r="I78" s="33" t="s">
        <v>71</v>
      </c>
      <c r="J78" s="34"/>
      <c r="K78" s="34"/>
      <c r="L78" s="34"/>
      <c r="M78" s="34"/>
      <c r="N78" s="34"/>
      <c r="O78" s="33">
        <v>79.337020424640002</v>
      </c>
      <c r="P78" s="33">
        <v>79.337020424640002</v>
      </c>
      <c r="Q78" s="33">
        <v>79.337020424640002</v>
      </c>
      <c r="R78" s="33">
        <v>79.337020424640002</v>
      </c>
      <c r="S78" s="33">
        <v>79.337020424640002</v>
      </c>
      <c r="T78" s="33">
        <v>79.337020424640002</v>
      </c>
      <c r="U78" s="33">
        <v>79.337020424640002</v>
      </c>
      <c r="V78" s="33">
        <v>79.337020424640002</v>
      </c>
      <c r="W78" s="33">
        <v>79.337020424640002</v>
      </c>
      <c r="X78" s="33">
        <v>79.337020424640002</v>
      </c>
      <c r="Y78" s="33">
        <v>79.337020424640002</v>
      </c>
      <c r="Z78" s="33">
        <v>79.337020424640002</v>
      </c>
      <c r="AA78" s="33">
        <v>79.337020424640002</v>
      </c>
      <c r="AB78" s="33">
        <v>0</v>
      </c>
      <c r="AC78" s="33">
        <v>0</v>
      </c>
      <c r="AD78" s="33">
        <v>0</v>
      </c>
      <c r="AE78" s="33">
        <v>0</v>
      </c>
      <c r="AF78" s="33">
        <v>0</v>
      </c>
      <c r="AG78" s="33">
        <v>0</v>
      </c>
      <c r="AH78" s="33">
        <v>0</v>
      </c>
      <c r="AI78" s="33">
        <v>0</v>
      </c>
      <c r="AJ78" s="33">
        <v>0</v>
      </c>
      <c r="AK78" s="33">
        <v>0</v>
      </c>
      <c r="AL78" s="33">
        <v>0</v>
      </c>
      <c r="AM78" s="33">
        <v>0</v>
      </c>
      <c r="AN78" s="33">
        <v>0</v>
      </c>
      <c r="AO78" s="33"/>
      <c r="AP78" s="29">
        <v>0</v>
      </c>
      <c r="AQ78" s="29">
        <v>0</v>
      </c>
      <c r="AR78" s="29">
        <v>0</v>
      </c>
      <c r="AS78" s="31"/>
    </row>
    <row r="79" spans="1:45">
      <c r="A79" s="31" t="s">
        <v>37</v>
      </c>
      <c r="B79" s="31" t="s">
        <v>50</v>
      </c>
      <c r="C79" s="31" t="s">
        <v>42</v>
      </c>
      <c r="D79" s="31" t="s">
        <v>3</v>
      </c>
      <c r="E79" s="31" t="s">
        <v>4</v>
      </c>
      <c r="F79" s="31" t="s">
        <v>5</v>
      </c>
      <c r="G79" s="31">
        <v>2011</v>
      </c>
      <c r="H79" s="31" t="s">
        <v>13</v>
      </c>
      <c r="I79" s="33" t="s">
        <v>57</v>
      </c>
      <c r="J79" s="34"/>
      <c r="K79" s="34"/>
      <c r="L79" s="34"/>
      <c r="M79" s="34"/>
      <c r="N79" s="34"/>
      <c r="O79" s="33">
        <v>331.04319661223701</v>
      </c>
      <c r="P79" s="33">
        <v>331.04319661223701</v>
      </c>
      <c r="Q79" s="33">
        <v>331.04319661223701</v>
      </c>
      <c r="R79" s="33">
        <v>331.04319661223701</v>
      </c>
      <c r="S79" s="33">
        <v>331.04319661223701</v>
      </c>
      <c r="T79" s="33">
        <v>331.04319661223701</v>
      </c>
      <c r="U79" s="33">
        <v>331.04319661223701</v>
      </c>
      <c r="V79" s="33">
        <v>331.04319661223701</v>
      </c>
      <c r="W79" s="33">
        <v>331.04319661223701</v>
      </c>
      <c r="X79" s="33">
        <v>331.04319661223701</v>
      </c>
      <c r="Y79" s="33">
        <v>331.04319661223701</v>
      </c>
      <c r="Z79" s="33">
        <v>331.04319661223701</v>
      </c>
      <c r="AA79" s="33">
        <v>331.04319661223701</v>
      </c>
      <c r="AB79" s="33">
        <v>331.04319661223701</v>
      </c>
      <c r="AC79" s="33">
        <v>331.04319661223701</v>
      </c>
      <c r="AD79" s="33">
        <v>2.2929726122369978</v>
      </c>
      <c r="AE79" s="33">
        <v>2.2929726122369978</v>
      </c>
      <c r="AF79" s="33">
        <v>2.2929726122369978</v>
      </c>
      <c r="AG79" s="33">
        <v>2.2929726122369978</v>
      </c>
      <c r="AH79" s="33">
        <v>2.2929726122369978</v>
      </c>
      <c r="AI79" s="33">
        <v>2.2929726122369978</v>
      </c>
      <c r="AJ79" s="33">
        <v>2.2929726122369978</v>
      </c>
      <c r="AK79" s="33">
        <v>2.2929726122369978</v>
      </c>
      <c r="AL79" s="33">
        <v>2.2929726122369978</v>
      </c>
      <c r="AM79" s="33">
        <v>2.2929726122369978</v>
      </c>
      <c r="AN79" s="33">
        <v>2.2929726122369978</v>
      </c>
      <c r="AO79" s="33">
        <v>0</v>
      </c>
      <c r="AP79" s="29">
        <v>0</v>
      </c>
      <c r="AQ79" s="29">
        <v>0</v>
      </c>
      <c r="AR79" s="29">
        <v>0</v>
      </c>
      <c r="AS79" s="31"/>
    </row>
    <row r="80" spans="1:45">
      <c r="A80" s="31" t="s">
        <v>37</v>
      </c>
      <c r="B80" s="31" t="s">
        <v>1</v>
      </c>
      <c r="C80" s="31" t="s">
        <v>38</v>
      </c>
      <c r="D80" s="31" t="s">
        <v>3</v>
      </c>
      <c r="E80" s="31" t="s">
        <v>39</v>
      </c>
      <c r="F80" s="31" t="s">
        <v>5</v>
      </c>
      <c r="G80" s="31">
        <v>2012</v>
      </c>
      <c r="H80" s="31" t="s">
        <v>13</v>
      </c>
      <c r="I80" s="33" t="s">
        <v>95</v>
      </c>
      <c r="J80" s="34"/>
      <c r="K80" s="34"/>
      <c r="L80" s="34"/>
      <c r="M80" s="34"/>
      <c r="N80" s="34"/>
      <c r="O80" s="33">
        <v>0</v>
      </c>
      <c r="P80" s="33">
        <v>942.75488539143726</v>
      </c>
      <c r="Q80" s="33">
        <v>942.75488539143919</v>
      </c>
      <c r="R80" s="33">
        <v>932.58993517580222</v>
      </c>
      <c r="S80" s="33">
        <v>680.42820020590477</v>
      </c>
      <c r="T80" s="33">
        <v>680.42820020590477</v>
      </c>
      <c r="U80" s="33">
        <v>202.28361735145376</v>
      </c>
      <c r="V80" s="33">
        <v>202.28361735145376</v>
      </c>
      <c r="W80" s="33">
        <v>202.14136948749851</v>
      </c>
      <c r="X80" s="33">
        <v>202.14136948749851</v>
      </c>
      <c r="Y80" s="33">
        <v>202.14136948749851</v>
      </c>
      <c r="Z80" s="33">
        <v>129.91659578001384</v>
      </c>
      <c r="AA80" s="33">
        <v>129.91659578001384</v>
      </c>
      <c r="AB80" s="33">
        <v>0</v>
      </c>
      <c r="AC80" s="33">
        <v>0</v>
      </c>
      <c r="AD80" s="33">
        <v>0</v>
      </c>
      <c r="AE80" s="33">
        <v>0</v>
      </c>
      <c r="AF80" s="33">
        <v>0</v>
      </c>
      <c r="AG80" s="33">
        <v>0</v>
      </c>
      <c r="AH80" s="33">
        <v>0</v>
      </c>
      <c r="AI80" s="33">
        <v>0</v>
      </c>
      <c r="AJ80" s="33">
        <v>0</v>
      </c>
      <c r="AK80" s="33">
        <v>0</v>
      </c>
      <c r="AL80" s="33">
        <v>0</v>
      </c>
      <c r="AM80" s="33">
        <v>0</v>
      </c>
      <c r="AN80" s="33">
        <v>0</v>
      </c>
      <c r="AO80" s="33">
        <v>0</v>
      </c>
      <c r="AP80" s="29">
        <v>0</v>
      </c>
      <c r="AQ80" s="29">
        <v>0</v>
      </c>
      <c r="AR80" s="29">
        <v>0</v>
      </c>
      <c r="AS80" s="31"/>
    </row>
    <row r="81" spans="1:45">
      <c r="A81" s="31" t="s">
        <v>37</v>
      </c>
      <c r="B81" s="31" t="s">
        <v>1</v>
      </c>
      <c r="C81" s="31" t="s">
        <v>12</v>
      </c>
      <c r="D81" s="31" t="s">
        <v>3</v>
      </c>
      <c r="E81" s="31" t="s">
        <v>39</v>
      </c>
      <c r="F81" s="31" t="s">
        <v>5</v>
      </c>
      <c r="G81" s="31">
        <v>2012</v>
      </c>
      <c r="H81" s="31" t="s">
        <v>13</v>
      </c>
      <c r="I81" s="33" t="s">
        <v>96</v>
      </c>
      <c r="J81" s="34"/>
      <c r="K81" s="34"/>
      <c r="L81" s="34"/>
      <c r="M81" s="34"/>
      <c r="N81" s="34"/>
      <c r="O81" s="33">
        <v>0</v>
      </c>
      <c r="P81" s="33">
        <v>3121.717308429817</v>
      </c>
      <c r="Q81" s="33">
        <v>3121.717308429817</v>
      </c>
      <c r="R81" s="33">
        <v>3030.0343761923968</v>
      </c>
      <c r="S81" s="33">
        <v>2902.8460085189131</v>
      </c>
      <c r="T81" s="33">
        <v>2902.8460085189131</v>
      </c>
      <c r="U81" s="33">
        <v>2560.2117156916943</v>
      </c>
      <c r="V81" s="33">
        <v>2552.0690301517311</v>
      </c>
      <c r="W81" s="33">
        <v>2552.0690301517311</v>
      </c>
      <c r="X81" s="33">
        <v>2487.0579018221497</v>
      </c>
      <c r="Y81" s="33">
        <v>2377.25478282932</v>
      </c>
      <c r="Z81" s="33">
        <v>2077.3692122737866</v>
      </c>
      <c r="AA81" s="33">
        <v>2077.3692122737866</v>
      </c>
      <c r="AB81" s="33">
        <v>1377.5835359257972</v>
      </c>
      <c r="AC81" s="33">
        <v>1166.8492696740534</v>
      </c>
      <c r="AD81" s="33">
        <v>1166.8492696740534</v>
      </c>
      <c r="AE81" s="33">
        <v>22.108148722950784</v>
      </c>
      <c r="AF81" s="33">
        <v>14.372345387948656</v>
      </c>
      <c r="AG81" s="33">
        <v>14.372345387948656</v>
      </c>
      <c r="AH81" s="33">
        <v>14.372345387948656</v>
      </c>
      <c r="AI81" s="33">
        <v>14.372345387948656</v>
      </c>
      <c r="AJ81" s="33">
        <v>0</v>
      </c>
      <c r="AK81" s="33">
        <v>0</v>
      </c>
      <c r="AL81" s="33">
        <v>0</v>
      </c>
      <c r="AM81" s="33">
        <v>0</v>
      </c>
      <c r="AN81" s="33">
        <v>0</v>
      </c>
      <c r="AO81" s="33">
        <v>0</v>
      </c>
      <c r="AS81" s="31"/>
    </row>
    <row r="82" spans="1:45">
      <c r="A82" s="31" t="s">
        <v>37</v>
      </c>
      <c r="B82" s="31" t="s">
        <v>1</v>
      </c>
      <c r="C82" s="31" t="s">
        <v>40</v>
      </c>
      <c r="D82" s="31" t="s">
        <v>3</v>
      </c>
      <c r="E82" s="31" t="s">
        <v>39</v>
      </c>
      <c r="F82" s="31" t="s">
        <v>5</v>
      </c>
      <c r="G82" s="31">
        <v>2012</v>
      </c>
      <c r="H82" s="31" t="s">
        <v>41</v>
      </c>
      <c r="I82" s="33" t="s">
        <v>97</v>
      </c>
      <c r="J82" s="34"/>
      <c r="K82" s="34"/>
      <c r="L82" s="34"/>
      <c r="M82" s="34"/>
      <c r="N82" s="34"/>
      <c r="O82" s="33">
        <v>0</v>
      </c>
      <c r="P82" s="33">
        <v>125.88127231281538</v>
      </c>
      <c r="Q82" s="33">
        <v>125.88127231281538</v>
      </c>
      <c r="R82" s="33">
        <v>125.88127231281538</v>
      </c>
      <c r="S82" s="33">
        <v>125.88127231281538</v>
      </c>
      <c r="T82" s="33">
        <v>0</v>
      </c>
      <c r="U82" s="33">
        <v>0</v>
      </c>
      <c r="V82" s="33">
        <v>0</v>
      </c>
      <c r="W82" s="33">
        <v>0</v>
      </c>
      <c r="X82" s="33">
        <v>0</v>
      </c>
      <c r="Y82" s="33">
        <v>0</v>
      </c>
      <c r="Z82" s="33">
        <v>0</v>
      </c>
      <c r="AA82" s="33">
        <v>0</v>
      </c>
      <c r="AB82" s="33">
        <v>0</v>
      </c>
      <c r="AC82" s="33">
        <v>0</v>
      </c>
      <c r="AD82" s="33">
        <v>0</v>
      </c>
      <c r="AE82" s="33">
        <v>0</v>
      </c>
      <c r="AF82" s="33">
        <v>0</v>
      </c>
      <c r="AG82" s="33">
        <v>0</v>
      </c>
      <c r="AH82" s="33">
        <v>0</v>
      </c>
      <c r="AI82" s="33">
        <v>0</v>
      </c>
      <c r="AJ82" s="33">
        <v>0</v>
      </c>
      <c r="AK82" s="33">
        <v>0</v>
      </c>
      <c r="AL82" s="33">
        <v>0</v>
      </c>
      <c r="AM82" s="33">
        <v>0</v>
      </c>
      <c r="AN82" s="33">
        <v>0</v>
      </c>
      <c r="AO82" s="33">
        <v>0</v>
      </c>
      <c r="AP82" s="29">
        <v>0</v>
      </c>
      <c r="AQ82" s="29">
        <v>0</v>
      </c>
      <c r="AR82" s="29">
        <v>0</v>
      </c>
      <c r="AS82" s="31"/>
    </row>
    <row r="83" spans="1:45">
      <c r="A83" s="31" t="s">
        <v>37</v>
      </c>
      <c r="B83" s="31" t="s">
        <v>1</v>
      </c>
      <c r="C83" s="31" t="s">
        <v>42</v>
      </c>
      <c r="D83" s="31" t="s">
        <v>3</v>
      </c>
      <c r="E83" s="31" t="s">
        <v>39</v>
      </c>
      <c r="F83" s="31" t="s">
        <v>5</v>
      </c>
      <c r="G83" s="31">
        <v>2012</v>
      </c>
      <c r="H83" s="31" t="s">
        <v>13</v>
      </c>
      <c r="I83" s="33" t="s">
        <v>98</v>
      </c>
      <c r="J83" s="34"/>
      <c r="K83" s="34"/>
      <c r="L83" s="34"/>
      <c r="M83" s="34"/>
      <c r="N83" s="34"/>
      <c r="O83" s="33">
        <v>0</v>
      </c>
      <c r="P83" s="33">
        <v>1.5969099999999998</v>
      </c>
      <c r="Q83" s="33">
        <v>1.5969099999999998</v>
      </c>
      <c r="R83" s="33">
        <v>1.5969099999999998</v>
      </c>
      <c r="S83" s="33">
        <v>1.5969099999999998</v>
      </c>
      <c r="T83" s="33">
        <v>1.5969099999999998</v>
      </c>
      <c r="U83" s="33">
        <v>1.5969099999999998</v>
      </c>
      <c r="V83" s="33">
        <v>1.5969099999999998</v>
      </c>
      <c r="W83" s="33">
        <v>1.5969099999999998</v>
      </c>
      <c r="X83" s="33">
        <v>1.5969099999999998</v>
      </c>
      <c r="Y83" s="33">
        <v>1.5969099999999998</v>
      </c>
      <c r="Z83" s="33">
        <v>1.5969099999999998</v>
      </c>
      <c r="AA83" s="33">
        <v>1.5969099999999998</v>
      </c>
      <c r="AB83" s="33">
        <v>1.5969099999999998</v>
      </c>
      <c r="AC83" s="33">
        <v>1.50773</v>
      </c>
      <c r="AD83" s="33">
        <v>0.70511000000000001</v>
      </c>
      <c r="AE83" s="33">
        <v>0</v>
      </c>
      <c r="AF83" s="33">
        <v>0</v>
      </c>
      <c r="AG83" s="33">
        <v>0</v>
      </c>
      <c r="AH83" s="33">
        <v>0</v>
      </c>
      <c r="AI83" s="33">
        <v>0</v>
      </c>
      <c r="AJ83" s="33">
        <v>0</v>
      </c>
      <c r="AK83" s="33">
        <v>0</v>
      </c>
      <c r="AL83" s="33">
        <v>0</v>
      </c>
      <c r="AM83" s="33">
        <v>0</v>
      </c>
      <c r="AN83" s="33">
        <v>0</v>
      </c>
      <c r="AO83" s="33">
        <v>0</v>
      </c>
      <c r="AP83" s="29">
        <v>0</v>
      </c>
      <c r="AQ83" s="29">
        <v>0</v>
      </c>
      <c r="AR83" s="29">
        <v>0</v>
      </c>
      <c r="AS83" s="31"/>
    </row>
    <row r="84" spans="1:45">
      <c r="A84" s="31" t="s">
        <v>37</v>
      </c>
      <c r="B84" s="31" t="s">
        <v>15</v>
      </c>
      <c r="C84" s="31" t="s">
        <v>19</v>
      </c>
      <c r="D84" s="31" t="s">
        <v>3</v>
      </c>
      <c r="E84" s="31" t="s">
        <v>17</v>
      </c>
      <c r="F84" s="31" t="s">
        <v>5</v>
      </c>
      <c r="G84" s="31">
        <v>2012</v>
      </c>
      <c r="H84" s="31" t="s">
        <v>20</v>
      </c>
      <c r="I84" s="33" t="s">
        <v>17</v>
      </c>
      <c r="J84" s="34"/>
      <c r="K84" s="34"/>
      <c r="L84" s="34"/>
      <c r="M84" s="34"/>
      <c r="N84" s="34"/>
      <c r="O84" s="33">
        <v>0</v>
      </c>
      <c r="P84" s="33">
        <v>16.002313596872199</v>
      </c>
      <c r="Q84" s="33">
        <v>16.002313596872199</v>
      </c>
      <c r="R84" s="33">
        <v>16.002313596872199</v>
      </c>
      <c r="S84" s="33">
        <v>15.308388155597605</v>
      </c>
      <c r="T84" s="33">
        <v>0</v>
      </c>
      <c r="U84" s="33">
        <v>0</v>
      </c>
      <c r="V84" s="33">
        <v>0</v>
      </c>
      <c r="W84" s="33">
        <v>0</v>
      </c>
      <c r="X84" s="33">
        <v>0</v>
      </c>
      <c r="Y84" s="33">
        <v>0</v>
      </c>
      <c r="Z84" s="33">
        <v>0</v>
      </c>
      <c r="AA84" s="33">
        <v>0</v>
      </c>
      <c r="AB84" s="33">
        <v>0</v>
      </c>
      <c r="AC84" s="33">
        <v>0</v>
      </c>
      <c r="AD84" s="33">
        <v>0</v>
      </c>
      <c r="AE84" s="33">
        <v>0</v>
      </c>
      <c r="AF84" s="33">
        <v>0</v>
      </c>
      <c r="AG84" s="33">
        <v>0</v>
      </c>
      <c r="AH84" s="33">
        <v>0</v>
      </c>
      <c r="AI84" s="33">
        <v>0</v>
      </c>
      <c r="AJ84" s="33">
        <v>0</v>
      </c>
      <c r="AK84" s="33">
        <v>0</v>
      </c>
      <c r="AL84" s="33">
        <v>0</v>
      </c>
      <c r="AM84" s="33">
        <v>0</v>
      </c>
      <c r="AN84" s="33">
        <v>0</v>
      </c>
      <c r="AO84" s="33">
        <v>0</v>
      </c>
      <c r="AP84" s="29">
        <v>0</v>
      </c>
      <c r="AQ84" s="29">
        <v>0</v>
      </c>
      <c r="AR84" s="29">
        <v>0</v>
      </c>
      <c r="AS84" s="31"/>
    </row>
    <row r="85" spans="1:45">
      <c r="A85" s="31" t="s">
        <v>37</v>
      </c>
      <c r="B85" s="31" t="s">
        <v>15</v>
      </c>
      <c r="C85" s="31" t="s">
        <v>21</v>
      </c>
      <c r="D85" s="31" t="s">
        <v>3</v>
      </c>
      <c r="E85" s="31" t="s">
        <v>17</v>
      </c>
      <c r="F85" s="31" t="s">
        <v>5</v>
      </c>
      <c r="G85" s="31">
        <v>2012</v>
      </c>
      <c r="H85" s="31" t="s">
        <v>20</v>
      </c>
      <c r="I85" s="33" t="s">
        <v>17</v>
      </c>
      <c r="J85" s="34"/>
      <c r="K85" s="34"/>
      <c r="L85" s="34"/>
      <c r="M85" s="34"/>
      <c r="N85" s="34"/>
      <c r="O85" s="33">
        <v>0</v>
      </c>
      <c r="P85" s="33">
        <v>36.436022200215092</v>
      </c>
      <c r="Q85" s="33">
        <v>36.436022200215092</v>
      </c>
      <c r="R85" s="33">
        <v>36.436022200215092</v>
      </c>
      <c r="S85" s="33">
        <v>36.436022200215092</v>
      </c>
      <c r="T85" s="33">
        <v>21.883402461394159</v>
      </c>
      <c r="U85" s="33">
        <v>0</v>
      </c>
      <c r="V85" s="33">
        <v>0</v>
      </c>
      <c r="W85" s="33">
        <v>0</v>
      </c>
      <c r="X85" s="33">
        <v>0</v>
      </c>
      <c r="Y85" s="33">
        <v>0</v>
      </c>
      <c r="Z85" s="33">
        <v>0</v>
      </c>
      <c r="AA85" s="33">
        <v>0</v>
      </c>
      <c r="AB85" s="33">
        <v>0</v>
      </c>
      <c r="AC85" s="33">
        <v>0</v>
      </c>
      <c r="AD85" s="33">
        <v>0</v>
      </c>
      <c r="AE85" s="33">
        <v>0</v>
      </c>
      <c r="AF85" s="33">
        <v>0</v>
      </c>
      <c r="AG85" s="33">
        <v>0</v>
      </c>
      <c r="AH85" s="33">
        <v>0</v>
      </c>
      <c r="AI85" s="33">
        <v>0</v>
      </c>
      <c r="AJ85" s="33">
        <v>0</v>
      </c>
      <c r="AK85" s="33">
        <v>0</v>
      </c>
      <c r="AL85" s="33">
        <v>0</v>
      </c>
      <c r="AM85" s="33">
        <v>0</v>
      </c>
      <c r="AN85" s="33">
        <v>0</v>
      </c>
      <c r="AO85" s="33">
        <v>0</v>
      </c>
      <c r="AP85" s="29">
        <v>0</v>
      </c>
      <c r="AQ85" s="29">
        <v>0</v>
      </c>
      <c r="AR85" s="29">
        <v>0</v>
      </c>
      <c r="AS85" s="31"/>
    </row>
    <row r="86" spans="1:45">
      <c r="A86" s="31" t="s">
        <v>37</v>
      </c>
      <c r="B86" s="31" t="s">
        <v>15</v>
      </c>
      <c r="C86" s="31" t="s">
        <v>43</v>
      </c>
      <c r="D86" s="31" t="s">
        <v>3</v>
      </c>
      <c r="E86" s="31" t="s">
        <v>17</v>
      </c>
      <c r="F86" s="31" t="s">
        <v>5</v>
      </c>
      <c r="G86" s="31">
        <v>2012</v>
      </c>
      <c r="H86" s="31" t="s">
        <v>44</v>
      </c>
      <c r="I86" s="33" t="s">
        <v>17</v>
      </c>
      <c r="J86" s="34"/>
      <c r="K86" s="34"/>
      <c r="L86" s="34"/>
      <c r="M86" s="34"/>
      <c r="N86" s="34"/>
      <c r="O86" s="33">
        <v>0</v>
      </c>
      <c r="P86" s="33">
        <v>134.27697918912932</v>
      </c>
      <c r="Q86" s="33">
        <v>134.27697918912932</v>
      </c>
      <c r="R86" s="33">
        <v>134.27697918912932</v>
      </c>
      <c r="S86" s="33">
        <v>134.27697918912932</v>
      </c>
      <c r="T86" s="33">
        <v>120.70646218667096</v>
      </c>
      <c r="U86" s="33">
        <v>98.151594763898402</v>
      </c>
      <c r="V86" s="33">
        <v>66.949454398985381</v>
      </c>
      <c r="W86" s="33">
        <v>66.810287664292744</v>
      </c>
      <c r="X86" s="33">
        <v>66.810287664292744</v>
      </c>
      <c r="Y86" s="33">
        <v>33.934542075814811</v>
      </c>
      <c r="Z86" s="33">
        <v>25.183856466825137</v>
      </c>
      <c r="AA86" s="33">
        <v>24.401183520574612</v>
      </c>
      <c r="AB86" s="33">
        <v>24.401183520574612</v>
      </c>
      <c r="AC86" s="33">
        <v>22.697617638863399</v>
      </c>
      <c r="AD86" s="33">
        <v>22.697617638863399</v>
      </c>
      <c r="AE86" s="33">
        <v>22.387125408245581</v>
      </c>
      <c r="AF86" s="33">
        <v>6.2813955705434577</v>
      </c>
      <c r="AG86" s="33">
        <v>6.2813955705434577</v>
      </c>
      <c r="AH86" s="33">
        <v>6.2813955705434577</v>
      </c>
      <c r="AI86" s="33">
        <v>6.2813955705434577</v>
      </c>
      <c r="AJ86" s="33">
        <v>0</v>
      </c>
      <c r="AK86" s="33">
        <v>0</v>
      </c>
      <c r="AL86" s="33">
        <v>0</v>
      </c>
      <c r="AM86" s="33">
        <v>0</v>
      </c>
      <c r="AN86" s="33">
        <v>0</v>
      </c>
      <c r="AO86" s="33">
        <v>0</v>
      </c>
      <c r="AP86" s="29">
        <v>0</v>
      </c>
      <c r="AQ86" s="29">
        <v>0</v>
      </c>
      <c r="AR86" s="29">
        <v>0</v>
      </c>
      <c r="AS86" s="31"/>
    </row>
    <row r="87" spans="1:45">
      <c r="A87" s="31" t="s">
        <v>37</v>
      </c>
      <c r="B87" s="31" t="s">
        <v>15</v>
      </c>
      <c r="C87" s="31" t="s">
        <v>45</v>
      </c>
      <c r="D87" s="31" t="s">
        <v>3</v>
      </c>
      <c r="E87" s="31" t="s">
        <v>17</v>
      </c>
      <c r="F87" s="31" t="s">
        <v>5</v>
      </c>
      <c r="G87" s="31">
        <v>2012</v>
      </c>
      <c r="H87" s="31" t="s">
        <v>44</v>
      </c>
      <c r="I87" s="33" t="s">
        <v>17</v>
      </c>
      <c r="J87" s="34"/>
      <c r="K87" s="34"/>
      <c r="L87" s="34"/>
      <c r="M87" s="34"/>
      <c r="N87" s="34"/>
      <c r="O87" s="33">
        <v>0</v>
      </c>
      <c r="P87" s="33">
        <v>7.0102533294220546</v>
      </c>
      <c r="Q87" s="33">
        <v>7.0102533294220546</v>
      </c>
      <c r="R87" s="33">
        <v>7.0102533294220546</v>
      </c>
      <c r="S87" s="33">
        <v>7.0102533294220546</v>
      </c>
      <c r="T87" s="33">
        <v>6.9049348626225528</v>
      </c>
      <c r="U87" s="33">
        <v>6.9049348626225528</v>
      </c>
      <c r="V87" s="33">
        <v>3.2515103540463097</v>
      </c>
      <c r="W87" s="33">
        <v>3.2335651698359436</v>
      </c>
      <c r="X87" s="33">
        <v>3.2335651698359436</v>
      </c>
      <c r="Y87" s="33">
        <v>3.2335651698359436</v>
      </c>
      <c r="Z87" s="33">
        <v>0.52518054927926128</v>
      </c>
      <c r="AA87" s="33">
        <v>0.42295620971060455</v>
      </c>
      <c r="AB87" s="33">
        <v>0.42295620971060455</v>
      </c>
      <c r="AC87" s="33">
        <v>0.36346799534915469</v>
      </c>
      <c r="AD87" s="33">
        <v>0.36346799534915469</v>
      </c>
      <c r="AE87" s="33">
        <v>0.35002148142476119</v>
      </c>
      <c r="AF87" s="33">
        <v>0</v>
      </c>
      <c r="AG87" s="33">
        <v>0</v>
      </c>
      <c r="AH87" s="33">
        <v>0</v>
      </c>
      <c r="AI87" s="33">
        <v>0</v>
      </c>
      <c r="AJ87" s="33">
        <v>0</v>
      </c>
      <c r="AK87" s="33">
        <v>0</v>
      </c>
      <c r="AL87" s="33">
        <v>0</v>
      </c>
      <c r="AM87" s="33">
        <v>0</v>
      </c>
      <c r="AN87" s="33">
        <v>0</v>
      </c>
      <c r="AO87" s="33">
        <v>0</v>
      </c>
      <c r="AP87" s="29">
        <v>0</v>
      </c>
      <c r="AQ87" s="29">
        <v>0</v>
      </c>
      <c r="AR87" s="29">
        <v>0</v>
      </c>
      <c r="AS87" s="31"/>
    </row>
    <row r="88" spans="1:45">
      <c r="A88" s="31" t="s">
        <v>37</v>
      </c>
      <c r="B88" s="31" t="s">
        <v>15</v>
      </c>
      <c r="C88" s="31" t="s">
        <v>46</v>
      </c>
      <c r="D88" s="31" t="s">
        <v>3</v>
      </c>
      <c r="E88" s="31" t="s">
        <v>17</v>
      </c>
      <c r="F88" s="31" t="s">
        <v>5</v>
      </c>
      <c r="G88" s="31">
        <v>2012</v>
      </c>
      <c r="H88" s="31" t="s">
        <v>47</v>
      </c>
      <c r="I88" s="33" t="s">
        <v>17</v>
      </c>
      <c r="J88" s="34"/>
      <c r="K88" s="34"/>
      <c r="L88" s="34"/>
      <c r="M88" s="34"/>
      <c r="N88" s="34"/>
      <c r="O88" s="33">
        <v>0</v>
      </c>
      <c r="P88" s="33">
        <v>95.798091245599494</v>
      </c>
      <c r="Q88" s="33">
        <v>95.798091245599494</v>
      </c>
      <c r="R88" s="33">
        <v>95.798091245599494</v>
      </c>
      <c r="S88" s="33">
        <v>95.798091245599494</v>
      </c>
      <c r="T88" s="33">
        <v>95.798091245599494</v>
      </c>
      <c r="U88" s="33">
        <v>95.798091245599494</v>
      </c>
      <c r="V88" s="33">
        <v>95.798091245599494</v>
      </c>
      <c r="W88" s="33">
        <v>95.798091245599494</v>
      </c>
      <c r="X88" s="33">
        <v>95.798091245599494</v>
      </c>
      <c r="Y88" s="33">
        <v>95.798091245599494</v>
      </c>
      <c r="Z88" s="33">
        <v>95.798091245599494</v>
      </c>
      <c r="AA88" s="33">
        <v>95.798091245599494</v>
      </c>
      <c r="AB88" s="33">
        <v>95.798091245599494</v>
      </c>
      <c r="AC88" s="33">
        <v>95.798091245599494</v>
      </c>
      <c r="AD88" s="33">
        <v>95.798091245599494</v>
      </c>
      <c r="AE88" s="33">
        <v>95.798091245599494</v>
      </c>
      <c r="AF88" s="33">
        <v>95.798091245599494</v>
      </c>
      <c r="AG88" s="33">
        <v>95.798091245599494</v>
      </c>
      <c r="AH88" s="33">
        <v>90.336016769415181</v>
      </c>
      <c r="AI88" s="33">
        <v>0</v>
      </c>
      <c r="AJ88" s="33">
        <v>0</v>
      </c>
      <c r="AK88" s="33">
        <v>0</v>
      </c>
      <c r="AL88" s="33">
        <v>0</v>
      </c>
      <c r="AM88" s="33">
        <v>0</v>
      </c>
      <c r="AN88" s="33">
        <v>0</v>
      </c>
      <c r="AO88" s="33">
        <v>0</v>
      </c>
      <c r="AP88" s="29">
        <v>0</v>
      </c>
      <c r="AQ88" s="29">
        <v>0</v>
      </c>
      <c r="AR88" s="29">
        <v>0</v>
      </c>
      <c r="AS88" s="31"/>
    </row>
    <row r="89" spans="1:45">
      <c r="A89" s="31" t="s">
        <v>37</v>
      </c>
      <c r="B89" s="31" t="s">
        <v>48</v>
      </c>
      <c r="C89" s="31" t="s">
        <v>23</v>
      </c>
      <c r="D89" s="31" t="s">
        <v>3</v>
      </c>
      <c r="E89" s="31" t="s">
        <v>17</v>
      </c>
      <c r="F89" s="31" t="s">
        <v>5</v>
      </c>
      <c r="G89" s="31">
        <v>2012</v>
      </c>
      <c r="H89" s="31" t="s">
        <v>13</v>
      </c>
      <c r="I89" s="33" t="s">
        <v>17</v>
      </c>
      <c r="J89" s="34"/>
      <c r="K89" s="34"/>
      <c r="L89" s="34"/>
      <c r="M89" s="34"/>
      <c r="N89" s="34"/>
      <c r="O89" s="33">
        <v>0</v>
      </c>
      <c r="P89" s="33">
        <v>48.513360427856455</v>
      </c>
      <c r="Q89" s="33">
        <v>48.513360794067381</v>
      </c>
      <c r="R89" s="33">
        <v>48.513360794067381</v>
      </c>
      <c r="S89" s="33">
        <v>46.049360427856442</v>
      </c>
      <c r="T89" s="33">
        <v>45.738360427856442</v>
      </c>
      <c r="U89" s="33">
        <v>45.738360427856442</v>
      </c>
      <c r="V89" s="33">
        <v>43.094242019653322</v>
      </c>
      <c r="W89" s="33">
        <v>43.020220016479492</v>
      </c>
      <c r="X89" s="33">
        <v>25.952220016479494</v>
      </c>
      <c r="Y89" s="33">
        <v>25.708220016479491</v>
      </c>
      <c r="Z89" s="33">
        <v>20.795999999999996</v>
      </c>
      <c r="AA89" s="33">
        <v>20.795999999999996</v>
      </c>
      <c r="AB89" s="33">
        <v>19.826000000000001</v>
      </c>
      <c r="AC89" s="33">
        <v>19.826000000000001</v>
      </c>
      <c r="AD89" s="33">
        <v>11.726000000000001</v>
      </c>
      <c r="AE89" s="33">
        <v>5.266</v>
      </c>
      <c r="AF89" s="33">
        <v>5.266</v>
      </c>
      <c r="AG89" s="33">
        <v>5.266</v>
      </c>
      <c r="AH89" s="33">
        <v>5.266</v>
      </c>
      <c r="AI89" s="33">
        <v>5.266</v>
      </c>
      <c r="AJ89" s="33">
        <v>1.266</v>
      </c>
      <c r="AK89" s="33">
        <v>0</v>
      </c>
      <c r="AL89" s="33">
        <v>0</v>
      </c>
      <c r="AM89" s="33">
        <v>0</v>
      </c>
      <c r="AN89" s="33">
        <v>0</v>
      </c>
      <c r="AO89" s="33">
        <v>0</v>
      </c>
      <c r="AP89" s="29">
        <v>0</v>
      </c>
      <c r="AQ89" s="29">
        <v>0</v>
      </c>
      <c r="AR89" s="29">
        <v>0</v>
      </c>
      <c r="AS89" s="31"/>
    </row>
    <row r="90" spans="1:45">
      <c r="A90" s="31" t="s">
        <v>37</v>
      </c>
      <c r="B90" s="31" t="s">
        <v>27</v>
      </c>
      <c r="C90" s="31" t="s">
        <v>49</v>
      </c>
      <c r="D90" s="31" t="s">
        <v>3</v>
      </c>
      <c r="E90" s="31" t="s">
        <v>27</v>
      </c>
      <c r="F90" s="31" t="s">
        <v>9</v>
      </c>
      <c r="G90" s="31">
        <v>2012</v>
      </c>
      <c r="H90" s="31" t="s">
        <v>10</v>
      </c>
      <c r="I90" s="33" t="s">
        <v>57</v>
      </c>
      <c r="J90" s="34"/>
      <c r="K90" s="34"/>
      <c r="L90" s="34"/>
      <c r="M90" s="34"/>
      <c r="N90" s="34"/>
      <c r="O90" s="33">
        <v>0</v>
      </c>
      <c r="P90" s="33">
        <v>8.415673</v>
      </c>
      <c r="Q90" s="33">
        <v>0</v>
      </c>
      <c r="R90" s="33">
        <v>0</v>
      </c>
      <c r="S90" s="33">
        <v>0</v>
      </c>
      <c r="T90" s="33">
        <v>0</v>
      </c>
      <c r="U90" s="33">
        <v>0</v>
      </c>
      <c r="V90" s="33">
        <v>0</v>
      </c>
      <c r="W90" s="33">
        <v>0</v>
      </c>
      <c r="X90" s="33">
        <v>0</v>
      </c>
      <c r="Y90" s="33">
        <v>0</v>
      </c>
      <c r="Z90" s="33">
        <v>0</v>
      </c>
      <c r="AA90" s="33">
        <v>0</v>
      </c>
      <c r="AB90" s="33">
        <v>0</v>
      </c>
      <c r="AC90" s="33">
        <v>0</v>
      </c>
      <c r="AD90" s="33">
        <v>0</v>
      </c>
      <c r="AE90" s="33">
        <v>0</v>
      </c>
      <c r="AF90" s="33">
        <v>0</v>
      </c>
      <c r="AG90" s="33">
        <v>0</v>
      </c>
      <c r="AH90" s="33">
        <v>0</v>
      </c>
      <c r="AI90" s="33">
        <v>0</v>
      </c>
      <c r="AJ90" s="33">
        <v>0</v>
      </c>
      <c r="AK90" s="33">
        <v>0</v>
      </c>
      <c r="AL90" s="33">
        <v>0</v>
      </c>
      <c r="AM90" s="33">
        <v>0</v>
      </c>
      <c r="AN90" s="33">
        <v>0</v>
      </c>
      <c r="AO90" s="33">
        <v>0</v>
      </c>
      <c r="AP90" s="29">
        <v>0</v>
      </c>
      <c r="AQ90" s="29">
        <v>0</v>
      </c>
      <c r="AR90" s="29">
        <v>0</v>
      </c>
      <c r="AS90" s="31"/>
    </row>
    <row r="91" spans="1:45">
      <c r="A91" s="31" t="s">
        <v>37</v>
      </c>
      <c r="B91" s="31" t="s">
        <v>50</v>
      </c>
      <c r="C91" s="31" t="s">
        <v>42</v>
      </c>
      <c r="D91" s="31" t="s">
        <v>3</v>
      </c>
      <c r="E91" s="31" t="s">
        <v>39</v>
      </c>
      <c r="F91" s="31" t="s">
        <v>5</v>
      </c>
      <c r="G91" s="31">
        <v>2012</v>
      </c>
      <c r="H91" s="31" t="s">
        <v>13</v>
      </c>
      <c r="I91" s="33" t="s">
        <v>57</v>
      </c>
      <c r="J91" s="34"/>
      <c r="K91" s="34"/>
      <c r="L91" s="34"/>
      <c r="M91" s="34"/>
      <c r="N91" s="34"/>
      <c r="O91" s="33">
        <v>0</v>
      </c>
      <c r="P91" s="33">
        <v>327.22569929981955</v>
      </c>
      <c r="Q91" s="33">
        <v>327.22569929981955</v>
      </c>
      <c r="R91" s="33">
        <v>327.22569929981955</v>
      </c>
      <c r="S91" s="33">
        <v>327.22569929981955</v>
      </c>
      <c r="T91" s="33">
        <v>327.22569929981955</v>
      </c>
      <c r="U91" s="33">
        <v>327.22569929981955</v>
      </c>
      <c r="V91" s="33">
        <v>327.22569929981955</v>
      </c>
      <c r="W91" s="33">
        <v>327.22569929981955</v>
      </c>
      <c r="X91" s="33">
        <v>327.22569929981955</v>
      </c>
      <c r="Y91" s="33">
        <v>327.22569929981955</v>
      </c>
      <c r="Z91" s="33">
        <v>327.22569929981955</v>
      </c>
      <c r="AA91" s="33">
        <v>327.22569929981955</v>
      </c>
      <c r="AB91" s="33">
        <v>0</v>
      </c>
      <c r="AC91" s="33">
        <v>0</v>
      </c>
      <c r="AD91" s="33">
        <v>0</v>
      </c>
      <c r="AE91" s="33">
        <v>0</v>
      </c>
      <c r="AF91" s="33">
        <v>0</v>
      </c>
      <c r="AG91" s="33">
        <v>0</v>
      </c>
      <c r="AH91" s="33">
        <v>0</v>
      </c>
      <c r="AI91" s="33">
        <v>0</v>
      </c>
      <c r="AJ91" s="33">
        <v>0</v>
      </c>
      <c r="AK91" s="33">
        <v>0</v>
      </c>
      <c r="AL91" s="33">
        <v>0</v>
      </c>
      <c r="AM91" s="33">
        <v>0</v>
      </c>
      <c r="AN91" s="33">
        <v>0</v>
      </c>
      <c r="AO91" s="33">
        <v>0</v>
      </c>
      <c r="AP91" s="29">
        <v>0</v>
      </c>
      <c r="AQ91" s="29">
        <v>0</v>
      </c>
      <c r="AR91" s="29">
        <v>0</v>
      </c>
      <c r="AS91" s="31"/>
    </row>
    <row r="92" spans="1:45">
      <c r="A92" s="31" t="s">
        <v>37</v>
      </c>
      <c r="B92" s="31" t="s">
        <v>1</v>
      </c>
      <c r="C92" s="31" t="s">
        <v>51</v>
      </c>
      <c r="D92" s="31" t="s">
        <v>3</v>
      </c>
      <c r="E92" s="31" t="s">
        <v>39</v>
      </c>
      <c r="F92" s="31" t="s">
        <v>9</v>
      </c>
      <c r="G92" s="31">
        <v>2012</v>
      </c>
      <c r="H92" s="31" t="s">
        <v>10</v>
      </c>
      <c r="I92" s="33" t="s">
        <v>128</v>
      </c>
      <c r="J92" s="34"/>
      <c r="K92" s="34"/>
      <c r="L92" s="34"/>
      <c r="M92" s="34"/>
      <c r="N92" s="34"/>
      <c r="O92" s="33">
        <v>0</v>
      </c>
      <c r="P92" s="33">
        <v>58.580500000000001</v>
      </c>
      <c r="Q92" s="33">
        <v>0</v>
      </c>
      <c r="R92" s="33">
        <v>0</v>
      </c>
      <c r="S92" s="33">
        <v>0</v>
      </c>
      <c r="T92" s="33">
        <v>0</v>
      </c>
      <c r="U92" s="33">
        <v>0</v>
      </c>
      <c r="V92" s="33">
        <v>0</v>
      </c>
      <c r="W92" s="33">
        <v>0</v>
      </c>
      <c r="X92" s="33">
        <v>0</v>
      </c>
      <c r="Y92" s="33">
        <v>0</v>
      </c>
      <c r="Z92" s="33">
        <v>0</v>
      </c>
      <c r="AA92" s="33">
        <v>0</v>
      </c>
      <c r="AB92" s="33">
        <v>0</v>
      </c>
      <c r="AC92" s="33">
        <v>0</v>
      </c>
      <c r="AD92" s="33">
        <v>0</v>
      </c>
      <c r="AE92" s="33">
        <v>0</v>
      </c>
      <c r="AF92" s="33">
        <v>0</v>
      </c>
      <c r="AG92" s="33">
        <v>0</v>
      </c>
      <c r="AH92" s="33">
        <v>0</v>
      </c>
      <c r="AI92" s="33">
        <v>0</v>
      </c>
      <c r="AJ92" s="33">
        <v>0</v>
      </c>
      <c r="AK92" s="33">
        <v>0</v>
      </c>
      <c r="AL92" s="33">
        <v>0</v>
      </c>
      <c r="AM92" s="33">
        <v>0</v>
      </c>
      <c r="AN92" s="33">
        <v>0</v>
      </c>
      <c r="AO92" s="33">
        <v>0</v>
      </c>
      <c r="AP92" s="29">
        <v>0</v>
      </c>
      <c r="AQ92" s="29">
        <v>0</v>
      </c>
      <c r="AR92" s="29">
        <v>0</v>
      </c>
      <c r="AS92" s="31"/>
    </row>
    <row r="93" spans="1:45">
      <c r="A93" s="31" t="s">
        <v>52</v>
      </c>
      <c r="B93" s="31" t="s">
        <v>1</v>
      </c>
      <c r="C93" s="31" t="s">
        <v>12</v>
      </c>
      <c r="D93" s="31" t="s">
        <v>3</v>
      </c>
      <c r="E93" s="31" t="s">
        <v>39</v>
      </c>
      <c r="F93" s="31" t="s">
        <v>5</v>
      </c>
      <c r="G93" s="31">
        <v>2011</v>
      </c>
      <c r="H93" s="31" t="s">
        <v>13</v>
      </c>
      <c r="I93" s="33" t="s">
        <v>93</v>
      </c>
      <c r="J93" s="34"/>
      <c r="K93" s="34"/>
      <c r="L93" s="34"/>
      <c r="M93" s="34"/>
      <c r="N93" s="34"/>
      <c r="O93" s="33">
        <v>14.398130945537527</v>
      </c>
      <c r="P93" s="33">
        <v>14.398130945537527</v>
      </c>
      <c r="Q93" s="33">
        <v>14.398130945537527</v>
      </c>
      <c r="R93" s="33">
        <v>13.517882939259444</v>
      </c>
      <c r="S93" s="33">
        <v>13.517882939259444</v>
      </c>
      <c r="T93" s="33">
        <v>13.517882939259444</v>
      </c>
      <c r="U93" s="33">
        <v>4.4746055495332433</v>
      </c>
      <c r="V93" s="33">
        <v>4.4746055495332433</v>
      </c>
      <c r="W93" s="33">
        <v>4.4746055495332433</v>
      </c>
      <c r="X93" s="33">
        <v>4.4746055495332433</v>
      </c>
      <c r="Y93" s="33">
        <v>2.5952600793001244</v>
      </c>
      <c r="Z93" s="33">
        <v>2.5952600793001244</v>
      </c>
      <c r="AA93" s="33">
        <v>0</v>
      </c>
      <c r="AB93" s="33">
        <v>0</v>
      </c>
      <c r="AC93" s="33">
        <v>0</v>
      </c>
      <c r="AD93" s="33">
        <v>0</v>
      </c>
      <c r="AE93" s="33">
        <v>0</v>
      </c>
      <c r="AF93" s="33">
        <v>0</v>
      </c>
      <c r="AG93" s="33">
        <v>0</v>
      </c>
      <c r="AH93" s="33">
        <v>0</v>
      </c>
      <c r="AI93" s="33">
        <v>0</v>
      </c>
      <c r="AJ93" s="33">
        <v>0</v>
      </c>
      <c r="AK93" s="33">
        <v>0</v>
      </c>
      <c r="AL93" s="33">
        <v>0</v>
      </c>
      <c r="AM93" s="33">
        <v>0</v>
      </c>
      <c r="AN93" s="33">
        <v>0</v>
      </c>
      <c r="AO93" s="33">
        <v>0</v>
      </c>
      <c r="AP93" s="29">
        <v>0</v>
      </c>
      <c r="AQ93" s="29">
        <v>0</v>
      </c>
      <c r="AR93" s="29">
        <v>0</v>
      </c>
      <c r="AS93" s="31"/>
    </row>
    <row r="94" spans="1:45">
      <c r="A94" s="31" t="s">
        <v>52</v>
      </c>
      <c r="B94" s="31" t="s">
        <v>1</v>
      </c>
      <c r="C94" s="31" t="s">
        <v>38</v>
      </c>
      <c r="D94" s="31" t="s">
        <v>3</v>
      </c>
      <c r="E94" s="31" t="s">
        <v>39</v>
      </c>
      <c r="F94" s="31" t="s">
        <v>5</v>
      </c>
      <c r="G94" s="31">
        <v>2011</v>
      </c>
      <c r="H94" s="31" t="s">
        <v>13</v>
      </c>
      <c r="I94" s="33" t="s">
        <v>92</v>
      </c>
      <c r="J94" s="34"/>
      <c r="K94" s="34"/>
      <c r="L94" s="34"/>
      <c r="M94" s="34"/>
      <c r="N94" s="34"/>
      <c r="O94" s="33">
        <v>15.858094920564891</v>
      </c>
      <c r="P94" s="33">
        <v>15.858094920564891</v>
      </c>
      <c r="Q94" s="33">
        <v>15.858094920564891</v>
      </c>
      <c r="R94" s="33">
        <v>15.858094920564891</v>
      </c>
      <c r="S94" s="33">
        <v>15.858094920564891</v>
      </c>
      <c r="T94" s="33">
        <v>15.858094920564891</v>
      </c>
      <c r="U94" s="33">
        <v>4.9969907076186661</v>
      </c>
      <c r="V94" s="33">
        <v>4.9969907076186661</v>
      </c>
      <c r="W94" s="33">
        <v>4.9969907076186661</v>
      </c>
      <c r="X94" s="33">
        <v>4.9969907076186661</v>
      </c>
      <c r="Y94" s="33">
        <v>3.9742191307521328</v>
      </c>
      <c r="Z94" s="33">
        <v>3.9742191307521328</v>
      </c>
      <c r="AA94" s="33">
        <v>0</v>
      </c>
      <c r="AB94" s="33">
        <v>0</v>
      </c>
      <c r="AC94" s="33">
        <v>0</v>
      </c>
      <c r="AD94" s="33">
        <v>0</v>
      </c>
      <c r="AE94" s="33">
        <v>0</v>
      </c>
      <c r="AF94" s="33">
        <v>0</v>
      </c>
      <c r="AG94" s="33">
        <v>0</v>
      </c>
      <c r="AH94" s="33">
        <v>0</v>
      </c>
      <c r="AI94" s="33">
        <v>0</v>
      </c>
      <c r="AJ94" s="33">
        <v>0</v>
      </c>
      <c r="AK94" s="33">
        <v>0</v>
      </c>
      <c r="AL94" s="33">
        <v>0</v>
      </c>
      <c r="AM94" s="33">
        <v>0</v>
      </c>
      <c r="AN94" s="33">
        <v>0</v>
      </c>
      <c r="AO94" s="33">
        <v>0</v>
      </c>
      <c r="AP94" s="29">
        <v>0</v>
      </c>
      <c r="AQ94" s="29">
        <v>0</v>
      </c>
      <c r="AR94" s="29">
        <v>0</v>
      </c>
      <c r="AS94" s="31"/>
    </row>
    <row r="95" spans="1:45">
      <c r="A95" s="31" t="s">
        <v>52</v>
      </c>
      <c r="B95" s="31" t="s">
        <v>1</v>
      </c>
      <c r="C95" s="31" t="s">
        <v>40</v>
      </c>
      <c r="D95" s="31" t="s">
        <v>3</v>
      </c>
      <c r="E95" s="31" t="s">
        <v>39</v>
      </c>
      <c r="F95" s="31" t="s">
        <v>5</v>
      </c>
      <c r="G95" s="31">
        <v>2011</v>
      </c>
      <c r="H95" s="31" t="s">
        <v>13</v>
      </c>
      <c r="I95" s="33" t="s">
        <v>94</v>
      </c>
      <c r="J95" s="34"/>
      <c r="K95" s="34"/>
      <c r="L95" s="34"/>
      <c r="M95" s="34"/>
      <c r="N95" s="34"/>
      <c r="O95" s="33">
        <v>50.352508925126152</v>
      </c>
      <c r="P95" s="33">
        <v>50.352508925126152</v>
      </c>
      <c r="Q95" s="33">
        <v>50.352508925126152</v>
      </c>
      <c r="R95" s="33">
        <v>50.352508925126152</v>
      </c>
      <c r="S95" s="33">
        <v>50.352508925126152</v>
      </c>
      <c r="T95" s="33">
        <v>0</v>
      </c>
      <c r="U95" s="33">
        <v>0</v>
      </c>
      <c r="V95" s="33">
        <v>0</v>
      </c>
      <c r="W95" s="33">
        <v>0</v>
      </c>
      <c r="X95" s="33">
        <v>0</v>
      </c>
      <c r="Y95" s="33">
        <v>0</v>
      </c>
      <c r="Z95" s="33">
        <v>0</v>
      </c>
      <c r="AA95" s="33">
        <v>0</v>
      </c>
      <c r="AB95" s="33">
        <v>0</v>
      </c>
      <c r="AC95" s="33">
        <v>0</v>
      </c>
      <c r="AD95" s="33">
        <v>0</v>
      </c>
      <c r="AE95" s="33">
        <v>0</v>
      </c>
      <c r="AF95" s="33">
        <v>0</v>
      </c>
      <c r="AG95" s="33">
        <v>0</v>
      </c>
      <c r="AH95" s="33">
        <v>0</v>
      </c>
      <c r="AI95" s="33">
        <v>0</v>
      </c>
      <c r="AJ95" s="33">
        <v>0</v>
      </c>
      <c r="AK95" s="33">
        <v>0</v>
      </c>
      <c r="AL95" s="33">
        <v>0</v>
      </c>
      <c r="AM95" s="33">
        <v>0</v>
      </c>
      <c r="AN95" s="33">
        <v>0</v>
      </c>
      <c r="AO95" s="33">
        <v>0</v>
      </c>
      <c r="AP95" s="29">
        <v>0</v>
      </c>
      <c r="AQ95" s="29">
        <v>0</v>
      </c>
      <c r="AR95" s="29">
        <v>0</v>
      </c>
      <c r="AS95" s="31"/>
    </row>
    <row r="96" spans="1:45">
      <c r="A96" s="31" t="s">
        <v>52</v>
      </c>
      <c r="B96" s="31" t="s">
        <v>50</v>
      </c>
      <c r="C96" s="31" t="s">
        <v>42</v>
      </c>
      <c r="D96" s="31" t="s">
        <v>3</v>
      </c>
      <c r="E96" s="31" t="s">
        <v>39</v>
      </c>
      <c r="F96" s="31" t="s">
        <v>5</v>
      </c>
      <c r="G96" s="31">
        <v>2011</v>
      </c>
      <c r="H96" s="31" t="s">
        <v>53</v>
      </c>
      <c r="I96" s="33" t="s">
        <v>57</v>
      </c>
      <c r="J96" s="34"/>
      <c r="K96" s="34"/>
      <c r="L96" s="34"/>
      <c r="M96" s="34"/>
      <c r="N96" s="34"/>
      <c r="O96" s="33">
        <v>444.61606738776311</v>
      </c>
      <c r="P96" s="33">
        <v>444.61606738776311</v>
      </c>
      <c r="Q96" s="33">
        <v>444.61606738776311</v>
      </c>
      <c r="R96" s="33">
        <v>444.61606738776311</v>
      </c>
      <c r="S96" s="33">
        <v>444.616067387763</v>
      </c>
      <c r="T96" s="33">
        <v>444.616067387763</v>
      </c>
      <c r="U96" s="33">
        <v>444.616067387763</v>
      </c>
      <c r="V96" s="33">
        <v>444.616067387763</v>
      </c>
      <c r="W96" s="33">
        <v>444.616067387763</v>
      </c>
      <c r="X96" s="33">
        <v>444.616067387763</v>
      </c>
      <c r="Y96" s="33">
        <v>444.616067387763</v>
      </c>
      <c r="Z96" s="33">
        <v>444.616067387763</v>
      </c>
      <c r="AA96" s="33">
        <v>444.616067387763</v>
      </c>
      <c r="AB96" s="33">
        <v>444.616067387763</v>
      </c>
      <c r="AC96" s="33">
        <v>444.616067387763</v>
      </c>
      <c r="AD96" s="33">
        <v>0</v>
      </c>
      <c r="AE96" s="33">
        <v>0</v>
      </c>
      <c r="AF96" s="33">
        <v>0</v>
      </c>
      <c r="AG96" s="33">
        <v>0</v>
      </c>
      <c r="AH96" s="33">
        <v>0</v>
      </c>
      <c r="AI96" s="33">
        <v>0</v>
      </c>
      <c r="AJ96" s="33">
        <v>0</v>
      </c>
      <c r="AK96" s="33">
        <v>0</v>
      </c>
      <c r="AL96" s="33">
        <v>0</v>
      </c>
      <c r="AM96" s="33">
        <v>0</v>
      </c>
      <c r="AN96" s="33">
        <v>0</v>
      </c>
      <c r="AO96" s="33">
        <v>0</v>
      </c>
      <c r="AP96" s="29">
        <v>0</v>
      </c>
      <c r="AQ96" s="29">
        <v>0</v>
      </c>
      <c r="AR96" s="29">
        <v>0</v>
      </c>
      <c r="AS96" s="31"/>
    </row>
    <row r="97" spans="1:45">
      <c r="A97" s="31" t="s">
        <v>52</v>
      </c>
      <c r="B97" s="31" t="s">
        <v>15</v>
      </c>
      <c r="C97" s="31" t="s">
        <v>46</v>
      </c>
      <c r="D97" s="31" t="s">
        <v>3</v>
      </c>
      <c r="E97" s="31" t="s">
        <v>17</v>
      </c>
      <c r="F97" s="31" t="s">
        <v>5</v>
      </c>
      <c r="G97" s="31">
        <v>2011</v>
      </c>
      <c r="H97" s="31" t="s">
        <v>47</v>
      </c>
      <c r="I97" s="33" t="s">
        <v>17</v>
      </c>
      <c r="J97" s="34"/>
      <c r="K97" s="34"/>
      <c r="L97" s="34"/>
      <c r="M97" s="34"/>
      <c r="N97" s="34"/>
      <c r="O97" s="33">
        <v>-46.099303587569764</v>
      </c>
      <c r="P97" s="33">
        <v>-46.099303587569764</v>
      </c>
      <c r="Q97" s="33">
        <v>-46.099303587569764</v>
      </c>
      <c r="R97" s="33">
        <v>-46.099303587569764</v>
      </c>
      <c r="S97" s="33">
        <v>-46.099303587569764</v>
      </c>
      <c r="T97" s="33">
        <v>-46.099303587569764</v>
      </c>
      <c r="U97" s="33">
        <v>-46.099303587569764</v>
      </c>
      <c r="V97" s="33">
        <v>-46.099303587569764</v>
      </c>
      <c r="W97" s="33">
        <v>-46.099303587569764</v>
      </c>
      <c r="X97" s="33">
        <v>-46.099303587569764</v>
      </c>
      <c r="Y97" s="33">
        <v>-46.099303587569764</v>
      </c>
      <c r="Z97" s="33">
        <v>-46.099303587569764</v>
      </c>
      <c r="AA97" s="33">
        <v>-46.099303587569764</v>
      </c>
      <c r="AB97" s="33">
        <v>-46.099303587569764</v>
      </c>
      <c r="AC97" s="33">
        <v>-46.099303587569764</v>
      </c>
      <c r="AD97" s="33">
        <v>-46.099303587569764</v>
      </c>
      <c r="AE97" s="33">
        <v>-46.099303587569764</v>
      </c>
      <c r="AF97" s="33">
        <v>-46.099303587569764</v>
      </c>
      <c r="AG97" s="33">
        <v>-44.100481065259707</v>
      </c>
      <c r="AH97" s="33">
        <v>0</v>
      </c>
      <c r="AI97" s="33">
        <v>0</v>
      </c>
      <c r="AJ97" s="33">
        <v>0</v>
      </c>
      <c r="AK97" s="33">
        <v>0</v>
      </c>
      <c r="AL97" s="33">
        <v>0</v>
      </c>
      <c r="AM97" s="33">
        <v>0</v>
      </c>
      <c r="AN97" s="33">
        <v>0</v>
      </c>
      <c r="AO97" s="33">
        <v>0</v>
      </c>
      <c r="AP97" s="29">
        <v>0</v>
      </c>
      <c r="AQ97" s="29">
        <v>0</v>
      </c>
      <c r="AR97" s="29">
        <v>0</v>
      </c>
      <c r="AS97" s="31"/>
    </row>
    <row r="98" spans="1:45">
      <c r="A98" s="31" t="s">
        <v>52</v>
      </c>
      <c r="B98" s="31" t="s">
        <v>15</v>
      </c>
      <c r="C98" s="31" t="s">
        <v>43</v>
      </c>
      <c r="D98" s="31" t="s">
        <v>3</v>
      </c>
      <c r="E98" s="31" t="s">
        <v>17</v>
      </c>
      <c r="F98" s="31" t="s">
        <v>5</v>
      </c>
      <c r="G98" s="31">
        <v>2011</v>
      </c>
      <c r="H98" s="31" t="s">
        <v>44</v>
      </c>
      <c r="I98" s="33" t="s">
        <v>17</v>
      </c>
      <c r="J98" s="34"/>
      <c r="K98" s="34"/>
      <c r="L98" s="34"/>
      <c r="M98" s="34"/>
      <c r="N98" s="34"/>
      <c r="O98" s="33">
        <v>10.947004820254898</v>
      </c>
      <c r="P98" s="33">
        <v>10.947004820254898</v>
      </c>
      <c r="Q98" s="33">
        <v>10.947004820254898</v>
      </c>
      <c r="R98" s="33">
        <v>10.947004820254898</v>
      </c>
      <c r="S98" s="33">
        <v>10.947004820254898</v>
      </c>
      <c r="T98" s="33">
        <v>9.9476895758751613</v>
      </c>
      <c r="U98" s="33">
        <v>5.3706497234395885</v>
      </c>
      <c r="V98" s="33">
        <v>5.3695555893022915</v>
      </c>
      <c r="W98" s="33">
        <v>5.3695555893022915</v>
      </c>
      <c r="X98" s="33">
        <v>1.1845655212131565</v>
      </c>
      <c r="Y98" s="33">
        <v>0.99516696810053751</v>
      </c>
      <c r="Z98" s="33">
        <v>0.91386373835073487</v>
      </c>
      <c r="AA98" s="33">
        <v>0.91386373835073487</v>
      </c>
      <c r="AB98" s="33">
        <v>0.75837173680929437</v>
      </c>
      <c r="AC98" s="33">
        <v>0.75837173680929437</v>
      </c>
      <c r="AD98" s="33">
        <v>0.75745980702052318</v>
      </c>
      <c r="AE98" s="33">
        <v>0</v>
      </c>
      <c r="AF98" s="33">
        <v>0</v>
      </c>
      <c r="AG98" s="33">
        <v>0</v>
      </c>
      <c r="AH98" s="33">
        <v>0</v>
      </c>
      <c r="AI98" s="33">
        <v>0</v>
      </c>
      <c r="AJ98" s="33">
        <v>0</v>
      </c>
      <c r="AK98" s="33">
        <v>0</v>
      </c>
      <c r="AL98" s="33">
        <v>0</v>
      </c>
      <c r="AM98" s="33">
        <v>0</v>
      </c>
      <c r="AN98" s="33">
        <v>0</v>
      </c>
      <c r="AO98" s="33"/>
      <c r="AP98" s="29">
        <v>0</v>
      </c>
      <c r="AQ98" s="29">
        <v>0</v>
      </c>
      <c r="AR98" s="29">
        <v>0</v>
      </c>
      <c r="AS98" s="31"/>
    </row>
    <row r="99" spans="1:45">
      <c r="A99" s="31" t="s">
        <v>52</v>
      </c>
      <c r="B99" s="31" t="s">
        <v>15</v>
      </c>
      <c r="C99" s="31" t="s">
        <v>45</v>
      </c>
      <c r="D99" s="31" t="s">
        <v>3</v>
      </c>
      <c r="E99" s="31" t="s">
        <v>17</v>
      </c>
      <c r="F99" s="31" t="s">
        <v>5</v>
      </c>
      <c r="G99" s="31">
        <v>2011</v>
      </c>
      <c r="H99" s="31" t="s">
        <v>44</v>
      </c>
      <c r="I99" s="33" t="s">
        <v>17</v>
      </c>
      <c r="J99" s="34"/>
      <c r="K99" s="34"/>
      <c r="L99" s="34"/>
      <c r="M99" s="34"/>
      <c r="N99" s="34"/>
      <c r="O99" s="33">
        <v>1.3820696418156644</v>
      </c>
      <c r="P99" s="33">
        <v>1.3820696418156644</v>
      </c>
      <c r="Q99" s="33">
        <v>1.3820696418156644</v>
      </c>
      <c r="R99" s="33">
        <v>1.3820696418156644</v>
      </c>
      <c r="S99" s="33">
        <v>1.3820696418156644</v>
      </c>
      <c r="T99" s="33">
        <v>1.2627704668901096</v>
      </c>
      <c r="U99" s="33">
        <v>0.77469876509258329</v>
      </c>
      <c r="V99" s="33">
        <v>0.77364399421721075</v>
      </c>
      <c r="W99" s="33">
        <v>0.77364399421721075</v>
      </c>
      <c r="X99" s="33">
        <v>0.27403602265608018</v>
      </c>
      <c r="Y99" s="33">
        <v>0.12376596559791235</v>
      </c>
      <c r="Z99" s="33">
        <v>9.0052357367638641E-2</v>
      </c>
      <c r="AA99" s="33">
        <v>9.0052357367638641E-2</v>
      </c>
      <c r="AB99" s="33">
        <v>8.0819592588624048E-2</v>
      </c>
      <c r="AC99" s="33">
        <v>8.0819592588624048E-2</v>
      </c>
      <c r="AD99" s="33">
        <v>8.0008208477433423E-2</v>
      </c>
      <c r="AE99" s="33">
        <v>0</v>
      </c>
      <c r="AF99" s="33">
        <v>0</v>
      </c>
      <c r="AG99" s="33">
        <v>0</v>
      </c>
      <c r="AH99" s="33">
        <v>0</v>
      </c>
      <c r="AI99" s="33">
        <v>0</v>
      </c>
      <c r="AJ99" s="33">
        <v>0</v>
      </c>
      <c r="AK99" s="33">
        <v>0</v>
      </c>
      <c r="AL99" s="33">
        <v>0</v>
      </c>
      <c r="AM99" s="33">
        <v>0</v>
      </c>
      <c r="AN99" s="33">
        <v>0</v>
      </c>
      <c r="AO99" s="33" t="s">
        <v>7</v>
      </c>
      <c r="AP99" s="29">
        <v>0</v>
      </c>
      <c r="AQ99" s="29">
        <v>0</v>
      </c>
      <c r="AR99" s="29">
        <v>0</v>
      </c>
      <c r="AS99" s="31"/>
    </row>
    <row r="100" spans="1:45">
      <c r="A100" s="31" t="s">
        <v>0</v>
      </c>
      <c r="B100" s="31" t="s">
        <v>1</v>
      </c>
      <c r="C100" s="31" t="s">
        <v>2</v>
      </c>
      <c r="D100" s="31" t="s">
        <v>3</v>
      </c>
      <c r="E100" s="31" t="s">
        <v>4</v>
      </c>
      <c r="F100" s="31" t="s">
        <v>5</v>
      </c>
      <c r="G100" s="31">
        <v>2012</v>
      </c>
      <c r="H100" s="31" t="s">
        <v>6</v>
      </c>
      <c r="I100" s="33" t="s">
        <v>97</v>
      </c>
      <c r="J100" s="34"/>
      <c r="K100" s="34"/>
      <c r="L100" s="34"/>
      <c r="M100" s="34"/>
      <c r="N100" s="34"/>
      <c r="O100" s="33" t="s">
        <v>7</v>
      </c>
      <c r="P100" s="33">
        <v>50.352508925126003</v>
      </c>
      <c r="Q100" s="33">
        <v>50.352508925126003</v>
      </c>
      <c r="R100" s="33">
        <v>50.352508925126003</v>
      </c>
      <c r="S100" s="33">
        <v>50.352508925126003</v>
      </c>
      <c r="T100" s="33" t="s">
        <v>7</v>
      </c>
      <c r="U100" s="33" t="s">
        <v>7</v>
      </c>
      <c r="V100" s="33" t="s">
        <v>7</v>
      </c>
      <c r="W100" s="33" t="s">
        <v>7</v>
      </c>
      <c r="X100" s="33" t="s">
        <v>7</v>
      </c>
      <c r="Y100" s="33" t="s">
        <v>7</v>
      </c>
      <c r="Z100" s="33" t="s">
        <v>7</v>
      </c>
      <c r="AA100" s="33" t="s">
        <v>7</v>
      </c>
      <c r="AB100" s="33" t="s">
        <v>7</v>
      </c>
      <c r="AC100" s="33" t="s">
        <v>7</v>
      </c>
      <c r="AD100" s="33" t="s">
        <v>7</v>
      </c>
      <c r="AE100" s="33" t="s">
        <v>7</v>
      </c>
      <c r="AF100" s="33" t="s">
        <v>7</v>
      </c>
      <c r="AG100" s="33" t="s">
        <v>7</v>
      </c>
      <c r="AH100" s="33" t="s">
        <v>7</v>
      </c>
      <c r="AI100" s="33" t="s">
        <v>7</v>
      </c>
      <c r="AJ100" s="33" t="s">
        <v>7</v>
      </c>
      <c r="AK100" s="33" t="s">
        <v>7</v>
      </c>
      <c r="AL100" s="33" t="s">
        <v>7</v>
      </c>
      <c r="AM100" s="33" t="s">
        <v>7</v>
      </c>
      <c r="AN100" s="33" t="s">
        <v>7</v>
      </c>
      <c r="AO100" s="33" t="s">
        <v>7</v>
      </c>
      <c r="AS100" s="31"/>
    </row>
    <row r="101" spans="1:45">
      <c r="A101" s="31" t="s">
        <v>0</v>
      </c>
      <c r="B101" s="31" t="s">
        <v>1</v>
      </c>
      <c r="C101" s="31" t="s">
        <v>2</v>
      </c>
      <c r="D101" s="31" t="s">
        <v>3</v>
      </c>
      <c r="E101" s="31" t="s">
        <v>4</v>
      </c>
      <c r="F101" s="31" t="s">
        <v>5</v>
      </c>
      <c r="G101" s="31">
        <v>2013</v>
      </c>
      <c r="H101" s="31" t="s">
        <v>6</v>
      </c>
      <c r="I101" s="33" t="s">
        <v>99</v>
      </c>
      <c r="J101" s="34"/>
      <c r="K101" s="34"/>
      <c r="L101" s="34"/>
      <c r="M101" s="34"/>
      <c r="N101" s="34"/>
      <c r="O101" s="33" t="s">
        <v>7</v>
      </c>
      <c r="P101" s="33" t="s">
        <v>7</v>
      </c>
      <c r="Q101" s="33">
        <v>96.901535593948992</v>
      </c>
      <c r="R101" s="33">
        <v>96.901535593948992</v>
      </c>
      <c r="S101" s="33">
        <v>96.901535593948992</v>
      </c>
      <c r="T101" s="33">
        <v>96.901535593948992</v>
      </c>
      <c r="U101" s="33" t="s">
        <v>7</v>
      </c>
      <c r="V101" s="33" t="s">
        <v>7</v>
      </c>
      <c r="W101" s="33" t="s">
        <v>7</v>
      </c>
      <c r="X101" s="33" t="s">
        <v>7</v>
      </c>
      <c r="Y101" s="33" t="s">
        <v>7</v>
      </c>
      <c r="Z101" s="33" t="s">
        <v>7</v>
      </c>
      <c r="AA101" s="33" t="s">
        <v>7</v>
      </c>
      <c r="AB101" s="33" t="s">
        <v>7</v>
      </c>
      <c r="AC101" s="33" t="s">
        <v>7</v>
      </c>
      <c r="AD101" s="33" t="s">
        <v>7</v>
      </c>
      <c r="AE101" s="33" t="s">
        <v>7</v>
      </c>
      <c r="AF101" s="33" t="s">
        <v>7</v>
      </c>
      <c r="AG101" s="33" t="s">
        <v>7</v>
      </c>
      <c r="AH101" s="33" t="s">
        <v>7</v>
      </c>
      <c r="AI101" s="33" t="s">
        <v>7</v>
      </c>
      <c r="AJ101" s="33" t="s">
        <v>7</v>
      </c>
      <c r="AK101" s="33" t="s">
        <v>7</v>
      </c>
      <c r="AL101" s="33" t="s">
        <v>7</v>
      </c>
      <c r="AM101" s="33" t="s">
        <v>7</v>
      </c>
      <c r="AN101" s="33" t="s">
        <v>7</v>
      </c>
      <c r="AO101" s="33">
        <v>0</v>
      </c>
    </row>
    <row r="102" spans="1:45">
      <c r="A102" s="31" t="s">
        <v>0</v>
      </c>
      <c r="B102" s="31" t="s">
        <v>1</v>
      </c>
      <c r="C102" s="31" t="s">
        <v>8</v>
      </c>
      <c r="D102" s="31" t="s">
        <v>3</v>
      </c>
      <c r="E102" s="31" t="s">
        <v>4</v>
      </c>
      <c r="F102" s="31" t="s">
        <v>9</v>
      </c>
      <c r="G102" s="31">
        <v>2013</v>
      </c>
      <c r="H102" s="31" t="s">
        <v>10</v>
      </c>
      <c r="I102" s="33" t="s">
        <v>128</v>
      </c>
      <c r="J102" s="34"/>
      <c r="K102" s="34"/>
      <c r="L102" s="34"/>
      <c r="M102" s="34"/>
      <c r="N102" s="34"/>
      <c r="O102" s="33" t="s">
        <v>7</v>
      </c>
      <c r="P102" s="33" t="s">
        <v>7</v>
      </c>
      <c r="Q102" s="33">
        <v>52.001860000000001</v>
      </c>
      <c r="R102" s="33" t="s">
        <v>7</v>
      </c>
      <c r="S102" s="33" t="s">
        <v>7</v>
      </c>
      <c r="T102" s="33" t="s">
        <v>7</v>
      </c>
      <c r="U102" s="33" t="s">
        <v>7</v>
      </c>
      <c r="V102" s="33" t="s">
        <v>7</v>
      </c>
      <c r="W102" s="33" t="s">
        <v>7</v>
      </c>
      <c r="X102" s="33" t="s">
        <v>7</v>
      </c>
      <c r="Y102" s="33" t="s">
        <v>7</v>
      </c>
      <c r="Z102" s="33" t="s">
        <v>7</v>
      </c>
      <c r="AA102" s="33" t="s">
        <v>7</v>
      </c>
      <c r="AB102" s="33" t="s">
        <v>7</v>
      </c>
      <c r="AC102" s="33" t="s">
        <v>7</v>
      </c>
      <c r="AD102" s="33" t="s">
        <v>7</v>
      </c>
      <c r="AE102" s="33" t="s">
        <v>7</v>
      </c>
      <c r="AF102" s="33" t="s">
        <v>7</v>
      </c>
      <c r="AG102" s="33" t="s">
        <v>7</v>
      </c>
      <c r="AH102" s="33" t="s">
        <v>7</v>
      </c>
      <c r="AI102" s="33" t="s">
        <v>7</v>
      </c>
      <c r="AJ102" s="33" t="s">
        <v>7</v>
      </c>
      <c r="AK102" s="33" t="s">
        <v>7</v>
      </c>
      <c r="AL102" s="33" t="s">
        <v>7</v>
      </c>
      <c r="AM102" s="33" t="s">
        <v>7</v>
      </c>
      <c r="AN102" s="33" t="s">
        <v>7</v>
      </c>
      <c r="AO102" s="33">
        <v>0</v>
      </c>
      <c r="AP102" s="33" t="s">
        <v>7</v>
      </c>
      <c r="AQ102" s="33" t="s">
        <v>7</v>
      </c>
      <c r="AR102" s="33" t="s">
        <v>7</v>
      </c>
    </row>
    <row r="103" spans="1:45">
      <c r="A103" s="31" t="s">
        <v>0</v>
      </c>
      <c r="B103" s="31" t="s">
        <v>1</v>
      </c>
      <c r="C103" s="31" t="s">
        <v>11</v>
      </c>
      <c r="D103" s="31" t="s">
        <v>3</v>
      </c>
      <c r="E103" s="31" t="s">
        <v>4</v>
      </c>
      <c r="F103" s="31" t="s">
        <v>5</v>
      </c>
      <c r="G103" s="31">
        <v>2013</v>
      </c>
      <c r="H103" s="31" t="s">
        <v>7</v>
      </c>
      <c r="I103" s="33" t="s">
        <v>100</v>
      </c>
      <c r="J103" s="34"/>
      <c r="K103" s="34"/>
      <c r="L103" s="34"/>
      <c r="M103" s="34"/>
      <c r="N103" s="34"/>
      <c r="O103" s="33">
        <v>0</v>
      </c>
      <c r="P103" s="33">
        <v>0</v>
      </c>
      <c r="Q103" s="33">
        <v>58.802057999999995</v>
      </c>
      <c r="R103" s="33">
        <v>58.802057999999995</v>
      </c>
      <c r="S103" s="33">
        <v>58.802057999999995</v>
      </c>
      <c r="T103" s="33">
        <v>58.802057999999995</v>
      </c>
      <c r="U103" s="33">
        <v>58.802057999999995</v>
      </c>
      <c r="V103" s="33">
        <v>58.802057999999995</v>
      </c>
      <c r="W103" s="33">
        <v>58.802057999999995</v>
      </c>
      <c r="X103" s="33">
        <v>58.802057999999995</v>
      </c>
      <c r="Y103" s="33">
        <v>58.802057999999995</v>
      </c>
      <c r="Z103" s="33">
        <v>58.802057999999995</v>
      </c>
      <c r="AA103" s="33">
        <v>58.802057999999995</v>
      </c>
      <c r="AB103" s="33">
        <v>58.802057999999995</v>
      </c>
      <c r="AC103" s="33">
        <v>58.802057999999995</v>
      </c>
      <c r="AD103" s="33">
        <v>58.802057999999995</v>
      </c>
      <c r="AE103" s="33">
        <v>58.802057999999995</v>
      </c>
      <c r="AF103" s="33">
        <v>0</v>
      </c>
      <c r="AG103" s="33">
        <v>0</v>
      </c>
      <c r="AH103" s="33">
        <v>0</v>
      </c>
      <c r="AI103" s="33">
        <v>0</v>
      </c>
      <c r="AJ103" s="33">
        <v>0</v>
      </c>
      <c r="AK103" s="33">
        <v>0</v>
      </c>
      <c r="AL103" s="33">
        <v>0</v>
      </c>
      <c r="AM103" s="33">
        <v>0</v>
      </c>
      <c r="AN103" s="33">
        <v>0</v>
      </c>
      <c r="AO103" s="33">
        <v>0</v>
      </c>
      <c r="AP103" s="33" t="s">
        <v>7</v>
      </c>
      <c r="AQ103" s="33" t="s">
        <v>7</v>
      </c>
      <c r="AR103" s="33" t="s">
        <v>7</v>
      </c>
    </row>
    <row r="104" spans="1:45">
      <c r="A104" s="31" t="s">
        <v>0</v>
      </c>
      <c r="B104" s="31" t="s">
        <v>1</v>
      </c>
      <c r="C104" s="31" t="s">
        <v>12</v>
      </c>
      <c r="D104" s="31" t="s">
        <v>3</v>
      </c>
      <c r="E104" s="31" t="s">
        <v>4</v>
      </c>
      <c r="F104" s="31" t="s">
        <v>5</v>
      </c>
      <c r="G104" s="31">
        <v>2012</v>
      </c>
      <c r="H104" s="31" t="s">
        <v>13</v>
      </c>
      <c r="I104" s="33" t="s">
        <v>96</v>
      </c>
      <c r="J104" s="34"/>
      <c r="K104" s="34"/>
      <c r="L104" s="34"/>
      <c r="M104" s="34"/>
      <c r="N104" s="34"/>
      <c r="O104" s="33">
        <v>0</v>
      </c>
      <c r="P104" s="33">
        <v>23.308799162745999</v>
      </c>
      <c r="Q104" s="33">
        <v>23.308799162745999</v>
      </c>
      <c r="R104" s="33">
        <v>23.308799162745999</v>
      </c>
      <c r="S104" s="33">
        <v>23.308799162745999</v>
      </c>
      <c r="T104" s="33">
        <v>23.308799162745999</v>
      </c>
      <c r="U104" s="33">
        <v>23.308799162745999</v>
      </c>
      <c r="V104" s="33">
        <v>23.308799162745999</v>
      </c>
      <c r="W104" s="33">
        <v>23.308799162745999</v>
      </c>
      <c r="X104" s="33">
        <v>23.308799162745999</v>
      </c>
      <c r="Y104" s="33">
        <v>23.308799162745999</v>
      </c>
      <c r="Z104" s="33">
        <v>23.308799162745999</v>
      </c>
      <c r="AA104" s="33">
        <v>23.308799162745999</v>
      </c>
      <c r="AB104" s="33">
        <v>23.308799162745999</v>
      </c>
      <c r="AC104" s="33">
        <v>23.308799162745999</v>
      </c>
      <c r="AD104" s="33">
        <v>23.308799162745999</v>
      </c>
      <c r="AE104" s="33">
        <v>16.667086755421003</v>
      </c>
      <c r="AF104" s="33">
        <v>0</v>
      </c>
      <c r="AG104" s="33">
        <v>0</v>
      </c>
      <c r="AH104" s="33">
        <v>0</v>
      </c>
      <c r="AI104" s="33">
        <v>0</v>
      </c>
      <c r="AJ104" s="33">
        <v>0</v>
      </c>
      <c r="AK104" s="33">
        <v>0</v>
      </c>
      <c r="AL104" s="33">
        <v>0</v>
      </c>
      <c r="AM104" s="33">
        <v>0</v>
      </c>
      <c r="AN104" s="33">
        <v>0</v>
      </c>
      <c r="AO104" s="33">
        <v>0</v>
      </c>
      <c r="AP104" s="33" t="s">
        <v>7</v>
      </c>
      <c r="AQ104" s="33" t="s">
        <v>7</v>
      </c>
      <c r="AR104" s="33" t="s">
        <v>7</v>
      </c>
    </row>
    <row r="105" spans="1:45">
      <c r="A105" s="31" t="s">
        <v>0</v>
      </c>
      <c r="B105" s="31" t="s">
        <v>1</v>
      </c>
      <c r="C105" s="31" t="s">
        <v>12</v>
      </c>
      <c r="D105" s="31" t="s">
        <v>3</v>
      </c>
      <c r="E105" s="31" t="s">
        <v>4</v>
      </c>
      <c r="F105" s="31" t="s">
        <v>5</v>
      </c>
      <c r="G105" s="31">
        <v>2013</v>
      </c>
      <c r="H105" s="31" t="s">
        <v>13</v>
      </c>
      <c r="I105" s="33" t="s">
        <v>101</v>
      </c>
      <c r="J105" s="34"/>
      <c r="K105" s="34"/>
      <c r="L105" s="34"/>
      <c r="M105" s="34"/>
      <c r="N105" s="34"/>
      <c r="O105" s="33">
        <v>0</v>
      </c>
      <c r="P105" s="33">
        <v>0</v>
      </c>
      <c r="Q105" s="33">
        <v>5089.5962697838795</v>
      </c>
      <c r="R105" s="33">
        <v>5089.5962697838795</v>
      </c>
      <c r="S105" s="33">
        <v>5089.5962697838795</v>
      </c>
      <c r="T105" s="33">
        <v>4813.2624402286901</v>
      </c>
      <c r="U105" s="33">
        <v>4772.3693252412395</v>
      </c>
      <c r="V105" s="33">
        <v>4761.5441525611195</v>
      </c>
      <c r="W105" s="33">
        <v>4761.5441525611195</v>
      </c>
      <c r="X105" s="33">
        <v>4601.4212858973397</v>
      </c>
      <c r="Y105" s="33">
        <v>4511.6581197145997</v>
      </c>
      <c r="Z105" s="33">
        <v>4443.8364820332799</v>
      </c>
      <c r="AA105" s="33">
        <v>2844.4306194780702</v>
      </c>
      <c r="AB105" s="33">
        <v>1516.77778440969</v>
      </c>
      <c r="AC105" s="33">
        <v>1297.57617174352</v>
      </c>
      <c r="AD105" s="33">
        <v>1297.57617174352</v>
      </c>
      <c r="AE105" s="33">
        <v>1297.57617174352</v>
      </c>
      <c r="AF105" s="33">
        <v>1056.9783464164</v>
      </c>
      <c r="AG105" s="33">
        <v>66.769627944270994</v>
      </c>
      <c r="AH105" s="33">
        <v>66.306895921514993</v>
      </c>
      <c r="AI105" s="33">
        <v>66.306895921514993</v>
      </c>
      <c r="AJ105" s="33">
        <v>66.306895921514993</v>
      </c>
      <c r="AK105" s="33">
        <v>0</v>
      </c>
      <c r="AL105" s="33">
        <v>0</v>
      </c>
      <c r="AM105" s="33">
        <v>0</v>
      </c>
      <c r="AN105" s="33">
        <v>0</v>
      </c>
      <c r="AO105" s="33">
        <v>0</v>
      </c>
      <c r="AP105" s="33">
        <v>0</v>
      </c>
      <c r="AQ105" s="33">
        <v>0</v>
      </c>
      <c r="AR105" s="33">
        <v>0</v>
      </c>
    </row>
    <row r="106" spans="1:45">
      <c r="A106" s="31" t="s">
        <v>0</v>
      </c>
      <c r="B106" s="31" t="s">
        <v>1</v>
      </c>
      <c r="C106" s="31" t="s">
        <v>14</v>
      </c>
      <c r="D106" s="31" t="s">
        <v>3</v>
      </c>
      <c r="E106" s="31" t="s">
        <v>4</v>
      </c>
      <c r="F106" s="31" t="s">
        <v>5</v>
      </c>
      <c r="G106" s="31">
        <v>2012</v>
      </c>
      <c r="H106" s="31" t="s">
        <v>13</v>
      </c>
      <c r="I106" s="33" t="s">
        <v>95</v>
      </c>
      <c r="J106" s="34"/>
      <c r="K106" s="34"/>
      <c r="L106" s="34"/>
      <c r="M106" s="34"/>
      <c r="N106" s="34"/>
      <c r="O106" s="33" t="s">
        <v>7</v>
      </c>
      <c r="P106" s="33">
        <v>65.451467311612006</v>
      </c>
      <c r="Q106" s="33">
        <v>65.451467311612006</v>
      </c>
      <c r="R106" s="33">
        <v>65.451467311612006</v>
      </c>
      <c r="S106" s="33">
        <v>52.853312831827004</v>
      </c>
      <c r="T106" s="33">
        <v>52.853312831827004</v>
      </c>
      <c r="U106" s="33">
        <v>19.258700829643999</v>
      </c>
      <c r="V106" s="33">
        <v>19.258700829643999</v>
      </c>
      <c r="W106" s="33">
        <v>19.258700829643999</v>
      </c>
      <c r="X106" s="33">
        <v>19.258700829643999</v>
      </c>
      <c r="Y106" s="33">
        <v>19.258700829643999</v>
      </c>
      <c r="Z106" s="33">
        <v>12.567577379904</v>
      </c>
      <c r="AA106" s="33">
        <v>12.567577379904</v>
      </c>
      <c r="AB106" s="33">
        <v>0</v>
      </c>
      <c r="AC106" s="33">
        <v>0</v>
      </c>
      <c r="AD106" s="33">
        <v>0</v>
      </c>
      <c r="AE106" s="33">
        <v>0</v>
      </c>
      <c r="AF106" s="33">
        <v>0</v>
      </c>
      <c r="AG106" s="33">
        <v>0</v>
      </c>
      <c r="AH106" s="33">
        <v>0</v>
      </c>
      <c r="AI106" s="33">
        <v>0</v>
      </c>
      <c r="AJ106" s="33">
        <v>0</v>
      </c>
      <c r="AK106" s="33">
        <v>0</v>
      </c>
      <c r="AL106" s="33">
        <v>0</v>
      </c>
      <c r="AM106" s="33">
        <v>0</v>
      </c>
      <c r="AN106" s="33">
        <v>0</v>
      </c>
      <c r="AO106" s="33">
        <v>0</v>
      </c>
      <c r="AP106" s="33">
        <v>0</v>
      </c>
      <c r="AQ106" s="33">
        <v>0</v>
      </c>
      <c r="AR106" s="33">
        <v>0</v>
      </c>
    </row>
    <row r="107" spans="1:45">
      <c r="A107" s="31" t="s">
        <v>0</v>
      </c>
      <c r="B107" s="31" t="s">
        <v>1</v>
      </c>
      <c r="C107" s="31" t="s">
        <v>14</v>
      </c>
      <c r="D107" s="31" t="s">
        <v>3</v>
      </c>
      <c r="E107" s="31" t="s">
        <v>4</v>
      </c>
      <c r="F107" s="31" t="s">
        <v>5</v>
      </c>
      <c r="G107" s="31">
        <v>2013</v>
      </c>
      <c r="H107" s="31" t="s">
        <v>13</v>
      </c>
      <c r="I107" s="33" t="s">
        <v>102</v>
      </c>
      <c r="J107" s="34"/>
      <c r="K107" s="34"/>
      <c r="L107" s="34"/>
      <c r="M107" s="34"/>
      <c r="N107" s="34"/>
      <c r="O107" s="33" t="s">
        <v>7</v>
      </c>
      <c r="P107" s="33" t="s">
        <v>7</v>
      </c>
      <c r="Q107" s="33">
        <v>222.93187639852499</v>
      </c>
      <c r="R107" s="33">
        <v>222.93187639852499</v>
      </c>
      <c r="S107" s="33">
        <v>215.90294163568399</v>
      </c>
      <c r="T107" s="33">
        <v>171.45635630098403</v>
      </c>
      <c r="U107" s="33">
        <v>74.14139567185299</v>
      </c>
      <c r="V107" s="33">
        <v>74.14139567185299</v>
      </c>
      <c r="W107" s="33">
        <v>74.14139567185299</v>
      </c>
      <c r="X107" s="33">
        <v>74.14139567185299</v>
      </c>
      <c r="Y107" s="33">
        <v>74.14139567185299</v>
      </c>
      <c r="Z107" s="33">
        <v>74.14139567185299</v>
      </c>
      <c r="AA107" s="33">
        <v>60.017878307090001</v>
      </c>
      <c r="AB107" s="33">
        <v>53.241809320589006</v>
      </c>
      <c r="AC107" s="33">
        <v>0</v>
      </c>
      <c r="AD107" s="33">
        <v>0</v>
      </c>
      <c r="AE107" s="33">
        <v>0</v>
      </c>
      <c r="AF107" s="33">
        <v>0</v>
      </c>
      <c r="AG107" s="33">
        <v>0</v>
      </c>
      <c r="AH107" s="33">
        <v>0</v>
      </c>
      <c r="AI107" s="33">
        <v>0</v>
      </c>
      <c r="AJ107" s="33">
        <v>0</v>
      </c>
      <c r="AK107" s="33">
        <v>0</v>
      </c>
      <c r="AL107" s="33">
        <v>0</v>
      </c>
      <c r="AM107" s="33">
        <v>0</v>
      </c>
      <c r="AN107" s="33">
        <v>0</v>
      </c>
      <c r="AO107" s="33">
        <v>0</v>
      </c>
      <c r="AP107" s="33">
        <v>0</v>
      </c>
      <c r="AQ107" s="33">
        <v>0</v>
      </c>
      <c r="AR107" s="33">
        <v>0</v>
      </c>
    </row>
    <row r="108" spans="1:45">
      <c r="A108" s="31" t="s">
        <v>0</v>
      </c>
      <c r="B108" s="31" t="s">
        <v>15</v>
      </c>
      <c r="C108" s="31" t="s">
        <v>16</v>
      </c>
      <c r="D108" s="31" t="s">
        <v>3</v>
      </c>
      <c r="E108" s="31" t="s">
        <v>17</v>
      </c>
      <c r="F108" s="31" t="s">
        <v>5</v>
      </c>
      <c r="G108" s="31">
        <v>2013</v>
      </c>
      <c r="H108" s="31" t="s">
        <v>18</v>
      </c>
      <c r="I108" s="33" t="s">
        <v>17</v>
      </c>
      <c r="J108" s="34"/>
      <c r="K108" s="34"/>
      <c r="L108" s="34"/>
      <c r="M108" s="34"/>
      <c r="N108" s="34"/>
      <c r="O108" s="33">
        <v>0</v>
      </c>
      <c r="P108" s="33">
        <v>0</v>
      </c>
      <c r="Q108" s="33">
        <v>38.643947383874</v>
      </c>
      <c r="R108" s="33">
        <v>38.643947383874</v>
      </c>
      <c r="S108" s="33">
        <v>37.154768956587006</v>
      </c>
      <c r="T108" s="33">
        <v>31.477756601667</v>
      </c>
      <c r="U108" s="33">
        <v>31.477756601667</v>
      </c>
      <c r="V108" s="33">
        <v>31.477756601667</v>
      </c>
      <c r="W108" s="33">
        <v>31.477756601667</v>
      </c>
      <c r="X108" s="33">
        <v>31.451523195309001</v>
      </c>
      <c r="Y108" s="33">
        <v>22.870543798629001</v>
      </c>
      <c r="Z108" s="33">
        <v>22.870543798629001</v>
      </c>
      <c r="AA108" s="33">
        <v>20.794953332483001</v>
      </c>
      <c r="AB108" s="33">
        <v>20.498824050601002</v>
      </c>
      <c r="AC108" s="33">
        <v>20.498824050601002</v>
      </c>
      <c r="AD108" s="33">
        <v>20.414556491500001</v>
      </c>
      <c r="AE108" s="33">
        <v>20.414556491500001</v>
      </c>
      <c r="AF108" s="33">
        <v>20.397278755197998</v>
      </c>
      <c r="AG108" s="33">
        <v>19.766976581778</v>
      </c>
      <c r="AH108" s="33">
        <v>11.602776670879001</v>
      </c>
      <c r="AI108" s="33">
        <v>11.602776670879001</v>
      </c>
      <c r="AJ108" s="33">
        <v>11.602776670879001</v>
      </c>
      <c r="AK108" s="33">
        <v>0</v>
      </c>
      <c r="AL108" s="33">
        <v>0</v>
      </c>
      <c r="AM108" s="33">
        <v>0</v>
      </c>
      <c r="AN108" s="33">
        <v>0</v>
      </c>
      <c r="AO108" s="33">
        <v>0</v>
      </c>
      <c r="AP108" s="33">
        <v>0</v>
      </c>
      <c r="AQ108" s="33">
        <v>0</v>
      </c>
      <c r="AR108" s="33">
        <v>0</v>
      </c>
    </row>
    <row r="109" spans="1:45">
      <c r="A109" s="31" t="s">
        <v>0</v>
      </c>
      <c r="B109" s="31" t="s">
        <v>15</v>
      </c>
      <c r="C109" s="31" t="s">
        <v>19</v>
      </c>
      <c r="D109" s="31" t="s">
        <v>3</v>
      </c>
      <c r="E109" s="31" t="s">
        <v>17</v>
      </c>
      <c r="F109" s="31" t="s">
        <v>5</v>
      </c>
      <c r="G109" s="31">
        <v>2013</v>
      </c>
      <c r="H109" s="31" t="s">
        <v>20</v>
      </c>
      <c r="I109" s="33" t="s">
        <v>17</v>
      </c>
      <c r="J109" s="34"/>
      <c r="K109" s="34"/>
      <c r="L109" s="34"/>
      <c r="M109" s="34"/>
      <c r="N109" s="34"/>
      <c r="O109" s="33" t="s">
        <v>7</v>
      </c>
      <c r="P109" s="33" t="s">
        <v>7</v>
      </c>
      <c r="Q109" s="33">
        <v>2.5860791459999999</v>
      </c>
      <c r="R109" s="33">
        <v>2.5860791459999999</v>
      </c>
      <c r="S109" s="33">
        <v>2.5860791459999999</v>
      </c>
      <c r="T109" s="33">
        <v>2.5860791459999999</v>
      </c>
      <c r="U109" s="33">
        <v>0</v>
      </c>
      <c r="V109" s="33">
        <v>0</v>
      </c>
      <c r="W109" s="33">
        <v>0</v>
      </c>
      <c r="X109" s="33">
        <v>0</v>
      </c>
      <c r="Y109" s="33">
        <v>0</v>
      </c>
      <c r="Z109" s="33">
        <v>0</v>
      </c>
      <c r="AA109" s="33">
        <v>0</v>
      </c>
      <c r="AB109" s="33">
        <v>0</v>
      </c>
      <c r="AC109" s="33">
        <v>0</v>
      </c>
      <c r="AD109" s="33">
        <v>0</v>
      </c>
      <c r="AE109" s="33">
        <v>0</v>
      </c>
      <c r="AF109" s="33">
        <v>0</v>
      </c>
      <c r="AG109" s="33">
        <v>0</v>
      </c>
      <c r="AH109" s="33">
        <v>0</v>
      </c>
      <c r="AI109" s="33">
        <v>0</v>
      </c>
      <c r="AJ109" s="33">
        <v>0</v>
      </c>
      <c r="AK109" s="33">
        <v>0</v>
      </c>
      <c r="AL109" s="33">
        <v>0</v>
      </c>
      <c r="AM109" s="33">
        <v>0</v>
      </c>
      <c r="AN109" s="33">
        <v>0</v>
      </c>
      <c r="AO109" s="33">
        <v>0</v>
      </c>
      <c r="AP109" s="33">
        <v>0</v>
      </c>
      <c r="AQ109" s="33">
        <v>0</v>
      </c>
      <c r="AR109" s="33">
        <v>0</v>
      </c>
    </row>
    <row r="110" spans="1:45">
      <c r="A110" s="31" t="s">
        <v>0</v>
      </c>
      <c r="B110" s="31" t="s">
        <v>15</v>
      </c>
      <c r="C110" s="31" t="s">
        <v>21</v>
      </c>
      <c r="D110" s="31" t="s">
        <v>3</v>
      </c>
      <c r="E110" s="31" t="s">
        <v>17</v>
      </c>
      <c r="F110" s="31" t="s">
        <v>5</v>
      </c>
      <c r="G110" s="31">
        <v>2013</v>
      </c>
      <c r="H110" s="31" t="s">
        <v>20</v>
      </c>
      <c r="I110" s="33" t="s">
        <v>17</v>
      </c>
      <c r="J110" s="34"/>
      <c r="K110" s="34"/>
      <c r="L110" s="34"/>
      <c r="M110" s="34"/>
      <c r="N110" s="34"/>
      <c r="O110" s="33" t="s">
        <v>7</v>
      </c>
      <c r="P110" s="33" t="s">
        <v>7</v>
      </c>
      <c r="Q110" s="33">
        <v>19.102625289632005</v>
      </c>
      <c r="R110" s="33">
        <v>19.102625289632005</v>
      </c>
      <c r="S110" s="33">
        <v>19.102625289632005</v>
      </c>
      <c r="T110" s="33">
        <v>19.000080771299004</v>
      </c>
      <c r="U110" s="33">
        <v>13.213418502687</v>
      </c>
      <c r="V110" s="33">
        <v>0</v>
      </c>
      <c r="W110" s="33">
        <v>0</v>
      </c>
      <c r="X110" s="33">
        <v>0</v>
      </c>
      <c r="Y110" s="33">
        <v>0</v>
      </c>
      <c r="Z110" s="33">
        <v>0</v>
      </c>
      <c r="AA110" s="33">
        <v>0</v>
      </c>
      <c r="AB110" s="33">
        <v>0</v>
      </c>
      <c r="AC110" s="33">
        <v>0</v>
      </c>
      <c r="AD110" s="33">
        <v>0</v>
      </c>
      <c r="AE110" s="33">
        <v>0</v>
      </c>
      <c r="AF110" s="33">
        <v>0</v>
      </c>
      <c r="AG110" s="33">
        <v>0</v>
      </c>
      <c r="AH110" s="33">
        <v>0</v>
      </c>
      <c r="AI110" s="33">
        <v>0</v>
      </c>
      <c r="AJ110" s="33">
        <v>0</v>
      </c>
      <c r="AK110" s="33">
        <v>0</v>
      </c>
      <c r="AL110" s="33">
        <v>0</v>
      </c>
      <c r="AM110" s="33">
        <v>0</v>
      </c>
      <c r="AN110" s="33">
        <v>0</v>
      </c>
      <c r="AO110" s="33">
        <v>0</v>
      </c>
      <c r="AP110" s="33">
        <v>0</v>
      </c>
      <c r="AQ110" s="33">
        <v>0</v>
      </c>
      <c r="AR110" s="33">
        <v>0</v>
      </c>
    </row>
    <row r="111" spans="1:45">
      <c r="A111" s="31" t="s">
        <v>0</v>
      </c>
      <c r="B111" s="31" t="s">
        <v>15</v>
      </c>
      <c r="C111" s="31" t="s">
        <v>22</v>
      </c>
      <c r="D111" s="31" t="s">
        <v>3</v>
      </c>
      <c r="E111" s="31" t="s">
        <v>17</v>
      </c>
      <c r="F111" s="31" t="s">
        <v>5</v>
      </c>
      <c r="G111" s="31">
        <v>2013</v>
      </c>
      <c r="H111" s="31" t="s">
        <v>18</v>
      </c>
      <c r="I111" s="33" t="s">
        <v>17</v>
      </c>
      <c r="J111" s="34"/>
      <c r="K111" s="34"/>
      <c r="L111" s="34"/>
      <c r="M111" s="34"/>
      <c r="N111" s="34"/>
      <c r="O111" s="33">
        <v>0</v>
      </c>
      <c r="P111" s="33">
        <v>0</v>
      </c>
      <c r="Q111" s="33">
        <v>86.135658340274006</v>
      </c>
      <c r="R111" s="33">
        <v>86.135658340274006</v>
      </c>
      <c r="S111" s="33">
        <v>80.945777527922999</v>
      </c>
      <c r="T111" s="33">
        <v>63.234031666148006</v>
      </c>
      <c r="U111" s="33">
        <v>63.234031666148006</v>
      </c>
      <c r="V111" s="33">
        <v>63.234031666148006</v>
      </c>
      <c r="W111" s="33">
        <v>63.234031666148006</v>
      </c>
      <c r="X111" s="33">
        <v>63.159513584319996</v>
      </c>
      <c r="Y111" s="33">
        <v>53.113481410571005</v>
      </c>
      <c r="Z111" s="33">
        <v>53.113481410571005</v>
      </c>
      <c r="AA111" s="33">
        <v>46.217296963313999</v>
      </c>
      <c r="AB111" s="33">
        <v>29.71325522403</v>
      </c>
      <c r="AC111" s="33">
        <v>29.71325522403</v>
      </c>
      <c r="AD111" s="33">
        <v>28.145186154384998</v>
      </c>
      <c r="AE111" s="33">
        <v>28.145186154384998</v>
      </c>
      <c r="AF111" s="33">
        <v>27.943838416954002</v>
      </c>
      <c r="AG111" s="33">
        <v>24.120227751277998</v>
      </c>
      <c r="AH111" s="33">
        <v>14.158028969536002</v>
      </c>
      <c r="AI111" s="33">
        <v>14.158028969536002</v>
      </c>
      <c r="AJ111" s="33">
        <v>14.158028969536002</v>
      </c>
      <c r="AK111" s="33">
        <v>0</v>
      </c>
      <c r="AL111" s="33">
        <v>0</v>
      </c>
      <c r="AM111" s="33">
        <v>0</v>
      </c>
      <c r="AN111" s="33">
        <v>0</v>
      </c>
      <c r="AO111" s="33">
        <v>0</v>
      </c>
      <c r="AP111" s="33">
        <v>0</v>
      </c>
      <c r="AQ111" s="33">
        <v>0</v>
      </c>
      <c r="AR111" s="33">
        <v>0</v>
      </c>
    </row>
    <row r="112" spans="1:45">
      <c r="A112" s="31" t="s">
        <v>0</v>
      </c>
      <c r="B112" s="31" t="s">
        <v>15</v>
      </c>
      <c r="C112" s="31" t="s">
        <v>23</v>
      </c>
      <c r="D112" s="31" t="s">
        <v>3</v>
      </c>
      <c r="E112" s="31" t="s">
        <v>17</v>
      </c>
      <c r="F112" s="31" t="s">
        <v>5</v>
      </c>
      <c r="G112" s="31">
        <v>2013</v>
      </c>
      <c r="H112" s="31" t="s">
        <v>24</v>
      </c>
      <c r="I112" s="33" t="s">
        <v>17</v>
      </c>
      <c r="J112" s="34"/>
      <c r="K112" s="34"/>
      <c r="L112" s="34"/>
      <c r="M112" s="34"/>
      <c r="N112" s="34"/>
      <c r="O112" s="33">
        <v>0</v>
      </c>
      <c r="P112" s="33">
        <v>0</v>
      </c>
      <c r="Q112" s="33">
        <v>272.01625510406501</v>
      </c>
      <c r="R112" s="33">
        <v>266.48559613800001</v>
      </c>
      <c r="S112" s="33">
        <v>264.64041334152199</v>
      </c>
      <c r="T112" s="33">
        <v>242.70248827362101</v>
      </c>
      <c r="U112" s="33">
        <v>233.18164343261702</v>
      </c>
      <c r="V112" s="33">
        <v>224.39162893676797</v>
      </c>
      <c r="W112" s="33">
        <v>216.13360990905801</v>
      </c>
      <c r="X112" s="33">
        <v>214.81384707641598</v>
      </c>
      <c r="Y112" s="33">
        <v>122.841596008301</v>
      </c>
      <c r="Z112" s="33">
        <v>122.01765067291301</v>
      </c>
      <c r="AA112" s="33">
        <v>111.372562728882</v>
      </c>
      <c r="AB112" s="33">
        <v>110.6372212677</v>
      </c>
      <c r="AC112" s="33">
        <v>102.142280899048</v>
      </c>
      <c r="AD112" s="33">
        <v>102.142280899048</v>
      </c>
      <c r="AE112" s="33">
        <v>34.142126052856</v>
      </c>
      <c r="AF112" s="33">
        <v>23.529550903320001</v>
      </c>
      <c r="AG112" s="33">
        <v>23.529550903320001</v>
      </c>
      <c r="AH112" s="33">
        <v>23.529550903320001</v>
      </c>
      <c r="AI112" s="33">
        <v>23.529550903320001</v>
      </c>
      <c r="AJ112" s="33">
        <v>23.529550903320001</v>
      </c>
      <c r="AK112" s="33">
        <v>18.309921020508003</v>
      </c>
      <c r="AL112" s="33">
        <v>0</v>
      </c>
      <c r="AM112" s="33">
        <v>0</v>
      </c>
      <c r="AN112" s="33">
        <v>0</v>
      </c>
      <c r="AO112" s="33">
        <v>0</v>
      </c>
      <c r="AP112" s="33">
        <v>0</v>
      </c>
      <c r="AQ112" s="33">
        <v>0</v>
      </c>
      <c r="AR112" s="33">
        <v>0</v>
      </c>
    </row>
    <row r="113" spans="1:45">
      <c r="A113" s="31" t="s">
        <v>0</v>
      </c>
      <c r="B113" s="31" t="s">
        <v>15</v>
      </c>
      <c r="C113" s="31" t="s">
        <v>25</v>
      </c>
      <c r="D113" s="31" t="s">
        <v>3</v>
      </c>
      <c r="E113" s="31" t="s">
        <v>17</v>
      </c>
      <c r="F113" s="31" t="s">
        <v>5</v>
      </c>
      <c r="G113" s="31">
        <v>2012</v>
      </c>
      <c r="H113" s="31" t="s">
        <v>26</v>
      </c>
      <c r="I113" s="33" t="s">
        <v>17</v>
      </c>
      <c r="J113" s="34"/>
      <c r="K113" s="34"/>
      <c r="L113" s="34"/>
      <c r="M113" s="34"/>
      <c r="N113" s="34"/>
      <c r="O113" s="33" t="s">
        <v>7</v>
      </c>
      <c r="P113" s="33">
        <v>3.5737338950369999</v>
      </c>
      <c r="Q113" s="33">
        <v>3.5737338950369999</v>
      </c>
      <c r="R113" s="33">
        <v>3.5737338950369999</v>
      </c>
      <c r="S113" s="33">
        <v>3.5737338950369999</v>
      </c>
      <c r="T113" s="33">
        <v>3.5737338950369999</v>
      </c>
      <c r="U113" s="33">
        <v>3.5737338950369999</v>
      </c>
      <c r="V113" s="33">
        <v>3.5737338950369999</v>
      </c>
      <c r="W113" s="33">
        <v>3.5737338950369999</v>
      </c>
      <c r="X113" s="33">
        <v>3.5737338950369999</v>
      </c>
      <c r="Y113" s="33">
        <v>3.5737338950369999</v>
      </c>
      <c r="Z113" s="33">
        <v>3.5737338950369999</v>
      </c>
      <c r="AA113" s="33">
        <v>3.5737338950369999</v>
      </c>
      <c r="AB113" s="33">
        <v>3.5737338950369999</v>
      </c>
      <c r="AC113" s="33">
        <v>3.5737338950369999</v>
      </c>
      <c r="AD113" s="33">
        <v>3.5737338950369999</v>
      </c>
      <c r="AE113" s="33">
        <v>3.5737338950369999</v>
      </c>
      <c r="AF113" s="33">
        <v>3.5737338950369999</v>
      </c>
      <c r="AG113" s="33">
        <v>3.5737338950369999</v>
      </c>
      <c r="AH113" s="33">
        <v>3.3107602472719999</v>
      </c>
      <c r="AI113" s="33">
        <v>0</v>
      </c>
      <c r="AJ113" s="33">
        <v>0</v>
      </c>
      <c r="AK113" s="33">
        <v>0</v>
      </c>
      <c r="AL113" s="33">
        <v>0</v>
      </c>
      <c r="AM113" s="33">
        <v>0</v>
      </c>
      <c r="AN113" s="33">
        <v>0</v>
      </c>
      <c r="AO113" s="33" t="s">
        <v>7</v>
      </c>
      <c r="AP113" s="33">
        <v>0</v>
      </c>
      <c r="AQ113" s="33">
        <v>0</v>
      </c>
      <c r="AR113" s="33">
        <v>0</v>
      </c>
    </row>
    <row r="114" spans="1:45">
      <c r="A114" s="31" t="s">
        <v>0</v>
      </c>
      <c r="B114" s="31" t="s">
        <v>15</v>
      </c>
      <c r="C114" s="31" t="s">
        <v>25</v>
      </c>
      <c r="D114" s="31" t="s">
        <v>3</v>
      </c>
      <c r="E114" s="31" t="s">
        <v>17</v>
      </c>
      <c r="F114" s="31" t="s">
        <v>5</v>
      </c>
      <c r="G114" s="31">
        <v>2013</v>
      </c>
      <c r="H114" s="31" t="s">
        <v>26</v>
      </c>
      <c r="I114" s="33" t="s">
        <v>17</v>
      </c>
      <c r="J114" s="34"/>
      <c r="K114" s="34"/>
      <c r="L114" s="34"/>
      <c r="M114" s="34"/>
      <c r="N114" s="34"/>
      <c r="O114" s="33" t="s">
        <v>7</v>
      </c>
      <c r="P114" s="33" t="s">
        <v>7</v>
      </c>
      <c r="Q114" s="33">
        <v>69.935745293343999</v>
      </c>
      <c r="R114" s="33">
        <v>69.935745293343999</v>
      </c>
      <c r="S114" s="33">
        <v>69.935745293343999</v>
      </c>
      <c r="T114" s="33">
        <v>69.935745293343999</v>
      </c>
      <c r="U114" s="33">
        <v>69.935745293343999</v>
      </c>
      <c r="V114" s="33">
        <v>69.935745293343999</v>
      </c>
      <c r="W114" s="33">
        <v>69.935745293343999</v>
      </c>
      <c r="X114" s="33">
        <v>69.935745293343999</v>
      </c>
      <c r="Y114" s="33">
        <v>69.935745293343999</v>
      </c>
      <c r="Z114" s="33">
        <v>69.935745293343999</v>
      </c>
      <c r="AA114" s="33">
        <v>69.935745293343999</v>
      </c>
      <c r="AB114" s="33">
        <v>69.935745293343999</v>
      </c>
      <c r="AC114" s="33">
        <v>69.935745293343999</v>
      </c>
      <c r="AD114" s="33">
        <v>69.935745293343999</v>
      </c>
      <c r="AE114" s="33">
        <v>69.935745293343999</v>
      </c>
      <c r="AF114" s="33">
        <v>69.935745293343999</v>
      </c>
      <c r="AG114" s="33">
        <v>69.935745293343999</v>
      </c>
      <c r="AH114" s="33">
        <v>69.935745293343999</v>
      </c>
      <c r="AI114" s="33">
        <v>66.371801837909999</v>
      </c>
      <c r="AJ114" s="33">
        <v>0</v>
      </c>
      <c r="AK114" s="33">
        <v>0</v>
      </c>
      <c r="AL114" s="33">
        <v>0</v>
      </c>
      <c r="AM114" s="33">
        <v>0</v>
      </c>
      <c r="AN114" s="33">
        <v>0</v>
      </c>
      <c r="AO114" s="32">
        <v>0</v>
      </c>
      <c r="AP114" s="33">
        <v>0</v>
      </c>
      <c r="AQ114" s="33">
        <v>0</v>
      </c>
      <c r="AR114" s="33">
        <v>0</v>
      </c>
    </row>
    <row r="115" spans="1:45">
      <c r="A115" s="31" t="s">
        <v>0</v>
      </c>
      <c r="B115" s="31" t="s">
        <v>27</v>
      </c>
      <c r="C115" s="31" t="s">
        <v>8</v>
      </c>
      <c r="D115" s="31" t="s">
        <v>3</v>
      </c>
      <c r="E115" s="31" t="s">
        <v>27</v>
      </c>
      <c r="F115" s="31" t="s">
        <v>9</v>
      </c>
      <c r="G115" s="31">
        <v>2013</v>
      </c>
      <c r="H115" s="31" t="s">
        <v>10</v>
      </c>
      <c r="I115" s="33" t="s">
        <v>71</v>
      </c>
      <c r="J115" s="34"/>
      <c r="K115" s="34"/>
      <c r="L115" s="34"/>
      <c r="M115" s="34"/>
      <c r="N115" s="34"/>
      <c r="O115" s="33" t="s">
        <v>7</v>
      </c>
      <c r="P115" s="33" t="s">
        <v>7</v>
      </c>
      <c r="Q115" s="33">
        <v>7.4119459999999995</v>
      </c>
      <c r="R115" s="33" t="s">
        <v>7</v>
      </c>
      <c r="S115" s="33" t="s">
        <v>7</v>
      </c>
      <c r="T115" s="33" t="s">
        <v>7</v>
      </c>
      <c r="U115" s="33" t="s">
        <v>7</v>
      </c>
      <c r="V115" s="33" t="s">
        <v>7</v>
      </c>
      <c r="W115" s="33" t="s">
        <v>7</v>
      </c>
      <c r="X115" s="33" t="s">
        <v>7</v>
      </c>
      <c r="Y115" s="33" t="s">
        <v>7</v>
      </c>
      <c r="Z115" s="33" t="s">
        <v>7</v>
      </c>
      <c r="AA115" s="33" t="s">
        <v>7</v>
      </c>
      <c r="AB115" s="33" t="s">
        <v>7</v>
      </c>
      <c r="AC115" s="33" t="s">
        <v>7</v>
      </c>
      <c r="AD115" s="33" t="s">
        <v>7</v>
      </c>
      <c r="AE115" s="33" t="s">
        <v>7</v>
      </c>
      <c r="AF115" s="33" t="s">
        <v>7</v>
      </c>
      <c r="AG115" s="33" t="s">
        <v>7</v>
      </c>
      <c r="AH115" s="33" t="s">
        <v>7</v>
      </c>
      <c r="AI115" s="33" t="s">
        <v>7</v>
      </c>
      <c r="AJ115" s="33" t="s">
        <v>7</v>
      </c>
      <c r="AK115" s="33" t="s">
        <v>7</v>
      </c>
      <c r="AL115" s="33" t="s">
        <v>7</v>
      </c>
      <c r="AM115" s="33" t="s">
        <v>7</v>
      </c>
      <c r="AN115" s="33" t="s">
        <v>7</v>
      </c>
      <c r="AO115" s="32">
        <v>0</v>
      </c>
      <c r="AP115" s="33">
        <v>0</v>
      </c>
      <c r="AQ115" s="33">
        <v>0</v>
      </c>
      <c r="AR115" s="33">
        <v>0</v>
      </c>
    </row>
    <row r="116" spans="1:45">
      <c r="A116" s="29" t="s">
        <v>456</v>
      </c>
      <c r="B116" s="31" t="s">
        <v>1</v>
      </c>
      <c r="C116" s="31" t="s">
        <v>2</v>
      </c>
      <c r="D116" s="31" t="s">
        <v>3</v>
      </c>
      <c r="E116" s="29" t="s">
        <v>457</v>
      </c>
      <c r="G116" s="29">
        <v>2014</v>
      </c>
      <c r="I116" s="29" t="s">
        <v>104</v>
      </c>
      <c r="J116" s="30"/>
      <c r="K116" s="30"/>
      <c r="L116" s="30"/>
      <c r="M116" s="30"/>
      <c r="N116" s="30"/>
      <c r="O116" s="29">
        <f>SUMIF('2014 IESO persistence table'!$E:$E, "Audit Funding", '2014 IESO persistence table'!BS:BS)/1000</f>
        <v>2.4440812378097587</v>
      </c>
      <c r="P116" s="29">
        <f>SUMIF('2014 IESO persistence table'!$E:$E, "Audit Funding", '2014 IESO persistence table'!BT:BT)/1000</f>
        <v>6.7143800513280896</v>
      </c>
      <c r="Q116" s="29">
        <f>SUMIF('2014 IESO persistence table'!$E:$E, "Audit Funding", '2014 IESO persistence table'!BU:BU)/1000</f>
        <v>6.7143800513280896</v>
      </c>
      <c r="R116" s="29">
        <f>SUMIF('2014 IESO persistence table'!$E:$E, "Audit Funding", '2014 IESO persistence table'!BV:BV)/1000</f>
        <v>333.08223032911212</v>
      </c>
      <c r="S116" s="29">
        <f>SUMIF('2014 IESO persistence table'!$E:$E, "Audit Funding", '2014 IESO persistence table'!BW:BW)/1000</f>
        <v>330.6381490913023</v>
      </c>
      <c r="T116" s="29">
        <f>SUMIF('2014 IESO persistence table'!$E:$E, "Audit Funding", '2014 IESO persistence table'!BX:BX)/1000</f>
        <v>326.36785027778404</v>
      </c>
      <c r="U116" s="29">
        <f>SUMIF('2014 IESO persistence table'!$E:$E, "Audit Funding", '2014 IESO persistence table'!BY:BY)/1000</f>
        <v>326.36785027778404</v>
      </c>
      <c r="V116" s="29">
        <f>SUMIF('2014 IESO persistence table'!$E:$E, "Audit Funding", '2014 IESO persistence table'!BZ:BZ)/1000</f>
        <v>0</v>
      </c>
      <c r="W116" s="29">
        <f>SUMIF('2014 IESO persistence table'!$E:$E, "Audit Funding", '2014 IESO persistence table'!CA:CA)/1000</f>
        <v>0</v>
      </c>
      <c r="X116" s="29">
        <f>SUMIF('2014 IESO persistence table'!$E:$E, "Audit Funding", '2014 IESO persistence table'!CB:CB)/1000</f>
        <v>0</v>
      </c>
      <c r="Y116" s="29">
        <f>SUMIF('2014 IESO persistence table'!$E:$E, "Audit Funding", '2014 IESO persistence table'!CC:CC)/1000</f>
        <v>0</v>
      </c>
      <c r="Z116" s="29">
        <f>SUMIF('2014 IESO persistence table'!$E:$E, "Audit Funding", '2014 IESO persistence table'!CD:CD)/1000</f>
        <v>0</v>
      </c>
      <c r="AA116" s="29">
        <f>SUMIF('2014 IESO persistence table'!$E:$E, "Audit Funding", '2014 IESO persistence table'!CE:CE)/1000</f>
        <v>0</v>
      </c>
      <c r="AB116" s="29">
        <f>SUMIF('2014 IESO persistence table'!$E:$E, "Audit Funding", '2014 IESO persistence table'!CF:CF)/1000</f>
        <v>0</v>
      </c>
      <c r="AC116" s="29">
        <f>SUMIF('2014 IESO persistence table'!$E:$E, "Audit Funding", '2014 IESO persistence table'!CG:CG)/1000</f>
        <v>0</v>
      </c>
      <c r="AD116" s="29">
        <f>SUMIF('2014 IESO persistence table'!$E:$E, "Audit Funding", '2014 IESO persistence table'!CH:CH)/1000</f>
        <v>0</v>
      </c>
      <c r="AE116" s="29">
        <f>SUMIF('2014 IESO persistence table'!$E:$E, "Audit Funding", '2014 IESO persistence table'!CI:CI)/1000</f>
        <v>0</v>
      </c>
      <c r="AF116" s="29">
        <f>SUMIF('2014 IESO persistence table'!$E:$E, "Audit Funding", '2014 IESO persistence table'!CJ:CJ)/1000</f>
        <v>0</v>
      </c>
      <c r="AG116" s="29">
        <f>SUMIF('2014 IESO persistence table'!$E:$E, "Audit Funding", '2014 IESO persistence table'!CK:CK)/1000</f>
        <v>0</v>
      </c>
      <c r="AH116" s="29">
        <f>SUMIF('2014 IESO persistence table'!$E:$E, "Audit Funding", '2014 IESO persistence table'!CL:CL)/1000</f>
        <v>0</v>
      </c>
      <c r="AI116" s="29">
        <f>SUMIF('2014 IESO persistence table'!$E:$E, "Audit Funding", '2014 IESO persistence table'!CM:CM)/1000</f>
        <v>0</v>
      </c>
      <c r="AJ116" s="29">
        <f>SUMIF('2014 IESO persistence table'!$E:$E, "Audit Funding", '2014 IESO persistence table'!CN:CN)/1000</f>
        <v>0</v>
      </c>
      <c r="AK116" s="29">
        <f>SUMIF('2014 IESO persistence table'!$E:$E, "Audit Funding", '2014 IESO persistence table'!CO:CO)/1000</f>
        <v>0</v>
      </c>
      <c r="AL116" s="29">
        <f>SUMIF('2014 IESO persistence table'!$E:$E, "Audit Funding", '2014 IESO persistence table'!CP:CP)/1000</f>
        <v>0</v>
      </c>
      <c r="AM116" s="29">
        <f>SUMIF('2014 IESO persistence table'!$E:$E, "Audit Funding", '2014 IESO persistence table'!CQ:CQ)/1000</f>
        <v>0</v>
      </c>
      <c r="AN116" s="29">
        <f>SUMIF('2014 IESO persistence table'!$E:$E, "Audit Funding", '2014 IESO persistence table'!CR:CR)/1000</f>
        <v>0</v>
      </c>
      <c r="AO116" s="29" t="e">
        <f>SUMIF('2014 IESO persistence table'!$E:$E, "Audit Funding", '2014 IESO persistence table'!#REF!)/1000</f>
        <v>#REF!</v>
      </c>
      <c r="AP116" s="29" t="e">
        <f>SUMIF('2014 IESO persistence table'!$E:$E, "Audit Funding", '2014 IESO persistence table'!#REF!)/1000</f>
        <v>#REF!</v>
      </c>
      <c r="AQ116" s="29" t="e">
        <f>SUMIF('2014 IESO persistence table'!$E:$E, "Audit Funding", '2014 IESO persistence table'!#REF!)/1000</f>
        <v>#REF!</v>
      </c>
      <c r="AR116" s="29" t="e">
        <f>SUMIF('2014 IESO persistence table'!$E:$E, "Audit Funding", '2014 IESO persistence table'!#REF!)/1000</f>
        <v>#REF!</v>
      </c>
    </row>
    <row r="117" spans="1:45">
      <c r="A117" s="29" t="s">
        <v>456</v>
      </c>
      <c r="B117" s="31" t="s">
        <v>1</v>
      </c>
      <c r="C117" s="31" t="s">
        <v>11</v>
      </c>
      <c r="D117" s="31" t="s">
        <v>3</v>
      </c>
      <c r="E117" s="29" t="s">
        <v>457</v>
      </c>
      <c r="G117" s="29">
        <v>2014</v>
      </c>
      <c r="I117" s="29" t="s">
        <v>105</v>
      </c>
      <c r="J117" s="30"/>
      <c r="K117" s="30"/>
      <c r="L117" s="30"/>
      <c r="M117" s="30"/>
      <c r="N117" s="30"/>
      <c r="O117" s="29">
        <f>SUMIF('2014 IESO persistence table'!$E:$E, "New Construction", '2014 IESO persistence table'!BS:BS)/1000</f>
        <v>0</v>
      </c>
      <c r="P117" s="29">
        <f>SUMIF('2014 IESO persistence table'!$E:$E, "New Construction", '2014 IESO persistence table'!BT:BT)/1000</f>
        <v>0</v>
      </c>
      <c r="Q117" s="29">
        <f>SUMIF('2014 IESO persistence table'!$E:$E, "New Construction", '2014 IESO persistence table'!BU:BU)/1000</f>
        <v>6.4406369454545507</v>
      </c>
      <c r="R117" s="29">
        <f>SUMIF('2014 IESO persistence table'!$E:$E, "New Construction", '2014 IESO persistence table'!BV:BV)/1000</f>
        <v>84.927365999999992</v>
      </c>
      <c r="S117" s="29">
        <f>SUMIF('2014 IESO persistence table'!$E:$E, "New Construction", '2014 IESO persistence table'!BW:BW)/1000</f>
        <v>84.927365999999992</v>
      </c>
      <c r="T117" s="29">
        <f>SUMIF('2014 IESO persistence table'!$E:$E, "New Construction", '2014 IESO persistence table'!BX:BX)/1000</f>
        <v>84.927365999999992</v>
      </c>
      <c r="U117" s="29">
        <f>SUMIF('2014 IESO persistence table'!$E:$E, "New Construction", '2014 IESO persistence table'!BY:BY)/1000</f>
        <v>84.927365999999992</v>
      </c>
      <c r="V117" s="29">
        <f>SUMIF('2014 IESO persistence table'!$E:$E, "New Construction", '2014 IESO persistence table'!BZ:BZ)/1000</f>
        <v>84.927365999999992</v>
      </c>
      <c r="W117" s="29">
        <f>SUMIF('2014 IESO persistence table'!$E:$E, "New Construction", '2014 IESO persistence table'!CA:CA)/1000</f>
        <v>84.927365999999992</v>
      </c>
      <c r="X117" s="29">
        <f>SUMIF('2014 IESO persistence table'!$E:$E, "New Construction", '2014 IESO persistence table'!CB:CB)/1000</f>
        <v>84.927365999999992</v>
      </c>
      <c r="Y117" s="29">
        <f>SUMIF('2014 IESO persistence table'!$E:$E, "New Construction", '2014 IESO persistence table'!CC:CC)/1000</f>
        <v>84.927365999999992</v>
      </c>
      <c r="Z117" s="29">
        <f>SUMIF('2014 IESO persistence table'!$E:$E, "New Construction", '2014 IESO persistence table'!CD:CD)/1000</f>
        <v>84.927365999999992</v>
      </c>
      <c r="AA117" s="29">
        <f>SUMIF('2014 IESO persistence table'!$E:$E, "New Construction", '2014 IESO persistence table'!CE:CE)/1000</f>
        <v>84.927365999999992</v>
      </c>
      <c r="AB117" s="29">
        <f>SUMIF('2014 IESO persistence table'!$E:$E, "New Construction", '2014 IESO persistence table'!CF:CF)/1000</f>
        <v>91.368002945454563</v>
      </c>
      <c r="AC117" s="29">
        <f>SUMIF('2014 IESO persistence table'!$E:$E, "New Construction", '2014 IESO persistence table'!CG:CG)/1000</f>
        <v>91.368002945454563</v>
      </c>
      <c r="AD117" s="29">
        <f>SUMIF('2014 IESO persistence table'!$E:$E, "New Construction", '2014 IESO persistence table'!CH:CH)/1000</f>
        <v>85.385882945454554</v>
      </c>
      <c r="AE117" s="29">
        <f>SUMIF('2014 IESO persistence table'!$E:$E, "New Construction", '2014 IESO persistence table'!CI:CI)/1000</f>
        <v>85.385882945454554</v>
      </c>
      <c r="AF117" s="29">
        <f>SUMIF('2014 IESO persistence table'!$E:$E, "New Construction", '2014 IESO persistence table'!CJ:CJ)/1000</f>
        <v>85.385882945454554</v>
      </c>
      <c r="AG117" s="29">
        <f>SUMIF('2014 IESO persistence table'!$E:$E, "New Construction", '2014 IESO persistence table'!CK:CK)/1000</f>
        <v>6.4406369454545507</v>
      </c>
      <c r="AH117" s="29">
        <f>SUMIF('2014 IESO persistence table'!$E:$E, "New Construction", '2014 IESO persistence table'!CL:CL)/1000</f>
        <v>6.4406369454545507</v>
      </c>
      <c r="AI117" s="29">
        <f>SUMIF('2014 IESO persistence table'!$E:$E, "New Construction", '2014 IESO persistence table'!CM:CM)/1000</f>
        <v>6.4406369454545507</v>
      </c>
      <c r="AJ117" s="29">
        <f>SUMIF('2014 IESO persistence table'!$E:$E, "New Construction", '2014 IESO persistence table'!CN:CN)/1000</f>
        <v>6.4406369454545507</v>
      </c>
      <c r="AK117" s="29">
        <f>SUMIF('2014 IESO persistence table'!$E:$E, "New Construction", '2014 IESO persistence table'!CO:CO)/1000</f>
        <v>6.4406369454545507</v>
      </c>
      <c r="AL117" s="29">
        <f>SUMIF('2014 IESO persistence table'!$E:$E, "New Construction", '2014 IESO persistence table'!CP:CP)/1000</f>
        <v>6.4406369454545507</v>
      </c>
      <c r="AM117" s="29">
        <f>SUMIF('2014 IESO persistence table'!$E:$E, "New Construction", '2014 IESO persistence table'!CQ:CQ)/1000</f>
        <v>6.4406369454545507</v>
      </c>
      <c r="AN117" s="29">
        <f>SUMIF('2014 IESO persistence table'!$E:$E, "New Construction", '2014 IESO persistence table'!CR:CR)/1000</f>
        <v>6.4406369454545507</v>
      </c>
      <c r="AO117" s="29" t="e">
        <f>SUMIF('2014 IESO persistence table'!$E:$E, "New Construction", '2014 IESO persistence table'!#REF!)/1000</f>
        <v>#REF!</v>
      </c>
      <c r="AP117" s="29" t="e">
        <f>SUMIF('2014 IESO persistence table'!$E:$E, "New Construction", '2014 IESO persistence table'!#REF!)/1000</f>
        <v>#REF!</v>
      </c>
      <c r="AQ117" s="29" t="e">
        <f>SUMIF('2014 IESO persistence table'!$E:$E, "New Construction", '2014 IESO persistence table'!#REF!)/1000</f>
        <v>#REF!</v>
      </c>
      <c r="AR117" s="29" t="e">
        <f>SUMIF('2014 IESO persistence table'!$E:$E, "New Construction", '2014 IESO persistence table'!#REF!)/1000</f>
        <v>#REF!</v>
      </c>
    </row>
    <row r="118" spans="1:45">
      <c r="A118" s="29" t="s">
        <v>456</v>
      </c>
      <c r="B118" s="31" t="s">
        <v>1</v>
      </c>
      <c r="C118" s="31" t="s">
        <v>12</v>
      </c>
      <c r="D118" s="31" t="s">
        <v>3</v>
      </c>
      <c r="E118" s="29" t="s">
        <v>457</v>
      </c>
      <c r="G118" s="29">
        <v>2014</v>
      </c>
      <c r="I118" s="29" t="s">
        <v>103</v>
      </c>
      <c r="J118" s="30"/>
      <c r="K118" s="30"/>
      <c r="L118" s="30"/>
      <c r="M118" s="30"/>
      <c r="N118" s="30"/>
      <c r="O118" s="29">
        <f>SUMIF('2014 IESO persistence table'!$E:$E, "Retrofit", '2014 IESO persistence table'!BS:BS)/1000</f>
        <v>0</v>
      </c>
      <c r="P118" s="29">
        <f>SUMIF('2014 IESO persistence table'!$E:$E, "Retrofit", '2014 IESO persistence table'!BT:BT)/1000</f>
        <v>0</v>
      </c>
      <c r="Q118" s="29">
        <f>SUMIF('2014 IESO persistence table'!$E:$E, "Retrofit", '2014 IESO persistence table'!BU:BU)/1000</f>
        <v>112.57062990494396</v>
      </c>
      <c r="R118" s="29">
        <f>SUMIF('2014 IESO persistence table'!$E:$E, "Retrofit", '2014 IESO persistence table'!BV:BV)/1000</f>
        <v>1946.8084576206322</v>
      </c>
      <c r="S118" s="29">
        <f>SUMIF('2014 IESO persistence table'!$E:$E, "Retrofit", '2014 IESO persistence table'!BW:BW)/1000</f>
        <v>1800.3787427811519</v>
      </c>
      <c r="T118" s="29">
        <f>SUMIF('2014 IESO persistence table'!$E:$E, "Retrofit", '2014 IESO persistence table'!BX:BX)/1000</f>
        <v>1800.3787427811519</v>
      </c>
      <c r="U118" s="29">
        <f>SUMIF('2014 IESO persistence table'!$E:$E, "Retrofit", '2014 IESO persistence table'!BY:BY)/1000</f>
        <v>1740.761982199391</v>
      </c>
      <c r="V118" s="29">
        <f>SUMIF('2014 IESO persistence table'!$E:$E, "Retrofit", '2014 IESO persistence table'!BZ:BZ)/1000</f>
        <v>1740.4971916925429</v>
      </c>
      <c r="W118" s="29">
        <f>SUMIF('2014 IESO persistence table'!$E:$E, "Retrofit", '2014 IESO persistence table'!CA:CA)/1000</f>
        <v>1740.4971916925429</v>
      </c>
      <c r="X118" s="29">
        <f>SUMIF('2014 IESO persistence table'!$E:$E, "Retrofit", '2014 IESO persistence table'!CB:CB)/1000</f>
        <v>1726.5012241468369</v>
      </c>
      <c r="Y118" s="29">
        <f>SUMIF('2014 IESO persistence table'!$E:$E, "Retrofit", '2014 IESO persistence table'!CC:CC)/1000</f>
        <v>1726.3306940421508</v>
      </c>
      <c r="Z118" s="29">
        <f>SUMIF('2014 IESO persistence table'!$E:$E, "Retrofit", '2014 IESO persistence table'!CD:CD)/1000</f>
        <v>1602.692750749987</v>
      </c>
      <c r="AA118" s="29">
        <f>SUMIF('2014 IESO persistence table'!$E:$E, "Retrofit", '2014 IESO persistence table'!CE:CE)/1000</f>
        <v>1506.0897549927029</v>
      </c>
      <c r="AB118" s="29">
        <f>SUMIF('2014 IESO persistence table'!$E:$E, "Retrofit", '2014 IESO persistence table'!CF:CF)/1000</f>
        <v>1320.3097660989765</v>
      </c>
      <c r="AC118" s="29">
        <f>SUMIF('2014 IESO persistence table'!$E:$E, "Retrofit", '2014 IESO persistence table'!CG:CG)/1000</f>
        <v>1202.7622838465547</v>
      </c>
      <c r="AD118" s="29">
        <f>SUMIF('2014 IESO persistence table'!$E:$E, "Retrofit", '2014 IESO persistence table'!CH:CH)/1000</f>
        <v>1015.5444606357355</v>
      </c>
      <c r="AE118" s="29">
        <f>SUMIF('2014 IESO persistence table'!$E:$E, "Retrofit", '2014 IESO persistence table'!CI:CI)/1000</f>
        <v>794.37102868485431</v>
      </c>
      <c r="AF118" s="29">
        <f>SUMIF('2014 IESO persistence table'!$E:$E, "Retrofit", '2014 IESO persistence table'!CJ:CJ)/1000</f>
        <v>777.40721409668208</v>
      </c>
      <c r="AG118" s="29">
        <f>SUMIF('2014 IESO persistence table'!$E:$E, "Retrofit", '2014 IESO persistence table'!CK:CK)/1000</f>
        <v>577.36879730903831</v>
      </c>
      <c r="AH118" s="29">
        <f>SUMIF('2014 IESO persistence table'!$E:$E, "Retrofit", '2014 IESO persistence table'!CL:CL)/1000</f>
        <v>154.54899037423419</v>
      </c>
      <c r="AI118" s="29">
        <f>SUMIF('2014 IESO persistence table'!$E:$E, "Retrofit", '2014 IESO persistence table'!CM:CM)/1000</f>
        <v>154.54899037423419</v>
      </c>
      <c r="AJ118" s="29">
        <f>SUMIF('2014 IESO persistence table'!$E:$E, "Retrofit", '2014 IESO persistence table'!CN:CN)/1000</f>
        <v>154.54899037423419</v>
      </c>
      <c r="AK118" s="29">
        <f>SUMIF('2014 IESO persistence table'!$E:$E, "Retrofit", '2014 IESO persistence table'!CO:CO)/1000</f>
        <v>138.98138210589519</v>
      </c>
      <c r="AL118" s="29">
        <f>SUMIF('2014 IESO persistence table'!$E:$E, "Retrofit", '2014 IESO persistence table'!CP:CP)/1000</f>
        <v>0</v>
      </c>
      <c r="AM118" s="29">
        <f>SUMIF('2014 IESO persistence table'!$E:$E, "Retrofit", '2014 IESO persistence table'!CQ:CQ)/1000</f>
        <v>0</v>
      </c>
      <c r="AN118" s="29">
        <f>SUMIF('2014 IESO persistence table'!$E:$E, "Retrofit", '2014 IESO persistence table'!CR:CR)/1000</f>
        <v>0</v>
      </c>
      <c r="AO118" s="29" t="e">
        <f>SUMIF('2014 IESO persistence table'!$E:$E, "Retrofit", '2014 IESO persistence table'!#REF!)/1000</f>
        <v>#REF!</v>
      </c>
      <c r="AP118" s="29" t="e">
        <f>SUMIF('2014 IESO persistence table'!$E:$E, "Retrofit", '2014 IESO persistence table'!#REF!)/1000</f>
        <v>#REF!</v>
      </c>
      <c r="AQ118" s="29" t="e">
        <f>SUMIF('2014 IESO persistence table'!$E:$E, "Retrofit", '2014 IESO persistence table'!#REF!)/1000</f>
        <v>#REF!</v>
      </c>
      <c r="AR118" s="29" t="e">
        <f>SUMIF('2014 IESO persistence table'!$E:$E, "Retrofit", '2014 IESO persistence table'!#REF!)/1000</f>
        <v>#REF!</v>
      </c>
    </row>
    <row r="119" spans="1:45">
      <c r="A119" s="29" t="s">
        <v>456</v>
      </c>
      <c r="B119" s="31" t="s">
        <v>1</v>
      </c>
      <c r="C119" s="31" t="s">
        <v>14</v>
      </c>
      <c r="D119" s="31" t="s">
        <v>3</v>
      </c>
      <c r="E119" s="29" t="s">
        <v>457</v>
      </c>
      <c r="G119" s="29">
        <v>2014</v>
      </c>
      <c r="I119" s="29" t="s">
        <v>106</v>
      </c>
      <c r="J119" s="30"/>
      <c r="K119" s="30"/>
      <c r="L119" s="30"/>
      <c r="M119" s="30"/>
      <c r="N119" s="30"/>
      <c r="O119" s="29">
        <f>SUMIF('2014 IESO persistence table'!$E:$E, "SBL", '2014 IESO persistence table'!BS:BS)/1000</f>
        <v>0</v>
      </c>
      <c r="P119" s="29">
        <f>SUMIF('2014 IESO persistence table'!$E:$E, "SBL", '2014 IESO persistence table'!BT:BT)/1000</f>
        <v>0</v>
      </c>
      <c r="Q119" s="29">
        <f>SUMIF('2014 IESO persistence table'!$E:$E, "SBL", '2014 IESO persistence table'!BU:BU)/1000</f>
        <v>0</v>
      </c>
      <c r="R119" s="29">
        <f>SUMIF('2014 IESO persistence table'!$E:$E, "SBL", '2014 IESO persistence table'!BV:BV)/1000</f>
        <v>338.65834623230353</v>
      </c>
      <c r="S119" s="29">
        <f>SUMIF('2014 IESO persistence table'!$E:$E, "SBL", '2014 IESO persistence table'!BW:BW)/1000</f>
        <v>325.08119123952611</v>
      </c>
      <c r="T119" s="29">
        <f>SUMIF('2014 IESO persistence table'!$E:$E, "SBL", '2014 IESO persistence table'!BX:BX)/1000</f>
        <v>289.5037201066724</v>
      </c>
      <c r="U119" s="29">
        <f>SUMIF('2014 IESO persistence table'!$E:$E, "SBL", '2014 IESO persistence table'!BY:BY)/1000</f>
        <v>147.17665924911427</v>
      </c>
      <c r="V119" s="29">
        <f>SUMIF('2014 IESO persistence table'!$E:$E, "SBL", '2014 IESO persistence table'!BZ:BZ)/1000</f>
        <v>147.17665924911427</v>
      </c>
      <c r="W119" s="29">
        <f>SUMIF('2014 IESO persistence table'!$E:$E, "SBL", '2014 IESO persistence table'!CA:CA)/1000</f>
        <v>147.17665924911427</v>
      </c>
      <c r="X119" s="29">
        <f>SUMIF('2014 IESO persistence table'!$E:$E, "SBL", '2014 IESO persistence table'!CB:CB)/1000</f>
        <v>147.17665924911427</v>
      </c>
      <c r="Y119" s="29">
        <f>SUMIF('2014 IESO persistence table'!$E:$E, "SBL", '2014 IESO persistence table'!CC:CC)/1000</f>
        <v>147.17665924911427</v>
      </c>
      <c r="Z119" s="29">
        <f>SUMIF('2014 IESO persistence table'!$E:$E, "SBL", '2014 IESO persistence table'!CD:CD)/1000</f>
        <v>147.17665924911427</v>
      </c>
      <c r="AA119" s="29">
        <f>SUMIF('2014 IESO persistence table'!$E:$E, "SBL", '2014 IESO persistence table'!CE:CE)/1000</f>
        <v>147.17665924911427</v>
      </c>
      <c r="AB119" s="29">
        <f>SUMIF('2014 IESO persistence table'!$E:$E, "SBL", '2014 IESO persistence table'!CF:CF)/1000</f>
        <v>132.60596040422755</v>
      </c>
      <c r="AC119" s="29">
        <f>SUMIF('2014 IESO persistence table'!$E:$E, "SBL", '2014 IESO persistence table'!CG:CG)/1000</f>
        <v>56.773177311061076</v>
      </c>
      <c r="AD119" s="29">
        <f>SUMIF('2014 IESO persistence table'!$E:$E, "SBL", '2014 IESO persistence table'!CH:CH)/1000</f>
        <v>0</v>
      </c>
      <c r="AE119" s="29">
        <f>SUMIF('2014 IESO persistence table'!$E:$E, "SBL", '2014 IESO persistence table'!CI:CI)/1000</f>
        <v>0</v>
      </c>
      <c r="AF119" s="29">
        <f>SUMIF('2014 IESO persistence table'!$E:$E, "SBL", '2014 IESO persistence table'!CJ:CJ)/1000</f>
        <v>0</v>
      </c>
      <c r="AG119" s="29">
        <f>SUMIF('2014 IESO persistence table'!$E:$E, "SBL", '2014 IESO persistence table'!CK:CK)/1000</f>
        <v>0</v>
      </c>
      <c r="AH119" s="29">
        <f>SUMIF('2014 IESO persistence table'!$E:$E, "SBL", '2014 IESO persistence table'!CL:CL)/1000</f>
        <v>0</v>
      </c>
      <c r="AI119" s="29">
        <f>SUMIF('2014 IESO persistence table'!$E:$E, "SBL", '2014 IESO persistence table'!CM:CM)/1000</f>
        <v>0</v>
      </c>
      <c r="AJ119" s="29">
        <f>SUMIF('2014 IESO persistence table'!$E:$E, "SBL", '2014 IESO persistence table'!CN:CN)/1000</f>
        <v>0</v>
      </c>
      <c r="AK119" s="29">
        <f>SUMIF('2014 IESO persistence table'!$E:$E, "SBL", '2014 IESO persistence table'!CO:CO)/1000</f>
        <v>0</v>
      </c>
      <c r="AL119" s="29">
        <f>SUMIF('2014 IESO persistence table'!$E:$E, "SBL", '2014 IESO persistence table'!CP:CP)/1000</f>
        <v>0</v>
      </c>
      <c r="AM119" s="29">
        <f>SUMIF('2014 IESO persistence table'!$E:$E, "SBL", '2014 IESO persistence table'!CQ:CQ)/1000</f>
        <v>0</v>
      </c>
      <c r="AN119" s="29">
        <f>SUMIF('2014 IESO persistence table'!$E:$E, "SBL", '2014 IESO persistence table'!CR:CR)/1000</f>
        <v>0</v>
      </c>
      <c r="AO119" s="29" t="e">
        <f>SUMIF('2014 IESO persistence table'!$E:$E, "SBL", '2014 IESO persistence table'!#REF!)/1000</f>
        <v>#REF!</v>
      </c>
      <c r="AP119" s="29" t="e">
        <f>SUMIF('2014 IESO persistence table'!$E:$E, "SBL", '2014 IESO persistence table'!#REF!)/1000</f>
        <v>#REF!</v>
      </c>
      <c r="AQ119" s="29" t="e">
        <f>SUMIF('2014 IESO persistence table'!$E:$E, "SBL", '2014 IESO persistence table'!#REF!)/1000</f>
        <v>#REF!</v>
      </c>
      <c r="AR119" s="29" t="e">
        <f>SUMIF('2014 IESO persistence table'!$E:$E, "SBL", '2014 IESO persistence table'!#REF!)/1000</f>
        <v>#REF!</v>
      </c>
    </row>
    <row r="120" spans="1:45">
      <c r="A120" s="29" t="s">
        <v>456</v>
      </c>
      <c r="B120" s="31" t="s">
        <v>15</v>
      </c>
      <c r="C120" s="31" t="s">
        <v>460</v>
      </c>
      <c r="D120" s="31" t="s">
        <v>3</v>
      </c>
      <c r="E120" s="29" t="s">
        <v>17</v>
      </c>
      <c r="G120" s="29">
        <v>2014</v>
      </c>
      <c r="I120" s="29" t="s">
        <v>17</v>
      </c>
      <c r="J120" s="30"/>
      <c r="K120" s="30"/>
      <c r="L120" s="30"/>
      <c r="M120" s="30"/>
      <c r="N120" s="30"/>
      <c r="O120" s="29">
        <f>SUMIF('2014 IESO persistence table'!$E:$E, "Conservation Instant Coupons Initiative", '2014 IESO persistence table'!BS:BS)/1000</f>
        <v>0</v>
      </c>
      <c r="P120" s="29">
        <f>SUMIF('2014 IESO persistence table'!$E:$E, "Conservation Instant Coupons Initiative", '2014 IESO persistence table'!BT:BT)/1000</f>
        <v>0</v>
      </c>
      <c r="Q120" s="29">
        <f>SUMIF('2014 IESO persistence table'!$E:$E, "Conservation Instant Coupons Initiative", '2014 IESO persistence table'!BU:BU)/1000</f>
        <v>0</v>
      </c>
      <c r="R120" s="29">
        <f>SUMIF('2014 IESO persistence table'!$E:$E, "Conservation Instant Coupons Initiative", '2014 IESO persistence table'!BV:BV)/1000</f>
        <v>43.508262866811577</v>
      </c>
      <c r="S120" s="29">
        <f>SUMIF('2014 IESO persistence table'!$E:$E, "Conservation Instant Coupons Initiative", '2014 IESO persistence table'!BW:BW)/1000</f>
        <v>36.9440141854259</v>
      </c>
      <c r="T120" s="29">
        <f>SUMIF('2014 IESO persistence table'!$E:$E, "Conservation Instant Coupons Initiative", '2014 IESO persistence table'!BX:BX)/1000</f>
        <v>30.379765504040215</v>
      </c>
      <c r="U120" s="29">
        <f>SUMIF('2014 IESO persistence table'!$E:$E, "Conservation Instant Coupons Initiative", '2014 IESO persistence table'!BY:BY)/1000</f>
        <v>30.379765504040215</v>
      </c>
      <c r="V120" s="29">
        <f>SUMIF('2014 IESO persistence table'!$E:$E, "Conservation Instant Coupons Initiative", '2014 IESO persistence table'!BZ:BZ)/1000</f>
        <v>30.379765504040215</v>
      </c>
      <c r="W120" s="29">
        <f>SUMIF('2014 IESO persistence table'!$E:$E, "Conservation Instant Coupons Initiative", '2014 IESO persistence table'!CA:CA)/1000</f>
        <v>30.379765504040215</v>
      </c>
      <c r="X120" s="29">
        <f>SUMIF('2014 IESO persistence table'!$E:$E, "Conservation Instant Coupons Initiative", '2014 IESO persistence table'!CB:CB)/1000</f>
        <v>30.379765504040215</v>
      </c>
      <c r="Y120" s="29">
        <f>SUMIF('2014 IESO persistence table'!$E:$E, "Conservation Instant Coupons Initiative", '2014 IESO persistence table'!CC:CC)/1000</f>
        <v>29.949666022929005</v>
      </c>
      <c r="Z120" s="29">
        <f>SUMIF('2014 IESO persistence table'!$E:$E, "Conservation Instant Coupons Initiative", '2014 IESO persistence table'!CD:CD)/1000</f>
        <v>29.949666022929005</v>
      </c>
      <c r="AA120" s="29">
        <f>SUMIF('2014 IESO persistence table'!$E:$E, "Conservation Instant Coupons Initiative", '2014 IESO persistence table'!CE:CE)/1000</f>
        <v>27.087869968172235</v>
      </c>
      <c r="AB120" s="29">
        <f>SUMIF('2014 IESO persistence table'!$E:$E, "Conservation Instant Coupons Initiative", '2014 IESO persistence table'!CF:CF)/1000</f>
        <v>25.733422450736779</v>
      </c>
      <c r="AC120" s="29">
        <f>SUMIF('2014 IESO persistence table'!$E:$E, "Conservation Instant Coupons Initiative", '2014 IESO persistence table'!CG:CG)/1000</f>
        <v>25.733422450736779</v>
      </c>
      <c r="AD120" s="29">
        <f>SUMIF('2014 IESO persistence table'!$E:$E, "Conservation Instant Coupons Initiative", '2014 IESO persistence table'!CH:CH)/1000</f>
        <v>25.733422450736779</v>
      </c>
      <c r="AE120" s="29">
        <f>SUMIF('2014 IESO persistence table'!$E:$E, "Conservation Instant Coupons Initiative", '2014 IESO persistence table'!CI:CI)/1000</f>
        <v>25.733422450736779</v>
      </c>
      <c r="AF120" s="29">
        <f>SUMIF('2014 IESO persistence table'!$E:$E, "Conservation Instant Coupons Initiative", '2014 IESO persistence table'!CJ:CJ)/1000</f>
        <v>25.733422450736779</v>
      </c>
      <c r="AG120" s="29">
        <f>SUMIF('2014 IESO persistence table'!$E:$E, "Conservation Instant Coupons Initiative", '2014 IESO persistence table'!CK:CK)/1000</f>
        <v>25.733422450736779</v>
      </c>
      <c r="AH120" s="29">
        <f>SUMIF('2014 IESO persistence table'!$E:$E, "Conservation Instant Coupons Initiative", '2014 IESO persistence table'!CL:CL)/1000</f>
        <v>0</v>
      </c>
      <c r="AI120" s="29">
        <f>SUMIF('2014 IESO persistence table'!$E:$E, "Conservation Instant Coupons Initiative", '2014 IESO persistence table'!CM:CM)/1000</f>
        <v>0</v>
      </c>
      <c r="AJ120" s="29">
        <f>SUMIF('2014 IESO persistence table'!$E:$E, "Conservation Instant Coupons Initiative", '2014 IESO persistence table'!CN:CN)/1000</f>
        <v>0</v>
      </c>
      <c r="AK120" s="29">
        <f>SUMIF('2014 IESO persistence table'!$E:$E, "Conservation Instant Coupons Initiative", '2014 IESO persistence table'!CO:CO)/1000</f>
        <v>0</v>
      </c>
      <c r="AL120" s="29">
        <f>SUMIF('2014 IESO persistence table'!$E:$E, "Conservation Instant Coupons Initiative", '2014 IESO persistence table'!CP:CP)/1000</f>
        <v>0</v>
      </c>
      <c r="AM120" s="29">
        <f>SUMIF('2014 IESO persistence table'!$E:$E, "Conservation Instant Coupons Initiative", '2014 IESO persistence table'!CQ:CQ)/1000</f>
        <v>0</v>
      </c>
      <c r="AN120" s="29">
        <f>SUMIF('2014 IESO persistence table'!$E:$E, "Conservation Instant Coupons Initiative", '2014 IESO persistence table'!CR:CR)/1000</f>
        <v>0</v>
      </c>
      <c r="AO120" s="29" t="e">
        <f>SUMIF('2014 IESO persistence table'!$E:$E, "Conservation Instant Coupons Initiative", '2014 IESO persistence table'!#REF!)/1000</f>
        <v>#REF!</v>
      </c>
      <c r="AP120" s="29" t="e">
        <f>SUMIF('2014 IESO persistence table'!$E:$E, "Conservation Instant Coupons Initiative", '2014 IESO persistence table'!#REF!)/1000</f>
        <v>#REF!</v>
      </c>
      <c r="AQ120" s="29" t="e">
        <f>SUMIF('2014 IESO persistence table'!$E:$E, "Conservation Instant Coupons Initiative", '2014 IESO persistence table'!#REF!)/1000</f>
        <v>#REF!</v>
      </c>
      <c r="AR120" s="29" t="e">
        <f>SUMIF('2014 IESO persistence table'!$E:$E, "Conservation Instant Coupons Initiative", '2014 IESO persistence table'!#REF!)/1000</f>
        <v>#REF!</v>
      </c>
    </row>
    <row r="121" spans="1:45">
      <c r="A121" s="29" t="s">
        <v>456</v>
      </c>
      <c r="B121" s="31" t="s">
        <v>15</v>
      </c>
      <c r="C121" s="31" t="s">
        <v>19</v>
      </c>
      <c r="D121" s="31" t="s">
        <v>3</v>
      </c>
      <c r="E121" s="29" t="s">
        <v>17</v>
      </c>
      <c r="G121" s="29">
        <v>2014</v>
      </c>
      <c r="I121" s="29" t="s">
        <v>17</v>
      </c>
      <c r="J121" s="30"/>
      <c r="K121" s="30"/>
      <c r="L121" s="30"/>
      <c r="M121" s="30"/>
      <c r="N121" s="30"/>
      <c r="O121" s="29">
        <f>SUMIF('2014 IESO persistence table'!$E:$E, "Appliance Exchange", '2014 IESO persistence table'!BS:BS)/1000</f>
        <v>0</v>
      </c>
      <c r="P121" s="29">
        <f>SUMIF('2014 IESO persistence table'!$E:$E, "Appliance Exchange", '2014 IESO persistence table'!BT:BT)/1000</f>
        <v>0</v>
      </c>
      <c r="Q121" s="29">
        <f>SUMIF('2014 IESO persistence table'!$E:$E, "Appliance Exchange", '2014 IESO persistence table'!BU:BU)/1000</f>
        <v>0</v>
      </c>
      <c r="R121" s="29">
        <f>SUMIF('2014 IESO persistence table'!$E:$E, "Appliance Exchange", '2014 IESO persistence table'!BV:BV)/1000</f>
        <v>15.147034996260425</v>
      </c>
      <c r="S121" s="29">
        <f>SUMIF('2014 IESO persistence table'!$E:$E, "Appliance Exchange", '2014 IESO persistence table'!BW:BW)/1000</f>
        <v>15.147034996260425</v>
      </c>
      <c r="T121" s="29">
        <f>SUMIF('2014 IESO persistence table'!$E:$E, "Appliance Exchange", '2014 IESO persistence table'!BX:BX)/1000</f>
        <v>15.147034996260425</v>
      </c>
      <c r="U121" s="29">
        <f>SUMIF('2014 IESO persistence table'!$E:$E, "Appliance Exchange", '2014 IESO persistence table'!BY:BY)/1000</f>
        <v>15.147034996260425</v>
      </c>
      <c r="V121" s="29">
        <f>SUMIF('2014 IESO persistence table'!$E:$E, "Appliance Exchange", '2014 IESO persistence table'!BZ:BZ)/1000</f>
        <v>0</v>
      </c>
      <c r="W121" s="29">
        <f>SUMIF('2014 IESO persistence table'!$E:$E, "Appliance Exchange", '2014 IESO persistence table'!CA:CA)/1000</f>
        <v>0</v>
      </c>
      <c r="X121" s="29">
        <f>SUMIF('2014 IESO persistence table'!$E:$E, "Appliance Exchange", '2014 IESO persistence table'!CB:CB)/1000</f>
        <v>0</v>
      </c>
      <c r="Y121" s="29">
        <f>SUMIF('2014 IESO persistence table'!$E:$E, "Appliance Exchange", '2014 IESO persistence table'!CC:CC)/1000</f>
        <v>0</v>
      </c>
      <c r="Z121" s="29">
        <f>SUMIF('2014 IESO persistence table'!$E:$E, "Appliance Exchange", '2014 IESO persistence table'!CD:CD)/1000</f>
        <v>0</v>
      </c>
      <c r="AA121" s="29">
        <f>SUMIF('2014 IESO persistence table'!$E:$E, "Appliance Exchange", '2014 IESO persistence table'!CE:CE)/1000</f>
        <v>0</v>
      </c>
      <c r="AB121" s="29">
        <f>SUMIF('2014 IESO persistence table'!$E:$E, "Appliance Exchange", '2014 IESO persistence table'!CF:CF)/1000</f>
        <v>0</v>
      </c>
      <c r="AC121" s="29">
        <f>SUMIF('2014 IESO persistence table'!$E:$E, "Appliance Exchange", '2014 IESO persistence table'!CG:CG)/1000</f>
        <v>0</v>
      </c>
      <c r="AD121" s="29">
        <f>SUMIF('2014 IESO persistence table'!$E:$E, "Appliance Exchange", '2014 IESO persistence table'!CH:CH)/1000</f>
        <v>0</v>
      </c>
      <c r="AE121" s="29">
        <f>SUMIF('2014 IESO persistence table'!$E:$E, "Appliance Exchange", '2014 IESO persistence table'!CI:CI)/1000</f>
        <v>0</v>
      </c>
      <c r="AF121" s="29">
        <f>SUMIF('2014 IESO persistence table'!$E:$E, "Appliance Exchange", '2014 IESO persistence table'!CJ:CJ)/1000</f>
        <v>0</v>
      </c>
      <c r="AG121" s="29">
        <f>SUMIF('2014 IESO persistence table'!$E:$E, "Appliance Exchange", '2014 IESO persistence table'!CK:CK)/1000</f>
        <v>0</v>
      </c>
      <c r="AH121" s="29">
        <f>SUMIF('2014 IESO persistence table'!$E:$E, "Appliance Exchange", '2014 IESO persistence table'!CL:CL)/1000</f>
        <v>0</v>
      </c>
      <c r="AI121" s="29">
        <f>SUMIF('2014 IESO persistence table'!$E:$E, "Appliance Exchange", '2014 IESO persistence table'!CM:CM)/1000</f>
        <v>0</v>
      </c>
      <c r="AJ121" s="29">
        <f>SUMIF('2014 IESO persistence table'!$E:$E, "Appliance Exchange", '2014 IESO persistence table'!CN:CN)/1000</f>
        <v>0</v>
      </c>
      <c r="AK121" s="29">
        <f>SUMIF('2014 IESO persistence table'!$E:$E, "Appliance Exchange", '2014 IESO persistence table'!CO:CO)/1000</f>
        <v>0</v>
      </c>
      <c r="AL121" s="29">
        <f>SUMIF('2014 IESO persistence table'!$E:$E, "Appliance Exchange", '2014 IESO persistence table'!CP:CP)/1000</f>
        <v>0</v>
      </c>
      <c r="AM121" s="29">
        <f>SUMIF('2014 IESO persistence table'!$E:$E, "Appliance Exchange", '2014 IESO persistence table'!CQ:CQ)/1000</f>
        <v>0</v>
      </c>
      <c r="AN121" s="29">
        <f>SUMIF('2014 IESO persistence table'!$E:$E, "Appliance Exchange", '2014 IESO persistence table'!CR:CR)/1000</f>
        <v>0</v>
      </c>
      <c r="AO121" s="29" t="e">
        <f>SUMIF('2014 IESO persistence table'!$E:$E, "Appliance Exchange", '2014 IESO persistence table'!#REF!)/1000</f>
        <v>#REF!</v>
      </c>
      <c r="AP121" s="29" t="e">
        <f>SUMIF('2014 IESO persistence table'!$E:$E, "Appliance Exchange", '2014 IESO persistence table'!#REF!)/1000</f>
        <v>#REF!</v>
      </c>
      <c r="AQ121" s="29" t="e">
        <f>SUMIF('2014 IESO persistence table'!$E:$E, "Appliance Exchange", '2014 IESO persistence table'!#REF!)/1000</f>
        <v>#REF!</v>
      </c>
      <c r="AR121" s="29" t="e">
        <f>SUMIF('2014 IESO persistence table'!$E:$E, "Appliance Exchange", '2014 IESO persistence table'!#REF!)/1000</f>
        <v>#REF!</v>
      </c>
    </row>
    <row r="122" spans="1:45">
      <c r="A122" s="29" t="s">
        <v>456</v>
      </c>
      <c r="B122" s="31" t="s">
        <v>15</v>
      </c>
      <c r="C122" s="31" t="s">
        <v>21</v>
      </c>
      <c r="D122" s="31" t="s">
        <v>3</v>
      </c>
      <c r="E122" s="29" t="s">
        <v>17</v>
      </c>
      <c r="G122" s="29">
        <v>2014</v>
      </c>
      <c r="I122" s="29" t="s">
        <v>17</v>
      </c>
      <c r="J122" s="30"/>
      <c r="K122" s="30"/>
      <c r="L122" s="30"/>
      <c r="M122" s="30"/>
      <c r="N122" s="30"/>
      <c r="O122" s="29">
        <f>SUMIF('2014 IESO persistence table'!$E:$E, "Appliance Retirement", '2014 IESO persistence table'!BS:BS)/1000</f>
        <v>0</v>
      </c>
      <c r="P122" s="29">
        <f>SUMIF('2014 IESO persistence table'!$E:$E, "Appliance Retirement", '2014 IESO persistence table'!BT:BT)/1000</f>
        <v>0</v>
      </c>
      <c r="Q122" s="29">
        <f>SUMIF('2014 IESO persistence table'!$E:$E, "Appliance Retirement", '2014 IESO persistence table'!BU:BU)/1000</f>
        <v>0</v>
      </c>
      <c r="R122" s="29">
        <f>SUMIF('2014 IESO persistence table'!$E:$E, "Appliance Retirement", '2014 IESO persistence table'!BV:BV)/1000</f>
        <v>22.986209548705268</v>
      </c>
      <c r="S122" s="29">
        <f>SUMIF('2014 IESO persistence table'!$E:$E, "Appliance Retirement", '2014 IESO persistence table'!BW:BW)/1000</f>
        <v>22.986209548705268</v>
      </c>
      <c r="T122" s="29">
        <f>SUMIF('2014 IESO persistence table'!$E:$E, "Appliance Retirement", '2014 IESO persistence table'!BX:BX)/1000</f>
        <v>22.986209548705268</v>
      </c>
      <c r="U122" s="29">
        <f>SUMIF('2014 IESO persistence table'!$E:$E, "Appliance Retirement", '2014 IESO persistence table'!BY:BY)/1000</f>
        <v>22.464169315666918</v>
      </c>
      <c r="V122" s="29">
        <f>SUMIF('2014 IESO persistence table'!$E:$E, "Appliance Retirement", '2014 IESO persistence table'!BZ:BZ)/1000</f>
        <v>10.613337171072953</v>
      </c>
      <c r="W122" s="29">
        <f>SUMIF('2014 IESO persistence table'!$E:$E, "Appliance Retirement", '2014 IESO persistence table'!CA:CA)/1000</f>
        <v>0</v>
      </c>
      <c r="X122" s="29">
        <f>SUMIF('2014 IESO persistence table'!$E:$E, "Appliance Retirement", '2014 IESO persistence table'!CB:CB)/1000</f>
        <v>0</v>
      </c>
      <c r="Y122" s="29">
        <f>SUMIF('2014 IESO persistence table'!$E:$E, "Appliance Retirement", '2014 IESO persistence table'!CC:CC)/1000</f>
        <v>0</v>
      </c>
      <c r="Z122" s="29">
        <f>SUMIF('2014 IESO persistence table'!$E:$E, "Appliance Retirement", '2014 IESO persistence table'!CD:CD)/1000</f>
        <v>0</v>
      </c>
      <c r="AA122" s="29">
        <f>SUMIF('2014 IESO persistence table'!$E:$E, "Appliance Retirement", '2014 IESO persistence table'!CE:CE)/1000</f>
        <v>0</v>
      </c>
      <c r="AB122" s="29">
        <f>SUMIF('2014 IESO persistence table'!$E:$E, "Appliance Retirement", '2014 IESO persistence table'!CF:CF)/1000</f>
        <v>0</v>
      </c>
      <c r="AC122" s="29">
        <f>SUMIF('2014 IESO persistence table'!$E:$E, "Appliance Retirement", '2014 IESO persistence table'!CG:CG)/1000</f>
        <v>0</v>
      </c>
      <c r="AD122" s="29">
        <f>SUMIF('2014 IESO persistence table'!$E:$E, "Appliance Retirement", '2014 IESO persistence table'!CH:CH)/1000</f>
        <v>0</v>
      </c>
      <c r="AE122" s="29">
        <f>SUMIF('2014 IESO persistence table'!$E:$E, "Appliance Retirement", '2014 IESO persistence table'!CI:CI)/1000</f>
        <v>0</v>
      </c>
      <c r="AF122" s="29">
        <f>SUMIF('2014 IESO persistence table'!$E:$E, "Appliance Retirement", '2014 IESO persistence table'!CJ:CJ)/1000</f>
        <v>0</v>
      </c>
      <c r="AG122" s="29">
        <f>SUMIF('2014 IESO persistence table'!$E:$E, "Appliance Retirement", '2014 IESO persistence table'!CK:CK)/1000</f>
        <v>0</v>
      </c>
      <c r="AH122" s="29">
        <f>SUMIF('2014 IESO persistence table'!$E:$E, "Appliance Retirement", '2014 IESO persistence table'!CL:CL)/1000</f>
        <v>0</v>
      </c>
      <c r="AI122" s="29">
        <f>SUMIF('2014 IESO persistence table'!$E:$E, "Appliance Retirement", '2014 IESO persistence table'!CM:CM)/1000</f>
        <v>0</v>
      </c>
      <c r="AJ122" s="29">
        <f>SUMIF('2014 IESO persistence table'!$E:$E, "Appliance Retirement", '2014 IESO persistence table'!CN:CN)/1000</f>
        <v>0</v>
      </c>
      <c r="AK122" s="29">
        <f>SUMIF('2014 IESO persistence table'!$E:$E, "Appliance Retirement", '2014 IESO persistence table'!CO:CO)/1000</f>
        <v>0</v>
      </c>
      <c r="AL122" s="29">
        <f>SUMIF('2014 IESO persistence table'!$E:$E, "Appliance Retirement", '2014 IESO persistence table'!CP:CP)/1000</f>
        <v>0</v>
      </c>
      <c r="AM122" s="29">
        <f>SUMIF('2014 IESO persistence table'!$E:$E, "Appliance Retirement", '2014 IESO persistence table'!CQ:CQ)/1000</f>
        <v>0</v>
      </c>
      <c r="AN122" s="29">
        <f>SUMIF('2014 IESO persistence table'!$E:$E, "Appliance Retirement", '2014 IESO persistence table'!CR:CR)/1000</f>
        <v>0</v>
      </c>
      <c r="AO122" s="29" t="e">
        <f>SUMIF('2014 IESO persistence table'!$E:$E, "Appliance Retirement", '2014 IESO persistence table'!#REF!)/1000</f>
        <v>#REF!</v>
      </c>
      <c r="AP122" s="29" t="e">
        <f>SUMIF('2014 IESO persistence table'!$E:$E, "Appliance Retirement", '2014 IESO persistence table'!#REF!)/1000</f>
        <v>#REF!</v>
      </c>
      <c r="AQ122" s="29" t="e">
        <f>SUMIF('2014 IESO persistence table'!$E:$E, "Appliance Retirement", '2014 IESO persistence table'!#REF!)/1000</f>
        <v>#REF!</v>
      </c>
      <c r="AR122" s="29" t="e">
        <f>SUMIF('2014 IESO persistence table'!$E:$E, "Appliance Retirement", '2014 IESO persistence table'!#REF!)/1000</f>
        <v>#REF!</v>
      </c>
    </row>
    <row r="123" spans="1:45" s="47" customFormat="1">
      <c r="A123" s="30" t="s">
        <v>456</v>
      </c>
      <c r="B123" s="809" t="s">
        <v>15</v>
      </c>
      <c r="C123" s="809" t="s">
        <v>22</v>
      </c>
      <c r="D123" s="809" t="s">
        <v>3</v>
      </c>
      <c r="E123" s="30" t="s">
        <v>17</v>
      </c>
      <c r="F123" s="30"/>
      <c r="G123" s="30">
        <v>2014</v>
      </c>
      <c r="H123" s="30"/>
      <c r="I123" s="30" t="s">
        <v>17</v>
      </c>
      <c r="J123" s="30"/>
      <c r="K123" s="30"/>
      <c r="L123" s="30"/>
      <c r="M123" s="30"/>
      <c r="N123" s="30"/>
      <c r="O123" s="30"/>
      <c r="P123" s="30"/>
      <c r="Q123" s="30"/>
      <c r="R123" s="30">
        <v>616.20540900000003</v>
      </c>
      <c r="S123" s="30">
        <v>616.20540900000003</v>
      </c>
      <c r="T123" s="30">
        <v>579.07754940900043</v>
      </c>
      <c r="U123" s="30">
        <v>452.36958881335846</v>
      </c>
      <c r="V123" s="30">
        <v>452.36958881335846</v>
      </c>
      <c r="W123" s="30">
        <v>452.36958881335846</v>
      </c>
      <c r="X123" s="30">
        <v>452.36958881335846</v>
      </c>
      <c r="Y123" s="30">
        <v>451.83649432060696</v>
      </c>
      <c r="Z123" s="30">
        <v>379.96824040888487</v>
      </c>
      <c r="AA123" s="30">
        <v>379.96824040888487</v>
      </c>
      <c r="AB123" s="30">
        <v>330.63366469723047</v>
      </c>
      <c r="AC123" s="30">
        <v>212.56549193267068</v>
      </c>
      <c r="AD123" s="30">
        <v>212.56549193267068</v>
      </c>
      <c r="AE123" s="30">
        <v>201.3476913026027</v>
      </c>
      <c r="AF123" s="30">
        <v>201.3476913026027</v>
      </c>
      <c r="AG123" s="30">
        <v>199.90727083928246</v>
      </c>
      <c r="AH123" s="30">
        <v>172.55356368130279</v>
      </c>
      <c r="AI123" s="30">
        <v>101.28504500821383</v>
      </c>
      <c r="AJ123" s="30">
        <v>101.28504500821383</v>
      </c>
      <c r="AK123" s="30">
        <v>101.28504500821383</v>
      </c>
      <c r="AL123" s="30"/>
      <c r="AM123" s="30"/>
      <c r="AN123" s="30"/>
      <c r="AO123" s="30"/>
      <c r="AP123" s="30"/>
      <c r="AQ123" s="30"/>
      <c r="AR123" s="30"/>
      <c r="AS123" s="30"/>
    </row>
    <row r="124" spans="1:45">
      <c r="A124" s="29" t="s">
        <v>456</v>
      </c>
      <c r="B124" s="31" t="s">
        <v>15</v>
      </c>
      <c r="C124" s="31" t="s">
        <v>23</v>
      </c>
      <c r="D124" s="31" t="s">
        <v>3</v>
      </c>
      <c r="E124" s="29" t="s">
        <v>17</v>
      </c>
      <c r="G124" s="29">
        <v>2014</v>
      </c>
      <c r="I124" s="29" t="s">
        <v>17</v>
      </c>
      <c r="J124" s="30"/>
      <c r="K124" s="30"/>
      <c r="L124" s="30"/>
      <c r="M124" s="30"/>
      <c r="N124" s="30"/>
      <c r="O124" s="29">
        <f>SUMIF('2014 IESO persistence table'!$E:$E, "HAP", '2014 IESO persistence table'!BS:BS)/1000</f>
        <v>0</v>
      </c>
      <c r="P124" s="29">
        <f>SUMIF('2014 IESO persistence table'!$E:$E, "HAP", '2014 IESO persistence table'!BT:BT)/1000</f>
        <v>0</v>
      </c>
      <c r="Q124" s="29">
        <f>SUMIF('2014 IESO persistence table'!$E:$E, "HAP", '2014 IESO persistence table'!BU:BU)/1000</f>
        <v>0</v>
      </c>
      <c r="R124" s="29">
        <f>SUMIF('2014 IESO persistence table'!$E:$E, "HAP", '2014 IESO persistence table'!BV:BV)/1000</f>
        <v>46.219709436416629</v>
      </c>
      <c r="S124" s="29">
        <f>SUMIF('2014 IESO persistence table'!$E:$E, "HAP", '2014 IESO persistence table'!BW:BW)/1000</f>
        <v>46.020642461776731</v>
      </c>
      <c r="T124" s="29">
        <f>SUMIF('2014 IESO persistence table'!$E:$E, "HAP", '2014 IESO persistence table'!BX:BX)/1000</f>
        <v>44.048580066680906</v>
      </c>
      <c r="U124" s="29">
        <f>SUMIF('2014 IESO persistence table'!$E:$E, "HAP", '2014 IESO persistence table'!BY:BY)/1000</f>
        <v>43.192650634765627</v>
      </c>
      <c r="V124" s="29">
        <f>SUMIF('2014 IESO persistence table'!$E:$E, "HAP", '2014 IESO persistence table'!BZ:BZ)/1000</f>
        <v>42.259081008911132</v>
      </c>
      <c r="W124" s="29">
        <f>SUMIF('2014 IESO persistence table'!$E:$E, "HAP", '2014 IESO persistence table'!CA:CA)/1000</f>
        <v>42.259081008911132</v>
      </c>
      <c r="X124" s="29">
        <f>SUMIF('2014 IESO persistence table'!$E:$E, "HAP", '2014 IESO persistence table'!CB:CB)/1000</f>
        <v>40.338517333984377</v>
      </c>
      <c r="Y124" s="29">
        <f>SUMIF('2014 IESO persistence table'!$E:$E, "HAP", '2014 IESO persistence table'!CC:CC)/1000</f>
        <v>40.07783922576904</v>
      </c>
      <c r="Z124" s="29">
        <f>SUMIF('2014 IESO persistence table'!$E:$E, "HAP", '2014 IESO persistence table'!CD:CD)/1000</f>
        <v>30.834909832000733</v>
      </c>
      <c r="AA124" s="29">
        <f>SUMIF('2014 IESO persistence table'!$E:$E, "HAP", '2014 IESO persistence table'!CE:CE)/1000</f>
        <v>30.834909832000733</v>
      </c>
      <c r="AB124" s="29">
        <f>SUMIF('2014 IESO persistence table'!$E:$E, "HAP", '2014 IESO persistence table'!CF:CF)/1000</f>
        <v>26.135010498046874</v>
      </c>
      <c r="AC124" s="29">
        <f>SUMIF('2014 IESO persistence table'!$E:$E, "HAP", '2014 IESO persistence table'!CG:CG)/1000</f>
        <v>25.769451782226561</v>
      </c>
      <c r="AD124" s="29">
        <f>SUMIF('2014 IESO persistence table'!$E:$E, "HAP", '2014 IESO persistence table'!CH:CH)/1000</f>
        <v>22.951062499999999</v>
      </c>
      <c r="AE124" s="29">
        <f>SUMIF('2014 IESO persistence table'!$E:$E, "HAP", '2014 IESO persistence table'!CI:CI)/1000</f>
        <v>22.951062499999999</v>
      </c>
      <c r="AF124" s="29">
        <f>SUMIF('2014 IESO persistence table'!$E:$E, "HAP", '2014 IESO persistence table'!CJ:CJ)/1000</f>
        <v>18.270062500000002</v>
      </c>
      <c r="AG124" s="29">
        <f>SUMIF('2014 IESO persistence table'!$E:$E, "HAP", '2014 IESO persistence table'!CK:CK)/1000</f>
        <v>12.2845</v>
      </c>
      <c r="AH124" s="29">
        <f>SUMIF('2014 IESO persistence table'!$E:$E, "HAP", '2014 IESO persistence table'!CL:CL)/1000</f>
        <v>12.2845</v>
      </c>
      <c r="AI124" s="29">
        <f>SUMIF('2014 IESO persistence table'!$E:$E, "HAP", '2014 IESO persistence table'!CM:CM)/1000</f>
        <v>12.2845</v>
      </c>
      <c r="AJ124" s="29">
        <f>SUMIF('2014 IESO persistence table'!$E:$E, "HAP", '2014 IESO persistence table'!CN:CN)/1000</f>
        <v>12.2845</v>
      </c>
      <c r="AK124" s="29">
        <f>SUMIF('2014 IESO persistence table'!$E:$E, "HAP", '2014 IESO persistence table'!CO:CO)/1000</f>
        <v>12.2845</v>
      </c>
      <c r="AL124" s="29">
        <f>SUMIF('2014 IESO persistence table'!$E:$E, "HAP", '2014 IESO persistence table'!CP:CP)/1000</f>
        <v>2.532</v>
      </c>
      <c r="AM124" s="29">
        <f>SUMIF('2014 IESO persistence table'!$E:$E, "HAP", '2014 IESO persistence table'!CQ:CQ)/1000</f>
        <v>0</v>
      </c>
      <c r="AN124" s="29">
        <f>SUMIF('2014 IESO persistence table'!$E:$E, "HAP", '2014 IESO persistence table'!CR:CR)/1000</f>
        <v>0</v>
      </c>
      <c r="AO124" s="29" t="e">
        <f>SUMIF('2014 IESO persistence table'!$E:$E, "HAP", '2014 IESO persistence table'!#REF!)/1000</f>
        <v>#REF!</v>
      </c>
      <c r="AP124" s="29" t="e">
        <f>SUMIF('2014 IESO persistence table'!$E:$E, "HAP", '2014 IESO persistence table'!#REF!)/1000</f>
        <v>#REF!</v>
      </c>
      <c r="AQ124" s="29" t="e">
        <f>SUMIF('2014 IESO persistence table'!$E:$E, "HAP", '2014 IESO persistence table'!#REF!)/1000</f>
        <v>#REF!</v>
      </c>
      <c r="AR124" s="29" t="e">
        <f>SUMIF('2014 IESO persistence table'!$E:$E, "HAP", '2014 IESO persistence table'!#REF!)/1000</f>
        <v>#REF!</v>
      </c>
    </row>
    <row r="125" spans="1:45">
      <c r="A125" s="29" t="s">
        <v>456</v>
      </c>
      <c r="B125" s="31" t="s">
        <v>15</v>
      </c>
      <c r="C125" s="31" t="s">
        <v>25</v>
      </c>
      <c r="D125" s="31" t="s">
        <v>3</v>
      </c>
      <c r="E125" s="29" t="s">
        <v>17</v>
      </c>
      <c r="G125" s="29">
        <v>2014</v>
      </c>
      <c r="I125" s="29" t="s">
        <v>17</v>
      </c>
      <c r="J125" s="30"/>
      <c r="K125" s="30"/>
      <c r="L125" s="30"/>
      <c r="M125" s="30"/>
      <c r="N125" s="30"/>
      <c r="O125" s="29">
        <f>SUMIF('2014 IESO persistence table'!$E:$E, "HVAC", '2014 IESO persistence table'!BS:BS)/1000</f>
        <v>0</v>
      </c>
      <c r="P125" s="29">
        <f>SUMIF('2014 IESO persistence table'!$E:$E, "HVAC", '2014 IESO persistence table'!BT:BT)/1000</f>
        <v>0</v>
      </c>
      <c r="Q125" s="29">
        <f>SUMIF('2014 IESO persistence table'!$E:$E, "HVAC", '2014 IESO persistence table'!BU:BU)/1000</f>
        <v>5.6545699191040546</v>
      </c>
      <c r="R125" s="29">
        <f>SUMIF('2014 IESO persistence table'!$E:$E, "HVAC", '2014 IESO persistence table'!BV:BV)/1000</f>
        <v>128.8745896495424</v>
      </c>
      <c r="S125" s="29">
        <f>SUMIF('2014 IESO persistence table'!$E:$E, "HVAC", '2014 IESO persistence table'!BW:BW)/1000</f>
        <v>128.8745896495424</v>
      </c>
      <c r="T125" s="29">
        <f>SUMIF('2014 IESO persistence table'!$E:$E, "HVAC", '2014 IESO persistence table'!BX:BX)/1000</f>
        <v>128.8745896495424</v>
      </c>
      <c r="U125" s="29">
        <f>SUMIF('2014 IESO persistence table'!$E:$E, "HVAC", '2014 IESO persistence table'!BY:BY)/1000</f>
        <v>128.8745896495424</v>
      </c>
      <c r="V125" s="29">
        <f>SUMIF('2014 IESO persistence table'!$E:$E, "HVAC", '2014 IESO persistence table'!BZ:BZ)/1000</f>
        <v>128.8745896495424</v>
      </c>
      <c r="W125" s="29">
        <f>SUMIF('2014 IESO persistence table'!$E:$E, "HVAC", '2014 IESO persistence table'!CA:CA)/1000</f>
        <v>128.8745896495424</v>
      </c>
      <c r="X125" s="29">
        <f>SUMIF('2014 IESO persistence table'!$E:$E, "HVAC", '2014 IESO persistence table'!CB:CB)/1000</f>
        <v>128.8745896495424</v>
      </c>
      <c r="Y125" s="29">
        <f>SUMIF('2014 IESO persistence table'!$E:$E, "HVAC", '2014 IESO persistence table'!CC:CC)/1000</f>
        <v>128.8745896495424</v>
      </c>
      <c r="Z125" s="29">
        <f>SUMIF('2014 IESO persistence table'!$E:$E, "HVAC", '2014 IESO persistence table'!CD:CD)/1000</f>
        <v>128.8745896495424</v>
      </c>
      <c r="AA125" s="29">
        <f>SUMIF('2014 IESO persistence table'!$E:$E, "HVAC", '2014 IESO persistence table'!CE:CE)/1000</f>
        <v>128.8745896495424</v>
      </c>
      <c r="AB125" s="29">
        <f>SUMIF('2014 IESO persistence table'!$E:$E, "HVAC", '2014 IESO persistence table'!CF:CF)/1000</f>
        <v>128.8745896495424</v>
      </c>
      <c r="AC125" s="29">
        <f>SUMIF('2014 IESO persistence table'!$E:$E, "HVAC", '2014 IESO persistence table'!CG:CG)/1000</f>
        <v>128.8745896495424</v>
      </c>
      <c r="AD125" s="29">
        <f>SUMIF('2014 IESO persistence table'!$E:$E, "HVAC", '2014 IESO persistence table'!CH:CH)/1000</f>
        <v>128.8745896495424</v>
      </c>
      <c r="AE125" s="29">
        <f>SUMIF('2014 IESO persistence table'!$E:$E, "HVAC", '2014 IESO persistence table'!CI:CI)/1000</f>
        <v>128.8745896495424</v>
      </c>
      <c r="AF125" s="29">
        <f>SUMIF('2014 IESO persistence table'!$E:$E, "HVAC", '2014 IESO persistence table'!CJ:CJ)/1000</f>
        <v>128.8745896495424</v>
      </c>
      <c r="AG125" s="29">
        <f>SUMIF('2014 IESO persistence table'!$E:$E, "HVAC", '2014 IESO persistence table'!CK:CK)/1000</f>
        <v>128.8745896495424</v>
      </c>
      <c r="AH125" s="29">
        <f>SUMIF('2014 IESO persistence table'!$E:$E, "HVAC", '2014 IESO persistence table'!CL:CL)/1000</f>
        <v>128.8745896495424</v>
      </c>
      <c r="AI125" s="29">
        <f>SUMIF('2014 IESO persistence table'!$E:$E, "HVAC", '2014 IESO persistence table'!CM:CM)/1000</f>
        <v>128.32554294873913</v>
      </c>
      <c r="AJ125" s="29">
        <f>SUMIF('2014 IESO persistence table'!$E:$E, "HVAC", '2014 IESO persistence table'!CN:CN)/1000</f>
        <v>119.20578530781752</v>
      </c>
      <c r="AK125" s="29">
        <f>SUMIF('2014 IESO persistence table'!$E:$E, "HVAC", '2014 IESO persistence table'!CO:CO)/1000</f>
        <v>0</v>
      </c>
      <c r="AL125" s="29">
        <f>SUMIF('2014 IESO persistence table'!$E:$E, "HVAC", '2014 IESO persistence table'!CP:CP)/1000</f>
        <v>0</v>
      </c>
      <c r="AM125" s="29">
        <f>SUMIF('2014 IESO persistence table'!$E:$E, "HVAC", '2014 IESO persistence table'!CQ:CQ)/1000</f>
        <v>0</v>
      </c>
      <c r="AN125" s="29">
        <f>SUMIF('2014 IESO persistence table'!$E:$E, "HVAC", '2014 IESO persistence table'!CR:CR)/1000</f>
        <v>0</v>
      </c>
      <c r="AO125" s="29" t="e">
        <f>SUMIF('2014 IESO persistence table'!$E:$E, "HVAC", '2014 IESO persistence table'!#REF!)/1000</f>
        <v>#REF!</v>
      </c>
      <c r="AP125" s="29" t="e">
        <f>SUMIF('2014 IESO persistence table'!$E:$E, "HVAC", '2014 IESO persistence table'!#REF!)/1000</f>
        <v>#REF!</v>
      </c>
      <c r="AQ125" s="29" t="e">
        <f>SUMIF('2014 IESO persistence table'!$E:$E, "HVAC", '2014 IESO persistence table'!#REF!)/1000</f>
        <v>#REF!</v>
      </c>
      <c r="AR125" s="29" t="e">
        <f>SUMIF('2014 IESO persistence table'!$E:$E, "HVAC", '2014 IESO persistence table'!#REF!)/1000</f>
        <v>#REF!</v>
      </c>
    </row>
    <row r="126" spans="1:45">
      <c r="A126" s="29" t="s">
        <v>456</v>
      </c>
      <c r="B126" s="29" t="s">
        <v>15</v>
      </c>
      <c r="C126" s="29" t="s">
        <v>124</v>
      </c>
      <c r="D126" s="31" t="s">
        <v>3</v>
      </c>
      <c r="E126" s="29" t="s">
        <v>17</v>
      </c>
      <c r="G126" s="29">
        <v>2014</v>
      </c>
      <c r="I126" s="29" t="s">
        <v>17</v>
      </c>
      <c r="J126" s="30"/>
      <c r="K126" s="30"/>
      <c r="L126" s="30"/>
      <c r="M126" s="30"/>
      <c r="N126" s="30"/>
      <c r="O126" s="29">
        <f>SUMIF('2014 IESO persistence table'!$E:$E, "Program Enabled Savings", '2014 IESO persistence table'!BS:BS)/1000</f>
        <v>42.408000000000001</v>
      </c>
      <c r="P126" s="29">
        <f>SUMIF('2014 IESO persistence table'!$E:$E, "Program Enabled Savings", '2014 IESO persistence table'!BT:BT)/1000</f>
        <v>56.543999999999997</v>
      </c>
      <c r="Q126" s="29">
        <f>SUMIF('2014 IESO persistence table'!$E:$E, "Program Enabled Savings", '2014 IESO persistence table'!BU:BU)/1000</f>
        <v>84.816000000000003</v>
      </c>
      <c r="R126" s="29">
        <f>SUMIF('2014 IESO persistence table'!$E:$E, "Program Enabled Savings", '2014 IESO persistence table'!BV:BV)/1000</f>
        <v>84.816000000000003</v>
      </c>
      <c r="S126" s="29">
        <f>SUMIF('2014 IESO persistence table'!$E:$E, "Program Enabled Savings", '2014 IESO persistence table'!BW:BW)/1000</f>
        <v>84.816000000000003</v>
      </c>
      <c r="T126" s="29">
        <f>SUMIF('2014 IESO persistence table'!$E:$E, "Program Enabled Savings", '2014 IESO persistence table'!BX:BX)/1000</f>
        <v>84.816000000000003</v>
      </c>
      <c r="U126" s="29">
        <f>SUMIF('2014 IESO persistence table'!$E:$E, "Program Enabled Savings", '2014 IESO persistence table'!BY:BY)/1000</f>
        <v>84.816000000000003</v>
      </c>
      <c r="V126" s="29">
        <f>SUMIF('2014 IESO persistence table'!$E:$E, "Program Enabled Savings", '2014 IESO persistence table'!BZ:BZ)/1000</f>
        <v>84.816000000000003</v>
      </c>
      <c r="W126" s="29">
        <f>SUMIF('2014 IESO persistence table'!$E:$E, "Program Enabled Savings", '2014 IESO persistence table'!CA:CA)/1000</f>
        <v>84.816000000000003</v>
      </c>
      <c r="X126" s="29">
        <f>SUMIF('2014 IESO persistence table'!$E:$E, "Program Enabled Savings", '2014 IESO persistence table'!CB:CB)/1000</f>
        <v>84.816000000000003</v>
      </c>
      <c r="Y126" s="29">
        <f>SUMIF('2014 IESO persistence table'!$E:$E, "Program Enabled Savings", '2014 IESO persistence table'!CC:CC)/1000</f>
        <v>84.816000000000003</v>
      </c>
      <c r="Z126" s="29">
        <f>SUMIF('2014 IESO persistence table'!$E:$E, "Program Enabled Savings", '2014 IESO persistence table'!CD:CD)/1000</f>
        <v>84.816000000000003</v>
      </c>
      <c r="AA126" s="29">
        <f>SUMIF('2014 IESO persistence table'!$E:$E, "Program Enabled Savings", '2014 IESO persistence table'!CE:CE)/1000</f>
        <v>84.816000000000003</v>
      </c>
      <c r="AB126" s="29">
        <f>SUMIF('2014 IESO persistence table'!$E:$E, "Program Enabled Savings", '2014 IESO persistence table'!CF:CF)/1000</f>
        <v>42.408000000000001</v>
      </c>
      <c r="AC126" s="29">
        <f>SUMIF('2014 IESO persistence table'!$E:$E, "Program Enabled Savings", '2014 IESO persistence table'!CG:CG)/1000</f>
        <v>28.271999999999998</v>
      </c>
      <c r="AD126" s="29">
        <f>SUMIF('2014 IESO persistence table'!$E:$E, "Program Enabled Savings", '2014 IESO persistence table'!CH:CH)/1000</f>
        <v>0</v>
      </c>
      <c r="AE126" s="29">
        <f>SUMIF('2014 IESO persistence table'!$E:$E, "Program Enabled Savings", '2014 IESO persistence table'!CI:CI)/1000</f>
        <v>0</v>
      </c>
      <c r="AF126" s="29">
        <f>SUMIF('2014 IESO persistence table'!$E:$E, "Program Enabled Savings", '2014 IESO persistence table'!CJ:CJ)/1000</f>
        <v>0</v>
      </c>
      <c r="AG126" s="29">
        <f>SUMIF('2014 IESO persistence table'!$E:$E, "Program Enabled Savings", '2014 IESO persistence table'!CK:CK)/1000</f>
        <v>0</v>
      </c>
      <c r="AH126" s="29">
        <f>SUMIF('2014 IESO persistence table'!$E:$E, "Program Enabled Savings", '2014 IESO persistence table'!CL:CL)/1000</f>
        <v>0</v>
      </c>
      <c r="AI126" s="29">
        <f>SUMIF('2014 IESO persistence table'!$E:$E, "Program Enabled Savings", '2014 IESO persistence table'!CM:CM)/1000</f>
        <v>0</v>
      </c>
      <c r="AJ126" s="29">
        <f>SUMIF('2014 IESO persistence table'!$E:$E, "Program Enabled Savings", '2014 IESO persistence table'!CN:CN)/1000</f>
        <v>0</v>
      </c>
      <c r="AK126" s="29">
        <f>SUMIF('2014 IESO persistence table'!$E:$E, "Program Enabled Savings", '2014 IESO persistence table'!CO:CO)/1000</f>
        <v>0</v>
      </c>
      <c r="AL126" s="29">
        <f>SUMIF('2014 IESO persistence table'!$E:$E, "Program Enabled Savings", '2014 IESO persistence table'!CP:CP)/1000</f>
        <v>0</v>
      </c>
      <c r="AM126" s="29">
        <f>SUMIF('2014 IESO persistence table'!$E:$E, "Program Enabled Savings", '2014 IESO persistence table'!CQ:CQ)/1000</f>
        <v>0</v>
      </c>
      <c r="AN126" s="29">
        <f>SUMIF('2014 IESO persistence table'!$E:$E, "Program Enabled Savings", '2014 IESO persistence table'!CR:CR)/1000</f>
        <v>0</v>
      </c>
      <c r="AO126" s="29" t="e">
        <f>SUMIF('2014 IESO persistence table'!$E:$E, "Program Enabled Savings", '2014 IESO persistence table'!#REF!)/1000</f>
        <v>#REF!</v>
      </c>
      <c r="AP126" s="29" t="e">
        <f>SUMIF('2014 IESO persistence table'!$E:$E, "Program Enabled Savings", '2014 IESO persistence table'!#REF!)/1000</f>
        <v>#REF!</v>
      </c>
      <c r="AQ126" s="29" t="e">
        <f>SUMIF('2014 IESO persistence table'!$E:$E, "Program Enabled Savings", '2014 IESO persistence table'!#REF!)/1000</f>
        <v>#REF!</v>
      </c>
      <c r="AR126" s="29" t="e">
        <f>SUMIF('2014 IESO persistence table'!$E:$E, "Program Enabled Savings", '2014 IESO persistence table'!#REF!)/1000</f>
        <v>#REF!</v>
      </c>
    </row>
    <row r="127" spans="1:45">
      <c r="A127" s="29" t="s">
        <v>468</v>
      </c>
      <c r="B127" s="29" t="s">
        <v>1</v>
      </c>
      <c r="C127" s="29" t="s">
        <v>12</v>
      </c>
      <c r="D127" s="31" t="s">
        <v>3</v>
      </c>
      <c r="G127" s="29" t="s">
        <v>481</v>
      </c>
      <c r="I127" s="29" t="s">
        <v>471</v>
      </c>
      <c r="S127" s="29">
        <v>2229.8638588624331</v>
      </c>
      <c r="T127" s="29">
        <v>5134.4901161313128</v>
      </c>
      <c r="U127" s="29">
        <v>8406.3463909489692</v>
      </c>
      <c r="V127" s="29">
        <v>12131.196677887034</v>
      </c>
      <c r="W127" s="29">
        <v>16309.040976945511</v>
      </c>
      <c r="X127" s="29">
        <v>20939.879288124397</v>
      </c>
      <c r="Y127" s="29">
        <v>20939.879288124397</v>
      </c>
      <c r="Z127" s="29">
        <v>20939.879288124397</v>
      </c>
      <c r="AA127" s="29">
        <v>20939.879288124397</v>
      </c>
      <c r="AB127" s="29">
        <v>20939.879288124397</v>
      </c>
      <c r="AC127" s="29">
        <v>20620.998192887884</v>
      </c>
      <c r="AD127" s="29">
        <v>17304.659444245222</v>
      </c>
      <c r="AE127" s="29">
        <v>15022.604730635823</v>
      </c>
      <c r="AF127" s="29">
        <v>12574.138128056848</v>
      </c>
      <c r="AG127" s="29">
        <v>9873.4956419366517</v>
      </c>
      <c r="AH127" s="29">
        <v>7771.026859572622</v>
      </c>
      <c r="AI127" s="29">
        <v>6484.566940998141</v>
      </c>
      <c r="AJ127" s="29">
        <v>5589.2898099568974</v>
      </c>
      <c r="AK127" s="29">
        <v>4493.1945503364605</v>
      </c>
      <c r="AL127" s="29">
        <v>3196.2811621368323</v>
      </c>
      <c r="AM127" s="29">
        <v>1698.5496453580122</v>
      </c>
      <c r="AN127" s="29">
        <v>0</v>
      </c>
      <c r="AO127" s="29">
        <v>0</v>
      </c>
      <c r="AP127" s="29">
        <v>0</v>
      </c>
      <c r="AQ127" s="29">
        <v>0</v>
      </c>
      <c r="AR127" s="29">
        <v>0</v>
      </c>
      <c r="AS127" s="29">
        <v>0</v>
      </c>
    </row>
    <row r="128" spans="1:45">
      <c r="A128" s="29" t="s">
        <v>468</v>
      </c>
      <c r="B128" s="29" t="s">
        <v>15</v>
      </c>
      <c r="C128" s="29" t="s">
        <v>241</v>
      </c>
      <c r="D128" s="31" t="s">
        <v>3</v>
      </c>
      <c r="G128" s="29" t="s">
        <v>481</v>
      </c>
      <c r="I128" s="29" t="s">
        <v>17</v>
      </c>
      <c r="S128" s="29">
        <v>100.86900763646848</v>
      </c>
      <c r="T128" s="29">
        <v>204.79430893309342</v>
      </c>
      <c r="U128" s="29">
        <v>216.40579558635216</v>
      </c>
      <c r="V128" s="29">
        <v>228.01728223961086</v>
      </c>
      <c r="W128" s="29">
        <v>239.62876889286957</v>
      </c>
      <c r="X128" s="29">
        <v>251.24025554612831</v>
      </c>
      <c r="Y128" s="29">
        <v>251.24025554612831</v>
      </c>
      <c r="Z128" s="29">
        <v>251.24025554612831</v>
      </c>
      <c r="AA128" s="29">
        <v>251.24025554612831</v>
      </c>
      <c r="AB128" s="29">
        <v>251.24025554612831</v>
      </c>
      <c r="AC128" s="29">
        <v>251.24025554612831</v>
      </c>
      <c r="AD128" s="29">
        <v>251.24025554612831</v>
      </c>
      <c r="AE128" s="29">
        <v>251.24025554612831</v>
      </c>
      <c r="AF128" s="29">
        <v>251.24025554612831</v>
      </c>
      <c r="AG128" s="29">
        <v>251.24025554612831</v>
      </c>
      <c r="AH128" s="29">
        <v>251.24025554612831</v>
      </c>
      <c r="AI128" s="29">
        <v>251.24025554612831</v>
      </c>
      <c r="AJ128" s="29">
        <v>251.24025554612831</v>
      </c>
      <c r="AK128" s="29">
        <v>242.68506255302603</v>
      </c>
      <c r="AL128" s="29">
        <v>149.01685177233068</v>
      </c>
      <c r="AM128" s="29">
        <v>45.091550475705759</v>
      </c>
      <c r="AN128" s="29">
        <v>33.480063822447036</v>
      </c>
      <c r="AO128" s="29">
        <v>21.868577169188306</v>
      </c>
      <c r="AP128" s="29">
        <v>10.25709051592958</v>
      </c>
      <c r="AQ128" s="29">
        <v>0</v>
      </c>
      <c r="AR128" s="29">
        <v>0</v>
      </c>
      <c r="AS128" s="29">
        <v>0</v>
      </c>
    </row>
    <row r="129" spans="1:45">
      <c r="A129" s="29" t="s">
        <v>468</v>
      </c>
      <c r="B129" s="29" t="s">
        <v>15</v>
      </c>
      <c r="C129" s="29" t="s">
        <v>412</v>
      </c>
      <c r="D129" s="31" t="s">
        <v>3</v>
      </c>
      <c r="G129" s="29" t="s">
        <v>481</v>
      </c>
      <c r="I129" s="29" t="s">
        <v>17</v>
      </c>
      <c r="J129" s="30"/>
      <c r="K129" s="30"/>
      <c r="L129" s="30"/>
      <c r="M129" s="30"/>
      <c r="N129" s="30"/>
      <c r="S129" s="29">
        <v>254.37317506450952</v>
      </c>
      <c r="T129" s="29">
        <v>262.85228089999322</v>
      </c>
      <c r="U129" s="29">
        <v>271.33138673547683</v>
      </c>
      <c r="V129" s="29">
        <v>279.81049257096049</v>
      </c>
      <c r="W129" s="29">
        <v>288.28959840644416</v>
      </c>
      <c r="X129" s="29">
        <v>296.76870424192771</v>
      </c>
      <c r="Y129" s="29">
        <v>296.76870424192771</v>
      </c>
      <c r="Z129" s="29">
        <v>296.76870424192771</v>
      </c>
      <c r="AA129" s="29">
        <v>296.76870424192771</v>
      </c>
      <c r="AB129" s="29">
        <v>296.76870424192771</v>
      </c>
      <c r="AC129" s="29">
        <v>42.395529177418254</v>
      </c>
      <c r="AD129" s="29">
        <v>33.916423341934603</v>
      </c>
      <c r="AE129" s="29">
        <v>25.437317506450952</v>
      </c>
      <c r="AF129" s="29">
        <v>16.958211670967302</v>
      </c>
      <c r="AG129" s="29">
        <v>8.4791058354836508</v>
      </c>
      <c r="AH129" s="29">
        <v>0</v>
      </c>
      <c r="AI129" s="29">
        <v>0</v>
      </c>
      <c r="AJ129" s="29">
        <v>0</v>
      </c>
      <c r="AK129" s="29">
        <v>0</v>
      </c>
      <c r="AL129" s="29">
        <v>0</v>
      </c>
      <c r="AM129" s="29">
        <v>0</v>
      </c>
      <c r="AN129" s="29">
        <v>0</v>
      </c>
      <c r="AO129" s="29">
        <v>0</v>
      </c>
      <c r="AP129" s="29">
        <v>0</v>
      </c>
      <c r="AQ129" s="29">
        <v>0</v>
      </c>
      <c r="AR129" s="29">
        <v>0</v>
      </c>
      <c r="AS129" s="29">
        <v>0</v>
      </c>
    </row>
    <row r="130" spans="1:45">
      <c r="A130" s="29" t="s">
        <v>468</v>
      </c>
      <c r="B130" s="29" t="s">
        <v>15</v>
      </c>
      <c r="C130" s="29" t="s">
        <v>23</v>
      </c>
      <c r="D130" s="31" t="s">
        <v>3</v>
      </c>
      <c r="G130" s="29" t="s">
        <v>481</v>
      </c>
      <c r="I130" s="29" t="s">
        <v>17</v>
      </c>
      <c r="J130" s="30"/>
      <c r="K130" s="30"/>
      <c r="L130" s="30"/>
      <c r="M130" s="30"/>
      <c r="N130" s="30"/>
      <c r="S130" s="29">
        <v>0</v>
      </c>
      <c r="T130" s="29">
        <v>31.517284423008814</v>
      </c>
      <c r="U130" s="29">
        <v>63.034568846017628</v>
      </c>
      <c r="V130" s="29">
        <v>94.551853269026438</v>
      </c>
      <c r="W130" s="29">
        <v>126.06913769203526</v>
      </c>
      <c r="X130" s="29">
        <v>157.58642211504406</v>
      </c>
      <c r="Y130" s="29">
        <v>157.58642211504406</v>
      </c>
      <c r="Z130" s="29">
        <v>157.58642211504406</v>
      </c>
      <c r="AA130" s="29">
        <v>157.58642211504406</v>
      </c>
      <c r="AB130" s="29">
        <v>157.58642211504406</v>
      </c>
      <c r="AC130" s="29">
        <v>126.06913769203526</v>
      </c>
      <c r="AD130" s="29">
        <v>94.551853269026438</v>
      </c>
      <c r="AE130" s="29">
        <v>63.034568846017628</v>
      </c>
      <c r="AF130" s="29">
        <v>31.517284423008814</v>
      </c>
      <c r="AG130" s="29">
        <v>0</v>
      </c>
      <c r="AH130" s="29">
        <v>0</v>
      </c>
      <c r="AI130" s="29">
        <v>0</v>
      </c>
      <c r="AJ130" s="29">
        <v>0</v>
      </c>
      <c r="AK130" s="29">
        <v>0</v>
      </c>
      <c r="AL130" s="29">
        <v>0</v>
      </c>
      <c r="AM130" s="29">
        <v>0</v>
      </c>
      <c r="AN130" s="29">
        <v>0</v>
      </c>
      <c r="AO130" s="29">
        <v>0</v>
      </c>
      <c r="AP130" s="29">
        <v>0</v>
      </c>
      <c r="AQ130" s="29">
        <v>0</v>
      </c>
      <c r="AR130" s="29">
        <v>0</v>
      </c>
      <c r="AS130" s="29">
        <v>0</v>
      </c>
    </row>
    <row r="131" spans="1:45">
      <c r="A131" s="29" t="s">
        <v>468</v>
      </c>
      <c r="B131" s="29" t="s">
        <v>1</v>
      </c>
      <c r="C131" s="29" t="s">
        <v>469</v>
      </c>
      <c r="D131" s="31" t="s">
        <v>3</v>
      </c>
      <c r="G131" s="29" t="s">
        <v>481</v>
      </c>
      <c r="I131" s="29" t="s">
        <v>472</v>
      </c>
      <c r="J131" s="30"/>
      <c r="K131" s="30"/>
      <c r="L131" s="30"/>
      <c r="M131" s="30"/>
      <c r="N131" s="30"/>
      <c r="S131" s="29">
        <v>0</v>
      </c>
      <c r="T131" s="29">
        <v>397.99679561551812</v>
      </c>
      <c r="U131" s="29">
        <v>832.17511810517431</v>
      </c>
      <c r="V131" s="29">
        <v>1302.5349674689683</v>
      </c>
      <c r="W131" s="29">
        <v>1809.0763437069004</v>
      </c>
      <c r="X131" s="29">
        <v>2351.7992468189709</v>
      </c>
      <c r="Y131" s="29">
        <v>2351.7992468189709</v>
      </c>
      <c r="Z131" s="29">
        <v>2351.7992468189709</v>
      </c>
      <c r="AA131" s="29">
        <v>2351.7992468189709</v>
      </c>
      <c r="AB131" s="29">
        <v>2351.7992468189709</v>
      </c>
      <c r="AC131" s="29">
        <v>1953.8024512034524</v>
      </c>
      <c r="AD131" s="29">
        <v>1519.6241287137964</v>
      </c>
      <c r="AE131" s="29">
        <v>1049.264279350002</v>
      </c>
      <c r="AF131" s="29">
        <v>542.72290311207018</v>
      </c>
      <c r="AG131" s="29">
        <v>0</v>
      </c>
      <c r="AH131" s="29">
        <v>0</v>
      </c>
      <c r="AI131" s="29">
        <v>0</v>
      </c>
      <c r="AJ131" s="29">
        <v>0</v>
      </c>
      <c r="AK131" s="29">
        <v>0</v>
      </c>
      <c r="AL131" s="29">
        <v>0</v>
      </c>
      <c r="AM131" s="29">
        <v>0</v>
      </c>
      <c r="AN131" s="29">
        <v>0</v>
      </c>
      <c r="AO131" s="29">
        <v>0</v>
      </c>
      <c r="AP131" s="29">
        <v>0</v>
      </c>
      <c r="AQ131" s="29">
        <v>0</v>
      </c>
      <c r="AR131" s="29">
        <v>0</v>
      </c>
      <c r="AS131" s="29">
        <v>0</v>
      </c>
    </row>
    <row r="132" spans="1:45">
      <c r="A132" s="29" t="s">
        <v>468</v>
      </c>
      <c r="B132" s="29" t="s">
        <v>1</v>
      </c>
      <c r="C132" s="29" t="s">
        <v>151</v>
      </c>
      <c r="D132" s="31" t="s">
        <v>3</v>
      </c>
      <c r="G132" s="29" t="s">
        <v>481</v>
      </c>
      <c r="I132" s="29" t="s">
        <v>473</v>
      </c>
      <c r="J132" s="30"/>
      <c r="K132" s="30"/>
      <c r="L132" s="30"/>
      <c r="M132" s="30"/>
      <c r="N132" s="30"/>
      <c r="S132" s="29">
        <v>60.119840795330255</v>
      </c>
      <c r="T132" s="29">
        <v>174.63382326262595</v>
      </c>
      <c r="U132" s="29">
        <v>289.14780572992163</v>
      </c>
      <c r="V132" s="29">
        <v>403.66178819721739</v>
      </c>
      <c r="W132" s="29">
        <v>518.17577066451315</v>
      </c>
      <c r="X132" s="29">
        <v>632.68975313180886</v>
      </c>
      <c r="Y132" s="29">
        <v>632.68975313180886</v>
      </c>
      <c r="Z132" s="29">
        <v>632.68975313180886</v>
      </c>
      <c r="AA132" s="29">
        <v>632.68975313180886</v>
      </c>
      <c r="AB132" s="29">
        <v>632.68975313180886</v>
      </c>
      <c r="AC132" s="29">
        <v>632.68975313180886</v>
      </c>
      <c r="AD132" s="29">
        <v>632.68975313180886</v>
      </c>
      <c r="AE132" s="29">
        <v>632.68975313180886</v>
      </c>
      <c r="AF132" s="29">
        <v>632.68975313180886</v>
      </c>
      <c r="AG132" s="29">
        <v>572.56991233647864</v>
      </c>
      <c r="AH132" s="29">
        <v>458.05592986918288</v>
      </c>
      <c r="AI132" s="29">
        <v>343.54194740188711</v>
      </c>
      <c r="AJ132" s="29">
        <v>229.02796493459144</v>
      </c>
      <c r="AK132" s="29">
        <v>114.51398246729572</v>
      </c>
      <c r="AL132" s="29">
        <v>0</v>
      </c>
      <c r="AM132" s="29">
        <v>0</v>
      </c>
      <c r="AN132" s="29">
        <v>0</v>
      </c>
      <c r="AO132" s="29">
        <v>0</v>
      </c>
      <c r="AP132" s="29">
        <v>0</v>
      </c>
      <c r="AQ132" s="29">
        <v>0</v>
      </c>
      <c r="AR132" s="29">
        <v>0</v>
      </c>
      <c r="AS132" s="29">
        <v>0</v>
      </c>
    </row>
    <row r="133" spans="1:45">
      <c r="A133" s="29" t="s">
        <v>468</v>
      </c>
      <c r="B133" s="29" t="s">
        <v>1</v>
      </c>
      <c r="C133" s="29" t="s">
        <v>6</v>
      </c>
      <c r="D133" s="31" t="s">
        <v>3</v>
      </c>
      <c r="G133" s="29" t="s">
        <v>481</v>
      </c>
      <c r="I133" s="29" t="s">
        <v>474</v>
      </c>
      <c r="J133" s="30"/>
      <c r="K133" s="30"/>
      <c r="L133" s="30"/>
      <c r="M133" s="30"/>
      <c r="N133" s="30"/>
      <c r="S133" s="29">
        <v>100.57815493751451</v>
      </c>
      <c r="T133" s="29">
        <v>252.96929878223347</v>
      </c>
      <c r="U133" s="29">
        <v>405.36044262695242</v>
      </c>
      <c r="V133" s="29">
        <v>557.75158647167143</v>
      </c>
      <c r="W133" s="29">
        <v>609.56457537887582</v>
      </c>
      <c r="X133" s="29">
        <v>609.56457537887582</v>
      </c>
      <c r="Y133" s="29">
        <v>457.17343153415686</v>
      </c>
      <c r="Z133" s="29">
        <v>304.78228768943791</v>
      </c>
      <c r="AA133" s="29">
        <v>152.39114384471895</v>
      </c>
      <c r="AB133" s="29">
        <v>0</v>
      </c>
      <c r="AC133" s="29">
        <v>0</v>
      </c>
      <c r="AD133" s="29">
        <v>0</v>
      </c>
      <c r="AE133" s="29">
        <v>0</v>
      </c>
      <c r="AF133" s="29">
        <v>0</v>
      </c>
      <c r="AG133" s="29">
        <v>0</v>
      </c>
      <c r="AH133" s="29">
        <v>0</v>
      </c>
      <c r="AI133" s="29">
        <v>0</v>
      </c>
      <c r="AJ133" s="29">
        <v>0</v>
      </c>
      <c r="AK133" s="29">
        <v>0</v>
      </c>
      <c r="AL133" s="29">
        <v>0</v>
      </c>
      <c r="AM133" s="29">
        <v>0</v>
      </c>
      <c r="AN133" s="29">
        <v>0</v>
      </c>
      <c r="AO133" s="29">
        <v>0</v>
      </c>
      <c r="AP133" s="29">
        <v>0</v>
      </c>
      <c r="AQ133" s="29">
        <v>0</v>
      </c>
      <c r="AR133" s="29">
        <v>0</v>
      </c>
      <c r="AS133" s="29">
        <v>0</v>
      </c>
    </row>
    <row r="134" spans="1:45">
      <c r="A134" s="29" t="s">
        <v>468</v>
      </c>
      <c r="B134" s="29" t="s">
        <v>1</v>
      </c>
      <c r="C134" s="29" t="s">
        <v>478</v>
      </c>
      <c r="D134" s="31" t="s">
        <v>3</v>
      </c>
      <c r="G134" s="29" t="s">
        <v>481</v>
      </c>
      <c r="I134" s="29" t="s">
        <v>57</v>
      </c>
      <c r="J134" s="30"/>
      <c r="K134" s="30"/>
      <c r="L134" s="30"/>
      <c r="M134" s="30"/>
      <c r="N134" s="30"/>
      <c r="S134" s="29">
        <v>100.4509241987281</v>
      </c>
      <c r="T134" s="29">
        <v>100.4509241987281</v>
      </c>
      <c r="U134" s="29">
        <v>100.4509241987281</v>
      </c>
      <c r="V134" s="29">
        <v>100.4509241987281</v>
      </c>
      <c r="W134" s="29">
        <v>100.4509241987281</v>
      </c>
      <c r="X134" s="29">
        <v>100.4509241987281</v>
      </c>
      <c r="Y134" s="29">
        <v>100.4509241987281</v>
      </c>
      <c r="Z134" s="29">
        <v>100.4509241987281</v>
      </c>
      <c r="AA134" s="29">
        <v>100.4509241987281</v>
      </c>
      <c r="AB134" s="29">
        <v>100.4509241987281</v>
      </c>
      <c r="AC134" s="29">
        <v>0</v>
      </c>
      <c r="AD134" s="29">
        <v>0</v>
      </c>
      <c r="AE134" s="29">
        <v>0</v>
      </c>
      <c r="AF134" s="29">
        <v>0</v>
      </c>
      <c r="AG134" s="29">
        <v>0</v>
      </c>
      <c r="AH134" s="29">
        <v>0</v>
      </c>
      <c r="AI134" s="29">
        <v>0</v>
      </c>
      <c r="AJ134" s="29">
        <v>0</v>
      </c>
      <c r="AK134" s="29">
        <v>0</v>
      </c>
      <c r="AL134" s="29">
        <v>0</v>
      </c>
      <c r="AM134" s="29">
        <v>0</v>
      </c>
      <c r="AN134" s="29">
        <v>0</v>
      </c>
      <c r="AO134" s="29">
        <v>0</v>
      </c>
      <c r="AP134" s="29">
        <v>0</v>
      </c>
      <c r="AQ134" s="29">
        <v>0</v>
      </c>
      <c r="AR134" s="29">
        <v>0</v>
      </c>
      <c r="AS134" s="29">
        <v>0</v>
      </c>
    </row>
    <row r="135" spans="1:45">
      <c r="A135" s="29" t="s">
        <v>468</v>
      </c>
      <c r="B135" s="29" t="s">
        <v>1</v>
      </c>
      <c r="C135" s="29" t="s">
        <v>470</v>
      </c>
      <c r="D135" s="31" t="s">
        <v>3</v>
      </c>
      <c r="G135" s="29" t="s">
        <v>481</v>
      </c>
      <c r="I135" s="29" t="s">
        <v>57</v>
      </c>
      <c r="J135" s="30"/>
      <c r="K135" s="30"/>
      <c r="L135" s="30"/>
      <c r="M135" s="30"/>
      <c r="N135" s="30"/>
      <c r="S135" s="29">
        <v>0</v>
      </c>
      <c r="T135" s="29">
        <v>401.80369679491241</v>
      </c>
      <c r="U135" s="29">
        <v>803.60739358982482</v>
      </c>
      <c r="V135" s="29">
        <v>1205.4110903847372</v>
      </c>
      <c r="W135" s="29">
        <v>1506.7638629809217</v>
      </c>
      <c r="X135" s="29">
        <v>1808.1166355771061</v>
      </c>
      <c r="Y135" s="29">
        <v>1808.1166355771061</v>
      </c>
      <c r="Z135" s="29">
        <v>1808.1166355771061</v>
      </c>
      <c r="AA135" s="29">
        <v>1808.1166355771061</v>
      </c>
      <c r="AB135" s="29">
        <v>1808.1166355771061</v>
      </c>
      <c r="AC135" s="29">
        <v>1808.1166355771061</v>
      </c>
      <c r="AD135" s="29">
        <v>1808.1166355771061</v>
      </c>
      <c r="AE135" s="29">
        <v>1808.1166355771061</v>
      </c>
      <c r="AF135" s="29">
        <v>1808.1166355771061</v>
      </c>
      <c r="AG135" s="29">
        <v>1808.1166355771061</v>
      </c>
      <c r="AH135" s="29">
        <v>1808.1166355771061</v>
      </c>
      <c r="AI135" s="29">
        <v>1808.1166355771061</v>
      </c>
      <c r="AJ135" s="29">
        <v>1808.1166355771061</v>
      </c>
      <c r="AK135" s="29">
        <v>1808.1166355771061</v>
      </c>
      <c r="AL135" s="29">
        <v>1808.1166355771061</v>
      </c>
      <c r="AM135" s="29">
        <v>1808.1166355771061</v>
      </c>
      <c r="AN135" s="29">
        <v>1406.3129387821937</v>
      </c>
      <c r="AO135" s="29">
        <v>1004.509241987281</v>
      </c>
      <c r="AP135" s="29">
        <v>602.70554519236862</v>
      </c>
      <c r="AQ135" s="29">
        <v>301.35277259618431</v>
      </c>
      <c r="AR135" s="29">
        <v>0</v>
      </c>
      <c r="AS135" s="29">
        <v>0</v>
      </c>
    </row>
    <row r="136" spans="1:45">
      <c r="A136" s="29" t="s">
        <v>468</v>
      </c>
      <c r="B136" s="29" t="s">
        <v>1</v>
      </c>
      <c r="C136" s="29" t="s">
        <v>470</v>
      </c>
      <c r="D136" s="31" t="s">
        <v>3</v>
      </c>
      <c r="G136" s="29" t="s">
        <v>481</v>
      </c>
      <c r="I136" s="29" t="s">
        <v>71</v>
      </c>
      <c r="J136" s="30"/>
      <c r="K136" s="30"/>
      <c r="L136" s="30"/>
      <c r="M136" s="30"/>
      <c r="N136" s="30"/>
      <c r="S136" s="29">
        <v>0</v>
      </c>
      <c r="T136" s="29">
        <v>401.80369679491241</v>
      </c>
      <c r="U136" s="29">
        <v>803.60739358982482</v>
      </c>
      <c r="V136" s="29">
        <v>1205.4110903847372</v>
      </c>
      <c r="W136" s="29">
        <v>1506.7638629809217</v>
      </c>
      <c r="X136" s="29">
        <v>1808.1166355771061</v>
      </c>
      <c r="Y136" s="29">
        <v>1808.1166355771061</v>
      </c>
      <c r="Z136" s="29">
        <v>1808.1166355771061</v>
      </c>
      <c r="AA136" s="29">
        <v>1808.1166355771061</v>
      </c>
      <c r="AB136" s="29">
        <v>1808.1166355771061</v>
      </c>
      <c r="AC136" s="29">
        <v>1808.1166355771061</v>
      </c>
      <c r="AD136" s="29">
        <v>1808.1166355771061</v>
      </c>
      <c r="AE136" s="29">
        <v>1808.1166355771061</v>
      </c>
      <c r="AF136" s="29">
        <v>1808.1166355771061</v>
      </c>
      <c r="AG136" s="29">
        <v>1808.1166355771061</v>
      </c>
      <c r="AH136" s="29">
        <v>1808.1166355771061</v>
      </c>
      <c r="AI136" s="29">
        <v>1808.1166355771061</v>
      </c>
      <c r="AJ136" s="29">
        <v>1808.1166355771061</v>
      </c>
      <c r="AK136" s="29">
        <v>1808.1166355771061</v>
      </c>
      <c r="AL136" s="29">
        <v>1808.1166355771061</v>
      </c>
      <c r="AM136" s="29">
        <v>1808.1166355771061</v>
      </c>
      <c r="AN136" s="29">
        <v>1406.3129387821937</v>
      </c>
      <c r="AO136" s="29">
        <v>1004.509241987281</v>
      </c>
      <c r="AP136" s="29">
        <v>602.70554519236862</v>
      </c>
      <c r="AQ136" s="29">
        <v>301.35277259618431</v>
      </c>
      <c r="AR136" s="29">
        <v>0</v>
      </c>
      <c r="AS136" s="29">
        <v>0</v>
      </c>
    </row>
    <row r="137" spans="1:45">
      <c r="A137" s="29" t="s">
        <v>468</v>
      </c>
      <c r="B137" s="29" t="s">
        <v>1</v>
      </c>
      <c r="C137" s="460" t="s">
        <v>634</v>
      </c>
      <c r="D137" s="31" t="s">
        <v>3</v>
      </c>
      <c r="G137" s="29" t="s">
        <v>481</v>
      </c>
      <c r="I137" s="29" t="s">
        <v>57</v>
      </c>
      <c r="J137" s="30"/>
      <c r="K137" s="30"/>
      <c r="L137" s="30"/>
      <c r="M137" s="30"/>
      <c r="N137" s="30"/>
      <c r="S137" s="29">
        <v>0</v>
      </c>
      <c r="T137" s="29">
        <v>7554.3715739956679</v>
      </c>
      <c r="U137" s="29">
        <v>10194.221861938242</v>
      </c>
      <c r="V137" s="29">
        <v>10194.221861938242</v>
      </c>
      <c r="W137" s="29">
        <v>10194.221861938242</v>
      </c>
      <c r="X137" s="29">
        <v>10194.221861938242</v>
      </c>
      <c r="Y137" s="29">
        <v>10194.221861938242</v>
      </c>
      <c r="Z137" s="29">
        <v>10194.221861938242</v>
      </c>
      <c r="AA137" s="29">
        <v>10194.221861938242</v>
      </c>
      <c r="AB137" s="29">
        <v>10194.221861938242</v>
      </c>
      <c r="AC137" s="29">
        <v>10194.221861938242</v>
      </c>
      <c r="AD137" s="29">
        <v>10194.221861938242</v>
      </c>
      <c r="AE137" s="29">
        <v>10194.221861938242</v>
      </c>
      <c r="AF137" s="29">
        <v>10194.221861938242</v>
      </c>
      <c r="AG137" s="29">
        <v>10194.221861938242</v>
      </c>
      <c r="AH137" s="29">
        <v>10194.221861938242</v>
      </c>
      <c r="AI137" s="29">
        <v>10194.221861938242</v>
      </c>
      <c r="AJ137" s="29">
        <v>7554.3715739956679</v>
      </c>
      <c r="AK137" s="29">
        <v>7554.3715739956679</v>
      </c>
      <c r="AL137" s="29">
        <v>7554.3715739956679</v>
      </c>
      <c r="AM137" s="29">
        <v>7554.3715739956679</v>
      </c>
      <c r="AN137" s="29">
        <v>0</v>
      </c>
      <c r="AO137" s="29">
        <v>0</v>
      </c>
      <c r="AP137" s="29">
        <v>0</v>
      </c>
      <c r="AQ137" s="29">
        <v>0</v>
      </c>
      <c r="AR137" s="29">
        <v>0</v>
      </c>
      <c r="AS137" s="29">
        <v>0</v>
      </c>
    </row>
    <row r="138" spans="1:45">
      <c r="D138" s="31"/>
      <c r="J138" s="30"/>
      <c r="K138" s="30"/>
      <c r="L138" s="30"/>
      <c r="M138" s="30"/>
      <c r="N138" s="30"/>
    </row>
    <row r="139" spans="1:45">
      <c r="D139" s="31"/>
    </row>
    <row r="140" spans="1:45">
      <c r="D140" s="31"/>
    </row>
    <row r="141" spans="1:45">
      <c r="D141" s="31"/>
    </row>
    <row r="142" spans="1:45">
      <c r="D142" s="31"/>
    </row>
  </sheetData>
  <autoFilter ref="A1:AS142"/>
  <pageMargins left="0.7" right="0.7" top="0.75" bottom="0.75" header="0.3" footer="0.3"/>
  <pageSetup scale="12"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8"/>
  <sheetViews>
    <sheetView topLeftCell="A81" zoomScale="85" zoomScaleNormal="85" workbookViewId="0">
      <selection activeCell="H134" sqref="H134"/>
    </sheetView>
  </sheetViews>
  <sheetFormatPr defaultRowHeight="14.5"/>
  <cols>
    <col min="1" max="1" width="24.1796875" customWidth="1"/>
    <col min="2" max="2" width="11.453125" customWidth="1"/>
    <col min="3" max="4" width="11.453125" bestFit="1" customWidth="1"/>
    <col min="5" max="8" width="12.1796875" bestFit="1" customWidth="1"/>
    <col min="9" max="13" width="13.26953125" bestFit="1" customWidth="1"/>
  </cols>
  <sheetData>
    <row r="1" spans="1:13">
      <c r="A1" s="582" t="s">
        <v>33</v>
      </c>
      <c r="B1" s="53">
        <v>2009</v>
      </c>
    </row>
    <row r="2" spans="1:13">
      <c r="A2" s="847" t="s">
        <v>555</v>
      </c>
      <c r="B2" s="847"/>
      <c r="C2" s="847"/>
      <c r="D2" s="847"/>
      <c r="E2" s="847"/>
    </row>
    <row r="3" spans="1:13">
      <c r="A3" s="582" t="s">
        <v>517</v>
      </c>
      <c r="B3" s="45" t="s">
        <v>557</v>
      </c>
      <c r="C3" s="45" t="s">
        <v>556</v>
      </c>
      <c r="D3" s="45" t="s">
        <v>544</v>
      </c>
      <c r="E3" s="45" t="s">
        <v>545</v>
      </c>
      <c r="F3" s="45" t="s">
        <v>546</v>
      </c>
      <c r="G3" s="45" t="s">
        <v>547</v>
      </c>
      <c r="H3" s="45" t="s">
        <v>548</v>
      </c>
      <c r="I3" s="45" t="s">
        <v>558</v>
      </c>
      <c r="J3" s="45" t="s">
        <v>559</v>
      </c>
      <c r="K3" s="45" t="s">
        <v>560</v>
      </c>
      <c r="L3" s="45" t="s">
        <v>561</v>
      </c>
      <c r="M3" s="45" t="s">
        <v>562</v>
      </c>
    </row>
    <row r="4" spans="1:13">
      <c r="A4" s="53" t="s">
        <v>71</v>
      </c>
      <c r="B4" s="35">
        <v>1280.8979848415092</v>
      </c>
      <c r="C4" s="35">
        <v>718.6648727078632</v>
      </c>
      <c r="D4" s="35">
        <v>718.6648727078632</v>
      </c>
      <c r="E4" s="35">
        <v>718.6648727078632</v>
      </c>
      <c r="F4" s="35">
        <v>718.6648727078632</v>
      </c>
      <c r="G4" s="35">
        <v>718.6648727078632</v>
      </c>
      <c r="H4" s="35">
        <v>570.23329376051538</v>
      </c>
      <c r="I4" s="35">
        <v>467.08592533944216</v>
      </c>
      <c r="J4" s="35">
        <v>467.08592533944216</v>
      </c>
      <c r="K4" s="35">
        <v>467.08592533944216</v>
      </c>
      <c r="L4" s="35">
        <v>389.81206170305632</v>
      </c>
      <c r="M4" s="35">
        <v>60.381379884896717</v>
      </c>
    </row>
    <row r="5" spans="1:13">
      <c r="A5" s="53" t="s">
        <v>70</v>
      </c>
      <c r="B5" s="35">
        <v>683.04351826294976</v>
      </c>
      <c r="C5" s="35">
        <v>683.04351826294976</v>
      </c>
      <c r="D5" s="35">
        <v>683.04351826294976</v>
      </c>
      <c r="E5" s="35">
        <v>683.04351826294976</v>
      </c>
      <c r="F5" s="35">
        <v>683.04351826294976</v>
      </c>
      <c r="G5" s="35">
        <v>683.04351826294976</v>
      </c>
      <c r="H5" s="35">
        <v>683.04351826294976</v>
      </c>
      <c r="I5" s="35">
        <v>683.04351826294976</v>
      </c>
      <c r="J5" s="35">
        <v>384.7026712056051</v>
      </c>
      <c r="K5" s="35">
        <v>0</v>
      </c>
      <c r="L5" s="35">
        <v>0</v>
      </c>
      <c r="M5" s="35">
        <v>0</v>
      </c>
    </row>
    <row r="6" spans="1:13">
      <c r="A6" s="53" t="s">
        <v>58</v>
      </c>
      <c r="B6" s="35">
        <v>0</v>
      </c>
      <c r="C6" s="35">
        <v>0</v>
      </c>
      <c r="D6" s="35">
        <v>0</v>
      </c>
      <c r="E6" s="35">
        <v>0</v>
      </c>
      <c r="F6" s="35">
        <v>0</v>
      </c>
      <c r="G6" s="35">
        <v>0</v>
      </c>
      <c r="H6" s="35">
        <v>0</v>
      </c>
      <c r="I6" s="35">
        <v>0</v>
      </c>
      <c r="J6" s="35">
        <v>0</v>
      </c>
      <c r="K6" s="35">
        <v>0</v>
      </c>
      <c r="L6" s="35">
        <v>0</v>
      </c>
      <c r="M6" s="35">
        <v>0</v>
      </c>
    </row>
    <row r="7" spans="1:13">
      <c r="A7" s="53" t="s">
        <v>17</v>
      </c>
      <c r="B7" s="35">
        <v>516.15843625420052</v>
      </c>
      <c r="C7" s="35">
        <v>505.60405151086616</v>
      </c>
      <c r="D7" s="35">
        <v>505.60405151086616</v>
      </c>
      <c r="E7" s="35">
        <v>504.46054298790557</v>
      </c>
      <c r="F7" s="35">
        <v>473.72886872915046</v>
      </c>
      <c r="G7" s="35">
        <v>376.73439521936763</v>
      </c>
      <c r="H7" s="35">
        <v>329.31942198716803</v>
      </c>
      <c r="I7" s="35">
        <v>328.28486129872653</v>
      </c>
      <c r="J7" s="35">
        <v>261.91185705107591</v>
      </c>
      <c r="K7" s="35">
        <v>261.91185705107591</v>
      </c>
      <c r="L7" s="35">
        <v>226.22774087909622</v>
      </c>
      <c r="M7" s="35">
        <v>226.16396103314386</v>
      </c>
    </row>
    <row r="8" spans="1:13">
      <c r="A8" s="53" t="s">
        <v>518</v>
      </c>
      <c r="B8" s="35">
        <v>2480.0999393586599</v>
      </c>
      <c r="C8" s="35">
        <v>1907.3124424816792</v>
      </c>
      <c r="D8" s="35">
        <v>1907.3124424816792</v>
      </c>
      <c r="E8" s="35">
        <v>1906.1689339587188</v>
      </c>
      <c r="F8" s="35">
        <v>1875.4372596999635</v>
      </c>
      <c r="G8" s="35">
        <v>1778.4427861901806</v>
      </c>
      <c r="H8" s="35">
        <v>1582.596234010633</v>
      </c>
      <c r="I8" s="35">
        <v>1478.4143049011184</v>
      </c>
      <c r="J8" s="35">
        <v>1113.7004535961232</v>
      </c>
      <c r="K8" s="35">
        <v>728.99778239051807</v>
      </c>
      <c r="L8" s="35">
        <v>616.03980258215256</v>
      </c>
      <c r="M8" s="35">
        <v>286.54534091804055</v>
      </c>
    </row>
    <row r="9" spans="1:13" s="45" customFormat="1">
      <c r="A9"/>
      <c r="B9"/>
      <c r="C9"/>
      <c r="D9"/>
      <c r="E9"/>
      <c r="F9"/>
      <c r="G9"/>
      <c r="H9"/>
    </row>
    <row r="10" spans="1:13" s="45" customFormat="1">
      <c r="A10" s="847" t="s">
        <v>563</v>
      </c>
      <c r="B10" s="847"/>
      <c r="C10" s="847"/>
      <c r="D10" s="847"/>
      <c r="E10" s="847"/>
      <c r="F10" s="847"/>
      <c r="G10" s="847"/>
      <c r="H10" s="847"/>
      <c r="I10" s="847"/>
      <c r="J10" s="847"/>
      <c r="K10" s="847"/>
      <c r="L10" s="847"/>
      <c r="M10" s="847"/>
    </row>
    <row r="11" spans="1:13" s="45" customFormat="1">
      <c r="A11" s="583"/>
      <c r="B11" s="583">
        <v>2009</v>
      </c>
      <c r="C11" s="583">
        <v>2010</v>
      </c>
      <c r="D11" s="583">
        <v>2011</v>
      </c>
      <c r="E11" s="583">
        <v>2012</v>
      </c>
      <c r="F11" s="583">
        <v>2013</v>
      </c>
      <c r="G11" s="583">
        <v>2014</v>
      </c>
      <c r="H11" s="583">
        <v>2015</v>
      </c>
      <c r="I11" s="583">
        <v>2016</v>
      </c>
      <c r="J11" s="583">
        <v>2017</v>
      </c>
      <c r="K11" s="583">
        <v>2018</v>
      </c>
      <c r="L11" s="583">
        <v>2019</v>
      </c>
      <c r="M11" s="583">
        <v>2020</v>
      </c>
    </row>
    <row r="12" spans="1:13" s="45" customFormat="1">
      <c r="A12" s="584" t="s">
        <v>17</v>
      </c>
      <c r="B12" s="35">
        <f>(GETPIVOTDATA("Sum of 2009",$A$3,"Rate Class","Residential")*1000)/2</f>
        <v>258079.21812710026</v>
      </c>
      <c r="C12" s="35">
        <f>(GETPIVOTDATA("Sum of 2010",$A$3,"Rate Class","Residential")*1000)</f>
        <v>505604.05151086615</v>
      </c>
      <c r="D12" s="35">
        <f>(GETPIVOTDATA("Sum of 2011",$A$3,"Rate Class","Residential")*1000)</f>
        <v>505604.05151086615</v>
      </c>
      <c r="E12" s="35">
        <f>(GETPIVOTDATA("Sum of 2012",$A$3,"Rate Class","Residential")*1000)</f>
        <v>504460.54298790556</v>
      </c>
      <c r="F12" s="35">
        <f>(GETPIVOTDATA("Sum of 2013",$A$3,"Rate Class","Residential")*1000)</f>
        <v>473728.86872915045</v>
      </c>
      <c r="G12" s="35">
        <f>(GETPIVOTDATA("Sum of 2014",$A$3,"Rate Class","Residential")*1000)</f>
        <v>376734.39521936764</v>
      </c>
      <c r="H12" s="35">
        <f>(GETPIVOTDATA("Sum of 2015",$A$3,"Rate Class","Residential")*1000)</f>
        <v>329319.42198716803</v>
      </c>
      <c r="I12" s="35">
        <f>(GETPIVOTDATA("Sum of 2016",$A$3,"Rate Class","Residential")*1000)</f>
        <v>328284.86129872652</v>
      </c>
      <c r="J12" s="35">
        <f>(GETPIVOTDATA("Sum of 2017",$A$3,"Rate Class","Residential")*1000)</f>
        <v>261911.8570510759</v>
      </c>
      <c r="K12" s="35">
        <f>(GETPIVOTDATA("Sum of 2018",$A$3,"Rate Class","Residential")*1000)</f>
        <v>261911.8570510759</v>
      </c>
      <c r="L12" s="35">
        <f>(GETPIVOTDATA("Sum of 2019",$A$3,"Rate Class","Residential")*1000)</f>
        <v>226227.74087909621</v>
      </c>
      <c r="M12" s="35">
        <f>(GETPIVOTDATA("Sum of 2020",$A$3,"Rate Class","Residential")*1000)</f>
        <v>226163.96103314386</v>
      </c>
    </row>
    <row r="13" spans="1:13" s="45" customFormat="1">
      <c r="A13" s="584" t="s">
        <v>70</v>
      </c>
      <c r="B13" s="35">
        <f>(GETPIVOTDATA("Sum of 2009",$A$3,"Rate Class","GS Less Than 50kW")*1000)/2</f>
        <v>341521.75913147489</v>
      </c>
      <c r="C13" s="35">
        <f>(GETPIVOTDATA("Sum of 2010",$A$3,"Rate Class","GS Less Than 50kW")*1000)</f>
        <v>683043.51826294977</v>
      </c>
      <c r="D13" s="35">
        <f>(GETPIVOTDATA("Sum of 2011",$A$3,"Rate Class","GS Less Than 50kW")*1000)</f>
        <v>683043.51826294977</v>
      </c>
      <c r="E13" s="35">
        <f>(GETPIVOTDATA("Sum of 2012",$A$3,"Rate Class","GS Less Than 50kW")*1000)</f>
        <v>683043.51826294977</v>
      </c>
      <c r="F13" s="35">
        <f>(GETPIVOTDATA("Sum of 2013",$A$3,"Rate Class","GS Less Than 50kW")*1000)</f>
        <v>683043.51826294977</v>
      </c>
      <c r="G13" s="35">
        <f>(GETPIVOTDATA("Sum of 2014",$A$3,"Rate Class","GS Less Than 50kW")*1000)</f>
        <v>683043.51826294977</v>
      </c>
      <c r="H13" s="35">
        <f>(GETPIVOTDATA("Sum of 2015",$A$3,"Rate Class","GS Less Than 50kW")*1000)</f>
        <v>683043.51826294977</v>
      </c>
      <c r="I13" s="35">
        <f>(GETPIVOTDATA("Sum of 2016",$A$3,"Rate Class","GS Less Than 50kW")*1000)</f>
        <v>683043.51826294977</v>
      </c>
      <c r="J13" s="35">
        <f>(GETPIVOTDATA("Sum of 2017",$A$3,"Rate Class","GS Less Than 50kW")*1000)</f>
        <v>384702.67120560509</v>
      </c>
      <c r="K13" s="35">
        <f>(GETPIVOTDATA("Sum of 2018",$A$3,"Rate Class","GS Less Than 50kW")*1000)</f>
        <v>0</v>
      </c>
      <c r="L13" s="35">
        <f>(GETPIVOTDATA("Sum of 2019",$A$3,"Rate Class","GS Less Than 50kW")*1000)</f>
        <v>0</v>
      </c>
      <c r="M13" s="35">
        <f>(GETPIVOTDATA("Sum of 2020",$A$3,"Rate Class","GS Less Than 50kW")*1000)</f>
        <v>0</v>
      </c>
    </row>
    <row r="14" spans="1:13" s="45" customFormat="1">
      <c r="A14" s="584" t="s">
        <v>71</v>
      </c>
      <c r="B14" s="35">
        <f>(GETPIVOTDATA("Sum of 2009",$A$3,"Rate Class","GS Greater Than 50kW")*1000)/2</f>
        <v>640448.99242075463</v>
      </c>
      <c r="C14" s="35">
        <f>GETPIVOTDATA("Sum of 2010",$A$3,"Rate Class","GS Greater Than 50kW")*1000</f>
        <v>718664.87270786322</v>
      </c>
      <c r="D14" s="35">
        <f>GETPIVOTDATA("Sum of 2011",$A$3,"Rate Class","GS Greater Than 50kW")*1000</f>
        <v>718664.87270786322</v>
      </c>
      <c r="E14" s="35">
        <f>GETPIVOTDATA("Sum of 2012",$A$3,"Rate Class","GS Greater Than 50kW")*1000</f>
        <v>718664.87270786322</v>
      </c>
      <c r="F14" s="35">
        <f>GETPIVOTDATA("Sum of 2013",$A$3,"Rate Class","GS Greater Than 50kW")*1000</f>
        <v>718664.87270786322</v>
      </c>
      <c r="G14" s="35">
        <f>GETPIVOTDATA("Sum of 2014",$A$3,"Rate Class","GS Greater Than 50kW")*1000</f>
        <v>718664.87270786322</v>
      </c>
      <c r="H14" s="35">
        <f>GETPIVOTDATA("Sum of 2015",$A$3,"Rate Class","GS Greater Than 50kW")*1000</f>
        <v>570233.2937605154</v>
      </c>
      <c r="I14" s="35">
        <f>GETPIVOTDATA("Sum of 2016",$A$3,"Rate Class","GS Greater Than 50kW")*1000</f>
        <v>467085.92533944215</v>
      </c>
      <c r="J14" s="35">
        <f>GETPIVOTDATA("Sum of 2017",$A$3,"Rate Class","GS Greater Than 50kW")*1000</f>
        <v>467085.92533944215</v>
      </c>
      <c r="K14" s="35">
        <f>GETPIVOTDATA("Sum of 2018",$A$3,"Rate Class","GS Greater Than 50kW")*1000</f>
        <v>467085.92533944215</v>
      </c>
      <c r="L14" s="35">
        <f>GETPIVOTDATA("Sum of 2019",$A$3,"Rate Class","GS Greater Than 50kW")*1000</f>
        <v>389812.06170305633</v>
      </c>
      <c r="M14" s="35">
        <f>GETPIVOTDATA("Sum of 2020",$A$3,"Rate Class","GS Greater Than 50kW")*1000</f>
        <v>60381.37988489672</v>
      </c>
    </row>
    <row r="15" spans="1:13" s="45" customFormat="1">
      <c r="A15" s="584"/>
    </row>
    <row r="16" spans="1:13">
      <c r="A16" s="582" t="s">
        <v>33</v>
      </c>
      <c r="B16" s="53">
        <v>2010</v>
      </c>
      <c r="C16" s="45"/>
      <c r="D16" s="45"/>
      <c r="E16" s="45"/>
      <c r="F16" s="45"/>
      <c r="G16" s="45"/>
      <c r="H16" s="45"/>
      <c r="I16" s="45"/>
      <c r="J16" s="45"/>
      <c r="K16" s="45"/>
      <c r="L16" s="45"/>
      <c r="M16" s="45"/>
    </row>
    <row r="17" spans="1:13">
      <c r="A17" s="847" t="s">
        <v>555</v>
      </c>
      <c r="B17" s="847"/>
      <c r="C17" s="847"/>
      <c r="D17" s="847"/>
      <c r="E17" s="847"/>
      <c r="F17" s="45"/>
      <c r="G17" s="45"/>
      <c r="H17" s="45"/>
      <c r="I17" s="45"/>
      <c r="J17" s="45"/>
      <c r="K17" s="45"/>
      <c r="L17" s="45"/>
      <c r="M17" s="45"/>
    </row>
    <row r="18" spans="1:13" s="45" customFormat="1">
      <c r="A18" s="582" t="s">
        <v>517</v>
      </c>
      <c r="B18" s="45" t="s">
        <v>557</v>
      </c>
      <c r="C18" s="45" t="s">
        <v>556</v>
      </c>
      <c r="D18" s="45" t="s">
        <v>544</v>
      </c>
      <c r="E18" s="45" t="s">
        <v>545</v>
      </c>
      <c r="F18" s="45" t="s">
        <v>546</v>
      </c>
      <c r="G18" s="45" t="s">
        <v>547</v>
      </c>
      <c r="H18" s="45" t="s">
        <v>548</v>
      </c>
      <c r="I18" s="45" t="s">
        <v>558</v>
      </c>
      <c r="J18" s="45" t="s">
        <v>559</v>
      </c>
      <c r="K18" s="45" t="s">
        <v>560</v>
      </c>
      <c r="L18" s="45" t="s">
        <v>561</v>
      </c>
      <c r="M18" s="45" t="s">
        <v>562</v>
      </c>
    </row>
    <row r="19" spans="1:13" s="45" customFormat="1">
      <c r="A19" s="53" t="s">
        <v>71</v>
      </c>
      <c r="B19" s="35">
        <v>0</v>
      </c>
      <c r="C19" s="35">
        <v>1396.8502120819032</v>
      </c>
      <c r="D19" s="35">
        <v>436.95446521984923</v>
      </c>
      <c r="E19" s="35">
        <v>436.95446521984923</v>
      </c>
      <c r="F19" s="35">
        <v>436.95446521984923</v>
      </c>
      <c r="G19" s="35">
        <v>436.95446521984923</v>
      </c>
      <c r="H19" s="35">
        <v>436.95446521984923</v>
      </c>
      <c r="I19" s="35">
        <v>436.95446521984923</v>
      </c>
      <c r="J19" s="35">
        <v>436.95446521984923</v>
      </c>
      <c r="K19" s="35">
        <v>434.36759725475298</v>
      </c>
      <c r="L19" s="35">
        <v>250.05325474166202</v>
      </c>
      <c r="M19" s="35">
        <v>196.16017213547786</v>
      </c>
    </row>
    <row r="20" spans="1:13" s="45" customFormat="1">
      <c r="A20" s="53" t="s">
        <v>70</v>
      </c>
      <c r="B20" s="35">
        <v>0</v>
      </c>
      <c r="C20" s="35">
        <v>539.41236895018005</v>
      </c>
      <c r="D20" s="35">
        <v>539.41236895018005</v>
      </c>
      <c r="E20" s="35">
        <v>539.41236895018005</v>
      </c>
      <c r="F20" s="35">
        <v>539.41236895018005</v>
      </c>
      <c r="G20" s="35">
        <v>539.41236895018005</v>
      </c>
      <c r="H20" s="35">
        <v>539.41236895018005</v>
      </c>
      <c r="I20" s="35">
        <v>539.41236895018005</v>
      </c>
      <c r="J20" s="35">
        <v>364.05128221036796</v>
      </c>
      <c r="K20" s="35">
        <v>0</v>
      </c>
      <c r="L20" s="35">
        <v>0</v>
      </c>
      <c r="M20" s="35">
        <v>0</v>
      </c>
    </row>
    <row r="21" spans="1:13" s="45" customFormat="1">
      <c r="A21" s="53" t="s">
        <v>58</v>
      </c>
      <c r="B21" s="35">
        <v>0</v>
      </c>
      <c r="C21" s="35">
        <v>0</v>
      </c>
      <c r="D21" s="35">
        <v>0</v>
      </c>
      <c r="E21" s="35">
        <v>0</v>
      </c>
      <c r="F21" s="35">
        <v>0</v>
      </c>
      <c r="G21" s="35">
        <v>0</v>
      </c>
      <c r="H21" s="35">
        <v>0</v>
      </c>
      <c r="I21" s="35">
        <v>0</v>
      </c>
      <c r="J21" s="35">
        <v>0</v>
      </c>
      <c r="K21" s="35">
        <v>0</v>
      </c>
      <c r="L21" s="35">
        <v>0</v>
      </c>
      <c r="M21" s="35">
        <v>0</v>
      </c>
    </row>
    <row r="22" spans="1:13" s="45" customFormat="1">
      <c r="A22" s="53" t="s">
        <v>17</v>
      </c>
      <c r="B22" s="35">
        <v>0</v>
      </c>
      <c r="C22" s="35">
        <v>353.18005590719395</v>
      </c>
      <c r="D22" s="35">
        <v>342.3839360958882</v>
      </c>
      <c r="E22" s="35">
        <v>339.88963870071018</v>
      </c>
      <c r="F22" s="35">
        <v>338.94724307090786</v>
      </c>
      <c r="G22" s="35">
        <v>313.90864148591652</v>
      </c>
      <c r="H22" s="35">
        <v>212.30515997988036</v>
      </c>
      <c r="I22" s="35">
        <v>203.06968140192828</v>
      </c>
      <c r="J22" s="35">
        <v>203.06968140192828</v>
      </c>
      <c r="K22" s="35">
        <v>202.30938723962851</v>
      </c>
      <c r="L22" s="35">
        <v>110.0217578223003</v>
      </c>
      <c r="M22" s="35">
        <v>94.821570593297565</v>
      </c>
    </row>
    <row r="23" spans="1:13" s="45" customFormat="1">
      <c r="A23" s="53" t="s">
        <v>518</v>
      </c>
      <c r="B23" s="35">
        <v>0</v>
      </c>
      <c r="C23" s="35">
        <v>2289.4426369392772</v>
      </c>
      <c r="D23" s="35">
        <v>1318.7507702659175</v>
      </c>
      <c r="E23" s="35">
        <v>1316.2564728707393</v>
      </c>
      <c r="F23" s="35">
        <v>1315.3140772409372</v>
      </c>
      <c r="G23" s="35">
        <v>1290.2754756559457</v>
      </c>
      <c r="H23" s="35">
        <v>1188.6719941499096</v>
      </c>
      <c r="I23" s="35">
        <v>1179.4365155719574</v>
      </c>
      <c r="J23" s="35">
        <v>1004.0754288321455</v>
      </c>
      <c r="K23" s="35">
        <v>636.67698449438149</v>
      </c>
      <c r="L23" s="35">
        <v>360.07501256396233</v>
      </c>
      <c r="M23" s="35">
        <v>290.98174272877543</v>
      </c>
    </row>
    <row r="24" spans="1:13" s="45" customFormat="1">
      <c r="A24" s="53"/>
      <c r="B24" s="37"/>
      <c r="C24" s="37"/>
      <c r="D24" s="37"/>
      <c r="E24" s="37"/>
    </row>
    <row r="25" spans="1:13" s="45" customFormat="1">
      <c r="A25" s="847" t="s">
        <v>564</v>
      </c>
      <c r="B25" s="847"/>
      <c r="C25" s="847"/>
      <c r="D25" s="847"/>
      <c r="E25" s="847"/>
      <c r="F25" s="847"/>
      <c r="G25" s="847"/>
      <c r="H25" s="847"/>
      <c r="I25" s="847"/>
      <c r="J25" s="847"/>
      <c r="K25" s="847"/>
      <c r="L25" s="847"/>
      <c r="M25" s="847"/>
    </row>
    <row r="26" spans="1:13" s="45" customFormat="1">
      <c r="A26" s="583"/>
      <c r="B26" s="583">
        <v>2009</v>
      </c>
      <c r="C26" s="583">
        <v>2010</v>
      </c>
      <c r="D26" s="583">
        <v>2011</v>
      </c>
      <c r="E26" s="583">
        <v>2012</v>
      </c>
      <c r="F26" s="583">
        <v>2013</v>
      </c>
      <c r="G26" s="583">
        <v>2014</v>
      </c>
      <c r="H26" s="583">
        <v>2015</v>
      </c>
      <c r="I26" s="583">
        <v>2016</v>
      </c>
      <c r="J26" s="583">
        <v>2017</v>
      </c>
      <c r="K26" s="583">
        <v>2018</v>
      </c>
      <c r="L26" s="583">
        <v>2019</v>
      </c>
      <c r="M26" s="583">
        <v>2020</v>
      </c>
    </row>
    <row r="27" spans="1:13" s="45" customFormat="1">
      <c r="A27" s="584" t="s">
        <v>17</v>
      </c>
      <c r="B27" s="35">
        <f>(GETPIVOTDATA("Sum of 2009",$A$18,"Rate Class","Residential")*1000)/2</f>
        <v>0</v>
      </c>
      <c r="C27" s="35">
        <f>(GETPIVOTDATA("Sum of 2010",$A$18,"Rate Class","Residential")*1000)/2</f>
        <v>176590.02795359696</v>
      </c>
      <c r="D27" s="35">
        <f>(GETPIVOTDATA("Sum of 2011",$A$18,"Rate Class","Residential")*1000)</f>
        <v>342383.9360958882</v>
      </c>
      <c r="E27" s="35">
        <f>(GETPIVOTDATA("Sum of 2012",$A$18,"Rate Class","Residential")*1000)</f>
        <v>339889.6387007102</v>
      </c>
      <c r="F27" s="35">
        <f>(GETPIVOTDATA("Sum of 2013",$A$18,"Rate Class","Residential")*1000)</f>
        <v>338947.24307090783</v>
      </c>
      <c r="G27" s="35">
        <f>(GETPIVOTDATA("Sum of 2014",$A$18,"Rate Class","Residential")*1000)</f>
        <v>313908.64148591651</v>
      </c>
      <c r="H27" s="35">
        <f>(GETPIVOTDATA("Sum of 2015",$A$18,"Rate Class","Residential")*1000)</f>
        <v>212305.15997988035</v>
      </c>
      <c r="I27" s="35">
        <f>(GETPIVOTDATA("Sum of 2016",$A$18,"Rate Class","Residential")*1000)</f>
        <v>203069.68140192828</v>
      </c>
      <c r="J27" s="35">
        <f>(GETPIVOTDATA("Sum of 2017",$A$18,"Rate Class","Residential")*1000)</f>
        <v>203069.68140192828</v>
      </c>
      <c r="K27" s="35">
        <f>(GETPIVOTDATA("Sum of 2018",$A$18,"Rate Class","Residential")*1000)</f>
        <v>202309.3872396285</v>
      </c>
      <c r="L27" s="35">
        <f>(GETPIVOTDATA("Sum of 2019",$A$18,"Rate Class","Residential")*1000)</f>
        <v>110021.75782230031</v>
      </c>
      <c r="M27" s="35">
        <f>(GETPIVOTDATA("Sum of 2020",$A$18,"Rate Class","Residential")*1000)</f>
        <v>94821.570593297569</v>
      </c>
    </row>
    <row r="28" spans="1:13" s="45" customFormat="1">
      <c r="A28" s="584" t="s">
        <v>70</v>
      </c>
      <c r="B28" s="35">
        <f>(GETPIVOTDATA("Sum of 2009",$A$18,"Rate Class","GS Less Than 50kW")*1000)/2</f>
        <v>0</v>
      </c>
      <c r="C28" s="35">
        <f>(GETPIVOTDATA("Sum of 2010",$A$18,"Rate Class","GS Less Than 50kW")*1000)/2</f>
        <v>269706.18447509001</v>
      </c>
      <c r="D28" s="35">
        <f>(GETPIVOTDATA("Sum of 2011",$A$18,"Rate Class","GS Less Than 50kW")*1000)</f>
        <v>539412.36895018001</v>
      </c>
      <c r="E28" s="35">
        <f>(GETPIVOTDATA("Sum of 2012",$A$18,"Rate Class","GS Less Than 50kW")*1000)</f>
        <v>539412.36895018001</v>
      </c>
      <c r="F28" s="35">
        <f>(GETPIVOTDATA("Sum of 2013",$A$18,"Rate Class","GS Less Than 50kW")*1000)</f>
        <v>539412.36895018001</v>
      </c>
      <c r="G28" s="35">
        <f>(GETPIVOTDATA("Sum of 2014",$A$18,"Rate Class","GS Less Than 50kW")*1000)</f>
        <v>539412.36895018001</v>
      </c>
      <c r="H28" s="35">
        <f>(GETPIVOTDATA("Sum of 2015",$A$18,"Rate Class","GS Less Than 50kW")*1000)</f>
        <v>539412.36895018001</v>
      </c>
      <c r="I28" s="35">
        <f>(GETPIVOTDATA("Sum of 2016",$A$18,"Rate Class","GS Less Than 50kW")*1000)</f>
        <v>539412.36895018001</v>
      </c>
      <c r="J28" s="35">
        <f>(GETPIVOTDATA("Sum of 2017",$A$18,"Rate Class","GS Less Than 50kW")*1000)</f>
        <v>364051.28221036796</v>
      </c>
      <c r="K28" s="35">
        <f>(GETPIVOTDATA("Sum of 2018",$A$18,"Rate Class","GS Less Than 50kW")*1000)</f>
        <v>0</v>
      </c>
      <c r="L28" s="35">
        <f>(GETPIVOTDATA("Sum of 2019",$A$18,"Rate Class","GS Less Than 50kW")*1000)</f>
        <v>0</v>
      </c>
      <c r="M28" s="35">
        <f>(GETPIVOTDATA("Sum of 2020",$A$18,"Rate Class","GS Less Than 50kW")*1000)</f>
        <v>0</v>
      </c>
    </row>
    <row r="29" spans="1:13" s="45" customFormat="1">
      <c r="A29" s="584" t="s">
        <v>71</v>
      </c>
      <c r="B29" s="35">
        <f>(GETPIVOTDATA("Sum of 2009",$A$18,"Rate Class","GS Greater Than 50kW")*1000)/2</f>
        <v>0</v>
      </c>
      <c r="C29" s="35">
        <f>(GETPIVOTDATA("Sum of 2010",$A$18,"Rate Class","GS Greater Than 50kW")*1000)/2</f>
        <v>698425.10604095156</v>
      </c>
      <c r="D29" s="35">
        <f>GETPIVOTDATA("Sum of 2011",$A$18,"Rate Class","GS Greater Than 50kW")*1000</f>
        <v>436954.46521984925</v>
      </c>
      <c r="E29" s="35">
        <f>GETPIVOTDATA("Sum of 2012",$A$18,"Rate Class","GS Greater Than 50kW")*1000</f>
        <v>436954.46521984925</v>
      </c>
      <c r="F29" s="35">
        <f>GETPIVOTDATA("Sum of 2013",$A$18,"Rate Class","GS Greater Than 50kW")*1000</f>
        <v>436954.46521984925</v>
      </c>
      <c r="G29" s="35">
        <f>GETPIVOTDATA("Sum of 2014",$A$18,"Rate Class","GS Greater Than 50kW")*1000</f>
        <v>436954.46521984925</v>
      </c>
      <c r="H29" s="35">
        <f>GETPIVOTDATA("Sum of 2015",$A$18,"Rate Class","GS Greater Than 50kW")*1000</f>
        <v>436954.46521984925</v>
      </c>
      <c r="I29" s="35">
        <f>GETPIVOTDATA("Sum of 2016",$A$18,"Rate Class","GS Greater Than 50kW")*1000</f>
        <v>436954.46521984925</v>
      </c>
      <c r="J29" s="35">
        <f>GETPIVOTDATA("Sum of 2017",$A$18,"Rate Class","GS Greater Than 50kW")*1000</f>
        <v>436954.46521984925</v>
      </c>
      <c r="K29" s="35">
        <f>GETPIVOTDATA("Sum of 2018",$A$18,"Rate Class","GS Greater Than 50kW")*1000</f>
        <v>434367.597254753</v>
      </c>
      <c r="L29" s="35">
        <f>GETPIVOTDATA("Sum of 2019",$A$18,"Rate Class","GS Greater Than 50kW")*1000</f>
        <v>250053.25474166201</v>
      </c>
      <c r="M29" s="35">
        <f>GETPIVOTDATA("Sum of 2020",$A$18,"Rate Class","GS Greater Than 50kW")*1000</f>
        <v>196160.17213547786</v>
      </c>
    </row>
    <row r="30" spans="1:13" s="45" customFormat="1">
      <c r="A30" s="53"/>
      <c r="B30" s="37"/>
      <c r="C30" s="37"/>
      <c r="D30" s="37"/>
      <c r="E30" s="37"/>
    </row>
    <row r="31" spans="1:13" s="45" customFormat="1">
      <c r="A31" s="582" t="s">
        <v>33</v>
      </c>
      <c r="B31" s="53">
        <v>2011</v>
      </c>
    </row>
    <row r="32" spans="1:13" s="45" customFormat="1">
      <c r="A32" s="847" t="s">
        <v>555</v>
      </c>
      <c r="B32" s="847"/>
      <c r="C32" s="847"/>
      <c r="D32" s="847"/>
      <c r="E32" s="847"/>
    </row>
    <row r="33" spans="1:13" s="45" customFormat="1">
      <c r="A33" s="582" t="s">
        <v>517</v>
      </c>
      <c r="B33" s="45" t="s">
        <v>557</v>
      </c>
      <c r="C33" s="45" t="s">
        <v>556</v>
      </c>
      <c r="D33" s="45" t="s">
        <v>544</v>
      </c>
      <c r="E33" s="45" t="s">
        <v>545</v>
      </c>
      <c r="F33" s="45" t="s">
        <v>546</v>
      </c>
      <c r="G33" s="45" t="s">
        <v>547</v>
      </c>
      <c r="H33" s="45" t="s">
        <v>548</v>
      </c>
      <c r="I33" s="45" t="s">
        <v>558</v>
      </c>
      <c r="J33" s="45" t="s">
        <v>559</v>
      </c>
      <c r="K33" s="45" t="s">
        <v>560</v>
      </c>
      <c r="L33" s="45" t="s">
        <v>561</v>
      </c>
      <c r="M33" s="45" t="s">
        <v>562</v>
      </c>
    </row>
    <row r="34" spans="1:13" s="45" customFormat="1">
      <c r="A34" s="53" t="s">
        <v>94</v>
      </c>
      <c r="B34" s="35"/>
      <c r="C34" s="35"/>
      <c r="D34" s="35">
        <v>50.352508925126152</v>
      </c>
      <c r="E34" s="35">
        <v>50.352508925126152</v>
      </c>
      <c r="F34" s="35">
        <v>50.352508925126152</v>
      </c>
      <c r="G34" s="35">
        <v>50.352508925126152</v>
      </c>
      <c r="H34" s="35">
        <v>50.352508925126152</v>
      </c>
      <c r="I34" s="35">
        <v>0</v>
      </c>
      <c r="J34" s="35">
        <v>0</v>
      </c>
      <c r="K34" s="35">
        <v>0</v>
      </c>
      <c r="L34" s="35">
        <v>0</v>
      </c>
      <c r="M34" s="35">
        <v>0</v>
      </c>
    </row>
    <row r="35" spans="1:13" s="45" customFormat="1">
      <c r="A35" s="53" t="s">
        <v>92</v>
      </c>
      <c r="B35" s="35"/>
      <c r="C35" s="35"/>
      <c r="D35" s="35">
        <v>280.23380610391155</v>
      </c>
      <c r="E35" s="35">
        <v>280.23380610391155</v>
      </c>
      <c r="F35" s="35">
        <v>279.64959994783732</v>
      </c>
      <c r="G35" s="35">
        <v>223.06773754160002</v>
      </c>
      <c r="H35" s="35">
        <v>223.06773754160002</v>
      </c>
      <c r="I35" s="35">
        <v>223.06773754160002</v>
      </c>
      <c r="J35" s="35">
        <v>71.325478788606588</v>
      </c>
      <c r="K35" s="35">
        <v>69.582806095061798</v>
      </c>
      <c r="L35" s="35">
        <v>69.582806095061798</v>
      </c>
      <c r="M35" s="35">
        <v>69.582806095061798</v>
      </c>
    </row>
    <row r="36" spans="1:13" s="45" customFormat="1">
      <c r="A36" s="53" t="s">
        <v>71</v>
      </c>
      <c r="B36" s="35"/>
      <c r="C36" s="35"/>
      <c r="D36" s="35">
        <v>79.337020424640002</v>
      </c>
      <c r="E36" s="35">
        <v>79.337020424640002</v>
      </c>
      <c r="F36" s="35">
        <v>79.337020424640002</v>
      </c>
      <c r="G36" s="35">
        <v>79.337020424640002</v>
      </c>
      <c r="H36" s="35">
        <v>79.337020424640002</v>
      </c>
      <c r="I36" s="35">
        <v>79.337020424640002</v>
      </c>
      <c r="J36" s="35">
        <v>79.337020424640002</v>
      </c>
      <c r="K36" s="35">
        <v>79.337020424640002</v>
      </c>
      <c r="L36" s="35">
        <v>79.337020424640002</v>
      </c>
      <c r="M36" s="35">
        <v>79.337020424640002</v>
      </c>
    </row>
    <row r="37" spans="1:13" s="45" customFormat="1">
      <c r="A37" s="53" t="s">
        <v>57</v>
      </c>
      <c r="B37" s="35"/>
      <c r="C37" s="35"/>
      <c r="D37" s="35">
        <v>775.65926400000012</v>
      </c>
      <c r="E37" s="35">
        <v>775.65926400000012</v>
      </c>
      <c r="F37" s="35">
        <v>775.65926400000012</v>
      </c>
      <c r="G37" s="35">
        <v>775.65926400000012</v>
      </c>
      <c r="H37" s="35">
        <v>775.65926400000001</v>
      </c>
      <c r="I37" s="35">
        <v>775.65926400000001</v>
      </c>
      <c r="J37" s="35">
        <v>775.65926400000001</v>
      </c>
      <c r="K37" s="35">
        <v>775.65926400000001</v>
      </c>
      <c r="L37" s="35">
        <v>775.65926400000001</v>
      </c>
      <c r="M37" s="35">
        <v>775.65926400000001</v>
      </c>
    </row>
    <row r="38" spans="1:13">
      <c r="A38" s="53" t="s">
        <v>128</v>
      </c>
      <c r="B38" s="35"/>
      <c r="C38" s="35"/>
      <c r="D38" s="35">
        <v>156.88929999999999</v>
      </c>
      <c r="E38" s="35">
        <v>0</v>
      </c>
      <c r="F38" s="35">
        <v>0</v>
      </c>
      <c r="G38" s="35">
        <v>0</v>
      </c>
      <c r="H38" s="35">
        <v>0</v>
      </c>
      <c r="I38" s="35">
        <v>0</v>
      </c>
      <c r="J38" s="35">
        <v>0</v>
      </c>
      <c r="K38" s="35">
        <v>0</v>
      </c>
      <c r="L38" s="35">
        <v>0</v>
      </c>
      <c r="M38" s="35">
        <v>0</v>
      </c>
    </row>
    <row r="39" spans="1:13" s="45" customFormat="1">
      <c r="A39" s="53" t="s">
        <v>58</v>
      </c>
      <c r="B39" s="35"/>
      <c r="C39" s="35"/>
      <c r="D39" s="35">
        <v>0</v>
      </c>
      <c r="E39" s="35">
        <v>0</v>
      </c>
      <c r="F39" s="35">
        <v>0</v>
      </c>
      <c r="G39" s="35">
        <v>0</v>
      </c>
      <c r="H39" s="35">
        <v>0</v>
      </c>
      <c r="I39" s="35">
        <v>0</v>
      </c>
      <c r="J39" s="35">
        <v>0</v>
      </c>
      <c r="K39" s="35">
        <v>0</v>
      </c>
      <c r="L39" s="35">
        <v>0</v>
      </c>
      <c r="M39" s="35">
        <v>0</v>
      </c>
    </row>
    <row r="40" spans="1:13" s="45" customFormat="1">
      <c r="A40" s="53" t="s">
        <v>17</v>
      </c>
      <c r="B40" s="35"/>
      <c r="C40" s="35"/>
      <c r="D40" s="35">
        <v>515.22678899595735</v>
      </c>
      <c r="E40" s="35">
        <v>515.22678899595735</v>
      </c>
      <c r="F40" s="35">
        <v>515.22678899595735</v>
      </c>
      <c r="G40" s="35">
        <v>513.72336507721809</v>
      </c>
      <c r="H40" s="35">
        <v>475.42165797824237</v>
      </c>
      <c r="I40" s="35">
        <v>398.79939189009451</v>
      </c>
      <c r="J40" s="35">
        <v>345.41151781831417</v>
      </c>
      <c r="K40" s="35">
        <v>344.68368655104518</v>
      </c>
      <c r="L40" s="35">
        <v>387.74531256258706</v>
      </c>
      <c r="M40" s="35">
        <v>253.81529230881745</v>
      </c>
    </row>
    <row r="41" spans="1:13" s="45" customFormat="1">
      <c r="A41" s="53" t="s">
        <v>93</v>
      </c>
      <c r="B41" s="35"/>
      <c r="C41" s="35"/>
      <c r="D41" s="35">
        <v>1936.2331365028099</v>
      </c>
      <c r="E41" s="35">
        <v>1936.2331365028099</v>
      </c>
      <c r="F41" s="35">
        <v>1936.2331365028099</v>
      </c>
      <c r="G41" s="35">
        <v>1935.3528884965317</v>
      </c>
      <c r="H41" s="35">
        <v>1935.3528884965317</v>
      </c>
      <c r="I41" s="35">
        <v>1935.3528884965317</v>
      </c>
      <c r="J41" s="35">
        <v>1926.3096111068055</v>
      </c>
      <c r="K41" s="35">
        <v>1926.3096111068055</v>
      </c>
      <c r="L41" s="35">
        <v>1926.3096111068055</v>
      </c>
      <c r="M41" s="35">
        <v>1408.9493532965741</v>
      </c>
    </row>
    <row r="42" spans="1:13" s="45" customFormat="1">
      <c r="A42" s="53" t="s">
        <v>518</v>
      </c>
      <c r="B42" s="35"/>
      <c r="C42" s="35"/>
      <c r="D42" s="35">
        <v>3793.9318249524449</v>
      </c>
      <c r="E42" s="35">
        <v>3637.0425249524451</v>
      </c>
      <c r="F42" s="35">
        <v>3636.4583187963708</v>
      </c>
      <c r="G42" s="35">
        <v>3577.4927844651161</v>
      </c>
      <c r="H42" s="35">
        <v>3539.1910773661402</v>
      </c>
      <c r="I42" s="35">
        <v>3412.2163023528665</v>
      </c>
      <c r="J42" s="35">
        <v>3198.0428921383664</v>
      </c>
      <c r="K42" s="35">
        <v>3195.5723881775525</v>
      </c>
      <c r="L42" s="35">
        <v>3238.6340141890942</v>
      </c>
      <c r="M42" s="35">
        <v>2587.3437361250935</v>
      </c>
    </row>
    <row r="43" spans="1:13" s="45" customFormat="1">
      <c r="A43"/>
      <c r="B43"/>
      <c r="C43"/>
      <c r="D43"/>
      <c r="E43"/>
      <c r="F43"/>
      <c r="G43"/>
    </row>
    <row r="44" spans="1:13" s="45" customFormat="1">
      <c r="A44" s="847" t="s">
        <v>565</v>
      </c>
      <c r="B44" s="847"/>
      <c r="C44" s="847"/>
      <c r="D44" s="847"/>
      <c r="E44" s="847"/>
      <c r="F44" s="847"/>
      <c r="G44" s="847"/>
      <c r="H44" s="847"/>
      <c r="I44" s="847"/>
      <c r="J44" s="847"/>
      <c r="K44" s="847"/>
      <c r="L44" s="847"/>
      <c r="M44" s="847"/>
    </row>
    <row r="45" spans="1:13" s="45" customFormat="1">
      <c r="A45" s="583"/>
      <c r="B45" s="583">
        <v>2009</v>
      </c>
      <c r="C45" s="583">
        <v>2010</v>
      </c>
      <c r="D45" s="583">
        <v>2011</v>
      </c>
      <c r="E45" s="583">
        <v>2012</v>
      </c>
      <c r="F45" s="583">
        <v>2013</v>
      </c>
      <c r="G45" s="583">
        <v>2014</v>
      </c>
      <c r="H45" s="583">
        <v>2015</v>
      </c>
      <c r="I45" s="583">
        <v>2016</v>
      </c>
      <c r="J45" s="583">
        <v>2017</v>
      </c>
      <c r="K45" s="583">
        <v>2018</v>
      </c>
      <c r="L45" s="583">
        <v>2019</v>
      </c>
      <c r="M45" s="583">
        <v>2020</v>
      </c>
    </row>
    <row r="46" spans="1:13" s="45" customFormat="1">
      <c r="A46" s="585" t="s">
        <v>17</v>
      </c>
      <c r="B46" s="594"/>
      <c r="C46" s="594"/>
      <c r="D46" s="595">
        <f>((GETPIVOTDATA("Sum of 2011",$A$33,"Rate Class","Residential")+((GETPIVOTDATA("Sum of 2011",$A$33,"Rate Class","RF 2011")*'Allocation to Rate Classes'!$H$50)))*1000)/2</f>
        <v>259175.21868655752</v>
      </c>
      <c r="E46" s="595">
        <f>((GETPIVOTDATA("Sum of 2012",$A$33,"Rate Class","Residential")+((GETPIVOTDATA("Sum of 2012",$A$33,"Rate Class","RF 2011")*'Allocation to Rate Classes'!$H$50)))*1000)</f>
        <v>518350.43737311504</v>
      </c>
      <c r="F46" s="595">
        <f>((GETPIVOTDATA("Sum of 2013",$A$33,"Rate Class","Residential")+((GETPIVOTDATA("Sum of 2013",$A$33,"Rate Class","RF 2011")*'Allocation to Rate Classes'!$H$50)))*1000)</f>
        <v>518350.43737311504</v>
      </c>
      <c r="G46" s="595">
        <f>((GETPIVOTDATA("Sum of 2014",$A$33,"Rate Class","Residential")+((GETPIVOTDATA("Sum of 2014",$A$33,"Rate Class","RF 2011")*'Allocation to Rate Classes'!$H$50)))*1000)</f>
        <v>516845.59338506463</v>
      </c>
      <c r="H46" s="595">
        <f>((GETPIVOTDATA("Sum of 2015",$A$33,"Rate Class","Residential")+((GETPIVOTDATA("Sum of 2015",$A$33,"Rate Class","RF 2011")*'Allocation to Rate Classes'!$H$50)))*1000)</f>
        <v>478543.88628608891</v>
      </c>
      <c r="I46" s="595">
        <f>((GETPIVOTDATA("Sum of 2016",$A$33,"Rate Class","Residential")+((GETPIVOTDATA("Sum of 2016",$A$33,"Rate Class","RF 2011")*'Allocation to Rate Classes'!$H$50)))*1000)</f>
        <v>401921.62019794108</v>
      </c>
      <c r="J46" s="595">
        <f>((GETPIVOTDATA("Sum of 2017",$A$33,"Rate Class","Residential")+((GETPIVOTDATA("Sum of 2017",$A$33,"Rate Class","RF 2011")*'Allocation to Rate Classes'!$H$50)))*1000)</f>
        <v>348519.15696424112</v>
      </c>
      <c r="K46" s="595">
        <f>((GETPIVOTDATA("Sum of 2018",$A$33,"Rate Class","Residential")+((GETPIVOTDATA("Sum of 2018",$A$33,"Rate Class","RF 2011")*'Allocation to Rate Classes'!$H$50)))*1000)</f>
        <v>347791.32569697214</v>
      </c>
      <c r="L46" s="595">
        <f>((GETPIVOTDATA("Sum of 2019",$A$33,"Rate Class","Residential")+((GETPIVOTDATA("Sum of 2019",$A$33,"Rate Class","RF 2011")*'Allocation to Rate Classes'!$H$50)))*1000)</f>
        <v>390852.95170851401</v>
      </c>
      <c r="M46" s="595">
        <f>((GETPIVOTDATA("Sum of 2020",$A$33,"Rate Class","Residential")+((GETPIVOTDATA("Sum of 2020",$A$33,"Rate Class","RF 2011")*'Allocation to Rate Classes'!$H$50)))*1000)</f>
        <v>256088.29460278258</v>
      </c>
    </row>
    <row r="47" spans="1:13" s="45" customFormat="1">
      <c r="A47" s="585" t="s">
        <v>70</v>
      </c>
      <c r="B47" s="594"/>
      <c r="C47" s="594"/>
      <c r="D47" s="595">
        <f>(((GETPIVOTDATA("Sum of 2011",$A$33,"Rate Class","DI 2011")*'Allocation to Rate Classes'!$B$36)+(GETPIVOTDATA("Sum of 2011",'KH MWh Savings Pivot'!$A$33,"Rate Class","RF 2011")*'Allocation to Rate Classes'!$B$50))*1000)/2</f>
        <v>332629.70705580758</v>
      </c>
      <c r="E47" s="595">
        <f>(((GETPIVOTDATA("Sum of 2012",$A$33,"Rate Class","DI 2011")*'Allocation to Rate Classes'!$B$36)+(GETPIVOTDATA("Sum of 2012",'KH MWh Savings Pivot'!$A$33,"Rate Class","RF 2011")*'Allocation to Rate Classes'!$B$50))*1000)</f>
        <v>665259.41411161516</v>
      </c>
      <c r="F47" s="595">
        <f>(((GETPIVOTDATA("Sum of 2013",$A$33,"Rate Class","DI 2011")*'Allocation to Rate Classes'!$B$36)+(GETPIVOTDATA("Sum of 2013",'KH MWh Savings Pivot'!$A$33,"Rate Class","RF 2011")*'Allocation to Rate Classes'!$B$50))*1000)</f>
        <v>664680.61727180087</v>
      </c>
      <c r="G47" s="595">
        <f>(((GETPIVOTDATA("Sum of 2014",$A$33,"Rate Class","DI 2011")*'Allocation to Rate Classes'!$B$36)+(GETPIVOTDATA("Sum of 2014",'KH MWh Savings Pivot'!$A$33,"Rate Class","RF 2011")*'Allocation to Rate Classes'!$B$50))*1000)</f>
        <v>608446.44148929615</v>
      </c>
      <c r="H47" s="595">
        <f>(((GETPIVOTDATA("Sum of 2015",$A$33,"Rate Class","DI 2011")*'Allocation to Rate Classes'!$B$36)+(GETPIVOTDATA("Sum of 2015",'KH MWh Savings Pivot'!$A$33,"Rate Class","RF 2011")*'Allocation to Rate Classes'!$B$50))*1000)</f>
        <v>608446.44148929615</v>
      </c>
      <c r="I47" s="595">
        <f>(((GETPIVOTDATA("Sum of 2016",$A$33,"Rate Class","DI 2011")*'Allocation to Rate Classes'!$B$36)+(GETPIVOTDATA("Sum of 2016",'KH MWh Savings Pivot'!$A$33,"Rate Class","RF 2011")*'Allocation to Rate Classes'!$B$50))*1000)</f>
        <v>608446.44148929615</v>
      </c>
      <c r="J47" s="595">
        <f>(((GETPIVOTDATA("Sum of 2017",$A$33,"Rate Class","DI 2011")*'Allocation to Rate Classes'!$B$36)+(GETPIVOTDATA("Sum of 2017",'KH MWh Savings Pivot'!$A$33,"Rate Class","RF 2011")*'Allocation to Rate Classes'!$B$50))*1000)</f>
        <v>456298.80260920519</v>
      </c>
      <c r="K47" s="595">
        <f>(((GETPIVOTDATA("Sum of 2018",$A$33,"Rate Class","DI 2011")*'Allocation to Rate Classes'!$B$36)+(GETPIVOTDATA("Sum of 2018",'KH MWh Savings Pivot'!$A$33,"Rate Class","RF 2011")*'Allocation to Rate Classes'!$B$50))*1000)</f>
        <v>454572.26577393396</v>
      </c>
      <c r="L47" s="595">
        <f>(((GETPIVOTDATA("Sum of 2019",$A$33,"Rate Class","DI 2011")*'Allocation to Rate Classes'!$B$36)+(GETPIVOTDATA("Sum of 2019",'KH MWh Savings Pivot'!$A$33,"Rate Class","RF 2011")*'Allocation to Rate Classes'!$B$50))*1000)</f>
        <v>454572.26577393396</v>
      </c>
      <c r="M47" s="595">
        <f>(((GETPIVOTDATA("Sum of 2020",$A$33,"Rate Class","DI 2011")*'Allocation to Rate Classes'!$B$36)+(GETPIVOTDATA("Sum of 2020",'KH MWh Savings Pivot'!$A$33,"Rate Class","RF 2011")*'Allocation to Rate Classes'!$B$50))*1000)</f>
        <v>351000.35161120637</v>
      </c>
    </row>
    <row r="48" spans="1:13" s="45" customFormat="1">
      <c r="A48" s="585" t="s">
        <v>71</v>
      </c>
      <c r="B48" s="594"/>
      <c r="C48" s="594"/>
      <c r="D48" s="595">
        <f>((GETPIVOTDATA("Sum of 2011",$A$33,"Rate Class","GS Greater Than 50kW")+(GETPIVOTDATA("Sum of 2011",$A$33,"Rate Class","AU 2011")*'Allocation to Rate Classes'!$D$43)+(GETPIVOTDATA("Sum of 2011",'KH MWh Savings Pivot'!$A$33,"Rate Class","DI 2011")*'Allocation to Rate Classes'!$D$36)+(GETPIVOTDATA("Sum of 2011",'KH MWh Savings Pivot'!$A$33,"Rate Class","RF 2011")*'Allocation to Rate Classes'!$D$50))*1000)/2</f>
        <v>609272.08906501881</v>
      </c>
      <c r="E48" s="595">
        <f>((GETPIVOTDATA("Sum of 2012",$A$33,"Rate Class","GS Greater Than 50kW")+(GETPIVOTDATA("Sum of 2012",$A$33,"Rate Class","AU 2011")*'Allocation to Rate Classes'!$D$43)+(GETPIVOTDATA("Sum of 2012",'KH MWh Savings Pivot'!$A$33,"Rate Class","DI 2011")*'Allocation to Rate Classes'!$D$36)+(GETPIVOTDATA("Sum of 2012",'KH MWh Savings Pivot'!$A$33,"Rate Class","RF 2011")*'Allocation to Rate Classes'!$D$50))*1000)</f>
        <v>1218544.1781300376</v>
      </c>
      <c r="F48" s="595">
        <f>((GETPIVOTDATA("Sum of 2013",$A$33,"Rate Class","GS Greater Than 50kW")+(GETPIVOTDATA("Sum of 2013",$A$33,"Rate Class","AU 2011")*'Allocation to Rate Classes'!$D$43)+(GETPIVOTDATA("Sum of 2013",'KH MWh Savings Pivot'!$A$33,"Rate Class","DI 2011")*'Allocation to Rate Classes'!$D$36)+(GETPIVOTDATA("Sum of 2013",'KH MWh Savings Pivot'!$A$33,"Rate Class","RF 2011")*'Allocation to Rate Classes'!$D$50))*1000)</f>
        <v>1218538.7688137775</v>
      </c>
      <c r="G48" s="595">
        <f>((GETPIVOTDATA("Sum of 2014",$A$33,"Rate Class","GS Greater Than 50kW")+(GETPIVOTDATA("Sum of 2014",$A$33,"Rate Class","AU 2011")*'Allocation to Rate Classes'!$D$43)+(GETPIVOTDATA("Sum of 2014",'KH MWh Savings Pivot'!$A$33,"Rate Class","DI 2011")*'Allocation to Rate Classes'!$D$36)+(GETPIVOTDATA("Sum of 2014",'KH MWh Savings Pivot'!$A$33,"Rate Class","RF 2011")*'Allocation to Rate Classes'!$D$50))*1000)</f>
        <v>1217521.0285001916</v>
      </c>
      <c r="H48" s="595">
        <f>((GETPIVOTDATA("Sum of 2015",$A$33,"Rate Class","GS Greater Than 50kW")+(GETPIVOTDATA("Sum of 2015",$A$33,"Rate Class","AU 2011")*'Allocation to Rate Classes'!$D$43)+(GETPIVOTDATA("Sum of 2015",'KH MWh Savings Pivot'!$A$33,"Rate Class","DI 2011")*'Allocation to Rate Classes'!$D$36)+(GETPIVOTDATA("Sum of 2015",'KH MWh Savings Pivot'!$A$33,"Rate Class","RF 2011")*'Allocation to Rate Classes'!$D$50))*1000)</f>
        <v>1217521.0285001916</v>
      </c>
      <c r="I48" s="595">
        <f>((GETPIVOTDATA("Sum of 2016",$A$33,"Rate Class","GS Greater Than 50kW")+(GETPIVOTDATA("Sum of 2016",$A$33,"Rate Class","AU 2011")*'Allocation to Rate Classes'!$D$43)+(GETPIVOTDATA("Sum of 2016",'KH MWh Savings Pivot'!$A$33,"Rate Class","DI 2011")*'Allocation to Rate Classes'!$D$36)+(GETPIVOTDATA("Sum of 2016",'KH MWh Savings Pivot'!$A$33,"Rate Class","RF 2011")*'Allocation to Rate Classes'!$D$50))*1000)</f>
        <v>1167168.5195750655</v>
      </c>
      <c r="J48" s="595">
        <f>((GETPIVOTDATA("Sum of 2017",$A$33,"Rate Class","GS Greater Than 50kW")+(GETPIVOTDATA("Sum of 2017",$A$33,"Rate Class","AU 2011")*'Allocation to Rate Classes'!$D$43)+(GETPIVOTDATA("Sum of 2017",'KH MWh Savings Pivot'!$A$33,"Rate Class","DI 2011")*'Allocation to Rate Classes'!$D$36)+(GETPIVOTDATA("Sum of 2017",'KH MWh Savings Pivot'!$A$33,"Rate Class","RF 2011")*'Allocation to Rate Classes'!$D$50))*1000)</f>
        <v>1160690.0654416622</v>
      </c>
      <c r="K48" s="595">
        <f>((GETPIVOTDATA("Sum of 2018",$A$33,"Rate Class","GS Greater Than 50kW")+(GETPIVOTDATA("Sum of 2018",$A$33,"Rate Class","AU 2011")*'Allocation to Rate Classes'!$D$43)+(GETPIVOTDATA("Sum of 2018",'KH MWh Savings Pivot'!$A$33,"Rate Class","DI 2011")*'Allocation to Rate Classes'!$D$36)+(GETPIVOTDATA("Sum of 2018",'KH MWh Savings Pivot'!$A$33,"Rate Class","RF 2011")*'Allocation to Rate Classes'!$D$50))*1000)</f>
        <v>1160673.9295833888</v>
      </c>
      <c r="L48" s="595">
        <f>((GETPIVOTDATA("Sum of 2019",$A$33,"Rate Class","GS Greater Than 50kW")+(GETPIVOTDATA("Sum of 2019",$A$33,"Rate Class","AU 2011")*'Allocation to Rate Classes'!$D$43)+(GETPIVOTDATA("Sum of 2019",'KH MWh Savings Pivot'!$A$33,"Rate Class","DI 2011")*'Allocation to Rate Classes'!$D$36)+(GETPIVOTDATA("Sum of 2019",'KH MWh Savings Pivot'!$A$33,"Rate Class","RF 2011")*'Allocation to Rate Classes'!$D$50))*1000)</f>
        <v>1160673.9295833888</v>
      </c>
      <c r="M48" s="595">
        <f>((GETPIVOTDATA("Sum of 2020",$A$33,"Rate Class","GS Greater Than 50kW")+(GETPIVOTDATA("Sum of 2020",$A$33,"Rate Class","AU 2011")*'Allocation to Rate Classes'!$D$43)+(GETPIVOTDATA("Sum of 2020",'KH MWh Savings Pivot'!$A$33,"Rate Class","DI 2011")*'Allocation to Rate Classes'!$D$36)+(GETPIVOTDATA("Sum of 2020",'KH MWh Savings Pivot'!$A$33,"Rate Class","RF 2011")*'Allocation to Rate Classes'!$D$50))*1000)</f>
        <v>870425.9801885183</v>
      </c>
    </row>
    <row r="49" spans="1:13" s="45" customFormat="1">
      <c r="A49" s="585" t="s">
        <v>57</v>
      </c>
      <c r="B49" s="594"/>
      <c r="C49" s="594"/>
      <c r="D49" s="595">
        <f>((GETPIVOTDATA("Sum of 2011",$A$33,"Rate Class","Large User")+(GETPIVOTDATA("Sum of 2011",$A$33,"Rate Class","RF 2011")*'Allocation to Rate Classes'!$F$50))*1000)/2</f>
        <v>617444.24766883871</v>
      </c>
      <c r="E49" s="595">
        <f>((GETPIVOTDATA("Sum of 2012",$A$33,"Rate Class","Large User")+(GETPIVOTDATA("Sum of 2012",$A$33,"Rate Class","RF 2011")*'Allocation to Rate Classes'!$F$50))*1000)</f>
        <v>1234888.4953376774</v>
      </c>
      <c r="F49" s="595">
        <f>((GETPIVOTDATA("Sum of 2013",$A$33,"Rate Class","Large User")+(GETPIVOTDATA("Sum of 2013",$A$33,"Rate Class","RF 2011")*'Allocation to Rate Classes'!$F$50))*1000)</f>
        <v>1234888.4953376774</v>
      </c>
      <c r="G49" s="595">
        <f>((GETPIVOTDATA("Sum of 2014",$A$33,"Rate Class","Large User")+(GETPIVOTDATA("Sum of 2014",$A$33,"Rate Class","RF 2011")*'Allocation to Rate Classes'!$F$50))*1000)</f>
        <v>1234679.7210905638</v>
      </c>
      <c r="H49" s="595">
        <f>((GETPIVOTDATA("Sum of 2015",$A$33,"Rate Class","Large User")+(GETPIVOTDATA("Sum of 2015",$A$33,"Rate Class","RF 2011")*'Allocation to Rate Classes'!$F$50))*1000)</f>
        <v>1234679.7210905636</v>
      </c>
      <c r="I49" s="595">
        <f>((GETPIVOTDATA("Sum of 2016",$A$33,"Rate Class","Large User")+(GETPIVOTDATA("Sum of 2016",$A$33,"Rate Class","RF 2011")*'Allocation to Rate Classes'!$F$50))*1000)</f>
        <v>1234679.7210905636</v>
      </c>
      <c r="J49" s="595">
        <f>((GETPIVOTDATA("Sum of 2017",$A$33,"Rate Class","Large User")+(GETPIVOTDATA("Sum of 2017",$A$33,"Rate Class","RF 2011")*'Allocation to Rate Classes'!$F$50))*1000)</f>
        <v>1232534.8671232576</v>
      </c>
      <c r="K49" s="595">
        <f>((GETPIVOTDATA("Sum of 2018",$A$33,"Rate Class","Large User")+(GETPIVOTDATA("Sum of 2018",$A$33,"Rate Class","RF 2011")*'Allocation to Rate Classes'!$F$50))*1000)</f>
        <v>1232534.8671232576</v>
      </c>
      <c r="L49" s="595">
        <f>((GETPIVOTDATA("Sum of 2019",$A$33,"Rate Class","Large User")+(GETPIVOTDATA("Sum of 2019",$A$33,"Rate Class","RF 2011")*'Allocation to Rate Classes'!$F$50))*1000)</f>
        <v>1232534.8671232576</v>
      </c>
      <c r="M49" s="595">
        <f>((GETPIVOTDATA("Sum of 2020",$A$33,"Rate Class","Large User")+(GETPIVOTDATA("Sum of 2020",$A$33,"Rate Class","RF 2011")*'Allocation to Rate Classes'!$F$50))*1000)</f>
        <v>1109829.1097225861</v>
      </c>
    </row>
    <row r="50" spans="1:13" s="45" customFormat="1">
      <c r="A50" s="583"/>
      <c r="B50" s="583"/>
      <c r="C50" s="583"/>
      <c r="D50" s="583"/>
      <c r="E50" s="583"/>
      <c r="F50" s="583"/>
      <c r="G50" s="583"/>
    </row>
    <row r="51" spans="1:13">
      <c r="A51" s="582" t="s">
        <v>33</v>
      </c>
      <c r="B51" s="53">
        <v>2012</v>
      </c>
      <c r="C51" s="45"/>
      <c r="D51" s="45"/>
      <c r="E51" s="45"/>
      <c r="F51" s="45"/>
      <c r="G51" s="45"/>
      <c r="H51" s="45"/>
      <c r="I51" s="45"/>
      <c r="J51" s="45"/>
      <c r="K51" s="45"/>
      <c r="L51" s="45"/>
      <c r="M51" s="45"/>
    </row>
    <row r="52" spans="1:13">
      <c r="A52" s="847" t="s">
        <v>555</v>
      </c>
      <c r="B52" s="847"/>
      <c r="C52" s="847"/>
      <c r="D52" s="847"/>
      <c r="E52" s="847"/>
      <c r="F52" s="45"/>
      <c r="G52" s="45"/>
      <c r="H52" s="45"/>
      <c r="I52" s="45"/>
      <c r="J52" s="45"/>
      <c r="K52" s="45"/>
      <c r="L52" s="45"/>
      <c r="M52" s="45"/>
    </row>
    <row r="53" spans="1:13">
      <c r="A53" s="582" t="s">
        <v>517</v>
      </c>
      <c r="B53" s="45" t="s">
        <v>557</v>
      </c>
      <c r="C53" s="45" t="s">
        <v>556</v>
      </c>
      <c r="D53" s="45" t="s">
        <v>544</v>
      </c>
      <c r="E53" s="45" t="s">
        <v>545</v>
      </c>
      <c r="F53" s="45" t="s">
        <v>546</v>
      </c>
      <c r="G53" s="45" t="s">
        <v>547</v>
      </c>
      <c r="H53" s="45" t="s">
        <v>548</v>
      </c>
      <c r="I53" s="45" t="s">
        <v>558</v>
      </c>
      <c r="J53" s="45" t="s">
        <v>559</v>
      </c>
      <c r="K53" s="45" t="s">
        <v>560</v>
      </c>
      <c r="L53" s="45" t="s">
        <v>561</v>
      </c>
      <c r="M53" s="45" t="s">
        <v>562</v>
      </c>
    </row>
    <row r="54" spans="1:13">
      <c r="A54" s="53" t="s">
        <v>97</v>
      </c>
      <c r="B54" s="35"/>
      <c r="C54" s="35"/>
      <c r="D54" s="35">
        <v>0</v>
      </c>
      <c r="E54" s="35">
        <v>176.2337812379414</v>
      </c>
      <c r="F54" s="35">
        <v>176.2337812379414</v>
      </c>
      <c r="G54" s="35">
        <v>176.2337812379414</v>
      </c>
      <c r="H54" s="35">
        <v>176.2337812379414</v>
      </c>
      <c r="I54" s="35">
        <v>0</v>
      </c>
      <c r="J54" s="35">
        <v>0</v>
      </c>
      <c r="K54" s="35">
        <v>0</v>
      </c>
      <c r="L54" s="35">
        <v>0</v>
      </c>
      <c r="M54" s="35">
        <v>0</v>
      </c>
    </row>
    <row r="55" spans="1:13">
      <c r="A55" s="53" t="s">
        <v>95</v>
      </c>
      <c r="B55" s="35"/>
      <c r="C55" s="35"/>
      <c r="D55" s="35">
        <v>0</v>
      </c>
      <c r="E55" s="35">
        <v>1008.2063527030492</v>
      </c>
      <c r="F55" s="35">
        <v>1008.2063527030512</v>
      </c>
      <c r="G55" s="35">
        <v>998.04140248741419</v>
      </c>
      <c r="H55" s="35">
        <v>733.28151303773177</v>
      </c>
      <c r="I55" s="35">
        <v>733.28151303773177</v>
      </c>
      <c r="J55" s="35">
        <v>221.54231818109776</v>
      </c>
      <c r="K55" s="35">
        <v>221.54231818109776</v>
      </c>
      <c r="L55" s="35">
        <v>221.40007031714251</v>
      </c>
      <c r="M55" s="35">
        <v>221.40007031714251</v>
      </c>
    </row>
    <row r="56" spans="1:13">
      <c r="A56" s="53" t="s">
        <v>98</v>
      </c>
      <c r="B56" s="35"/>
      <c r="C56" s="35"/>
      <c r="D56" s="35">
        <v>0</v>
      </c>
      <c r="E56" s="35">
        <v>1.5969099999999998</v>
      </c>
      <c r="F56" s="35">
        <v>1.5969099999999998</v>
      </c>
      <c r="G56" s="35">
        <v>1.5969099999999998</v>
      </c>
      <c r="H56" s="35">
        <v>1.5969099999999998</v>
      </c>
      <c r="I56" s="35">
        <v>1.5969099999999998</v>
      </c>
      <c r="J56" s="35">
        <v>1.5969099999999998</v>
      </c>
      <c r="K56" s="35">
        <v>1.5969099999999998</v>
      </c>
      <c r="L56" s="35">
        <v>1.5969099999999998</v>
      </c>
      <c r="M56" s="35">
        <v>1.5969099999999998</v>
      </c>
    </row>
    <row r="57" spans="1:13">
      <c r="A57" s="53" t="s">
        <v>57</v>
      </c>
      <c r="B57" s="35"/>
      <c r="C57" s="35"/>
      <c r="D57" s="35">
        <v>0</v>
      </c>
      <c r="E57" s="35">
        <v>335.64137229981958</v>
      </c>
      <c r="F57" s="35">
        <v>327.22569929981955</v>
      </c>
      <c r="G57" s="35">
        <v>327.22569929981955</v>
      </c>
      <c r="H57" s="35">
        <v>327.22569929981955</v>
      </c>
      <c r="I57" s="35">
        <v>327.22569929981955</v>
      </c>
      <c r="J57" s="35">
        <v>327.22569929981955</v>
      </c>
      <c r="K57" s="35">
        <v>327.22569929981955</v>
      </c>
      <c r="L57" s="35">
        <v>327.22569929981955</v>
      </c>
      <c r="M57" s="35">
        <v>327.22569929981955</v>
      </c>
    </row>
    <row r="58" spans="1:13">
      <c r="A58" s="53" t="s">
        <v>128</v>
      </c>
      <c r="B58" s="35"/>
      <c r="C58" s="35"/>
      <c r="D58" s="35">
        <v>0</v>
      </c>
      <c r="E58" s="35">
        <v>58.580500000000001</v>
      </c>
      <c r="F58" s="35">
        <v>0</v>
      </c>
      <c r="G58" s="35">
        <v>0</v>
      </c>
      <c r="H58" s="35">
        <v>0</v>
      </c>
      <c r="I58" s="35">
        <v>0</v>
      </c>
      <c r="J58" s="35">
        <v>0</v>
      </c>
      <c r="K58" s="35">
        <v>0</v>
      </c>
      <c r="L58" s="35">
        <v>0</v>
      </c>
      <c r="M58" s="35">
        <v>0</v>
      </c>
    </row>
    <row r="59" spans="1:13">
      <c r="A59" s="53" t="s">
        <v>17</v>
      </c>
      <c r="B59" s="35"/>
      <c r="C59" s="35"/>
      <c r="D59" s="35">
        <v>0</v>
      </c>
      <c r="E59" s="35">
        <v>341.61075388413167</v>
      </c>
      <c r="F59" s="35">
        <v>341.61075425034255</v>
      </c>
      <c r="G59" s="35">
        <v>341.61075425034255</v>
      </c>
      <c r="H59" s="35">
        <v>338.45282844285697</v>
      </c>
      <c r="I59" s="35">
        <v>294.60498507918061</v>
      </c>
      <c r="J59" s="35">
        <v>250.16671519501389</v>
      </c>
      <c r="K59" s="35">
        <v>212.66703191332149</v>
      </c>
      <c r="L59" s="35">
        <v>212.4358979912447</v>
      </c>
      <c r="M59" s="35">
        <v>195.36789799124466</v>
      </c>
    </row>
    <row r="60" spans="1:13">
      <c r="A60" s="53" t="s">
        <v>96</v>
      </c>
      <c r="B60" s="35"/>
      <c r="C60" s="35"/>
      <c r="D60" s="35">
        <v>0</v>
      </c>
      <c r="E60" s="35">
        <v>3145.0261075925628</v>
      </c>
      <c r="F60" s="35">
        <v>3145.0261075925628</v>
      </c>
      <c r="G60" s="35">
        <v>3053.3431753551426</v>
      </c>
      <c r="H60" s="35">
        <v>2926.1548076816589</v>
      </c>
      <c r="I60" s="35">
        <v>2926.1548076816589</v>
      </c>
      <c r="J60" s="35">
        <v>2583.5205148544401</v>
      </c>
      <c r="K60" s="35">
        <v>2575.3778293144769</v>
      </c>
      <c r="L60" s="35">
        <v>2575.3778293144769</v>
      </c>
      <c r="M60" s="35">
        <v>2510.3667009848955</v>
      </c>
    </row>
    <row r="61" spans="1:13">
      <c r="A61" s="53" t="s">
        <v>518</v>
      </c>
      <c r="B61" s="35"/>
      <c r="C61" s="35"/>
      <c r="D61" s="35">
        <v>0</v>
      </c>
      <c r="E61" s="35">
        <v>5066.8957777175046</v>
      </c>
      <c r="F61" s="35">
        <v>4999.8996050837177</v>
      </c>
      <c r="G61" s="35">
        <v>4898.0517226306602</v>
      </c>
      <c r="H61" s="35">
        <v>4502.9455397000083</v>
      </c>
      <c r="I61" s="35">
        <v>4282.8639150983909</v>
      </c>
      <c r="J61" s="35">
        <v>3384.0521575303715</v>
      </c>
      <c r="K61" s="35">
        <v>3338.4097887087155</v>
      </c>
      <c r="L61" s="35">
        <v>3338.0364069226835</v>
      </c>
      <c r="M61" s="35">
        <v>3255.9572785931023</v>
      </c>
    </row>
    <row r="63" spans="1:13">
      <c r="A63" s="847" t="s">
        <v>566</v>
      </c>
      <c r="B63" s="847"/>
      <c r="C63" s="847"/>
      <c r="D63" s="847"/>
      <c r="E63" s="847"/>
      <c r="F63" s="847"/>
      <c r="G63" s="847"/>
      <c r="H63" s="847"/>
      <c r="I63" s="847"/>
      <c r="J63" s="847"/>
      <c r="K63" s="847"/>
      <c r="L63" s="847"/>
      <c r="M63" s="847"/>
    </row>
    <row r="64" spans="1:13" s="45" customFormat="1">
      <c r="A64" s="583"/>
      <c r="B64" s="583">
        <v>2009</v>
      </c>
      <c r="C64" s="583">
        <v>2010</v>
      </c>
      <c r="D64" s="583">
        <v>2011</v>
      </c>
      <c r="E64" s="583">
        <v>2012</v>
      </c>
      <c r="F64" s="583">
        <v>2013</v>
      </c>
      <c r="G64" s="583">
        <v>2014</v>
      </c>
      <c r="H64" s="583">
        <v>2015</v>
      </c>
      <c r="I64" s="583">
        <v>2016</v>
      </c>
      <c r="J64" s="583">
        <v>2017</v>
      </c>
      <c r="K64" s="583">
        <v>2018</v>
      </c>
      <c r="L64" s="583">
        <v>2019</v>
      </c>
      <c r="M64" s="583">
        <v>2020</v>
      </c>
    </row>
    <row r="65" spans="1:13" s="45" customFormat="1">
      <c r="A65" s="585" t="s">
        <v>17</v>
      </c>
      <c r="B65" s="594"/>
      <c r="C65" s="594"/>
      <c r="D65" s="594"/>
      <c r="E65" s="35">
        <f>(GETPIVOTDATA("Sum of 2012",$A$53,"Rate Class","Residential")*1000)/2</f>
        <v>170805.37694206584</v>
      </c>
      <c r="F65" s="35">
        <f>(GETPIVOTDATA("Sum of 2013",$A$53,"Rate Class","Residential")*1000)</f>
        <v>341610.75425034255</v>
      </c>
      <c r="G65" s="35">
        <f>(GETPIVOTDATA("Sum of 2014",$A$53,"Rate Class","Residential")*1000)</f>
        <v>341610.75425034255</v>
      </c>
      <c r="H65" s="35">
        <f>(GETPIVOTDATA("Sum of 2015",$A$53,"Rate Class","Residential")*1000)</f>
        <v>338452.82844285696</v>
      </c>
      <c r="I65" s="35">
        <f>(GETPIVOTDATA("Sum of 2016",$A$53,"Rate Class","Residential")*1000)</f>
        <v>294604.98507918062</v>
      </c>
      <c r="J65" s="35">
        <f>(GETPIVOTDATA("Sum of 2017",$A$53,"Rate Class","Residential")*1000)</f>
        <v>250166.71519501388</v>
      </c>
      <c r="K65" s="35">
        <f>(GETPIVOTDATA("Sum of 2018",$A$53,"Rate Class","Residential")*1000)</f>
        <v>212667.03191332149</v>
      </c>
      <c r="L65" s="35">
        <f>(GETPIVOTDATA("Sum of 2019",$A$53,"Rate Class","Residential")*1000)</f>
        <v>212435.89799124471</v>
      </c>
      <c r="M65" s="35">
        <f>(GETPIVOTDATA("Sum of 2020",$A$53,"Rate Class","Residential")*1000)</f>
        <v>195367.89799124465</v>
      </c>
    </row>
    <row r="66" spans="1:13" s="45" customFormat="1">
      <c r="A66" s="585" t="s">
        <v>70</v>
      </c>
      <c r="B66" s="594"/>
      <c r="C66" s="594"/>
      <c r="D66" s="594"/>
      <c r="E66" s="35">
        <f>(((GETPIVOTDATA("Sum of 2012",$A$53,"Rate Class","AU 2012")*'Allocation to Rate Classes'!$B$44)+(GETPIVOTDATA("Sum of 2012",'KH MWh Savings Pivot'!$A$53,"Rate Class","DI 2012")*'Allocation to Rate Classes'!$B$37)+(GETPIVOTDATA("Sum of 2012",'KH MWh Savings Pivot'!$A$53,"Rate Class","RF 2012")*'Allocation to Rate Classes'!$B$51))*1000)/2</f>
        <v>607739.2566490632</v>
      </c>
      <c r="F66" s="35">
        <f>(((GETPIVOTDATA("Sum of 2013",$A$53,"Rate Class","AU 2012")*'Allocation to Rate Classes'!$B$44)+(GETPIVOTDATA("Sum of 2013",'KH MWh Savings Pivot'!$A$53,"Rate Class","DI 2012")*'Allocation to Rate Classes'!$B$37)+(GETPIVOTDATA("Sum of 2013",'KH MWh Savings Pivot'!$A$53,"Rate Class","RF 2012")*'Allocation to Rate Classes'!$B$51))*1000)</f>
        <v>1215478.5132981283</v>
      </c>
      <c r="G66" s="35">
        <f>(((GETPIVOTDATA("Sum of 2014",$A$53,"Rate Class","AU 2012")*'Allocation to Rate Classes'!$B$44)+(GETPIVOTDATA("Sum of 2014",'KH MWh Savings Pivot'!$A$53,"Rate Class","DI 2012")*'Allocation to Rate Classes'!$B$37)+(GETPIVOTDATA("Sum of 2014",'KH MWh Savings Pivot'!$A$53,"Rate Class","RF 2012")*'Allocation to Rate Classes'!$B$51))*1000)</f>
        <v>1199008.9875823504</v>
      </c>
      <c r="H66" s="35">
        <f>(((GETPIVOTDATA("Sum of 2015",$A$53,"Rate Class","AU 2012")*'Allocation to Rate Classes'!$B$44)+(GETPIVOTDATA("Sum of 2015",'KH MWh Savings Pivot'!$A$53,"Rate Class","DI 2012")*'Allocation to Rate Classes'!$B$37)+(GETPIVOTDATA("Sum of 2015",'KH MWh Savings Pivot'!$A$53,"Rate Class","RF 2012")*'Allocation to Rate Classes'!$B$51))*1000)</f>
        <v>938490.47514653509</v>
      </c>
      <c r="I66" s="35">
        <f>(((GETPIVOTDATA("Sum of 2016",$A$53,"Rate Class","AU 2012")*'Allocation to Rate Classes'!$B$44)+(GETPIVOTDATA("Sum of 2016",'KH MWh Savings Pivot'!$A$53,"Rate Class","DI 2012")*'Allocation to Rate Classes'!$B$37)+(GETPIVOTDATA("Sum of 2016",'KH MWh Savings Pivot'!$A$53,"Rate Class","RF 2012")*'Allocation to Rate Classes'!$B$51))*1000)</f>
        <v>913314.220683972</v>
      </c>
      <c r="J66" s="35">
        <f>(((GETPIVOTDATA("Sum of 2017",$A$53,"Rate Class","AU 2012")*'Allocation to Rate Classes'!$B$44)+(GETPIVOTDATA("Sum of 2017",'KH MWh Savings Pivot'!$A$53,"Rate Class","DI 2012")*'Allocation to Rate Classes'!$B$37)+(GETPIVOTDATA("Sum of 2017",'KH MWh Savings Pivot'!$A$53,"Rate Class","RF 2012")*'Allocation to Rate Classes'!$B$51))*1000)</f>
        <v>402560.47244965931</v>
      </c>
      <c r="K66" s="35">
        <f>(((GETPIVOTDATA("Sum of 2018",$A$53,"Rate Class","AU 2012")*'Allocation to Rate Classes'!$B$44)+(GETPIVOTDATA("Sum of 2018",'KH MWh Savings Pivot'!$A$53,"Rate Class","DI 2012")*'Allocation to Rate Classes'!$B$37)+(GETPIVOTDATA("Sum of 2018",'KH MWh Savings Pivot'!$A$53,"Rate Class","RF 2012")*'Allocation to Rate Classes'!$B$51))*1000)</f>
        <v>401953.76436251891</v>
      </c>
      <c r="L66" s="35">
        <f>(((GETPIVOTDATA("Sum of 2019",$A$53,"Rate Class","AU 2012")*'Allocation to Rate Classes'!$B$44)+(GETPIVOTDATA("Sum of 2019",'KH MWh Savings Pivot'!$A$53,"Rate Class","DI 2012")*'Allocation to Rate Classes'!$B$37)+(GETPIVOTDATA("Sum of 2019",'KH MWh Savings Pivot'!$A$53,"Rate Class","RF 2012")*'Allocation to Rate Classes'!$B$51))*1000)</f>
        <v>401818.88685420895</v>
      </c>
      <c r="M66" s="35">
        <f>(((GETPIVOTDATA("Sum of 2020",$A$53,"Rate Class","AU 2012")*'Allocation to Rate Classes'!$B$44)+(GETPIVOTDATA("Sum of 2020",'KH MWh Savings Pivot'!$A$53,"Rate Class","DI 2012")*'Allocation to Rate Classes'!$B$37)+(GETPIVOTDATA("Sum of 2020",'KH MWh Savings Pivot'!$A$53,"Rate Class","RF 2012")*'Allocation to Rate Classes'!$B$51))*1000)</f>
        <v>396974.93492728006</v>
      </c>
    </row>
    <row r="67" spans="1:13" s="45" customFormat="1">
      <c r="A67" s="585" t="s">
        <v>71</v>
      </c>
      <c r="B67" s="594"/>
      <c r="C67" s="594"/>
      <c r="D67" s="594"/>
      <c r="E67" s="35">
        <f>(((GETPIVOTDATA("Sum of 2012",'KH MWh Savings Pivot'!$A$53,"Rate Class","AU 2012")*'Allocation to Rate Classes'!$D$44)+(GETPIVOTDATA("Sum of 2012",'KH MWh Savings Pivot'!$A$53,"Rate Class","DI 2012")*'Allocation to Rate Classes'!$D$37)+(GETPIVOTDATA("Sum of 2012",'KH MWh Savings Pivot'!$A$53,"Rate Class","RF 2012")*'Allocation to Rate Classes'!$D$51))*1000)/2</f>
        <v>1403512.9436610842</v>
      </c>
      <c r="F67" s="35">
        <f>(((GETPIVOTDATA("Sum of 2013",'KH MWh Savings Pivot'!$A$53,"Rate Class","AU 2012")*'Allocation to Rate Classes'!$D$44)+(GETPIVOTDATA("Sum of 2013",'KH MWh Savings Pivot'!$A$53,"Rate Class","DI 2012")*'Allocation to Rate Classes'!$D$37)+(GETPIVOTDATA("Sum of 2013",'KH MWh Savings Pivot'!$A$53,"Rate Class","RF 2012")*'Allocation to Rate Classes'!$D$51))*1000)</f>
        <v>2807025.8873221683</v>
      </c>
      <c r="G67" s="35">
        <f>(((GETPIVOTDATA("Sum of 2014",'KH MWh Savings Pivot'!$A$53,"Rate Class","AU 2012")*'Allocation to Rate Classes'!$D$44)+(GETPIVOTDATA("Sum of 2014",'KH MWh Savings Pivot'!$A$53,"Rate Class","DI 2012")*'Allocation to Rate Classes'!$D$37)+(GETPIVOTDATA("Sum of 2014",'KH MWh Savings Pivot'!$A$53,"Rate Class","RF 2012")*'Allocation to Rate Classes'!$D$51))*1000)</f>
        <v>2730595.997369309</v>
      </c>
      <c r="H67" s="35">
        <f>(((GETPIVOTDATA("Sum of 2015",'KH MWh Savings Pivot'!$A$53,"Rate Class","AU 2012")*'Allocation to Rate Classes'!$D$44)+(GETPIVOTDATA("Sum of 2015",'KH MWh Savings Pivot'!$A$53,"Rate Class","DI 2012")*'Allocation to Rate Classes'!$D$37)+(GETPIVOTDATA("Sum of 2015",'KH MWh Savings Pivot'!$A$53,"Rate Class","RF 2012")*'Allocation to Rate Classes'!$D$51))*1000)</f>
        <v>2611580.1322963592</v>
      </c>
      <c r="I67" s="35">
        <f>(((GETPIVOTDATA("Sum of 2016",'KH MWh Savings Pivot'!$A$53,"Rate Class","AU 2012")*'Allocation to Rate Classes'!$D$44)+(GETPIVOTDATA("Sum of 2016",'KH MWh Savings Pivot'!$A$53,"Rate Class","DI 2012")*'Allocation to Rate Classes'!$D$37)+(GETPIVOTDATA("Sum of 2016",'KH MWh Savings Pivot'!$A$53,"Rate Class","RF 2012")*'Allocation to Rate Classes'!$D$51))*1000)</f>
        <v>2460522.6055209809</v>
      </c>
      <c r="J67" s="35">
        <f>(((GETPIVOTDATA("Sum of 2017",'KH MWh Savings Pivot'!$A$53,"Rate Class","AU 2012")*'Allocation to Rate Classes'!$D$44)+(GETPIVOTDATA("Sum of 2017",'KH MWh Savings Pivot'!$A$53,"Rate Class","DI 2012")*'Allocation to Rate Classes'!$D$37)+(GETPIVOTDATA("Sum of 2017",'KH MWh Savings Pivot'!$A$53,"Rate Class","RF 2012")*'Allocation to Rate Classes'!$D$51))*1000)</f>
        <v>2150344.7675654688</v>
      </c>
      <c r="K67" s="35">
        <f>(((GETPIVOTDATA("Sum of 2018",'KH MWh Savings Pivot'!$A$53,"Rate Class","AU 2012")*'Allocation to Rate Classes'!$D$44)+(GETPIVOTDATA("Sum of 2018",'KH MWh Savings Pivot'!$A$53,"Rate Class","DI 2012")*'Allocation to Rate Classes'!$D$37)+(GETPIVOTDATA("Sum of 2018",'KH MWh Savings Pivot'!$A$53,"Rate Class","RF 2012")*'Allocation to Rate Classes'!$D$51))*1000)</f>
        <v>2143603.5351029313</v>
      </c>
      <c r="L67" s="35">
        <f>(((GETPIVOTDATA("Sum of 2019",'KH MWh Savings Pivot'!$A$53,"Rate Class","AU 2012")*'Allocation to Rate Classes'!$D$44)+(GETPIVOTDATA("Sum of 2019",'KH MWh Savings Pivot'!$A$53,"Rate Class","DI 2012")*'Allocation to Rate Classes'!$D$37)+(GETPIVOTDATA("Sum of 2019",'KH MWh Savings Pivot'!$A$53,"Rate Class","RF 2012")*'Allocation to Rate Classes'!$D$51))*1000)</f>
        <v>2143596.1647472861</v>
      </c>
      <c r="M67" s="35">
        <f>(((GETPIVOTDATA("Sum of 2020",'KH MWh Savings Pivot'!$A$53,"Rate Class","AU 2012")*'Allocation to Rate Classes'!$D$44)+(GETPIVOTDATA("Sum of 2020",'KH MWh Savings Pivot'!$A$53,"Rate Class","DI 2012")*'Allocation to Rate Classes'!$D$37)+(GETPIVOTDATA("Sum of 2020",'KH MWh Savings Pivot'!$A$53,"Rate Class","RF 2012")*'Allocation to Rate Classes'!$D$51))*1000)</f>
        <v>2089774.2252200027</v>
      </c>
    </row>
    <row r="68" spans="1:13">
      <c r="A68" s="585" t="s">
        <v>57</v>
      </c>
      <c r="B68" s="35"/>
      <c r="C68" s="35"/>
      <c r="D68" s="35"/>
      <c r="E68" s="35">
        <f>((GETPIVOTDATA("Sum of 2012",$A$53,"Rate Class","Large User")+(GETPIVOTDATA("Sum of 2012",$A$53,"Rate Class","RF 2012")*'Allocation to Rate Classes'!$F$51))*1000)/2</f>
        <v>306737.12583040661</v>
      </c>
      <c r="F68" s="35">
        <f>((GETPIVOTDATA("Sum of 2013",$A$53,"Rate Class","Large User")+(GETPIVOTDATA("Sum of 2013",$A$53,"Rate Class","RF 2012")*'Allocation to Rate Classes'!$F$51))*1000)</f>
        <v>605058.57866081328</v>
      </c>
      <c r="G68" s="35">
        <f>((GETPIVOTDATA("Sum of 2014",$A$53,"Rate Class","Large User")+(GETPIVOTDATA("Sum of 2014",$A$53,"Rate Class","RF 2012")*'Allocation to Rate Classes'!$F$51))*1000)</f>
        <v>596959.27131634112</v>
      </c>
      <c r="H68" s="35">
        <f>((GETPIVOTDATA("Sum of 2015",$A$53,"Rate Class","Large User")+(GETPIVOTDATA("Sum of 2015",$A$53,"Rate Class","RF 2012")*'Allocation to Rate Classes'!$F$51))*1000)</f>
        <v>585723.39943386614</v>
      </c>
      <c r="I68" s="35">
        <f>((GETPIVOTDATA("Sum of 2016",$A$53,"Rate Class","Large User")+(GETPIVOTDATA("Sum of 2016",$A$53,"Rate Class","RF 2012")*'Allocation to Rate Classes'!$F$51))*1000)</f>
        <v>585723.39943386614</v>
      </c>
      <c r="J68" s="35">
        <f>((GETPIVOTDATA("Sum of 2017",$A$53,"Rate Class","Large User")+(GETPIVOTDATA("Sum of 2017",$A$53,"Rate Class","RF 2012")*'Allocation to Rate Classes'!$F$51))*1000)</f>
        <v>555454.94731698581</v>
      </c>
      <c r="K68" s="35">
        <f>((GETPIVOTDATA("Sum of 2018",$A$53,"Rate Class","Large User")+(GETPIVOTDATA("Sum of 2018",$A$53,"Rate Class","RF 2012")*'Allocation to Rate Classes'!$F$51))*1000)</f>
        <v>554735.61918046011</v>
      </c>
      <c r="L68" s="35">
        <f>((GETPIVOTDATA("Sum of 2019",$A$53,"Rate Class","Large User")+(GETPIVOTDATA("Sum of 2019",$A$53,"Rate Class","RF 2012")*'Allocation to Rate Classes'!$F$51))*1000)</f>
        <v>554735.61918046011</v>
      </c>
      <c r="M68" s="35">
        <f>((GETPIVOTDATA("Sum of 2020",$A$53,"Rate Class","Large User")+(GETPIVOTDATA("Sum of 2020",$A$53,"Rate Class","RF 2012")*'Allocation to Rate Classes'!$F$51))*1000)</f>
        <v>548992.50978918676</v>
      </c>
    </row>
    <row r="69" spans="1:13">
      <c r="A69" s="585" t="s">
        <v>496</v>
      </c>
      <c r="B69" s="35"/>
      <c r="C69" s="35"/>
      <c r="D69" s="35"/>
      <c r="E69" s="35">
        <f>((GETPIVOTDATA("Sum of 2012",$A$53,"Rate Class","RF 2012")*'Allocation to Rate Classes'!$J$51)*1000)/2</f>
        <v>14564.480776132559</v>
      </c>
      <c r="F69" s="35">
        <f>((GETPIVOTDATA("Sum of 2013",$A$53,"Rate Class","RF 2012")*'Allocation to Rate Classes'!$J$51)*1000)</f>
        <v>29128.961552265118</v>
      </c>
      <c r="G69" s="35">
        <f>((GETPIVOTDATA("Sum of 2014",$A$53,"Rate Class","RF 2012")*'Allocation to Rate Classes'!$J$51)*1000)</f>
        <v>28279.802112317881</v>
      </c>
      <c r="H69" s="35">
        <f>((GETPIVOTDATA("Sum of 2015",$A$53,"Rate Class","RF 2012")*'Allocation to Rate Classes'!$J$51)*1000)</f>
        <v>27101.794380390897</v>
      </c>
      <c r="I69" s="35">
        <f>((GETPIVOTDATA("Sum of 2016",$A$53,"Rate Class","RF 2012")*'Allocation to Rate Classes'!$J$51)*1000)</f>
        <v>27101.794380390897</v>
      </c>
      <c r="J69" s="35">
        <f>((GETPIVOTDATA("Sum of 2017",$A$53,"Rate Class","RF 2012")*'Allocation to Rate Classes'!$J$51)*1000)</f>
        <v>23928.345003243598</v>
      </c>
      <c r="K69" s="35">
        <f>((GETPIVOTDATA("Sum of 2018",$A$53,"Rate Class","RF 2012")*'Allocation to Rate Classes'!$J$51)*1000)</f>
        <v>23852.928149484211</v>
      </c>
      <c r="L69" s="35">
        <f>((GETPIVOTDATA("Sum of 2019",$A$53,"Rate Class","RF 2012")*'Allocation to Rate Classes'!$J$51)*1000)</f>
        <v>23852.928149484211</v>
      </c>
      <c r="M69" s="35">
        <f>((GETPIVOTDATA("Sum of 2020",$A$53,"Rate Class","RF 2012")*'Allocation to Rate Classes'!$J$51)*1000)</f>
        <v>23250.800665387953</v>
      </c>
    </row>
    <row r="71" spans="1:13">
      <c r="A71" s="582" t="s">
        <v>33</v>
      </c>
      <c r="B71" s="53">
        <v>2013</v>
      </c>
      <c r="C71" s="45"/>
      <c r="D71" s="45"/>
      <c r="E71" s="45"/>
      <c r="F71" s="45"/>
      <c r="G71" s="45"/>
      <c r="H71" s="45"/>
      <c r="I71" s="45"/>
      <c r="J71" s="45"/>
      <c r="K71" s="45"/>
      <c r="L71" s="45"/>
      <c r="M71" s="45"/>
    </row>
    <row r="72" spans="1:13">
      <c r="A72" s="847" t="s">
        <v>555</v>
      </c>
      <c r="B72" s="847"/>
      <c r="C72" s="847"/>
      <c r="D72" s="847"/>
      <c r="E72" s="847"/>
      <c r="F72" s="45"/>
      <c r="G72" s="45"/>
      <c r="H72" s="45"/>
      <c r="I72" s="45"/>
      <c r="J72" s="45"/>
      <c r="K72" s="45"/>
      <c r="L72" s="45"/>
      <c r="M72" s="45"/>
    </row>
    <row r="73" spans="1:13">
      <c r="A73" s="582" t="s">
        <v>517</v>
      </c>
      <c r="B73" s="45" t="s">
        <v>557</v>
      </c>
      <c r="C73" s="45" t="s">
        <v>556</v>
      </c>
      <c r="D73" s="45" t="s">
        <v>544</v>
      </c>
      <c r="E73" s="45" t="s">
        <v>545</v>
      </c>
      <c r="F73" s="45" t="s">
        <v>546</v>
      </c>
      <c r="G73" s="45" t="s">
        <v>547</v>
      </c>
      <c r="H73" s="45" t="s">
        <v>548</v>
      </c>
      <c r="I73" s="45" t="s">
        <v>558</v>
      </c>
      <c r="J73" s="45" t="s">
        <v>559</v>
      </c>
      <c r="K73" s="45" t="s">
        <v>560</v>
      </c>
      <c r="L73" s="45" t="s">
        <v>561</v>
      </c>
      <c r="M73" s="45" t="s">
        <v>562</v>
      </c>
    </row>
    <row r="74" spans="1:13">
      <c r="A74" s="53" t="s">
        <v>99</v>
      </c>
      <c r="B74" s="35"/>
      <c r="C74" s="35"/>
      <c r="D74" s="35">
        <v>0</v>
      </c>
      <c r="E74" s="35">
        <v>0</v>
      </c>
      <c r="F74" s="35">
        <v>96.901535593948992</v>
      </c>
      <c r="G74" s="35">
        <v>96.901535593948992</v>
      </c>
      <c r="H74" s="35">
        <v>96.901535593948992</v>
      </c>
      <c r="I74" s="35">
        <v>96.901535593948992</v>
      </c>
      <c r="J74" s="35">
        <v>0</v>
      </c>
      <c r="K74" s="35">
        <v>0</v>
      </c>
      <c r="L74" s="35">
        <v>0</v>
      </c>
      <c r="M74" s="35">
        <v>0</v>
      </c>
    </row>
    <row r="75" spans="1:13">
      <c r="A75" s="53" t="s">
        <v>102</v>
      </c>
      <c r="B75" s="35"/>
      <c r="C75" s="35"/>
      <c r="D75" s="35">
        <v>0</v>
      </c>
      <c r="E75" s="35">
        <v>0</v>
      </c>
      <c r="F75" s="35">
        <v>222.93187639852499</v>
      </c>
      <c r="G75" s="35">
        <v>222.93187639852499</v>
      </c>
      <c r="H75" s="35">
        <v>215.90294163568399</v>
      </c>
      <c r="I75" s="35">
        <v>171.45635630098403</v>
      </c>
      <c r="J75" s="35">
        <v>74.14139567185299</v>
      </c>
      <c r="K75" s="35">
        <v>74.14139567185299</v>
      </c>
      <c r="L75" s="35">
        <v>74.14139567185299</v>
      </c>
      <c r="M75" s="35">
        <v>74.14139567185299</v>
      </c>
    </row>
    <row r="76" spans="1:13">
      <c r="A76" s="53" t="s">
        <v>71</v>
      </c>
      <c r="B76" s="35"/>
      <c r="C76" s="35"/>
      <c r="D76" s="35">
        <v>0</v>
      </c>
      <c r="E76" s="35">
        <v>0</v>
      </c>
      <c r="F76" s="35">
        <v>7.4119459999999995</v>
      </c>
      <c r="G76" s="35">
        <v>0</v>
      </c>
      <c r="H76" s="35">
        <v>0</v>
      </c>
      <c r="I76" s="35">
        <v>0</v>
      </c>
      <c r="J76" s="35">
        <v>0</v>
      </c>
      <c r="K76" s="35">
        <v>0</v>
      </c>
      <c r="L76" s="35">
        <v>0</v>
      </c>
      <c r="M76" s="35">
        <v>0</v>
      </c>
    </row>
    <row r="77" spans="1:13">
      <c r="A77" s="53" t="s">
        <v>100</v>
      </c>
      <c r="B77" s="35"/>
      <c r="C77" s="35"/>
      <c r="D77" s="35">
        <v>0</v>
      </c>
      <c r="E77" s="35">
        <v>0</v>
      </c>
      <c r="F77" s="35">
        <v>58.802057999999995</v>
      </c>
      <c r="G77" s="35">
        <v>58.802057999999995</v>
      </c>
      <c r="H77" s="35">
        <v>58.802057999999995</v>
      </c>
      <c r="I77" s="35">
        <v>58.802057999999995</v>
      </c>
      <c r="J77" s="35">
        <v>58.802057999999995</v>
      </c>
      <c r="K77" s="35">
        <v>58.802057999999995</v>
      </c>
      <c r="L77" s="35">
        <v>58.802057999999995</v>
      </c>
      <c r="M77" s="35">
        <v>58.802057999999995</v>
      </c>
    </row>
    <row r="78" spans="1:13">
      <c r="A78" s="53" t="s">
        <v>128</v>
      </c>
      <c r="B78" s="35"/>
      <c r="C78" s="35"/>
      <c r="D78" s="35">
        <v>0</v>
      </c>
      <c r="E78" s="35">
        <v>0</v>
      </c>
      <c r="F78" s="35">
        <v>52.001860000000001</v>
      </c>
      <c r="G78" s="35">
        <v>0</v>
      </c>
      <c r="H78" s="35">
        <v>0</v>
      </c>
      <c r="I78" s="35">
        <v>0</v>
      </c>
      <c r="J78" s="35">
        <v>0</v>
      </c>
      <c r="K78" s="35">
        <v>0</v>
      </c>
      <c r="L78" s="35">
        <v>0</v>
      </c>
      <c r="M78" s="35">
        <v>0</v>
      </c>
    </row>
    <row r="79" spans="1:13">
      <c r="A79" s="53" t="s">
        <v>17</v>
      </c>
      <c r="B79" s="35"/>
      <c r="C79" s="35"/>
      <c r="D79" s="35">
        <v>0</v>
      </c>
      <c r="E79" s="35">
        <v>0</v>
      </c>
      <c r="F79" s="35">
        <v>488.42031055718894</v>
      </c>
      <c r="G79" s="35">
        <v>482.88965159112394</v>
      </c>
      <c r="H79" s="35">
        <v>474.36540955500794</v>
      </c>
      <c r="I79" s="35">
        <v>428.93618175207899</v>
      </c>
      <c r="J79" s="35">
        <v>411.04259549646298</v>
      </c>
      <c r="K79" s="35">
        <v>389.03916249792695</v>
      </c>
      <c r="L79" s="35">
        <v>380.78114347021699</v>
      </c>
      <c r="M79" s="35">
        <v>379.36062914938896</v>
      </c>
    </row>
    <row r="80" spans="1:13">
      <c r="A80" s="53" t="s">
        <v>101</v>
      </c>
      <c r="B80" s="35"/>
      <c r="C80" s="35"/>
      <c r="D80" s="35">
        <v>0</v>
      </c>
      <c r="E80" s="35">
        <v>0</v>
      </c>
      <c r="F80" s="35">
        <v>5089.5962697838795</v>
      </c>
      <c r="G80" s="35">
        <v>5089.5962697838795</v>
      </c>
      <c r="H80" s="35">
        <v>5089.5962697838795</v>
      </c>
      <c r="I80" s="35">
        <v>4813.2624402286901</v>
      </c>
      <c r="J80" s="35">
        <v>4772.3693252412395</v>
      </c>
      <c r="K80" s="35">
        <v>4761.5441525611195</v>
      </c>
      <c r="L80" s="35">
        <v>4761.5441525611195</v>
      </c>
      <c r="M80" s="35">
        <v>4601.4212858973397</v>
      </c>
    </row>
    <row r="81" spans="1:13">
      <c r="A81" s="53" t="s">
        <v>518</v>
      </c>
      <c r="B81" s="35"/>
      <c r="C81" s="35"/>
      <c r="D81" s="35">
        <v>0</v>
      </c>
      <c r="E81" s="35">
        <v>0</v>
      </c>
      <c r="F81" s="35">
        <v>6016.0658563335428</v>
      </c>
      <c r="G81" s="35">
        <v>5951.1213913674774</v>
      </c>
      <c r="H81" s="35">
        <v>5935.5682145685205</v>
      </c>
      <c r="I81" s="35">
        <v>5569.3585718757022</v>
      </c>
      <c r="J81" s="35">
        <v>5316.3553744095552</v>
      </c>
      <c r="K81" s="35">
        <v>5283.5267687308997</v>
      </c>
      <c r="L81" s="35">
        <v>5275.2687497031893</v>
      </c>
      <c r="M81" s="35">
        <v>5113.7253687185821</v>
      </c>
    </row>
    <row r="82" spans="1:13">
      <c r="A82" s="45"/>
      <c r="B82" s="45"/>
      <c r="C82" s="45"/>
      <c r="D82" s="45"/>
      <c r="E82" s="45"/>
      <c r="F82" s="45"/>
      <c r="G82" s="45"/>
      <c r="H82" s="45"/>
      <c r="I82" s="45"/>
      <c r="J82" s="45"/>
      <c r="K82" s="45"/>
      <c r="L82" s="45"/>
      <c r="M82" s="45"/>
    </row>
    <row r="83" spans="1:13">
      <c r="A83" s="847" t="s">
        <v>567</v>
      </c>
      <c r="B83" s="847"/>
      <c r="C83" s="847"/>
      <c r="D83" s="847"/>
      <c r="E83" s="847"/>
      <c r="F83" s="847"/>
      <c r="G83" s="847"/>
      <c r="H83" s="847"/>
      <c r="I83" s="847"/>
      <c r="J83" s="847"/>
      <c r="K83" s="847"/>
      <c r="L83" s="847"/>
      <c r="M83" s="847"/>
    </row>
    <row r="84" spans="1:13">
      <c r="B84" s="583">
        <v>2009</v>
      </c>
      <c r="C84" s="583">
        <v>2010</v>
      </c>
      <c r="D84" s="583">
        <v>2011</v>
      </c>
      <c r="E84" s="583">
        <v>2012</v>
      </c>
      <c r="F84" s="583">
        <v>2013</v>
      </c>
      <c r="G84" s="583">
        <v>2014</v>
      </c>
      <c r="H84" s="583">
        <v>2015</v>
      </c>
      <c r="I84" s="583">
        <v>2016</v>
      </c>
      <c r="J84" s="583">
        <v>2017</v>
      </c>
      <c r="K84" s="583">
        <v>2018</v>
      </c>
      <c r="L84" s="583">
        <v>2019</v>
      </c>
      <c r="M84" s="583">
        <v>2020</v>
      </c>
    </row>
    <row r="85" spans="1:13">
      <c r="A85" s="585" t="s">
        <v>17</v>
      </c>
      <c r="B85" s="35"/>
      <c r="C85" s="35"/>
      <c r="D85" s="35"/>
      <c r="E85" s="35"/>
      <c r="F85" s="35">
        <f>((GETPIVOTDATA("Sum of 2013",$A$73,"Rate Class","Residential")+(GETPIVOTDATA("Sum of 2013",$A$73,"Rate Class","RF 2013")*'Allocation to Rate Classes'!$H$50))*1000)/2</f>
        <v>248315.57751024087</v>
      </c>
      <c r="G85" s="35">
        <f>((GETPIVOTDATA("Sum of 2014",$A$73,"Rate Class","Residential")+(GETPIVOTDATA("Sum of 2014",$A$73,"Rate Class","RF 2013")*'Allocation to Rate Classes'!$H$50))*1000)</f>
        <v>491100.49605441676</v>
      </c>
      <c r="H85" s="35">
        <f>((GETPIVOTDATA("Sum of 2015",$A$73,"Rate Class","Residential")+(GETPIVOTDATA("Sum of 2015",$A$73,"Rate Class","RF 2013")*'Allocation to Rate Classes'!$H$50))*1000)</f>
        <v>482576.25401830074</v>
      </c>
      <c r="I85" s="35">
        <f>((GETPIVOTDATA("Sum of 2016",$A$73,"Rate Class","Residential")+(GETPIVOTDATA("Sum of 2016",$A$73,"Rate Class","RF 2013")*'Allocation to Rate Classes'!$H$50))*1000)</f>
        <v>436701.22777200723</v>
      </c>
      <c r="J85" s="35">
        <f>((GETPIVOTDATA("Sum of 2017",$A$73,"Rate Class","Residential")+(GETPIVOTDATA("Sum of 2017",$A$73,"Rate Class","RF 2013")*'Allocation to Rate Classes'!$H$50))*1000)</f>
        <v>418741.67027054314</v>
      </c>
      <c r="K85" s="35">
        <f>((GETPIVOTDATA("Sum of 2018",$A$73,"Rate Class","Residential")+(GETPIVOTDATA("Sum of 2018",$A$73,"Rate Class","RF 2013")*'Allocation to Rate Classes'!$H$50))*1000)</f>
        <v>396720.77344885626</v>
      </c>
      <c r="L85" s="35">
        <f>((GETPIVOTDATA("Sum of 2019",$A$73,"Rate Class","Residential")+(GETPIVOTDATA("Sum of 2019",$A$73,"Rate Class","RF 2013")*'Allocation to Rate Classes'!$H$50))*1000)</f>
        <v>388462.7544211463</v>
      </c>
      <c r="M85" s="35">
        <f>((GETPIVOTDATA("Sum of 2020",$A$73,"Rate Class","Residential")+(GETPIVOTDATA("Sum of 2020",$A$73,"Rate Class","RF 2013")*'Allocation to Rate Classes'!$H$50))*1000)</f>
        <v>386783.92020940705</v>
      </c>
    </row>
    <row r="86" spans="1:13" s="45" customFormat="1">
      <c r="A86" s="585" t="s">
        <v>70</v>
      </c>
      <c r="B86" s="35"/>
      <c r="C86" s="35"/>
      <c r="D86" s="35"/>
      <c r="E86" s="35"/>
      <c r="F86" s="35">
        <f>(((GETPIVOTDATA("Sum of 2013",$A$73,"Rate Class","DI 2013")*'Allocation to Rate Classes'!$B$38)+(GETPIVOTDATA("Sum of 2013",'KH MWh Savings Pivot'!$A$73,"Rate Class","RF 2013")*'Allocation to Rate Classes'!$B$52))*1000)/2</f>
        <v>216710.89344552389</v>
      </c>
      <c r="G86" s="35">
        <f>(((GETPIVOTDATA("Sum of 2014",$A$73,"Rate Class","DI 2013")*'Allocation to Rate Classes'!$B$38)+(GETPIVOTDATA("Sum of 2014",'KH MWh Savings Pivot'!$A$73,"Rate Class","RF 2013")*'Allocation to Rate Classes'!$B$52))*1000)</f>
        <v>433421.78689104778</v>
      </c>
      <c r="H86" s="35">
        <f>(((GETPIVOTDATA("Sum of 2015",$A$73,"Rate Class","DI 2013")*'Allocation to Rate Classes'!$B$38)+(GETPIVOTDATA("Sum of 2015",'KH MWh Savings Pivot'!$A$73,"Rate Class","RF 2013")*'Allocation to Rate Classes'!$B$52))*1000)</f>
        <v>428206.77077668183</v>
      </c>
      <c r="I86" s="35">
        <f>(((GETPIVOTDATA("Sum of 2016",$A$73,"Rate Class","DI 2013")*'Allocation to Rate Classes'!$B$38)+(GETPIVOTDATA("Sum of 2016",'KH MWh Savings Pivot'!$A$73,"Rate Class","RF 2013")*'Allocation to Rate Classes'!$B$52))*1000)</f>
        <v>380678.39256023319</v>
      </c>
      <c r="J86" s="35">
        <f>(((GETPIVOTDATA("Sum of 2017",$A$73,"Rate Class","DI 2013")*'Allocation to Rate Classes'!$B$38)+(GETPIVOTDATA("Sum of 2017",'KH MWh Savings Pivot'!$A$73,"Rate Class","RF 2013")*'Allocation to Rate Classes'!$B$52))*1000)</f>
        <v>306323.51801151602</v>
      </c>
      <c r="K86" s="35">
        <f>(((GETPIVOTDATA("Sum of 2018",$A$73,"Rate Class","DI 2013")*'Allocation to Rate Classes'!$B$38)+(GETPIVOTDATA("Sum of 2018",'KH MWh Savings Pivot'!$A$73,"Rate Class","RF 2013")*'Allocation to Rate Classes'!$B$52))*1000)</f>
        <v>305753.45893553353</v>
      </c>
      <c r="L86" s="35">
        <f>(((GETPIVOTDATA("Sum of 2019",$A$73,"Rate Class","DI 2013")*'Allocation to Rate Classes'!$B$38)+(GETPIVOTDATA("Sum of 2019",'KH MWh Savings Pivot'!$A$73,"Rate Class","RF 2013")*'Allocation to Rate Classes'!$B$52))*1000)</f>
        <v>305753.45893553353</v>
      </c>
      <c r="M86" s="35">
        <f>(((GETPIVOTDATA("Sum of 2020",$A$73,"Rate Class","DI 2013")*'Allocation to Rate Classes'!$B$38)+(GETPIVOTDATA("Sum of 2020",'KH MWh Savings Pivot'!$A$73,"Rate Class","RF 2013")*'Allocation to Rate Classes'!$B$52))*1000)</f>
        <v>297321.30767926335</v>
      </c>
    </row>
    <row r="87" spans="1:13" s="45" customFormat="1">
      <c r="A87" s="585" t="s">
        <v>71</v>
      </c>
      <c r="B87" s="35"/>
      <c r="C87" s="35"/>
      <c r="D87" s="35"/>
      <c r="E87" s="35"/>
      <c r="F87" s="35">
        <f>((GETPIVOTDATA("Sum of 2013",$A$73,"Rate Class","GS Greater Than 50kW")+(GETPIVOTDATA("Sum of 2013",$A$73,"Rate Class","AU 2013")*'Allocation to Rate Classes'!$D$45)+(GETPIVOTDATA("Sum of 2013",'KH MWh Savings Pivot'!$A$73,"Rate Class","DI 2013")*'Allocation to Rate Classes'!$D$38)+(GETPIVOTDATA("Sum of 2013",'KH MWh Savings Pivot'!$A$73,"Rate Class","HP 2013")*'Allocation to Rate Classes'!$D$59)+(GETPIVOTDATA("Sum of 2013",'KH MWh Savings Pivot'!$A$73,"Rate Class","RF 2013")*'Allocation to Rate Classes'!$D$52))*1000)/2</f>
        <v>787930.86230717774</v>
      </c>
      <c r="G87" s="35">
        <f>((GETPIVOTDATA("Sum of 2014",$A$73,"Rate Class","GS Greater Than 50kW")+(GETPIVOTDATA("Sum of 2014",$A$73,"Rate Class","AU 2013")*'Allocation to Rate Classes'!$D$45)+(GETPIVOTDATA("Sum of 2014",'KH MWh Savings Pivot'!$A$73,"Rate Class","DI 2013")*'Allocation to Rate Classes'!$D$38)+(GETPIVOTDATA("Sum of 2014",'KH MWh Savings Pivot'!$A$73,"Rate Class","HP 2013")*'Allocation to Rate Classes'!$D$59)+(GETPIVOTDATA("Sum of 2014",'KH MWh Savings Pivot'!$A$73,"Rate Class","RF 2013")*'Allocation to Rate Classes'!$D$52))*1000)</f>
        <v>1568449.7786143557</v>
      </c>
      <c r="H87" s="35">
        <f>((GETPIVOTDATA("Sum of 2015",$A$73,"Rate Class","GS Greater Than 50kW")+(GETPIVOTDATA("Sum of 2015",$A$73,"Rate Class","AU 2013")*'Allocation to Rate Classes'!$D$45)+(GETPIVOTDATA("Sum of 2015",'KH MWh Savings Pivot'!$A$73,"Rate Class","DI 2013")*'Allocation to Rate Classes'!$D$38)+(GETPIVOTDATA("Sum of 2015",'KH MWh Savings Pivot'!$A$73,"Rate Class","HP 2013")*'Allocation to Rate Classes'!$D$59)+(GETPIVOTDATA("Sum of 2015",'KH MWh Savings Pivot'!$A$73,"Rate Class","RF 2013")*'Allocation to Rate Classes'!$D$52))*1000)</f>
        <v>1566635.8599658804</v>
      </c>
      <c r="I87" s="35">
        <f>((GETPIVOTDATA("Sum of 2016",$A$73,"Rate Class","GS Greater Than 50kW")+(GETPIVOTDATA("Sum of 2016",$A$73,"Rate Class","AU 2013")*'Allocation to Rate Classes'!$D$45)+(GETPIVOTDATA("Sum of 2016",'KH MWh Savings Pivot'!$A$73,"Rate Class","DI 2013")*'Allocation to Rate Classes'!$D$38)+(GETPIVOTDATA("Sum of 2016",'KH MWh Savings Pivot'!$A$73,"Rate Class","HP 2013")*'Allocation to Rate Classes'!$D$59)+(GETPIVOTDATA("Sum of 2016",'KH MWh Savings Pivot'!$A$73,"Rate Class","RF 2013")*'Allocation to Rate Classes'!$D$52))*1000)</f>
        <v>1481585.8988206347</v>
      </c>
      <c r="J87" s="35">
        <f>((GETPIVOTDATA("Sum of 2017",$A$73,"Rate Class","GS Greater Than 50kW")+(GETPIVOTDATA("Sum of 2017",$A$73,"Rate Class","AU 2013")*'Allocation to Rate Classes'!$D$45)+(GETPIVOTDATA("Sum of 2017",'KH MWh Savings Pivot'!$A$73,"Rate Class","DI 2013")*'Allocation to Rate Classes'!$D$38)+(GETPIVOTDATA("Sum of 2017",'KH MWh Savings Pivot'!$A$73,"Rate Class","HP 2013")*'Allocation to Rate Classes'!$D$59)+(GETPIVOTDATA("Sum of 2017",'KH MWh Savings Pivot'!$A$73,"Rate Class","RF 2013")*'Allocation to Rate Classes'!$D$52))*1000)</f>
        <v>1348682.1463392228</v>
      </c>
      <c r="K87" s="35">
        <f>((GETPIVOTDATA("Sum of 2018",$A$73,"Rate Class","GS Greater Than 50kW")+(GETPIVOTDATA("Sum of 2018",$A$73,"Rate Class","AU 2013")*'Allocation to Rate Classes'!$D$45)+(GETPIVOTDATA("Sum of 2018",'KH MWh Savings Pivot'!$A$73,"Rate Class","DI 2013")*'Allocation to Rate Classes'!$D$38)+(GETPIVOTDATA("Sum of 2018",'KH MWh Savings Pivot'!$A$73,"Rate Class","HP 2013")*'Allocation to Rate Classes'!$D$59)+(GETPIVOTDATA("Sum of 2018",'KH MWh Savings Pivot'!$A$73,"Rate Class","RF 2013")*'Allocation to Rate Classes'!$D$52))*1000)</f>
        <v>1345799.7093618636</v>
      </c>
      <c r="L87" s="35">
        <f>((GETPIVOTDATA("Sum of 2019",$A$73,"Rate Class","GS Greater Than 50kW")+(GETPIVOTDATA("Sum of 2019",$A$73,"Rate Class","AU 2013")*'Allocation to Rate Classes'!$D$45)+(GETPIVOTDATA("Sum of 2019",'KH MWh Savings Pivot'!$A$73,"Rate Class","DI 2013")*'Allocation to Rate Classes'!$D$38)+(GETPIVOTDATA("Sum of 2019",'KH MWh Savings Pivot'!$A$73,"Rate Class","HP 2013")*'Allocation to Rate Classes'!$D$59)+(GETPIVOTDATA("Sum of 2019",'KH MWh Savings Pivot'!$A$73,"Rate Class","RF 2013")*'Allocation to Rate Classes'!$D$52))*1000)</f>
        <v>1345799.7093618636</v>
      </c>
      <c r="M87" s="35">
        <f>((GETPIVOTDATA("Sum of 2020",$A$73,"Rate Class","GS Greater Than 50kW")+(GETPIVOTDATA("Sum of 2020",$A$73,"Rate Class","AU 2013")*'Allocation to Rate Classes'!$D$45)+(GETPIVOTDATA("Sum of 2020",'KH MWh Savings Pivot'!$A$73,"Rate Class","DI 2013")*'Allocation to Rate Classes'!$D$38)+(GETPIVOTDATA("Sum of 2020",'KH MWh Savings Pivot'!$A$73,"Rate Class","HP 2013")*'Allocation to Rate Classes'!$D$59)+(GETPIVOTDATA("Sum of 2020",'KH MWh Savings Pivot'!$A$73,"Rate Class","RF 2013")*'Allocation to Rate Classes'!$D$52))*1000)</f>
        <v>1303163.5237386962</v>
      </c>
    </row>
    <row r="88" spans="1:13" s="45" customFormat="1">
      <c r="A88" s="585" t="s">
        <v>57</v>
      </c>
      <c r="B88" s="35"/>
      <c r="C88" s="35"/>
      <c r="D88" s="35"/>
      <c r="E88" s="35"/>
      <c r="F88" s="35">
        <f>((GETPIVOTDATA("Sum of 2013",$A$73,"Rate Class","RF 2013")*'Allocation to Rate Classes'!$F$52)*1000)/2</f>
        <v>648214.23391528998</v>
      </c>
      <c r="G88" s="35">
        <f>((GETPIVOTDATA("Sum of 2014",$A$73,"Rate Class","RF 2013")*'Allocation to Rate Classes'!$F$52)*1000)</f>
        <v>1296428.46783058</v>
      </c>
      <c r="H88" s="35">
        <f>((GETPIVOTDATA("Sum of 2015",$A$73,"Rate Class","RF 2013")*'Allocation to Rate Classes'!$F$52)*1000)</f>
        <v>1296428.46783058</v>
      </c>
      <c r="I88" s="35">
        <f>((GETPIVOTDATA("Sum of 2016",$A$73,"Rate Class","RF 2013")*'Allocation to Rate Classes'!$F$52)*1000)</f>
        <v>1226040.3615309021</v>
      </c>
      <c r="J88" s="35">
        <f>((GETPIVOTDATA("Sum of 2017",$A$73,"Rate Class","RF 2013")*'Allocation to Rate Classes'!$F$52)*1000)</f>
        <v>1215624.0150079487</v>
      </c>
      <c r="K88" s="35">
        <f>((GETPIVOTDATA("Sum of 2018",$A$73,"Rate Class","RF 2013")*'Allocation to Rate Classes'!$F$52)*1000)</f>
        <v>1212866.6131851347</v>
      </c>
      <c r="L88" s="35">
        <f>((GETPIVOTDATA("Sum of 2019",$A$73,"Rate Class","RF 2013")*'Allocation to Rate Classes'!$F$52)*1000)</f>
        <v>1212866.6131851347</v>
      </c>
      <c r="M88" s="35">
        <f>((GETPIVOTDATA("Sum of 2020",$A$73,"Rate Class","RF 2013")*'Allocation to Rate Classes'!$F$52)*1000)</f>
        <v>1172079.9119047245</v>
      </c>
    </row>
    <row r="89" spans="1:13">
      <c r="A89" s="585" t="s">
        <v>496</v>
      </c>
      <c r="B89" s="35"/>
      <c r="C89" s="35"/>
      <c r="D89" s="35"/>
      <c r="E89" s="35"/>
      <c r="F89" s="35">
        <f>((GETPIVOTDATA("Sum of 2013",$A$73,"Rate Class","RF 2013")*'Allocation to Rate Classes'!$J$52)*1000)/2</f>
        <v>1074219.5845582362</v>
      </c>
      <c r="G89" s="35">
        <f>((GETPIVOTDATA("Sum of 2014",$A$73,"Rate Class","RF 2013")*'Allocation to Rate Classes'!$J$52)*1000)</f>
        <v>2148439.1691164724</v>
      </c>
      <c r="H89" s="35">
        <f>((GETPIVOTDATA("Sum of 2015",$A$73,"Rate Class","RF 2013")*'Allocation to Rate Classes'!$J$52)*1000)</f>
        <v>2148439.1691164724</v>
      </c>
      <c r="I89" s="35">
        <f>((GETPIVOTDATA("Sum of 2016",$A$73,"Rate Class","RF 2013")*'Allocation to Rate Classes'!$J$52)*1000)</f>
        <v>2031792.1127098678</v>
      </c>
      <c r="J89" s="35">
        <f>((GETPIVOTDATA("Sum of 2017",$A$73,"Rate Class","RF 2013")*'Allocation to Rate Classes'!$J$52)*1000)</f>
        <v>2014530.1600265454</v>
      </c>
      <c r="K89" s="35">
        <f>((GETPIVOTDATA("Sum of 2018",$A$73,"Rate Class","RF 2013")*'Allocation to Rate Classes'!$J$52)*1000)</f>
        <v>2009960.5981663065</v>
      </c>
      <c r="L89" s="35">
        <f>((GETPIVOTDATA("Sum of 2019",$A$73,"Rate Class","RF 2013")*'Allocation to Rate Classes'!$J$52)*1000)</f>
        <v>2009960.5981663065</v>
      </c>
      <c r="M89" s="35">
        <f>((GETPIVOTDATA("Sum of 2020",$A$73,"Rate Class","RF 2013")*'Allocation to Rate Classes'!$J$52)*1000)</f>
        <v>1942368.9424874391</v>
      </c>
    </row>
    <row r="91" spans="1:13">
      <c r="A91" s="582" t="s">
        <v>33</v>
      </c>
      <c r="B91" s="53">
        <v>2014</v>
      </c>
      <c r="C91" s="45"/>
      <c r="D91" s="45"/>
      <c r="E91" s="45"/>
      <c r="F91" s="45"/>
      <c r="G91" s="45"/>
      <c r="H91" s="45"/>
      <c r="I91" s="45"/>
      <c r="J91" s="45"/>
      <c r="K91" s="45"/>
      <c r="L91" s="45"/>
      <c r="M91" s="45"/>
    </row>
    <row r="92" spans="1:13">
      <c r="A92" s="847" t="s">
        <v>555</v>
      </c>
      <c r="B92" s="847"/>
      <c r="C92" s="847"/>
      <c r="D92" s="847"/>
      <c r="E92" s="847"/>
      <c r="F92" s="45"/>
      <c r="G92" s="45"/>
      <c r="H92" s="45"/>
      <c r="I92" s="45"/>
      <c r="J92" s="45"/>
      <c r="K92" s="45"/>
      <c r="L92" s="45"/>
      <c r="M92" s="45"/>
    </row>
    <row r="93" spans="1:13">
      <c r="A93" s="582" t="s">
        <v>517</v>
      </c>
      <c r="B93" s="45" t="s">
        <v>557</v>
      </c>
      <c r="C93" s="45" t="s">
        <v>556</v>
      </c>
      <c r="D93" s="45" t="s">
        <v>544</v>
      </c>
      <c r="E93" s="45" t="s">
        <v>545</v>
      </c>
      <c r="F93" s="45" t="s">
        <v>546</v>
      </c>
      <c r="G93" s="45" t="s">
        <v>547</v>
      </c>
      <c r="H93" s="45" t="s">
        <v>548</v>
      </c>
      <c r="I93" s="45" t="s">
        <v>558</v>
      </c>
      <c r="J93" s="45" t="s">
        <v>559</v>
      </c>
      <c r="K93" s="45" t="s">
        <v>560</v>
      </c>
      <c r="L93" s="45" t="s">
        <v>561</v>
      </c>
      <c r="M93" s="45" t="s">
        <v>562</v>
      </c>
    </row>
    <row r="94" spans="1:13">
      <c r="A94" s="53" t="s">
        <v>104</v>
      </c>
      <c r="B94" s="35"/>
      <c r="C94" s="35"/>
      <c r="D94" s="35">
        <v>2.4440812378097587</v>
      </c>
      <c r="E94" s="35">
        <v>6.7143800513280896</v>
      </c>
      <c r="F94" s="35">
        <v>6.7143800513280896</v>
      </c>
      <c r="G94" s="35">
        <v>333.08223032911212</v>
      </c>
      <c r="H94" s="35">
        <v>330.6381490913023</v>
      </c>
      <c r="I94" s="35">
        <v>326.36785027778404</v>
      </c>
      <c r="J94" s="35">
        <v>326.36785027778404</v>
      </c>
      <c r="K94" s="35">
        <v>0</v>
      </c>
      <c r="L94" s="35">
        <v>0</v>
      </c>
      <c r="M94" s="35">
        <v>0</v>
      </c>
    </row>
    <row r="95" spans="1:13">
      <c r="A95" s="53" t="s">
        <v>106</v>
      </c>
      <c r="B95" s="35"/>
      <c r="C95" s="35"/>
      <c r="D95" s="35">
        <v>0</v>
      </c>
      <c r="E95" s="35">
        <v>0</v>
      </c>
      <c r="F95" s="35">
        <v>0</v>
      </c>
      <c r="G95" s="35">
        <v>338.65834623230353</v>
      </c>
      <c r="H95" s="35">
        <v>325.08119123952611</v>
      </c>
      <c r="I95" s="35">
        <v>289.5037201066724</v>
      </c>
      <c r="J95" s="35">
        <v>147.17665924911427</v>
      </c>
      <c r="K95" s="35">
        <v>147.17665924911427</v>
      </c>
      <c r="L95" s="35">
        <v>147.17665924911427</v>
      </c>
      <c r="M95" s="35">
        <v>147.17665924911427</v>
      </c>
    </row>
    <row r="96" spans="1:13">
      <c r="A96" s="53" t="s">
        <v>105</v>
      </c>
      <c r="B96" s="35"/>
      <c r="C96" s="35"/>
      <c r="D96" s="35">
        <v>0</v>
      </c>
      <c r="E96" s="35">
        <v>0</v>
      </c>
      <c r="F96" s="35">
        <v>6.4406369454545507</v>
      </c>
      <c r="G96" s="35">
        <v>84.927365999999992</v>
      </c>
      <c r="H96" s="35">
        <v>84.927365999999992</v>
      </c>
      <c r="I96" s="35">
        <v>84.927365999999992</v>
      </c>
      <c r="J96" s="35">
        <v>84.927365999999992</v>
      </c>
      <c r="K96" s="35">
        <v>84.927365999999992</v>
      </c>
      <c r="L96" s="35">
        <v>84.927365999999992</v>
      </c>
      <c r="M96" s="35">
        <v>84.927365999999992</v>
      </c>
    </row>
    <row r="97" spans="1:13">
      <c r="A97" s="53" t="s">
        <v>17</v>
      </c>
      <c r="B97" s="35"/>
      <c r="C97" s="35"/>
      <c r="D97" s="35">
        <v>42.408000000000001</v>
      </c>
      <c r="E97" s="35">
        <v>56.543999999999997</v>
      </c>
      <c r="F97" s="35">
        <v>90.470569919104051</v>
      </c>
      <c r="G97" s="35">
        <v>957.75721549773641</v>
      </c>
      <c r="H97" s="35">
        <v>950.9938998417108</v>
      </c>
      <c r="I97" s="35">
        <v>905.32972917422956</v>
      </c>
      <c r="J97" s="35">
        <v>777.24379891363412</v>
      </c>
      <c r="K97" s="35">
        <v>749.31236214692512</v>
      </c>
      <c r="L97" s="35">
        <v>738.69902497585213</v>
      </c>
      <c r="M97" s="35">
        <v>736.77846130092541</v>
      </c>
    </row>
    <row r="98" spans="1:13">
      <c r="A98" s="53" t="s">
        <v>103</v>
      </c>
      <c r="B98" s="35"/>
      <c r="C98" s="35"/>
      <c r="D98" s="35">
        <v>0</v>
      </c>
      <c r="E98" s="35">
        <v>0</v>
      </c>
      <c r="F98" s="35">
        <v>112.57062990494396</v>
      </c>
      <c r="G98" s="35">
        <v>1946.8084576206322</v>
      </c>
      <c r="H98" s="35">
        <v>1800.3787427811519</v>
      </c>
      <c r="I98" s="35">
        <v>1800.3787427811519</v>
      </c>
      <c r="J98" s="35">
        <v>1740.761982199391</v>
      </c>
      <c r="K98" s="35">
        <v>1740.4971916925429</v>
      </c>
      <c r="L98" s="35">
        <v>1740.4971916925429</v>
      </c>
      <c r="M98" s="35">
        <v>1726.5012241468369</v>
      </c>
    </row>
    <row r="99" spans="1:13">
      <c r="A99" s="53" t="s">
        <v>518</v>
      </c>
      <c r="B99" s="35"/>
      <c r="C99" s="35"/>
      <c r="D99" s="35">
        <v>44.852081237809763</v>
      </c>
      <c r="E99" s="35">
        <v>63.258380051328089</v>
      </c>
      <c r="F99" s="35">
        <v>216.19621682083064</v>
      </c>
      <c r="G99" s="35">
        <v>3661.2336156797846</v>
      </c>
      <c r="H99" s="35">
        <v>3492.0193489536914</v>
      </c>
      <c r="I99" s="35">
        <v>3406.5074083398376</v>
      </c>
      <c r="J99" s="35">
        <v>3076.4776566399232</v>
      </c>
      <c r="K99" s="35">
        <v>2721.9135790885821</v>
      </c>
      <c r="L99" s="35">
        <v>2711.3002419175091</v>
      </c>
      <c r="M99" s="35">
        <v>2695.3837106968767</v>
      </c>
    </row>
    <row r="102" spans="1:13">
      <c r="A102" s="847" t="s">
        <v>568</v>
      </c>
      <c r="B102" s="847"/>
      <c r="C102" s="847"/>
      <c r="D102" s="847"/>
      <c r="E102" s="847"/>
      <c r="F102" s="847"/>
      <c r="G102" s="847"/>
      <c r="H102" s="847"/>
      <c r="I102" s="847"/>
      <c r="J102" s="847"/>
      <c r="K102" s="847"/>
      <c r="L102" s="847"/>
      <c r="M102" s="847"/>
    </row>
    <row r="103" spans="1:13" s="45" customFormat="1">
      <c r="A103" s="583"/>
      <c r="B103" s="583">
        <v>2009</v>
      </c>
      <c r="C103" s="583">
        <v>2010</v>
      </c>
      <c r="D103" s="583">
        <v>2011</v>
      </c>
      <c r="E103" s="583">
        <v>2012</v>
      </c>
      <c r="F103" s="583">
        <v>2013</v>
      </c>
      <c r="G103" s="583">
        <v>2014</v>
      </c>
      <c r="H103" s="583">
        <v>2015</v>
      </c>
      <c r="I103" s="583">
        <v>2016</v>
      </c>
      <c r="J103" s="583">
        <v>2017</v>
      </c>
      <c r="K103" s="583">
        <v>2018</v>
      </c>
      <c r="L103" s="583">
        <v>2019</v>
      </c>
      <c r="M103" s="583">
        <v>2020</v>
      </c>
    </row>
    <row r="104" spans="1:13" s="45" customFormat="1">
      <c r="A104" s="585" t="s">
        <v>17</v>
      </c>
      <c r="B104" s="594"/>
      <c r="C104" s="594"/>
      <c r="D104" s="594"/>
      <c r="E104" s="594"/>
      <c r="F104" s="594"/>
      <c r="G104" s="35">
        <f>((GETPIVOTDATA("Sum of 2014",$A$93,"Rate Class","Residential")+(GETPIVOTDATA("Sum of 2014",$A$93,"Rate Class","RF 2014")*'Allocation to Rate Classes'!$H$53))*1000)/2</f>
        <v>495314.92701998318</v>
      </c>
      <c r="H104" s="35">
        <f>((GETPIVOTDATA("Sum of 2015",$A$93,"Rate Class","Residential")+(GETPIVOTDATA("Sum of 2015",$A$93,"Rate Class","RF 2014")*'Allocation to Rate Classes'!$H$53))*1000)</f>
        <v>981394.01415130869</v>
      </c>
      <c r="I104" s="35">
        <f>((GETPIVOTDATA("Sum of 2016",$A$93,"Rate Class","Residential")+(GETPIVOTDATA("Sum of 2016",$A$93,"Rate Class","RF 2014")*'Allocation to Rate Classes'!$H$53))*1000)</f>
        <v>935729.84348382754</v>
      </c>
      <c r="J104" s="35">
        <f>((GETPIVOTDATA("Sum of 2017",$A$93,"Rate Class","Residential")+(GETPIVOTDATA("Sum of 2017",$A$93,"Rate Class","RF 2014")*'Allocation to Rate Classes'!$H$53))*1000)</f>
        <v>806637.26040436246</v>
      </c>
      <c r="K104" s="35">
        <f>((GETPIVOTDATA("Sum of 2018",$A$93,"Rate Class","Residential")+(GETPIVOTDATA("Sum of 2018",$A$93,"Rate Class","RF 2014")*'Allocation to Rate Classes'!$H$53))*1000)</f>
        <v>778701.35254416359</v>
      </c>
      <c r="L104" s="35">
        <f>((GETPIVOTDATA("Sum of 2019",$A$93,"Rate Class","Residential")+(GETPIVOTDATA("Sum of 2019",$A$93,"Rate Class","RF 2014")*'Allocation to Rate Classes'!$H$53))*1000)</f>
        <v>768088.01537309051</v>
      </c>
      <c r="M104" s="35">
        <f>((GETPIVOTDATA("Sum of 2020",$A$93,"Rate Class","Residential")+(GETPIVOTDATA("Sum of 2020",$A$93,"Rate Class","RF 2014")*'Allocation to Rate Classes'!$H$53))*1000)</f>
        <v>765931.12419487105</v>
      </c>
    </row>
    <row r="105" spans="1:13" s="45" customFormat="1">
      <c r="A105" s="585" t="s">
        <v>70</v>
      </c>
      <c r="B105" s="594"/>
      <c r="C105" s="594"/>
      <c r="D105" s="594"/>
      <c r="E105" s="594"/>
      <c r="F105" s="594"/>
      <c r="G105" s="35">
        <f>(((GETPIVOTDATA("Sum of 2014",$A$93,"Rate Class","AU 2014")*'Allocation to Rate Classes'!$B$46)+(GETPIVOTDATA("Sum of 2014",'KH MWh Savings Pivot'!$A$93,"Rate Class","DI 2014")*'Allocation to Rate Classes'!$B$39)+(GETPIVOTDATA("Sum of 2014",'KH MWh Savings Pivot'!$A$93,"Rate Class","HP 2014")*'Allocation to Rate Classes'!$B$60)+(GETPIVOTDATA("Sum of 2014",'KH MWh Savings Pivot'!$A$93,"Rate Class","RF 2014")*'Allocation to Rate Classes'!$B$53))*1000)/2</f>
        <v>419901.87126429088</v>
      </c>
      <c r="H105" s="35">
        <f>(((GETPIVOTDATA("Sum of 2015",$A$93,"Rate Class","AU 2014")*'Allocation to Rate Classes'!$B$46)+(GETPIVOTDATA("Sum of 2015",'KH MWh Savings Pivot'!$A$93,"Rate Class","DI 2014")*'Allocation to Rate Classes'!$B$39)+(GETPIVOTDATA("Sum of 2015",'KH MWh Savings Pivot'!$A$93,"Rate Class","HP 2014")*'Allocation to Rate Classes'!$B$60)+(GETPIVOTDATA("Sum of 2015",'KH MWh Savings Pivot'!$A$93,"Rate Class","RF 2014")*'Allocation to Rate Classes'!$B$53))*1000)</f>
        <v>794193.86610480642</v>
      </c>
      <c r="I105" s="35">
        <f>(((GETPIVOTDATA("Sum of 2016",$A$93,"Rate Class","AU 2014")*'Allocation to Rate Classes'!$B$46)+(GETPIVOTDATA("Sum of 2016",'KH MWh Savings Pivot'!$A$93,"Rate Class","DI 2014")*'Allocation to Rate Classes'!$B$39)+(GETPIVOTDATA("Sum of 2016",'KH MWh Savings Pivot'!$A$93,"Rate Class","HP 2014")*'Allocation to Rate Classes'!$B$60)+(GETPIVOTDATA("Sum of 2016",'KH MWh Savings Pivot'!$A$93,"Rate Class","RF 2014")*'Allocation to Rate Classes'!$B$53))*1000)</f>
        <v>763907.53476856009</v>
      </c>
      <c r="J105" s="35">
        <f>(((GETPIVOTDATA("Sum of 2017",$A$93,"Rate Class","AU 2014")*'Allocation to Rate Classes'!$B$46)+(GETPIVOTDATA("Sum of 2017",'KH MWh Savings Pivot'!$A$93,"Rate Class","DI 2014")*'Allocation to Rate Classes'!$B$39)+(GETPIVOTDATA("Sum of 2017",'KH MWh Savings Pivot'!$A$93,"Rate Class","HP 2014")*'Allocation to Rate Classes'!$B$60)+(GETPIVOTDATA("Sum of 2017",'KH MWh Savings Pivot'!$A$93,"Rate Class","RF 2014")*'Allocation to Rate Classes'!$B$53))*1000)</f>
        <v>632366.79771416693</v>
      </c>
      <c r="K105" s="35">
        <f>(((GETPIVOTDATA("Sum of 2018",$A$93,"Rate Class","AU 2014")*'Allocation to Rate Classes'!$B$46)+(GETPIVOTDATA("Sum of 2018",'KH MWh Savings Pivot'!$A$93,"Rate Class","DI 2014")*'Allocation to Rate Classes'!$B$39)+(GETPIVOTDATA("Sum of 2018",'KH MWh Savings Pivot'!$A$93,"Rate Class","HP 2014")*'Allocation to Rate Classes'!$B$60)+(GETPIVOTDATA("Sum of 2018",'KH MWh Savings Pivot'!$A$93,"Rate Class","RF 2014")*'Allocation to Rate Classes'!$B$53))*1000)</f>
        <v>567031.94570656831</v>
      </c>
      <c r="L105" s="35">
        <f>(((GETPIVOTDATA("Sum of 2019",$A$93,"Rate Class","AU 2014")*'Allocation to Rate Classes'!$B$46)+(GETPIVOTDATA("Sum of 2019",'KH MWh Savings Pivot'!$A$93,"Rate Class","DI 2014")*'Allocation to Rate Classes'!$B$39)+(GETPIVOTDATA("Sum of 2019",'KH MWh Savings Pivot'!$A$93,"Rate Class","HP 2014")*'Allocation to Rate Classes'!$B$60)+(GETPIVOTDATA("Sum of 2019",'KH MWh Savings Pivot'!$A$93,"Rate Class","RF 2014")*'Allocation to Rate Classes'!$B$53))*1000)</f>
        <v>567031.94570656831</v>
      </c>
      <c r="M105" s="35">
        <f>(((GETPIVOTDATA("Sum of 2020",$A$93,"Rate Class","AU 2014")*'Allocation to Rate Classes'!$B$46)+(GETPIVOTDATA("Sum of 2020",'KH MWh Savings Pivot'!$A$93,"Rate Class","DI 2014")*'Allocation to Rate Classes'!$B$39)+(GETPIVOTDATA("Sum of 2020",'KH MWh Savings Pivot'!$A$93,"Rate Class","HP 2014")*'Allocation to Rate Classes'!$B$60)+(GETPIVOTDATA("Sum of 2020",'KH MWh Savings Pivot'!$A$93,"Rate Class","RF 2014")*'Allocation to Rate Classes'!$B$53))*1000)</f>
        <v>563792.78044295707</v>
      </c>
    </row>
    <row r="106" spans="1:13" s="45" customFormat="1">
      <c r="A106" s="585" t="s">
        <v>71</v>
      </c>
      <c r="B106" s="594"/>
      <c r="C106" s="594"/>
      <c r="D106" s="594"/>
      <c r="E106" s="594"/>
      <c r="F106" s="594"/>
      <c r="G106" s="35">
        <f>(((GETPIVOTDATA("Sum of 2014",$A$93,"Rate Class","AU 2014")*'Allocation to Rate Classes'!$D$46)+(GETPIVOTDATA("Sum of 2014",'KH MWh Savings Pivot'!$A$93,"Rate Class","DI 2014")*'Allocation to Rate Classes'!$D$39)+(GETPIVOTDATA("Sum of 2014",'KH MWh Savings Pivot'!$A$93,"Rate Class","HP 2014")*'Allocation to Rate Classes'!$D$60)+(GETPIVOTDATA("Sum of 2014",'KH MWh Savings Pivot'!$A$93,"Rate Class","RF 2014")*'Allocation to Rate Classes'!$D$53))*1000)/2</f>
        <v>861677.44916610268</v>
      </c>
      <c r="H106" s="35">
        <f>(((GETPIVOTDATA("Sum of 2015",$A$93,"Rate Class","AU 2014")*'Allocation to Rate Classes'!$D$46)+(GETPIVOTDATA("Sum of 2015",'KH MWh Savings Pivot'!$A$93,"Rate Class","DI 2014")*'Allocation to Rate Classes'!$D$39)+(GETPIVOTDATA("Sum of 2015",'KH MWh Savings Pivot'!$A$93,"Rate Class","HP 2014")*'Allocation to Rate Classes'!$D$60)+(GETPIVOTDATA("Sum of 2015",'KH MWh Savings Pivot'!$A$93,"Rate Class","RF 2014")*'Allocation to Rate Classes'!$D$53))*1000)</f>
        <v>1617067.8611947901</v>
      </c>
      <c r="I106" s="35">
        <f>(((GETPIVOTDATA("Sum of 2016",$A$93,"Rate Class","AU 2014")*'Allocation to Rate Classes'!$D$46)+(GETPIVOTDATA("Sum of 2016",'KH MWh Savings Pivot'!$A$93,"Rate Class","DI 2014")*'Allocation to Rate Classes'!$D$39)+(GETPIVOTDATA("Sum of 2016",'KH MWh Savings Pivot'!$A$93,"Rate Class","HP 2014")*'Allocation to Rate Classes'!$D$60)+(GETPIVOTDATA("Sum of 2016",'KH MWh Savings Pivot'!$A$93,"Rate Class","RF 2014")*'Allocation to Rate Classes'!$D$53))*1000)</f>
        <v>1607506.4225846645</v>
      </c>
      <c r="J106" s="35">
        <f>(((GETPIVOTDATA("Sum of 2017",$A$93,"Rate Class","AU 2014")*'Allocation to Rate Classes'!$D$46)+(GETPIVOTDATA("Sum of 2017",'KH MWh Savings Pivot'!$A$93,"Rate Class","DI 2014")*'Allocation to Rate Classes'!$D$39)+(GETPIVOTDATA("Sum of 2017",'KH MWh Savings Pivot'!$A$93,"Rate Class","HP 2014")*'Allocation to Rate Classes'!$D$60)+(GETPIVOTDATA("Sum of 2017",'KH MWh Savings Pivot'!$A$93,"Rate Class","RF 2014")*'Allocation to Rate Classes'!$D$53))*1000)</f>
        <v>1541400.2633697928</v>
      </c>
      <c r="K106" s="35">
        <f>(((GETPIVOTDATA("Sum of 2018",$A$93,"Rate Class","AU 2014")*'Allocation to Rate Classes'!$D$46)+(GETPIVOTDATA("Sum of 2018",'KH MWh Savings Pivot'!$A$93,"Rate Class","DI 2014")*'Allocation to Rate Classes'!$D$39)+(GETPIVOTDATA("Sum of 2018",'KH MWh Savings Pivot'!$A$93,"Rate Class","HP 2014")*'Allocation to Rate Classes'!$D$60)+(GETPIVOTDATA("Sum of 2018",'KH MWh Savings Pivot'!$A$93,"Rate Class","RF 2014")*'Allocation to Rate Classes'!$D$53))*1000)</f>
        <v>1280121.5595779642</v>
      </c>
      <c r="L106" s="35">
        <f>(((GETPIVOTDATA("Sum of 2019",$A$93,"Rate Class","AU 2014")*'Allocation to Rate Classes'!$D$46)+(GETPIVOTDATA("Sum of 2019",'KH MWh Savings Pivot'!$A$93,"Rate Class","DI 2014")*'Allocation to Rate Classes'!$D$39)+(GETPIVOTDATA("Sum of 2019",'KH MWh Savings Pivot'!$A$93,"Rate Class","HP 2014")*'Allocation to Rate Classes'!$D$60)+(GETPIVOTDATA("Sum of 2019",'KH MWh Savings Pivot'!$A$93,"Rate Class","RF 2014")*'Allocation to Rate Classes'!$D$53))*1000)</f>
        <v>1280121.5595779642</v>
      </c>
      <c r="M106" s="35">
        <f>(((GETPIVOTDATA("Sum of 2020",$A$93,"Rate Class","AU 2014")*'Allocation to Rate Classes'!$D$46)+(GETPIVOTDATA("Sum of 2020",'KH MWh Savings Pivot'!$A$93,"Rate Class","DI 2014")*'Allocation to Rate Classes'!$D$39)+(GETPIVOTDATA("Sum of 2020",'KH MWh Savings Pivot'!$A$93,"Rate Class","HP 2014")*'Allocation to Rate Classes'!$D$60)+(GETPIVOTDATA("Sum of 2020",'KH MWh Savings Pivot'!$A$93,"Rate Class","RF 2014")*'Allocation to Rate Classes'!$D$53))*1000)</f>
        <v>1270373.5277261906</v>
      </c>
    </row>
    <row r="107" spans="1:13" s="45" customFormat="1">
      <c r="A107" s="585" t="s">
        <v>57</v>
      </c>
      <c r="B107" s="594"/>
      <c r="C107" s="594"/>
      <c r="D107" s="594"/>
      <c r="E107" s="594"/>
      <c r="F107" s="594"/>
      <c r="G107" s="35">
        <f>((GETPIVOTDATA("Sum of 2014",$A$93,"Rate Class","RF 2014")*'Allocation to Rate Classes'!$F$53)*1000)/2</f>
        <v>53722.560389515347</v>
      </c>
      <c r="H107" s="35">
        <f>((GETPIVOTDATA("Sum of 2015",$A$93,"Rate Class","RF 2014")*'Allocation to Rate Classes'!$F$53)*1000)</f>
        <v>99363.607502785802</v>
      </c>
      <c r="I107" s="35">
        <f>((GETPIVOTDATA("Sum of 2016",$A$93,"Rate Class","RF 2014")*'Allocation to Rate Classes'!$F$53)*1000)</f>
        <v>99363.607502785802</v>
      </c>
      <c r="J107" s="35">
        <f>((GETPIVOTDATA("Sum of 2017",$A$93,"Rate Class","RF 2014")*'Allocation to Rate Classes'!$F$53)*1000)</f>
        <v>96073.335151601015</v>
      </c>
      <c r="K107" s="35">
        <f>((GETPIVOTDATA("Sum of 2018",$A$93,"Rate Class","RF 2014")*'Allocation to Rate Classes'!$F$53)*1000)</f>
        <v>96058.72125988605</v>
      </c>
      <c r="L107" s="35">
        <f>((GETPIVOTDATA("Sum of 2019",$A$93,"Rate Class","RF 2014")*'Allocation to Rate Classes'!$F$53)*1000)</f>
        <v>96058.72125988605</v>
      </c>
      <c r="M107" s="35">
        <f>((GETPIVOTDATA("Sum of 2020",$A$93,"Rate Class","RF 2014")*'Allocation to Rate Classes'!$F$53)*1000)</f>
        <v>95286.278332857837</v>
      </c>
    </row>
    <row r="108" spans="1:13" s="45" customFormat="1">
      <c r="A108" s="585"/>
      <c r="B108" s="583"/>
      <c r="C108" s="583"/>
      <c r="D108" s="583"/>
      <c r="E108" s="583"/>
      <c r="F108" s="583"/>
    </row>
    <row r="109" spans="1:13">
      <c r="A109" s="582" t="s">
        <v>33</v>
      </c>
      <c r="B109" s="45" t="s">
        <v>481</v>
      </c>
      <c r="C109" s="45"/>
      <c r="D109" s="45"/>
      <c r="E109" s="45"/>
      <c r="F109" s="45"/>
      <c r="G109" s="45"/>
      <c r="H109" s="45"/>
      <c r="I109" s="45"/>
      <c r="J109" s="45"/>
      <c r="K109" s="45"/>
      <c r="L109" s="45"/>
      <c r="M109" s="45"/>
    </row>
    <row r="110" spans="1:13">
      <c r="A110" s="847" t="s">
        <v>555</v>
      </c>
      <c r="B110" s="847"/>
      <c r="C110" s="847"/>
      <c r="D110" s="847"/>
      <c r="E110" s="847"/>
      <c r="F110" s="45"/>
      <c r="G110" s="45"/>
      <c r="H110" s="45"/>
      <c r="I110" s="45"/>
      <c r="J110" s="45"/>
      <c r="K110" s="45"/>
      <c r="L110" s="45"/>
      <c r="M110" s="45"/>
    </row>
    <row r="111" spans="1:13">
      <c r="A111" s="582" t="s">
        <v>517</v>
      </c>
      <c r="B111" s="45" t="s">
        <v>557</v>
      </c>
      <c r="C111" s="45" t="s">
        <v>556</v>
      </c>
      <c r="D111" s="45" t="s">
        <v>544</v>
      </c>
      <c r="E111" s="45" t="s">
        <v>545</v>
      </c>
      <c r="F111" s="45" t="s">
        <v>546</v>
      </c>
      <c r="G111" s="45" t="s">
        <v>547</v>
      </c>
      <c r="H111" s="45" t="s">
        <v>548</v>
      </c>
      <c r="I111" s="45" t="s">
        <v>558</v>
      </c>
      <c r="J111" s="45" t="s">
        <v>559</v>
      </c>
      <c r="K111" s="45" t="s">
        <v>560</v>
      </c>
      <c r="L111" s="45" t="s">
        <v>561</v>
      </c>
      <c r="M111" s="45" t="s">
        <v>562</v>
      </c>
    </row>
    <row r="112" spans="1:13">
      <c r="A112" s="53" t="s">
        <v>474</v>
      </c>
      <c r="B112" s="35"/>
      <c r="C112" s="35"/>
      <c r="D112" s="35"/>
      <c r="E112" s="35"/>
      <c r="F112" s="35"/>
      <c r="G112" s="35"/>
      <c r="H112" s="35">
        <v>100.57815493751451</v>
      </c>
      <c r="I112" s="35">
        <v>252.96929878223347</v>
      </c>
      <c r="J112" s="35">
        <v>405.36044262695242</v>
      </c>
      <c r="K112" s="35">
        <v>557.75158647167143</v>
      </c>
      <c r="L112" s="35">
        <v>609.56457537887582</v>
      </c>
      <c r="M112" s="35">
        <v>609.56457537887582</v>
      </c>
    </row>
    <row r="113" spans="1:13">
      <c r="A113" s="586" t="s">
        <v>472</v>
      </c>
      <c r="B113" s="596"/>
      <c r="C113" s="596"/>
      <c r="D113" s="596"/>
      <c r="E113" s="596"/>
      <c r="F113" s="596"/>
      <c r="G113" s="596"/>
      <c r="H113" s="596">
        <v>0</v>
      </c>
      <c r="I113" s="35">
        <v>397.99679561551812</v>
      </c>
      <c r="J113" s="35">
        <v>832.17511810517431</v>
      </c>
      <c r="K113" s="35">
        <v>1302.5349674689683</v>
      </c>
      <c r="L113" s="35">
        <v>1809.0763437069004</v>
      </c>
      <c r="M113" s="35">
        <v>2351.7992468189709</v>
      </c>
    </row>
    <row r="114" spans="1:13">
      <c r="A114" s="586" t="s">
        <v>71</v>
      </c>
      <c r="B114" s="596"/>
      <c r="C114" s="596"/>
      <c r="D114" s="596"/>
      <c r="E114" s="596"/>
      <c r="F114" s="596"/>
      <c r="G114" s="596"/>
      <c r="H114" s="596">
        <v>0</v>
      </c>
      <c r="I114" s="35">
        <v>401.80369679491241</v>
      </c>
      <c r="J114" s="35">
        <v>803.60739358982482</v>
      </c>
      <c r="K114" s="35">
        <v>1205.4110903847372</v>
      </c>
      <c r="L114" s="35">
        <v>1506.7638629809217</v>
      </c>
      <c r="M114" s="35">
        <v>1808.1166355771061</v>
      </c>
    </row>
    <row r="115" spans="1:13">
      <c r="A115" s="53" t="s">
        <v>473</v>
      </c>
      <c r="B115" s="35"/>
      <c r="C115" s="35"/>
      <c r="D115" s="35"/>
      <c r="E115" s="35"/>
      <c r="F115" s="35"/>
      <c r="G115" s="35"/>
      <c r="H115" s="35">
        <v>60.119840795330255</v>
      </c>
      <c r="I115" s="35">
        <v>174.63382326262595</v>
      </c>
      <c r="J115" s="35">
        <v>289.14780572992163</v>
      </c>
      <c r="K115" s="35">
        <v>403.66178819721739</v>
      </c>
      <c r="L115" s="35">
        <v>518.17577066451315</v>
      </c>
      <c r="M115" s="35">
        <v>632.68975313180886</v>
      </c>
    </row>
    <row r="116" spans="1:13">
      <c r="A116" s="53" t="s">
        <v>57</v>
      </c>
      <c r="B116" s="35"/>
      <c r="C116" s="35"/>
      <c r="D116" s="35"/>
      <c r="E116" s="35"/>
      <c r="F116" s="35"/>
      <c r="G116" s="35"/>
      <c r="H116" s="35">
        <v>100.4509241987281</v>
      </c>
      <c r="I116" s="35">
        <v>8056.6261949893078</v>
      </c>
      <c r="J116" s="35">
        <v>11098.280179726797</v>
      </c>
      <c r="K116" s="35">
        <v>11500.083876521709</v>
      </c>
      <c r="L116" s="35">
        <v>11801.436649117892</v>
      </c>
      <c r="M116" s="35">
        <v>12102.789421714077</v>
      </c>
    </row>
    <row r="117" spans="1:13">
      <c r="A117" s="53" t="s">
        <v>17</v>
      </c>
      <c r="B117" s="35"/>
      <c r="C117" s="35"/>
      <c r="D117" s="35"/>
      <c r="E117" s="35"/>
      <c r="F117" s="35"/>
      <c r="G117" s="35"/>
      <c r="H117" s="35">
        <v>355.24218270097799</v>
      </c>
      <c r="I117" s="35">
        <v>499.16387425609543</v>
      </c>
      <c r="J117" s="35">
        <v>550.77175116784656</v>
      </c>
      <c r="K117" s="35">
        <v>602.37962807959775</v>
      </c>
      <c r="L117" s="35">
        <v>653.98750499134894</v>
      </c>
      <c r="M117" s="35">
        <v>705.59538190310013</v>
      </c>
    </row>
    <row r="118" spans="1:13">
      <c r="A118" s="53" t="s">
        <v>471</v>
      </c>
      <c r="B118" s="35"/>
      <c r="C118" s="35"/>
      <c r="D118" s="35"/>
      <c r="E118" s="35"/>
      <c r="F118" s="35"/>
      <c r="G118" s="35"/>
      <c r="H118" s="35">
        <v>2229.8638588624331</v>
      </c>
      <c r="I118" s="35">
        <v>5134.4901161313128</v>
      </c>
      <c r="J118" s="35">
        <v>8406.3463909489692</v>
      </c>
      <c r="K118" s="35">
        <v>12131.196677887034</v>
      </c>
      <c r="L118" s="35">
        <v>16309.040976945511</v>
      </c>
      <c r="M118" s="35">
        <v>20939.879288124397</v>
      </c>
    </row>
    <row r="119" spans="1:13">
      <c r="A119" s="53" t="s">
        <v>518</v>
      </c>
      <c r="B119" s="35"/>
      <c r="C119" s="35"/>
      <c r="D119" s="35"/>
      <c r="E119" s="35"/>
      <c r="F119" s="35"/>
      <c r="G119" s="35"/>
      <c r="H119" s="35">
        <v>2846.2549614949839</v>
      </c>
      <c r="I119" s="35">
        <v>14917.683799832004</v>
      </c>
      <c r="J119" s="35">
        <v>22385.689081895485</v>
      </c>
      <c r="K119" s="35">
        <v>27703.019615010933</v>
      </c>
      <c r="L119" s="35">
        <v>33208.045683785967</v>
      </c>
      <c r="M119" s="35">
        <v>39150.43430264834</v>
      </c>
    </row>
    <row r="121" spans="1:13">
      <c r="A121" s="847" t="s">
        <v>569</v>
      </c>
      <c r="B121" s="847"/>
      <c r="C121" s="847"/>
      <c r="D121" s="847"/>
      <c r="E121" s="847"/>
      <c r="F121" s="847"/>
      <c r="G121" s="847"/>
      <c r="H121" s="847"/>
      <c r="I121" s="847"/>
      <c r="J121" s="847"/>
      <c r="K121" s="847"/>
      <c r="L121" s="847"/>
      <c r="M121" s="847"/>
    </row>
    <row r="122" spans="1:13">
      <c r="B122" s="583">
        <v>2009</v>
      </c>
      <c r="C122" s="583">
        <v>2010</v>
      </c>
      <c r="D122" s="583">
        <v>2011</v>
      </c>
      <c r="E122" s="583">
        <v>2012</v>
      </c>
      <c r="F122" s="583">
        <v>2013</v>
      </c>
      <c r="G122" s="583">
        <v>2014</v>
      </c>
      <c r="H122" s="583">
        <v>2015</v>
      </c>
      <c r="I122" s="583">
        <v>2016</v>
      </c>
      <c r="J122" s="583">
        <v>2017</v>
      </c>
      <c r="K122" s="583">
        <v>2018</v>
      </c>
      <c r="L122" s="583">
        <v>2019</v>
      </c>
      <c r="M122" s="583">
        <v>2020</v>
      </c>
    </row>
    <row r="123" spans="1:13">
      <c r="A123" s="585" t="s">
        <v>17</v>
      </c>
      <c r="B123" s="35"/>
      <c r="C123" s="35"/>
      <c r="D123" s="35"/>
      <c r="E123" s="35"/>
      <c r="F123" s="35"/>
      <c r="G123" s="35"/>
      <c r="H123" s="35">
        <f>((GETPIVOTDATA("Sum of 2015",$A$111,"Rate Class","Residential")+(GETPIVOTDATA("Sum of 2015",$A$111,"Rate Class","RF 2015-20")*'Allocation to Rate Classes'!$H$54))*1000)/2</f>
        <v>181705.71754005147</v>
      </c>
      <c r="I123" s="35">
        <f>((GETPIVOTDATA("Sum of 2016",$A$111,"Rate Class","Residential")+(GETPIVOTDATA("Sum of 2016",$A$111,"Rate Class","RF 2015-20")*'Allocation to Rate Classes'!$H$54))*1000)</f>
        <v>517974.41528087232</v>
      </c>
      <c r="J123" s="35">
        <f>((GETPIVOTDATA("Sum of 2017",$A$111,"Rate Class","Residential")+(GETPIVOTDATA("Sum of 2017",$A$111,"Rate Class","RF 2015-20")*'Allocation to Rate Classes'!$H$54))*1000)</f>
        <v>581568.95207366417</v>
      </c>
      <c r="K123" s="35">
        <f>((GETPIVOTDATA("Sum of 2018",$A$111,"Rate Class","Residential")+(GETPIVOTDATA("Sum of 2018",$A$111,"Rate Class","RF 2015-20")*'Allocation to Rate Classes'!$H$54))*1000)</f>
        <v>646823.06211642653</v>
      </c>
      <c r="L123" s="35">
        <f>((GETPIVOTDATA("Sum of 2019",$A$111,"Rate Class","Residential")+(GETPIVOTDATA("Sum of 2019",$A$111,"Rate Class","RF 2015-20")*'Allocation to Rate Classes'!$H$54))*1000)</f>
        <v>713736.74540915934</v>
      </c>
      <c r="M123" s="35">
        <f>((GETPIVOTDATA("Sum of 2020",$A$111,"Rate Class","Residential")+(GETPIVOTDATA("Sum of 2020",$A$111,"Rate Class","RF 2015-20")*'Allocation to Rate Classes'!$H$54))*1000)</f>
        <v>782310.00195186271</v>
      </c>
    </row>
    <row r="124" spans="1:13">
      <c r="A124" s="585" t="s">
        <v>70</v>
      </c>
      <c r="B124" s="35"/>
      <c r="C124" s="35"/>
      <c r="D124" s="35"/>
      <c r="E124" s="35"/>
      <c r="F124" s="35"/>
      <c r="G124" s="35"/>
      <c r="H124" s="35">
        <f>(((GETPIVOTDATA("Sum of 2015",$A$111,"Rate Class","AU 2015-20")*'Allocation to Rate Classes'!$B$47)+(GETPIVOTDATA("Sum of 2015",'KH MWh Savings Pivot'!$A$111,"Rate Class","DI 2015-20")*'Allocation to Rate Classes'!$B$40)+(GETPIVOTDATA("Sum of 2015",'KH MWh Savings Pivot'!$A$111,"Rate Class","HP 2015-20")*'Allocation to Rate Classes'!$B$61)+(GETPIVOTDATA("Sum of 2015",'KH MWh Savings Pivot'!$A$111,"Rate Class","RF 2015-20")*'Allocation to Rate Classes'!$B$54))*1000)/2</f>
        <v>135731.6256015221</v>
      </c>
      <c r="I124" s="35">
        <f>(((GETPIVOTDATA("Sum of 2016",$A$111,"Rate Class","AU 2015-20")*'Allocation to Rate Classes'!$B$47)+(GETPIVOTDATA("Sum of 2016",'KH MWh Savings Pivot'!$A$111,"Rate Class","DI 2015-20")*'Allocation to Rate Classes'!$B$40)+(GETPIVOTDATA("Sum of 2016",'KH MWh Savings Pivot'!$A$111,"Rate Class","HP 2015-20")*'Allocation to Rate Classes'!$B$61)+(GETPIVOTDATA("Sum of 2016",'KH MWh Savings Pivot'!$A$111,"Rate Class","RF 2015-20")*'Allocation to Rate Classes'!$B$54))*1000)</f>
        <v>997809.39378643211</v>
      </c>
      <c r="J124" s="35">
        <f>(((GETPIVOTDATA("Sum of 2017",$A$111,"Rate Class","AU 2015-20")*'Allocation to Rate Classes'!$B$47)+(GETPIVOTDATA("Sum of 2017",'KH MWh Savings Pivot'!$A$111,"Rate Class","DI 2015-20")*'Allocation to Rate Classes'!$B$40)+(GETPIVOTDATA("Sum of 2017",'KH MWh Savings Pivot'!$A$111,"Rate Class","HP 2015-20")*'Allocation to Rate Classes'!$B$61)+(GETPIVOTDATA("Sum of 2017",'KH MWh Savings Pivot'!$A$111,"Rate Class","RF 2015-20")*'Allocation to Rate Classes'!$B$54))*1000)</f>
        <v>1795482.0288606647</v>
      </c>
      <c r="K124" s="35">
        <f>(((GETPIVOTDATA("Sum of 2018",$A$111,"Rate Class","AU 2015-20")*'Allocation to Rate Classes'!$B$47)+(GETPIVOTDATA("Sum of 2018",'KH MWh Savings Pivot'!$A$111,"Rate Class","DI 2015-20")*'Allocation to Rate Classes'!$B$40)+(GETPIVOTDATA("Sum of 2018",'KH MWh Savings Pivot'!$A$111,"Rate Class","HP 2015-20")*'Allocation to Rate Classes'!$B$61)+(GETPIVOTDATA("Sum of 2018",'KH MWh Savings Pivot'!$A$111,"Rate Class","RF 2015-20")*'Allocation to Rate Classes'!$B$54))*1000)</f>
        <v>2673492.4927453413</v>
      </c>
      <c r="L124" s="35">
        <f>(((GETPIVOTDATA("Sum of 2019",$A$111,"Rate Class","AU 2015-20")*'Allocation to Rate Classes'!$B$47)+(GETPIVOTDATA("Sum of 2019",'KH MWh Savings Pivot'!$A$111,"Rate Class","DI 2015-20")*'Allocation to Rate Classes'!$B$40)+(GETPIVOTDATA("Sum of 2019",'KH MWh Savings Pivot'!$A$111,"Rate Class","HP 2015-20")*'Allocation to Rate Classes'!$B$61)+(GETPIVOTDATA("Sum of 2019",'KH MWh Savings Pivot'!$A$111,"Rate Class","RF 2015-20")*'Allocation to Rate Classes'!$B$54))*1000)</f>
        <v>3606696.2467060839</v>
      </c>
      <c r="M124" s="35">
        <f>(((GETPIVOTDATA("Sum of 2020",$A$111,"Rate Class","AU 2015-20")*'Allocation to Rate Classes'!$B$47)+(GETPIVOTDATA("Sum of 2020",'KH MWh Savings Pivot'!$A$111,"Rate Class","DI 2015-20")*'Allocation to Rate Classes'!$B$40)+(GETPIVOTDATA("Sum of 2020",'KH MWh Savings Pivot'!$A$111,"Rate Class","HP 2015-20")*'Allocation to Rate Classes'!$B$61)+(GETPIVOTDATA("Sum of 2020",'KH MWh Savings Pivot'!$A$111,"Rate Class","RF 2015-20")*'Allocation to Rate Classes'!$B$54))*1000)</f>
        <v>4607284.5822504694</v>
      </c>
    </row>
    <row r="125" spans="1:13">
      <c r="A125" s="585" t="s">
        <v>71</v>
      </c>
      <c r="B125" s="35"/>
      <c r="C125" s="35"/>
      <c r="D125" s="35"/>
      <c r="E125" s="35"/>
      <c r="F125" s="35"/>
      <c r="G125" s="35"/>
      <c r="H125" s="35">
        <f>((GETPIVOTDATA("Sum of 2015",$A$111,"Rate Class","GS Greater Than 50kW")+(GETPIVOTDATA("Sum of 2015",$A$111,"Rate Class","AU 2015-20")*'Allocation to Rate Classes'!$D$47)+(GETPIVOTDATA("Sum of 2015",'KH MWh Savings Pivot'!$A$111,"Rate Class","DI 2015-20")*'Allocation to Rate Classes'!$D$40)+(GETPIVOTDATA("Sum of 2015",'KH MWh Savings Pivot'!$A$111,"Rate Class","HP 2015-20")*'Allocation to Rate Classes'!$D$61)+(GETPIVOTDATA("Sum of 2015",'KH MWh Savings Pivot'!$A$111,"Rate Class","RF 2015-20")*'Allocation to Rate Classes'!$D$54))*1000)/2</f>
        <v>601192.67822346475</v>
      </c>
      <c r="I125" s="35">
        <f>((GETPIVOTDATA("Sum of 2016",$A$111,"Rate Class","GS Greater Than 50kW")+(GETPIVOTDATA("Sum of 2016",$A$111,"Rate Class","AU 2015-20")*'Allocation to Rate Classes'!$D$47)+(GETPIVOTDATA("Sum of 2016",'KH MWh Savings Pivot'!$A$111,"Rate Class","DI 2015-20")*'Allocation to Rate Classes'!$D$40)+(GETPIVOTDATA("Sum of 2016",'KH MWh Savings Pivot'!$A$111,"Rate Class","HP 2015-20")*'Allocation to Rate Classes'!$D$61)+(GETPIVOTDATA("Sum of 2016",'KH MWh Savings Pivot'!$A$111,"Rate Class","RF 2015-20")*'Allocation to Rate Classes'!$D$54))*1000)</f>
        <v>3224468.3574159634</v>
      </c>
      <c r="J125" s="35">
        <f>((GETPIVOTDATA("Sum of 2017",$A$111,"Rate Class","GS Greater Than 50kW")+(GETPIVOTDATA("Sum of 2017",$A$111,"Rate Class","AU 2015-20")*'Allocation to Rate Classes'!$D$47)+(GETPIVOTDATA("Sum of 2017",'KH MWh Savings Pivot'!$A$111,"Rate Class","DI 2015-20")*'Allocation to Rate Classes'!$D$40)+(GETPIVOTDATA("Sum of 2017",'KH MWh Savings Pivot'!$A$111,"Rate Class","HP 2015-20")*'Allocation to Rate Classes'!$D$61)+(GETPIVOTDATA("Sum of 2017",'KH MWh Savings Pivot'!$A$111,"Rate Class","RF 2015-20")*'Allocation to Rate Classes'!$D$54))*1000)</f>
        <v>5440897.9306131564</v>
      </c>
      <c r="K125" s="35">
        <f>((GETPIVOTDATA("Sum of 2018",$A$111,"Rate Class","GS Greater Than 50kW")+(GETPIVOTDATA("Sum of 2018",$A$111,"Rate Class","AU 2015-20")*'Allocation to Rate Classes'!$D$47)+(GETPIVOTDATA("Sum of 2018",'KH MWh Savings Pivot'!$A$111,"Rate Class","DI 2015-20")*'Allocation to Rate Classes'!$D$40)+(GETPIVOTDATA("Sum of 2018",'KH MWh Savings Pivot'!$A$111,"Rate Class","HP 2015-20")*'Allocation to Rate Classes'!$D$61)+(GETPIVOTDATA("Sum of 2018",'KH MWh Savings Pivot'!$A$111,"Rate Class","RF 2015-20")*'Allocation to Rate Classes'!$D$54))*1000)</f>
        <v>7896258.8785567386</v>
      </c>
      <c r="L125" s="35">
        <f>((GETPIVOTDATA("Sum of 2019",$A$111,"Rate Class","GS Greater Than 50kW")+(GETPIVOTDATA("Sum of 2019",$A$111,"Rate Class","AU 2015-20")*'Allocation to Rate Classes'!$D$47)+(GETPIVOTDATA("Sum of 2019",'KH MWh Savings Pivot'!$A$111,"Rate Class","DI 2015-20")*'Allocation to Rate Classes'!$D$40)+(GETPIVOTDATA("Sum of 2019",'KH MWh Savings Pivot'!$A$111,"Rate Class","HP 2015-20")*'Allocation to Rate Classes'!$D$61)+(GETPIVOTDATA("Sum of 2019",'KH MWh Savings Pivot'!$A$111,"Rate Class","RF 2015-20")*'Allocation to Rate Classes'!$D$54))*1000)</f>
        <v>10464955.738313606</v>
      </c>
      <c r="M125" s="35">
        <f>((GETPIVOTDATA("Sum of 2020",$A$111,"Rate Class","GS Greater Than 50kW")+(GETPIVOTDATA("Sum of 2020",$A$111,"Rate Class","AU 2015-20")*'Allocation to Rate Classes'!$D$47)+(GETPIVOTDATA("Sum of 2020",'KH MWh Savings Pivot'!$A$111,"Rate Class","DI 2015-20")*'Allocation to Rate Classes'!$D$40)+(GETPIVOTDATA("Sum of 2020",'KH MWh Savings Pivot'!$A$111,"Rate Class","HP 2015-20")*'Allocation to Rate Classes'!$D$61)+(GETPIVOTDATA("Sum of 2020",'KH MWh Savings Pivot'!$A$111,"Rate Class","RF 2015-20")*'Allocation to Rate Classes'!$D$54))*1000)</f>
        <v>13259630.725590058</v>
      </c>
    </row>
    <row r="126" spans="1:13">
      <c r="A126" s="585" t="s">
        <v>57</v>
      </c>
      <c r="B126" s="35"/>
      <c r="C126" s="35"/>
      <c r="D126" s="35"/>
      <c r="E126" s="35"/>
      <c r="F126" s="35"/>
      <c r="G126" s="35"/>
      <c r="H126" s="35">
        <f>((GETPIVOTDATA("Sum of 2015",$A$111,"Rate Class","Large User")+(GETPIVOTDATA("Sum of 2015",$A$111,"Rate Class","AU 2015-20")*'Allocation to Rate Classes'!$F$47)+(GETPIVOTDATA("Sum of 2015",'KH MWh Savings Pivot'!$A$111,"Rate Class","HP 2015-20")*'Allocation to Rate Classes'!$F$61)+(GETPIVOTDATA("Sum of 2015",'KH MWh Savings Pivot'!$A$111,"Rate Class","RF 2015-20")*'Allocation to Rate Classes'!$F$54))*1000)/2</f>
        <v>299418.53706033068</v>
      </c>
      <c r="I126" s="35">
        <f>((GETPIVOTDATA("Sum of 2016",$A$111,"Rate Class","Large User")+(GETPIVOTDATA("Sum of 2016",$A$111,"Rate Class","AU 2015-20")*'Allocation to Rate Classes'!$F$47)+(GETPIVOTDATA("Sum of 2016",'KH MWh Savings Pivot'!$A$111,"Rate Class","HP 2015-20")*'Allocation to Rate Classes'!$F$61)+(GETPIVOTDATA("Sum of 2016",'KH MWh Savings Pivot'!$A$111,"Rate Class","RF 2015-20")*'Allocation to Rate Classes'!$F$54))*1000)</f>
        <v>9233001.151187392</v>
      </c>
      <c r="J126" s="35">
        <f>((GETPIVOTDATA("Sum of 2017",$A$111,"Rate Class","Large User")+(GETPIVOTDATA("Sum of 2017",$A$111,"Rate Class","AU 2015-20")*'Allocation to Rate Classes'!$F$47)+(GETPIVOTDATA("Sum of 2017",'KH MWh Savings Pivot'!$A$111,"Rate Class","HP 2015-20")*'Allocation to Rate Classes'!$F$61)+(GETPIVOTDATA("Sum of 2017",'KH MWh Savings Pivot'!$A$111,"Rate Class","RF 2015-20")*'Allocation to Rate Classes'!$F$54))*1000)</f>
        <v>13021489.306941688</v>
      </c>
      <c r="K126" s="35">
        <f>((GETPIVOTDATA("Sum of 2018",$A$111,"Rate Class","Large User")+(GETPIVOTDATA("Sum of 2018",$A$111,"Rate Class","AU 2015-20")*'Allocation to Rate Classes'!$F$47)+(GETPIVOTDATA("Sum of 2018",'KH MWh Savings Pivot'!$A$111,"Rate Class","HP 2015-20")*'Allocation to Rate Classes'!$F$61)+(GETPIVOTDATA("Sum of 2018",'KH MWh Savings Pivot'!$A$111,"Rate Class","RF 2015-20")*'Allocation to Rate Classes'!$F$54))*1000)</f>
        <v>14255050.891496196</v>
      </c>
      <c r="L126" s="35">
        <f>((GETPIVOTDATA("Sum of 2019",$A$111,"Rate Class","Large User")+(GETPIVOTDATA("Sum of 2019",$A$111,"Rate Class","AU 2015-20")*'Allocation to Rate Classes'!$F$47)+(GETPIVOTDATA("Sum of 2019",'KH MWh Savings Pivot'!$A$111,"Rate Class","HP 2015-20")*'Allocation to Rate Classes'!$F$61)+(GETPIVOTDATA("Sum of 2019",'KH MWh Savings Pivot'!$A$111,"Rate Class","RF 2015-20")*'Allocation to Rate Classes'!$F$54))*1000)</f>
        <v>15422796.191126009</v>
      </c>
      <c r="M126" s="35">
        <f>((GETPIVOTDATA("Sum of 2020",$A$111,"Rate Class","Large User")+(GETPIVOTDATA("Sum of 2020",$A$111,"Rate Class","AU 2015-20")*'Allocation to Rate Classes'!$F$47)+(GETPIVOTDATA("Sum of 2020",'KH MWh Savings Pivot'!$A$111,"Rate Class","HP 2015-20")*'Allocation to Rate Classes'!$F$61)+(GETPIVOTDATA("Sum of 2020",'KH MWh Savings Pivot'!$A$111,"Rate Class","RF 2015-20")*'Allocation to Rate Classes'!$F$54))*1000)</f>
        <v>16649558.713045008</v>
      </c>
    </row>
    <row r="127" spans="1:13">
      <c r="A127" s="585"/>
      <c r="G127" t="s">
        <v>633</v>
      </c>
      <c r="H127" s="35">
        <f>SUM(H123:H126)</f>
        <v>1218048.558425369</v>
      </c>
      <c r="I127" s="35">
        <f t="shared" ref="I127:M127" si="0">SUM(I123:I126)</f>
        <v>13973253.31767066</v>
      </c>
      <c r="J127" s="35">
        <f t="shared" si="0"/>
        <v>20839438.218489174</v>
      </c>
      <c r="K127" s="35">
        <f t="shared" si="0"/>
        <v>25471625.324914701</v>
      </c>
      <c r="L127" s="35">
        <f t="shared" si="0"/>
        <v>30208184.921554856</v>
      </c>
      <c r="M127" s="35">
        <f t="shared" si="0"/>
        <v>35298784.0228374</v>
      </c>
    </row>
    <row r="128" spans="1:13">
      <c r="A128" s="848" t="s">
        <v>1213</v>
      </c>
      <c r="B128" s="848"/>
      <c r="C128" s="848"/>
      <c r="D128" s="848"/>
      <c r="E128" s="848"/>
      <c r="F128" s="848"/>
      <c r="G128" s="848"/>
      <c r="H128" s="848"/>
      <c r="I128" s="848"/>
      <c r="J128" s="848"/>
      <c r="K128" s="848"/>
      <c r="L128" s="848"/>
      <c r="M128" s="848"/>
    </row>
    <row r="129" spans="1:13">
      <c r="A129" s="585" t="s">
        <v>17</v>
      </c>
      <c r="I129">
        <f>I123-(H123*2)</f>
        <v>154562.98020076938</v>
      </c>
      <c r="J129" s="35">
        <f>J123-I123</f>
        <v>63594.536792791856</v>
      </c>
      <c r="K129" s="35">
        <f t="shared" ref="K129:M129" si="1">K123-J123</f>
        <v>65254.110042762361</v>
      </c>
      <c r="L129" s="35">
        <f t="shared" si="1"/>
        <v>66913.683292732807</v>
      </c>
      <c r="M129" s="35">
        <f t="shared" si="1"/>
        <v>68573.25654270337</v>
      </c>
    </row>
    <row r="130" spans="1:13">
      <c r="A130" s="585" t="s">
        <v>70</v>
      </c>
      <c r="I130" s="45">
        <f>I124-(H124*2)</f>
        <v>726346.1425833879</v>
      </c>
      <c r="J130" s="35">
        <f t="shared" ref="J130:M132" si="2">J124-I124</f>
        <v>797672.63507423259</v>
      </c>
      <c r="K130" s="35">
        <f t="shared" si="2"/>
        <v>878010.46388467657</v>
      </c>
      <c r="L130" s="35">
        <f t="shared" si="2"/>
        <v>933203.75396074262</v>
      </c>
      <c r="M130" s="35">
        <f t="shared" si="2"/>
        <v>1000588.3355443855</v>
      </c>
    </row>
    <row r="131" spans="1:13">
      <c r="A131" s="585" t="s">
        <v>71</v>
      </c>
      <c r="I131" s="45">
        <f>I125-(H125*2)</f>
        <v>2022083.0009690339</v>
      </c>
      <c r="J131" s="35">
        <f t="shared" si="2"/>
        <v>2216429.573197193</v>
      </c>
      <c r="K131" s="35">
        <f t="shared" si="2"/>
        <v>2455360.9479435822</v>
      </c>
      <c r="L131" s="35">
        <f t="shared" si="2"/>
        <v>2568696.8597568674</v>
      </c>
      <c r="M131" s="35">
        <f t="shared" si="2"/>
        <v>2794674.9872764517</v>
      </c>
    </row>
    <row r="132" spans="1:13">
      <c r="A132" s="585" t="s">
        <v>57</v>
      </c>
      <c r="I132" s="45">
        <f>I126-(H126*2)</f>
        <v>8634164.0770667307</v>
      </c>
      <c r="J132" s="35">
        <f t="shared" si="2"/>
        <v>3788488.1557542961</v>
      </c>
      <c r="K132" s="35">
        <f t="shared" si="2"/>
        <v>1233561.5845545083</v>
      </c>
      <c r="L132" s="35">
        <f t="shared" si="2"/>
        <v>1167745.2996298131</v>
      </c>
      <c r="M132" s="35">
        <f t="shared" si="2"/>
        <v>1226762.521918999</v>
      </c>
    </row>
    <row r="133" spans="1:13">
      <c r="A133" s="846" t="s">
        <v>1214</v>
      </c>
      <c r="B133" s="846"/>
      <c r="C133" s="846"/>
      <c r="D133" s="846"/>
      <c r="E133" s="846"/>
      <c r="F133" s="846"/>
      <c r="G133" s="846"/>
      <c r="H133" s="846"/>
      <c r="I133" s="846"/>
      <c r="J133" s="846"/>
      <c r="K133" s="846"/>
      <c r="L133" s="846"/>
      <c r="M133" s="846"/>
    </row>
    <row r="134" spans="1:13">
      <c r="A134" s="585" t="s">
        <v>17</v>
      </c>
      <c r="H134" s="35">
        <f>H123</f>
        <v>181705.71754005147</v>
      </c>
      <c r="I134" s="35">
        <f t="shared" ref="I134:M137" si="3">I123-(I129/2)</f>
        <v>440692.92518048763</v>
      </c>
      <c r="J134" s="35">
        <f t="shared" si="3"/>
        <v>549771.68367726821</v>
      </c>
      <c r="K134" s="35">
        <f t="shared" si="3"/>
        <v>614196.00709504541</v>
      </c>
      <c r="L134" s="35">
        <f t="shared" si="3"/>
        <v>680279.90376279294</v>
      </c>
      <c r="M134" s="35">
        <f t="shared" si="3"/>
        <v>748023.37368051102</v>
      </c>
    </row>
    <row r="135" spans="1:13">
      <c r="A135" s="585" t="s">
        <v>70</v>
      </c>
      <c r="H135" s="35">
        <f t="shared" ref="H135:H136" si="4">H124</f>
        <v>135731.6256015221</v>
      </c>
      <c r="I135" s="35">
        <f t="shared" si="3"/>
        <v>634636.32249473815</v>
      </c>
      <c r="J135" s="35">
        <f t="shared" si="3"/>
        <v>1396645.7113235483</v>
      </c>
      <c r="K135" s="35">
        <f t="shared" si="3"/>
        <v>2234487.2608030029</v>
      </c>
      <c r="L135" s="35">
        <f t="shared" si="3"/>
        <v>3140094.3697257126</v>
      </c>
      <c r="M135" s="35">
        <f t="shared" si="3"/>
        <v>4106990.4144782769</v>
      </c>
    </row>
    <row r="136" spans="1:13">
      <c r="A136" s="585" t="s">
        <v>71</v>
      </c>
      <c r="H136" s="35">
        <f t="shared" si="4"/>
        <v>601192.67822346475</v>
      </c>
      <c r="I136" s="35">
        <f t="shared" si="3"/>
        <v>2213426.8569314466</v>
      </c>
      <c r="J136" s="35">
        <f t="shared" si="3"/>
        <v>4332683.1440145597</v>
      </c>
      <c r="K136" s="35">
        <f t="shared" si="3"/>
        <v>6668578.404584948</v>
      </c>
      <c r="L136" s="35">
        <f t="shared" si="3"/>
        <v>9180607.3084351718</v>
      </c>
      <c r="M136" s="35">
        <f t="shared" si="3"/>
        <v>11862293.231951833</v>
      </c>
    </row>
    <row r="137" spans="1:13">
      <c r="A137" s="585" t="s">
        <v>57</v>
      </c>
      <c r="H137" s="35">
        <f>H126</f>
        <v>299418.53706033068</v>
      </c>
      <c r="I137" s="35">
        <f t="shared" si="3"/>
        <v>4915919.1126540266</v>
      </c>
      <c r="J137" s="35">
        <f t="shared" si="3"/>
        <v>11127245.229064539</v>
      </c>
      <c r="K137" s="35">
        <f t="shared" si="3"/>
        <v>13638270.099218942</v>
      </c>
      <c r="L137" s="35">
        <f t="shared" si="3"/>
        <v>14838923.541311104</v>
      </c>
      <c r="M137" s="35">
        <f t="shared" si="3"/>
        <v>16036177.45208551</v>
      </c>
    </row>
    <row r="138" spans="1:13">
      <c r="G138" t="s">
        <v>633</v>
      </c>
      <c r="H138" s="35">
        <f t="shared" ref="H138:M138" si="5">SUM(H134:H137)</f>
        <v>1218048.558425369</v>
      </c>
      <c r="I138" s="35">
        <f t="shared" si="5"/>
        <v>8204675.2172606988</v>
      </c>
      <c r="J138" s="35">
        <f t="shared" si="5"/>
        <v>17406345.768079914</v>
      </c>
      <c r="K138" s="35">
        <f t="shared" si="5"/>
        <v>23155531.771701939</v>
      </c>
      <c r="L138" s="35">
        <f t="shared" si="5"/>
        <v>27839905.123234782</v>
      </c>
      <c r="M138" s="35">
        <f t="shared" si="5"/>
        <v>32753484.472196132</v>
      </c>
    </row>
  </sheetData>
  <mergeCells count="16">
    <mergeCell ref="A128:M128"/>
    <mergeCell ref="A133:M133"/>
    <mergeCell ref="A2:E2"/>
    <mergeCell ref="A121:M121"/>
    <mergeCell ref="A110:E110"/>
    <mergeCell ref="A10:M10"/>
    <mergeCell ref="A25:M25"/>
    <mergeCell ref="A44:M44"/>
    <mergeCell ref="A63:M63"/>
    <mergeCell ref="A83:M83"/>
    <mergeCell ref="A102:M102"/>
    <mergeCell ref="A17:E17"/>
    <mergeCell ref="A32:E32"/>
    <mergeCell ref="A52:E52"/>
    <mergeCell ref="A72:E72"/>
    <mergeCell ref="A92:E92"/>
  </mergeCells>
  <pageMargins left="0.7" right="0.7" top="0.75" bottom="0.75" header="0.3" footer="0.3"/>
  <pageSetup scale="52" orientation="portrait" r:id="rId8"/>
  <legacyDrawing r:id="rId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1"/>
  <sheetViews>
    <sheetView topLeftCell="A22" zoomScale="75" zoomScaleNormal="75" workbookViewId="0">
      <selection activeCell="L9" sqref="L9"/>
    </sheetView>
  </sheetViews>
  <sheetFormatPr defaultRowHeight="14.5"/>
  <cols>
    <col min="1" max="1" width="20.90625" style="45" bestFit="1" customWidth="1"/>
    <col min="2" max="2" width="30.6328125" style="45" bestFit="1" customWidth="1"/>
    <col min="3" max="3" width="42.54296875" style="45" bestFit="1" customWidth="1"/>
    <col min="4" max="4" width="33.90625" style="45" bestFit="1" customWidth="1"/>
    <col min="5" max="5" width="35.26953125" style="45" bestFit="1" customWidth="1"/>
    <col min="6" max="6" width="49.26953125" style="45" bestFit="1" customWidth="1"/>
    <col min="7" max="7" width="47.81640625" style="45" bestFit="1" customWidth="1"/>
    <col min="8" max="8" width="28.81640625" style="45" bestFit="1" customWidth="1"/>
    <col min="9" max="10" width="29.6328125" style="45" bestFit="1" customWidth="1"/>
    <col min="11" max="11" width="31.81640625" style="45" bestFit="1" customWidth="1"/>
    <col min="12" max="12" width="29.6328125" style="45" bestFit="1" customWidth="1"/>
    <col min="13" max="13" width="32.54296875" style="45" bestFit="1" customWidth="1"/>
    <col min="14" max="14" width="23.1796875" style="45" bestFit="1" customWidth="1"/>
    <col min="15" max="15" width="31.453125" style="45" bestFit="1" customWidth="1"/>
    <col min="16" max="17" width="28.90625" style="45" bestFit="1" customWidth="1"/>
    <col min="18" max="18" width="31.453125" style="45" bestFit="1" customWidth="1"/>
    <col min="19" max="19" width="49.6328125" style="45" bestFit="1" customWidth="1"/>
    <col min="20" max="20" width="16.90625" style="45" bestFit="1" customWidth="1"/>
    <col min="21" max="21" width="13.453125" style="45" bestFit="1" customWidth="1"/>
    <col min="22" max="23" width="15.36328125" style="45" bestFit="1" customWidth="1"/>
    <col min="24" max="16384" width="8.7265625" style="45"/>
  </cols>
  <sheetData>
    <row r="1" spans="1:13">
      <c r="A1" s="52" t="s">
        <v>269</v>
      </c>
      <c r="B1" s="52" t="s">
        <v>463</v>
      </c>
    </row>
    <row r="2" spans="1:13">
      <c r="B2" s="462" t="s">
        <v>461</v>
      </c>
      <c r="C2" s="462" t="s">
        <v>270</v>
      </c>
      <c r="D2" s="462" t="s">
        <v>271</v>
      </c>
      <c r="E2" s="462" t="s">
        <v>272</v>
      </c>
      <c r="F2" s="462" t="s">
        <v>275</v>
      </c>
      <c r="G2" s="462" t="s">
        <v>274</v>
      </c>
      <c r="H2" s="462" t="s">
        <v>489</v>
      </c>
      <c r="I2" s="462" t="s">
        <v>273</v>
      </c>
      <c r="J2" s="462" t="s">
        <v>488</v>
      </c>
      <c r="K2" s="47"/>
      <c r="L2" s="47"/>
      <c r="M2" s="47"/>
    </row>
    <row r="3" spans="1:13">
      <c r="A3" s="45">
        <v>2011</v>
      </c>
      <c r="B3" s="51">
        <f>'Kingston Hydro - Results (Net)'!D20</f>
        <v>108</v>
      </c>
      <c r="C3" s="47">
        <v>107</v>
      </c>
      <c r="D3" s="47">
        <v>1</v>
      </c>
      <c r="E3" s="47">
        <v>87.7</v>
      </c>
      <c r="F3" s="434">
        <v>311143</v>
      </c>
      <c r="G3" s="433">
        <f>D3/B3*E3</f>
        <v>0.812037037037037</v>
      </c>
      <c r="H3" s="45">
        <f>F3*(D3/B3)</f>
        <v>2880.9537037037035</v>
      </c>
      <c r="I3" s="434">
        <f>E3*(C3/B3)</f>
        <v>86.887962962962959</v>
      </c>
      <c r="J3" s="433">
        <f>F3*(C3/B3)</f>
        <v>308262.04629629629</v>
      </c>
      <c r="K3" s="435"/>
      <c r="L3" s="435"/>
      <c r="M3" s="435"/>
    </row>
    <row r="4" spans="1:13">
      <c r="A4" s="45">
        <v>2012</v>
      </c>
      <c r="B4" s="51">
        <f>'Kingston Hydro - Results (Net)'!E20</f>
        <v>386</v>
      </c>
      <c r="C4" s="47">
        <v>366</v>
      </c>
      <c r="D4" s="434">
        <f>B4-C4</f>
        <v>20</v>
      </c>
      <c r="E4" s="47">
        <v>341.8</v>
      </c>
      <c r="F4" s="434">
        <v>1207507</v>
      </c>
      <c r="G4" s="433">
        <f>D4/B4*E4</f>
        <v>17.709844559585491</v>
      </c>
      <c r="H4" s="45">
        <f>F4*(D4/B4)</f>
        <v>62565.129533678752</v>
      </c>
      <c r="I4" s="434">
        <f>E4*(C4/B4)</f>
        <v>324.09015544041455</v>
      </c>
      <c r="J4" s="433">
        <f>F4*(C4/B4)</f>
        <v>1144941.8704663212</v>
      </c>
      <c r="K4" s="435"/>
      <c r="L4" s="435"/>
      <c r="M4" s="435"/>
    </row>
    <row r="5" spans="1:13">
      <c r="A5" s="45">
        <v>2013</v>
      </c>
      <c r="B5" s="51">
        <f>'Kingston Hydro - Results (Net)'!F20</f>
        <v>62</v>
      </c>
      <c r="C5" s="47">
        <v>46</v>
      </c>
      <c r="D5" s="47">
        <v>16</v>
      </c>
      <c r="E5" s="47">
        <v>74.900000000000006</v>
      </c>
      <c r="F5" s="434">
        <v>281720</v>
      </c>
      <c r="G5" s="433">
        <f>D5/B5*E5</f>
        <v>19.329032258064515</v>
      </c>
      <c r="H5" s="45">
        <f>F5*(D5/B5)</f>
        <v>72701.93548387097</v>
      </c>
      <c r="I5" s="434">
        <f>E5*(C5/B5)</f>
        <v>55.57096774193549</v>
      </c>
      <c r="J5" s="433">
        <f>F5*(C5/B5)</f>
        <v>209018.06451612903</v>
      </c>
      <c r="K5" s="435"/>
      <c r="L5" s="435"/>
      <c r="M5" s="435"/>
    </row>
    <row r="6" spans="1:13">
      <c r="A6" s="45">
        <v>2014</v>
      </c>
      <c r="B6" s="51">
        <f>'Kingston Hydro - Results (Net)'!G20</f>
        <v>110</v>
      </c>
      <c r="C6" s="47">
        <v>91</v>
      </c>
      <c r="D6" s="47">
        <v>19</v>
      </c>
      <c r="E6" s="47">
        <v>107.4</v>
      </c>
      <c r="F6" s="434">
        <v>425589</v>
      </c>
      <c r="G6" s="433">
        <f>D6/B6*E6</f>
        <v>18.550909090909091</v>
      </c>
      <c r="H6" s="45">
        <f>F6*(D6/B6)</f>
        <v>73510.827272727271</v>
      </c>
      <c r="I6" s="434">
        <f>E6*(C6/B6)</f>
        <v>88.849090909090918</v>
      </c>
      <c r="J6" s="433">
        <f>F6*(C6/B6)</f>
        <v>352078.17272727273</v>
      </c>
      <c r="K6" s="435"/>
      <c r="L6" s="435"/>
      <c r="M6" s="435"/>
    </row>
    <row r="7" spans="1:13">
      <c r="A7" s="50" t="s">
        <v>278</v>
      </c>
      <c r="B7" s="45">
        <f>SUM(B3:B6)</f>
        <v>666</v>
      </c>
      <c r="C7" s="45">
        <f>SUM(C3:C6)</f>
        <v>610</v>
      </c>
      <c r="D7" s="45">
        <f>SUM(D3:D6)</f>
        <v>56</v>
      </c>
      <c r="E7" s="45">
        <f t="shared" ref="E7:J7" si="0">SUM(E3:E6)</f>
        <v>611.79999999999995</v>
      </c>
      <c r="F7" s="51">
        <f t="shared" si="0"/>
        <v>2225959</v>
      </c>
      <c r="G7" s="464">
        <f t="shared" si="0"/>
        <v>56.401822945596138</v>
      </c>
      <c r="H7" s="45">
        <f t="shared" si="0"/>
        <v>211658.84599398071</v>
      </c>
      <c r="I7" s="51">
        <f t="shared" si="0"/>
        <v>555.39817705440385</v>
      </c>
      <c r="J7" s="464">
        <f t="shared" si="0"/>
        <v>2014300.1540060192</v>
      </c>
      <c r="K7" s="38"/>
      <c r="L7" s="38"/>
      <c r="M7" s="38"/>
    </row>
    <row r="9" spans="1:13">
      <c r="A9" s="648" t="s">
        <v>279</v>
      </c>
      <c r="B9" s="52" t="s">
        <v>464</v>
      </c>
    </row>
    <row r="10" spans="1:13">
      <c r="B10" s="462" t="s">
        <v>461</v>
      </c>
      <c r="C10" s="462" t="s">
        <v>270</v>
      </c>
      <c r="D10" s="462" t="s">
        <v>271</v>
      </c>
      <c r="E10" s="462" t="s">
        <v>462</v>
      </c>
      <c r="F10" s="462" t="s">
        <v>466</v>
      </c>
      <c r="G10" s="462" t="s">
        <v>276</v>
      </c>
      <c r="H10" s="462" t="s">
        <v>274</v>
      </c>
    </row>
    <row r="11" spans="1:13">
      <c r="A11" s="45">
        <v>2011</v>
      </c>
      <c r="B11" s="51">
        <f>'Kingston Hydro - Results (Net)'!D23</f>
        <v>3</v>
      </c>
      <c r="C11" s="47">
        <v>0</v>
      </c>
      <c r="D11" s="47">
        <v>3</v>
      </c>
      <c r="E11" s="434">
        <f>'Kingston Hydro - Results (Net)'!I23</f>
        <v>0</v>
      </c>
      <c r="F11" s="434">
        <f>'Kingston Hydro - Results (Net)'!N23</f>
        <v>0</v>
      </c>
      <c r="G11" s="47">
        <f>(C11/B11)*F11</f>
        <v>0</v>
      </c>
      <c r="H11" s="47">
        <f>(D11/B11)*E11</f>
        <v>0</v>
      </c>
    </row>
    <row r="12" spans="1:13">
      <c r="A12" s="45">
        <v>2012</v>
      </c>
      <c r="B12" s="51">
        <f>'Kingston Hydro - Results (Net)'!E23</f>
        <v>7</v>
      </c>
      <c r="C12" s="436">
        <v>1</v>
      </c>
      <c r="D12" s="436">
        <v>6</v>
      </c>
      <c r="E12" s="434">
        <f>'Kingston Hydro - Results (Net)'!J23</f>
        <v>25.885999999999999</v>
      </c>
      <c r="F12" s="434">
        <f>'Kingston Hydro - Results (Net)'!O23</f>
        <v>125881.272</v>
      </c>
      <c r="G12" s="47">
        <f>(C12/B12)*F12</f>
        <v>17983.038857142856</v>
      </c>
      <c r="H12" s="47">
        <f>(D12/B12)*E12</f>
        <v>22.187999999999999</v>
      </c>
    </row>
    <row r="13" spans="1:13">
      <c r="A13" s="45">
        <v>2013</v>
      </c>
      <c r="B13" s="51">
        <f>'Kingston Hydro - Results (Net)'!F23</f>
        <v>2</v>
      </c>
      <c r="C13" s="436">
        <v>0</v>
      </c>
      <c r="D13" s="436">
        <v>2</v>
      </c>
      <c r="E13" s="434">
        <f>'Kingston Hydro - Results (Net)'!K23</f>
        <v>17.625</v>
      </c>
      <c r="F13" s="434">
        <f>'Kingston Hydro - Results (Net)'!P23</f>
        <v>96901.535999999993</v>
      </c>
      <c r="G13" s="47">
        <f>(C13/B13)*F13</f>
        <v>0</v>
      </c>
      <c r="H13" s="47">
        <f>(D13/B13)*E13</f>
        <v>17.625</v>
      </c>
    </row>
    <row r="14" spans="1:13">
      <c r="A14" s="45">
        <v>2014</v>
      </c>
      <c r="B14" s="51">
        <f>'Kingston Hydro - Results (Net)'!G23</f>
        <v>5</v>
      </c>
      <c r="C14" s="47">
        <v>1</v>
      </c>
      <c r="D14" s="47">
        <v>4</v>
      </c>
      <c r="E14" s="434">
        <f>'Kingston Hydro - Results (Net)'!L23</f>
        <v>66.834999999999994</v>
      </c>
      <c r="F14" s="434">
        <f>'Kingston Hydro - Results (Net)'!Q23</f>
        <v>326367.84999999998</v>
      </c>
      <c r="G14" s="47">
        <f>(C14/B14)*F14</f>
        <v>65273.57</v>
      </c>
      <c r="H14" s="47">
        <f>(D14/B14)*E14</f>
        <v>53.467999999999996</v>
      </c>
    </row>
    <row r="15" spans="1:13">
      <c r="A15" s="50" t="s">
        <v>127</v>
      </c>
      <c r="C15" s="47"/>
      <c r="D15" s="47"/>
      <c r="E15" s="47"/>
      <c r="F15" s="47"/>
      <c r="G15" s="47"/>
      <c r="H15" s="47"/>
      <c r="I15" s="47"/>
      <c r="J15" s="47"/>
      <c r="K15" s="47"/>
    </row>
    <row r="16" spans="1:13">
      <c r="A16" s="50"/>
      <c r="C16" s="47"/>
      <c r="D16" s="47"/>
      <c r="E16" s="47"/>
      <c r="F16" s="47"/>
      <c r="G16" s="47"/>
      <c r="H16" s="47"/>
      <c r="I16" s="47"/>
      <c r="J16" s="47"/>
      <c r="K16" s="47"/>
      <c r="L16" s="47"/>
      <c r="M16" s="47"/>
    </row>
    <row r="17" spans="1:20">
      <c r="A17" s="52" t="s">
        <v>281</v>
      </c>
      <c r="B17" s="52" t="s">
        <v>465</v>
      </c>
    </row>
    <row r="18" spans="1:20">
      <c r="B18" s="462" t="s">
        <v>461</v>
      </c>
      <c r="C18" s="462" t="s">
        <v>17</v>
      </c>
      <c r="D18" s="462" t="s">
        <v>270</v>
      </c>
      <c r="E18" s="462" t="s">
        <v>271</v>
      </c>
      <c r="F18" s="462" t="s">
        <v>282</v>
      </c>
      <c r="G18" s="462" t="s">
        <v>283</v>
      </c>
      <c r="H18" s="462" t="s">
        <v>272</v>
      </c>
      <c r="I18" s="462" t="s">
        <v>494</v>
      </c>
      <c r="J18" s="462" t="s">
        <v>273</v>
      </c>
      <c r="K18" s="462" t="s">
        <v>274</v>
      </c>
      <c r="L18" s="462" t="s">
        <v>284</v>
      </c>
      <c r="M18" s="462" t="s">
        <v>467</v>
      </c>
      <c r="N18" s="462" t="s">
        <v>275</v>
      </c>
      <c r="O18" s="462" t="s">
        <v>285</v>
      </c>
      <c r="P18" s="462" t="s">
        <v>276</v>
      </c>
      <c r="Q18" s="462" t="s">
        <v>277</v>
      </c>
      <c r="R18" s="462" t="s">
        <v>286</v>
      </c>
      <c r="S18" s="462" t="s">
        <v>287</v>
      </c>
      <c r="T18" s="167"/>
    </row>
    <row r="19" spans="1:20">
      <c r="A19" s="45">
        <v>2011</v>
      </c>
      <c r="B19" s="51">
        <f>'Kingston Hydro - Results (Net)'!D19</f>
        <v>40</v>
      </c>
      <c r="C19" s="47">
        <v>1</v>
      </c>
      <c r="D19" s="47">
        <v>19</v>
      </c>
      <c r="E19" s="47">
        <v>18</v>
      </c>
      <c r="F19" s="47">
        <v>1</v>
      </c>
      <c r="G19" s="47">
        <v>0</v>
      </c>
      <c r="H19" s="47">
        <v>558.06799999999998</v>
      </c>
      <c r="I19" s="47">
        <v>1.258</v>
      </c>
      <c r="J19" s="47">
        <v>108.6</v>
      </c>
      <c r="K19" s="47">
        <v>248.04</v>
      </c>
      <c r="L19" s="47">
        <v>200.17</v>
      </c>
      <c r="M19" s="167">
        <v>0</v>
      </c>
      <c r="N19" s="47">
        <f>SUM(O19:R19)</f>
        <v>2817276</v>
      </c>
      <c r="O19" s="47">
        <v>4545</v>
      </c>
      <c r="P19" s="47">
        <v>563999</v>
      </c>
      <c r="Q19" s="47">
        <v>1580540</v>
      </c>
      <c r="R19" s="47">
        <v>668192</v>
      </c>
      <c r="S19" s="47">
        <v>0</v>
      </c>
    </row>
    <row r="20" spans="1:20">
      <c r="A20" s="45">
        <v>2012</v>
      </c>
      <c r="B20" s="51">
        <f>'Kingston Hydro - Results (Net)'!E19</f>
        <v>63</v>
      </c>
      <c r="C20" s="47">
        <v>0</v>
      </c>
      <c r="D20" s="47">
        <v>15</v>
      </c>
      <c r="E20" s="47">
        <v>41</v>
      </c>
      <c r="F20" s="47">
        <v>4</v>
      </c>
      <c r="G20" s="47">
        <v>1</v>
      </c>
      <c r="H20" s="47">
        <v>717.49</v>
      </c>
      <c r="I20" s="47">
        <v>0</v>
      </c>
      <c r="J20" s="47">
        <v>68.180000000000007</v>
      </c>
      <c r="K20" s="47">
        <v>528.9</v>
      </c>
      <c r="L20" s="47">
        <v>120.41</v>
      </c>
      <c r="M20" s="167">
        <f>34855/4380</f>
        <v>7.9577625570776256</v>
      </c>
      <c r="N20" s="47">
        <f>SUM(O20:S20)</f>
        <v>3763261</v>
      </c>
      <c r="O20" s="47">
        <v>0</v>
      </c>
      <c r="P20" s="47">
        <v>280399</v>
      </c>
      <c r="Q20" s="47">
        <v>3115559</v>
      </c>
      <c r="R20" s="47">
        <v>332448</v>
      </c>
      <c r="S20" s="47">
        <v>34855</v>
      </c>
    </row>
    <row r="21" spans="1:20">
      <c r="A21" s="45">
        <v>2013</v>
      </c>
      <c r="B21" s="51">
        <f>'Kingston Hydro - Results (Net)'!F19</f>
        <v>76</v>
      </c>
      <c r="C21" s="47">
        <v>1</v>
      </c>
      <c r="D21" s="47">
        <v>24</v>
      </c>
      <c r="E21" s="47">
        <v>38</v>
      </c>
      <c r="F21" s="47">
        <v>4</v>
      </c>
      <c r="G21" s="47">
        <v>1</v>
      </c>
      <c r="H21" s="47">
        <v>400.44200000000001</v>
      </c>
      <c r="I21" s="47">
        <v>9.5820000000000007</v>
      </c>
      <c r="J21" s="47">
        <v>77.87</v>
      </c>
      <c r="K21" s="47">
        <v>313.76</v>
      </c>
      <c r="L21" s="47">
        <v>1.53</v>
      </c>
      <c r="M21" s="167">
        <f>2482558/4380</f>
        <v>566.79406392694068</v>
      </c>
      <c r="N21" s="47">
        <v>5885853</v>
      </c>
      <c r="O21" s="47">
        <v>24855</v>
      </c>
      <c r="P21" s="47">
        <v>309952</v>
      </c>
      <c r="Q21" s="47">
        <v>1567236</v>
      </c>
      <c r="R21" s="47">
        <v>1499252</v>
      </c>
      <c r="S21" s="47">
        <v>2484558</v>
      </c>
    </row>
    <row r="22" spans="1:20">
      <c r="A22" s="45">
        <v>2014</v>
      </c>
      <c r="B22" s="51">
        <f>'Kingston Hydro - Results (Net)'!G19</f>
        <v>75</v>
      </c>
      <c r="C22" s="47">
        <v>1</v>
      </c>
      <c r="D22" s="47">
        <v>21</v>
      </c>
      <c r="E22" s="47">
        <v>33</v>
      </c>
      <c r="F22" s="47">
        <v>4</v>
      </c>
      <c r="G22" s="47">
        <v>0</v>
      </c>
      <c r="H22" s="47">
        <v>358.84199999999998</v>
      </c>
      <c r="I22" s="47">
        <v>1.2689999999999999</v>
      </c>
      <c r="J22" s="47">
        <v>65.923000000000002</v>
      </c>
      <c r="K22" s="47">
        <v>265.18</v>
      </c>
      <c r="L22" s="47">
        <v>26.47</v>
      </c>
      <c r="M22" s="167">
        <v>0</v>
      </c>
      <c r="N22" s="47">
        <v>1230649</v>
      </c>
      <c r="O22" s="47">
        <v>20780</v>
      </c>
      <c r="P22" s="47">
        <v>284816</v>
      </c>
      <c r="Q22" s="47">
        <v>857133</v>
      </c>
      <c r="R22" s="47">
        <v>67920</v>
      </c>
      <c r="S22" s="47">
        <v>0</v>
      </c>
    </row>
    <row r="23" spans="1:20">
      <c r="A23" s="50" t="s">
        <v>127</v>
      </c>
      <c r="B23" s="51">
        <f>SUM(B19:B22)</f>
        <v>254</v>
      </c>
      <c r="C23" s="47">
        <f t="shared" ref="C23:H23" si="1">SUM(C19:C22)</f>
        <v>3</v>
      </c>
      <c r="D23" s="47">
        <f t="shared" si="1"/>
        <v>79</v>
      </c>
      <c r="E23" s="47">
        <f t="shared" si="1"/>
        <v>130</v>
      </c>
      <c r="F23" s="47">
        <f t="shared" si="1"/>
        <v>13</v>
      </c>
      <c r="G23" s="47">
        <f t="shared" si="1"/>
        <v>2</v>
      </c>
      <c r="H23" s="47">
        <f t="shared" si="1"/>
        <v>2034.8420000000001</v>
      </c>
      <c r="I23" s="47"/>
      <c r="J23" s="47"/>
      <c r="K23" s="47">
        <f t="shared" ref="K23:S23" si="2">SUM(K19:K22)</f>
        <v>1355.8799999999999</v>
      </c>
      <c r="L23" s="47">
        <f t="shared" si="2"/>
        <v>348.57999999999993</v>
      </c>
      <c r="M23" s="47">
        <f t="shared" si="2"/>
        <v>574.75182648401835</v>
      </c>
      <c r="N23" s="47">
        <f t="shared" si="2"/>
        <v>13697039</v>
      </c>
      <c r="O23" s="47">
        <f t="shared" si="2"/>
        <v>50180</v>
      </c>
      <c r="P23" s="47">
        <f t="shared" si="2"/>
        <v>1439166</v>
      </c>
      <c r="Q23" s="47">
        <f t="shared" si="2"/>
        <v>7120468</v>
      </c>
      <c r="R23" s="47">
        <f t="shared" si="2"/>
        <v>2567812</v>
      </c>
      <c r="S23" s="47">
        <f t="shared" si="2"/>
        <v>2519413</v>
      </c>
    </row>
    <row r="24" spans="1:20">
      <c r="A24" s="50"/>
    </row>
    <row r="25" spans="1:20">
      <c r="A25" s="52" t="s">
        <v>288</v>
      </c>
      <c r="B25" s="52" t="s">
        <v>497</v>
      </c>
    </row>
    <row r="26" spans="1:20">
      <c r="B26" s="463" t="s">
        <v>461</v>
      </c>
      <c r="C26" s="463" t="s">
        <v>270</v>
      </c>
      <c r="D26" s="463" t="s">
        <v>271</v>
      </c>
      <c r="E26" s="463" t="s">
        <v>282</v>
      </c>
    </row>
    <row r="27" spans="1:20">
      <c r="A27" s="45">
        <v>2011</v>
      </c>
      <c r="B27" s="51">
        <f>'Kingston Hydro - Results (Net)'!D48</f>
        <v>3</v>
      </c>
      <c r="C27" s="47">
        <v>0</v>
      </c>
      <c r="D27" s="47">
        <v>0</v>
      </c>
      <c r="E27" s="47">
        <v>3</v>
      </c>
    </row>
    <row r="28" spans="1:20">
      <c r="A28" s="45">
        <v>2012</v>
      </c>
      <c r="B28" s="51">
        <v>3</v>
      </c>
      <c r="C28" s="47">
        <v>1</v>
      </c>
      <c r="D28" s="47">
        <v>0</v>
      </c>
      <c r="E28" s="47">
        <v>2</v>
      </c>
    </row>
    <row r="29" spans="1:20">
      <c r="A29" s="45">
        <v>2013</v>
      </c>
      <c r="B29" s="51">
        <f>'Kingston Hydro - Results (Net)'!F22</f>
        <v>2</v>
      </c>
      <c r="C29" s="47">
        <v>0</v>
      </c>
      <c r="D29" s="47">
        <v>2</v>
      </c>
      <c r="E29" s="47">
        <v>0</v>
      </c>
    </row>
    <row r="30" spans="1:20">
      <c r="A30" s="45">
        <v>2014</v>
      </c>
      <c r="B30" s="51">
        <f>'Kingston Hydro - Results (Net)'!G22</f>
        <v>2</v>
      </c>
      <c r="C30" s="47">
        <v>1</v>
      </c>
      <c r="D30" s="47">
        <v>1</v>
      </c>
      <c r="E30" s="47">
        <v>0</v>
      </c>
    </row>
    <row r="31" spans="1:20">
      <c r="A31" s="50" t="s">
        <v>127</v>
      </c>
      <c r="B31" s="51">
        <f>SUM(B27:B30)</f>
        <v>10</v>
      </c>
      <c r="C31" s="51">
        <f>SUM(C27:C30)</f>
        <v>2</v>
      </c>
      <c r="D31" s="51">
        <f>SUM(D27:D30)</f>
        <v>3</v>
      </c>
      <c r="E31" s="51">
        <f>SUM(E27:E30)</f>
        <v>5</v>
      </c>
    </row>
    <row r="32" spans="1:20">
      <c r="A32" s="50"/>
      <c r="C32" s="47"/>
      <c r="D32" s="47"/>
      <c r="E32" s="47"/>
      <c r="F32" s="47"/>
      <c r="G32" s="47"/>
      <c r="H32" s="47"/>
      <c r="I32" s="47"/>
      <c r="J32" s="47"/>
      <c r="K32" s="47"/>
      <c r="L32" s="47"/>
      <c r="M32" s="47"/>
    </row>
    <row r="33" spans="1:11">
      <c r="B33" s="36"/>
    </row>
    <row r="34" spans="1:11">
      <c r="B34" s="577" t="s">
        <v>289</v>
      </c>
      <c r="C34" s="577" t="s">
        <v>491</v>
      </c>
      <c r="D34" s="461" t="s">
        <v>492</v>
      </c>
      <c r="E34" s="461" t="s">
        <v>290</v>
      </c>
      <c r="F34" s="577" t="s">
        <v>493</v>
      </c>
      <c r="G34" s="577" t="s">
        <v>280</v>
      </c>
      <c r="H34" s="461" t="s">
        <v>291</v>
      </c>
      <c r="I34" s="461" t="s">
        <v>494</v>
      </c>
      <c r="J34" s="577" t="s">
        <v>292</v>
      </c>
      <c r="K34" s="577" t="s">
        <v>495</v>
      </c>
    </row>
    <row r="35" spans="1:11">
      <c r="A35" s="52" t="s">
        <v>269</v>
      </c>
      <c r="B35" s="577"/>
      <c r="C35" s="577"/>
      <c r="D35" s="461"/>
      <c r="E35" s="461"/>
      <c r="F35" s="577"/>
      <c r="G35" s="580"/>
      <c r="H35" s="46"/>
      <c r="J35" s="578"/>
      <c r="K35" s="578"/>
    </row>
    <row r="36" spans="1:11">
      <c r="A36" s="45">
        <v>2011</v>
      </c>
      <c r="B36" s="578">
        <f>J3/F3</f>
        <v>0.9907407407407407</v>
      </c>
      <c r="C36" s="578">
        <f>I3/E3</f>
        <v>0.9907407407407407</v>
      </c>
      <c r="D36" s="168">
        <f>H3/F3</f>
        <v>9.2592592592592587E-3</v>
      </c>
      <c r="E36" s="168">
        <f>G3/E3</f>
        <v>9.2592592592592587E-3</v>
      </c>
      <c r="F36" s="581"/>
      <c r="G36" s="578"/>
      <c r="J36" s="578"/>
      <c r="K36" s="578"/>
    </row>
    <row r="37" spans="1:11">
      <c r="A37" s="45">
        <v>2012</v>
      </c>
      <c r="B37" s="578">
        <f>J4/F4</f>
        <v>0.94818652849740936</v>
      </c>
      <c r="C37" s="578">
        <f>I4/E4</f>
        <v>0.94818652849740936</v>
      </c>
      <c r="D37" s="168">
        <f>H4/F4</f>
        <v>5.181347150259067E-2</v>
      </c>
      <c r="E37" s="168">
        <f>G4/E4</f>
        <v>5.181347150259067E-2</v>
      </c>
      <c r="F37" s="581"/>
      <c r="G37" s="578"/>
      <c r="J37" s="578"/>
      <c r="K37" s="578"/>
    </row>
    <row r="38" spans="1:11">
      <c r="A38" s="45">
        <v>2013</v>
      </c>
      <c r="B38" s="578">
        <f>J5/F5</f>
        <v>0.74193548387096775</v>
      </c>
      <c r="C38" s="578">
        <f>I5/E5</f>
        <v>0.74193548387096775</v>
      </c>
      <c r="D38" s="168">
        <f>H5/F5</f>
        <v>0.25806451612903225</v>
      </c>
      <c r="E38" s="168">
        <f>G5/E5</f>
        <v>0.25806451612903225</v>
      </c>
      <c r="F38" s="581"/>
      <c r="G38" s="578"/>
      <c r="J38" s="578"/>
      <c r="K38" s="578"/>
    </row>
    <row r="39" spans="1:11">
      <c r="A39" s="45">
        <v>2014</v>
      </c>
      <c r="B39" s="578">
        <f>J6/F6</f>
        <v>0.82727272727272727</v>
      </c>
      <c r="C39" s="578">
        <f>I6/E6</f>
        <v>0.82727272727272727</v>
      </c>
      <c r="D39" s="168">
        <f>H6/F6</f>
        <v>0.17272727272727273</v>
      </c>
      <c r="E39" s="168">
        <f>G6/E6</f>
        <v>0.17272727272727273</v>
      </c>
      <c r="F39" s="581"/>
      <c r="G39" s="578"/>
      <c r="J39" s="578"/>
      <c r="K39" s="578"/>
    </row>
    <row r="40" spans="1:11">
      <c r="A40" s="50" t="s">
        <v>490</v>
      </c>
      <c r="B40" s="578">
        <f>J7/F7</f>
        <v>0.90491341215450027</v>
      </c>
      <c r="C40" s="578">
        <f>I7/E7</f>
        <v>0.90781003114482495</v>
      </c>
      <c r="D40" s="168">
        <f>H7/F7</f>
        <v>9.5086587845499712E-2</v>
      </c>
      <c r="E40" s="168">
        <f>G7/E7</f>
        <v>9.2189968855175122E-2</v>
      </c>
      <c r="F40" s="581"/>
      <c r="G40" s="578"/>
      <c r="J40" s="578"/>
      <c r="K40" s="578"/>
    </row>
    <row r="41" spans="1:11">
      <c r="B41" s="578"/>
      <c r="C41" s="578"/>
      <c r="F41" s="578"/>
      <c r="G41" s="578"/>
      <c r="J41" s="578"/>
      <c r="K41" s="578"/>
    </row>
    <row r="42" spans="1:11">
      <c r="A42" s="52" t="s">
        <v>279</v>
      </c>
      <c r="B42" s="578"/>
      <c r="C42" s="578"/>
      <c r="F42" s="578"/>
      <c r="G42" s="578"/>
      <c r="J42" s="578"/>
      <c r="K42" s="578"/>
    </row>
    <row r="43" spans="1:11">
      <c r="A43" s="45">
        <v>2011</v>
      </c>
      <c r="B43" s="578">
        <v>0</v>
      </c>
      <c r="C43" s="578">
        <f>C11/B11</f>
        <v>0</v>
      </c>
      <c r="D43" s="45">
        <v>1</v>
      </c>
      <c r="E43" s="45">
        <v>1</v>
      </c>
      <c r="F43" s="578"/>
      <c r="G43" s="578"/>
      <c r="J43" s="578"/>
      <c r="K43" s="578"/>
    </row>
    <row r="44" spans="1:11">
      <c r="A44" s="45">
        <v>2012</v>
      </c>
      <c r="B44" s="578">
        <f>C12/B12</f>
        <v>0.14285714285714285</v>
      </c>
      <c r="C44" s="578">
        <f>C12/B12</f>
        <v>0.14285714285714285</v>
      </c>
      <c r="D44" s="45">
        <f>D12/B12</f>
        <v>0.8571428571428571</v>
      </c>
      <c r="E44" s="45">
        <f>D12/B12</f>
        <v>0.8571428571428571</v>
      </c>
      <c r="F44" s="578"/>
      <c r="G44" s="578"/>
      <c r="J44" s="578"/>
      <c r="K44" s="578"/>
    </row>
    <row r="45" spans="1:11">
      <c r="A45" s="45">
        <v>2013</v>
      </c>
      <c r="B45" s="578">
        <f>C13/B13</f>
        <v>0</v>
      </c>
      <c r="C45" s="578">
        <f>C13/B13</f>
        <v>0</v>
      </c>
      <c r="D45" s="45">
        <v>1</v>
      </c>
      <c r="E45" s="45">
        <v>0</v>
      </c>
      <c r="F45" s="578"/>
      <c r="G45" s="578"/>
      <c r="J45" s="578"/>
      <c r="K45" s="578"/>
    </row>
    <row r="46" spans="1:11">
      <c r="A46" s="45">
        <v>2014</v>
      </c>
      <c r="B46" s="578">
        <f>C14/B14</f>
        <v>0.2</v>
      </c>
      <c r="C46" s="578">
        <f>C14/B14</f>
        <v>0.2</v>
      </c>
      <c r="D46" s="45">
        <f>D14/B14</f>
        <v>0.8</v>
      </c>
      <c r="E46" s="45">
        <f>D14/B14</f>
        <v>0.8</v>
      </c>
      <c r="F46" s="578"/>
      <c r="G46" s="578"/>
      <c r="J46" s="578"/>
      <c r="K46" s="578"/>
    </row>
    <row r="47" spans="1:11">
      <c r="A47" s="50" t="s">
        <v>490</v>
      </c>
      <c r="B47" s="578">
        <v>0.25</v>
      </c>
      <c r="C47" s="578">
        <v>0.25</v>
      </c>
      <c r="D47" s="45">
        <v>0.25</v>
      </c>
      <c r="E47" s="45">
        <v>0.25</v>
      </c>
      <c r="F47" s="578">
        <v>0.5</v>
      </c>
      <c r="G47" s="578">
        <v>0.5</v>
      </c>
      <c r="J47" s="578"/>
      <c r="K47" s="578"/>
    </row>
    <row r="48" spans="1:11">
      <c r="B48" s="578"/>
      <c r="C48" s="578"/>
      <c r="F48" s="578"/>
      <c r="G48" s="578"/>
      <c r="J48" s="578"/>
      <c r="K48" s="578"/>
    </row>
    <row r="49" spans="1:11">
      <c r="A49" s="52" t="s">
        <v>281</v>
      </c>
      <c r="B49" s="579"/>
      <c r="C49" s="579"/>
      <c r="D49" s="49"/>
      <c r="E49" s="49"/>
      <c r="F49" s="578"/>
      <c r="G49" s="578"/>
      <c r="J49" s="578"/>
      <c r="K49" s="578"/>
    </row>
    <row r="50" spans="1:11">
      <c r="A50" s="45">
        <v>2011</v>
      </c>
      <c r="B50" s="578">
        <f>P19/N19</f>
        <v>0.20019302333175734</v>
      </c>
      <c r="C50" s="578">
        <f>J19/H19</f>
        <v>0.19459994122580043</v>
      </c>
      <c r="D50" s="45">
        <f>Q19/N19</f>
        <v>0.561017095946581</v>
      </c>
      <c r="E50" s="45">
        <f>K19/H19</f>
        <v>0.44446196520854092</v>
      </c>
      <c r="F50" s="578">
        <f>R19/N19</f>
        <v>0.23717662025303876</v>
      </c>
      <c r="G50" s="578">
        <f>L19/H19</f>
        <v>0.35868388798497675</v>
      </c>
      <c r="H50" s="45">
        <f>O19/N19</f>
        <v>1.6132604686228825E-3</v>
      </c>
      <c r="I50" s="45">
        <f>I19/H19</f>
        <v>2.254205580681924E-3</v>
      </c>
      <c r="J50" s="578">
        <f>S19/N19</f>
        <v>0</v>
      </c>
      <c r="K50" s="578"/>
    </row>
    <row r="51" spans="1:11">
      <c r="A51" s="45">
        <v>2012</v>
      </c>
      <c r="B51" s="578">
        <f>P20/N20</f>
        <v>7.4509580919314394E-2</v>
      </c>
      <c r="C51" s="578">
        <f>J20/H20</f>
        <v>9.5025714644106543E-2</v>
      </c>
      <c r="D51" s="45">
        <f>Q20/N20</f>
        <v>0.82788810024072212</v>
      </c>
      <c r="E51" s="45">
        <f>K20/H20</f>
        <v>0.7371531310540913</v>
      </c>
      <c r="F51" s="578">
        <f>R20/N20</f>
        <v>8.8340404771287462E-2</v>
      </c>
      <c r="G51" s="578">
        <f>L20/H20</f>
        <v>0.16782115430180211</v>
      </c>
      <c r="H51" s="45">
        <f>O20/N20</f>
        <v>0</v>
      </c>
      <c r="I51" s="45">
        <f>I20/H20</f>
        <v>0</v>
      </c>
      <c r="J51" s="578">
        <f>S20/N20</f>
        <v>9.2619140686760765E-3</v>
      </c>
      <c r="K51" s="578"/>
    </row>
    <row r="52" spans="1:11">
      <c r="A52" s="45">
        <v>2013</v>
      </c>
      <c r="B52" s="578">
        <f>P21/N21</f>
        <v>5.2660506472044066E-2</v>
      </c>
      <c r="C52" s="578">
        <f>J21/H21</f>
        <v>0.19446012156566994</v>
      </c>
      <c r="D52" s="45">
        <f>Q21/N21</f>
        <v>0.26627168568430098</v>
      </c>
      <c r="E52" s="45">
        <f>K21/H21</f>
        <v>0.78353419471484009</v>
      </c>
      <c r="F52" s="578">
        <f>R21/N21</f>
        <v>0.25472127829220337</v>
      </c>
      <c r="G52" s="578">
        <f>L21/H21</f>
        <v>3.8207780402655066E-3</v>
      </c>
      <c r="H52" s="45">
        <f>O21/N21</f>
        <v>4.222837369536752E-3</v>
      </c>
      <c r="I52" s="45">
        <f>I21/H21</f>
        <v>2.3928558942368686E-2</v>
      </c>
      <c r="J52" s="578">
        <f>S21/N21</f>
        <v>0.42212369218191481</v>
      </c>
      <c r="K52" s="578"/>
    </row>
    <row r="53" spans="1:11">
      <c r="A53" s="45">
        <v>2014</v>
      </c>
      <c r="B53" s="578">
        <f>P22/N22</f>
        <v>0.23143560836599225</v>
      </c>
      <c r="C53" s="578">
        <f>J22/H22</f>
        <v>0.18371037949849797</v>
      </c>
      <c r="D53" s="45">
        <f>Q22/N22</f>
        <v>0.69648860073018382</v>
      </c>
      <c r="E53" s="45">
        <f>K22/H22</f>
        <v>0.73898818978826342</v>
      </c>
      <c r="F53" s="578">
        <f>R22/N22</f>
        <v>5.5190391411360999E-2</v>
      </c>
      <c r="G53" s="578">
        <f>L22/H22</f>
        <v>7.3765055372559507E-2</v>
      </c>
      <c r="H53" s="45">
        <f>O22/N22</f>
        <v>1.688539949246292E-2</v>
      </c>
      <c r="I53" s="45">
        <f>I22/H22</f>
        <v>3.5363753406791845E-3</v>
      </c>
      <c r="J53" s="578">
        <f>S22/N22</f>
        <v>0</v>
      </c>
      <c r="K53" s="578"/>
    </row>
    <row r="54" spans="1:11">
      <c r="A54" s="50" t="s">
        <v>490</v>
      </c>
      <c r="B54" s="578">
        <f>P23/N23</f>
        <v>0.10507132234930484</v>
      </c>
      <c r="C54" s="578">
        <f>J23/H23</f>
        <v>0</v>
      </c>
      <c r="D54" s="45">
        <f>Q23/N23</f>
        <v>0.51985454666515885</v>
      </c>
      <c r="E54" s="45">
        <f>K23/H23</f>
        <v>0.66633183313495581</v>
      </c>
      <c r="F54" s="578">
        <f>R23/N23</f>
        <v>0.18747205144119106</v>
      </c>
      <c r="G54" s="578">
        <f>L23/H23</f>
        <v>0.17130568368453172</v>
      </c>
      <c r="H54" s="45">
        <f>O23/N23</f>
        <v>3.6635655341274854E-3</v>
      </c>
      <c r="I54" s="45">
        <f>I23/H23</f>
        <v>0</v>
      </c>
      <c r="J54" s="578">
        <f>S23/N23</f>
        <v>0.18393851401021782</v>
      </c>
      <c r="K54" s="578"/>
    </row>
    <row r="55" spans="1:11">
      <c r="B55" s="578"/>
      <c r="C55" s="578"/>
      <c r="F55" s="578"/>
      <c r="G55" s="578"/>
      <c r="J55" s="578"/>
      <c r="K55" s="578"/>
    </row>
    <row r="56" spans="1:11">
      <c r="A56" s="52" t="s">
        <v>288</v>
      </c>
      <c r="B56" s="578"/>
      <c r="C56" s="578"/>
      <c r="F56" s="578"/>
      <c r="G56" s="578"/>
      <c r="J56" s="578"/>
      <c r="K56" s="578"/>
    </row>
    <row r="57" spans="1:11">
      <c r="A57" s="45">
        <v>2011</v>
      </c>
      <c r="B57" s="578">
        <f>C27/B27</f>
        <v>0</v>
      </c>
      <c r="C57" s="578">
        <f>C27/B27</f>
        <v>0</v>
      </c>
      <c r="D57" s="45">
        <f>D27/B27</f>
        <v>0</v>
      </c>
      <c r="E57" s="45">
        <f>D27/B27</f>
        <v>0</v>
      </c>
      <c r="F57" s="578">
        <f>E27/B27</f>
        <v>1</v>
      </c>
      <c r="G57" s="578">
        <f>E27/B27</f>
        <v>1</v>
      </c>
      <c r="J57" s="578"/>
      <c r="K57" s="578"/>
    </row>
    <row r="58" spans="1:11">
      <c r="A58" s="45">
        <v>2012</v>
      </c>
      <c r="B58" s="578">
        <f>C28/B28</f>
        <v>0.33333333333333331</v>
      </c>
      <c r="C58" s="578">
        <f>C28/B28</f>
        <v>0.33333333333333331</v>
      </c>
      <c r="D58" s="45">
        <f>D28/B28</f>
        <v>0</v>
      </c>
      <c r="E58" s="45">
        <f>D28/B28</f>
        <v>0</v>
      </c>
      <c r="F58" s="578">
        <f>E28/B28</f>
        <v>0.66666666666666663</v>
      </c>
      <c r="G58" s="578">
        <f>E28/B28</f>
        <v>0.66666666666666663</v>
      </c>
      <c r="J58" s="578"/>
      <c r="K58" s="578"/>
    </row>
    <row r="59" spans="1:11">
      <c r="A59" s="45">
        <v>2013</v>
      </c>
      <c r="B59" s="578">
        <f>C29/B29</f>
        <v>0</v>
      </c>
      <c r="C59" s="578">
        <f>C29/B29</f>
        <v>0</v>
      </c>
      <c r="D59" s="45">
        <f>D29/B29</f>
        <v>1</v>
      </c>
      <c r="E59" s="45">
        <f>D29/B29</f>
        <v>1</v>
      </c>
      <c r="F59" s="578">
        <f>E29/B29</f>
        <v>0</v>
      </c>
      <c r="G59" s="578">
        <f>E29/B29</f>
        <v>0</v>
      </c>
      <c r="J59" s="578"/>
      <c r="K59" s="578"/>
    </row>
    <row r="60" spans="1:11">
      <c r="A60" s="45">
        <v>2014</v>
      </c>
      <c r="B60" s="578">
        <f>C30/B30</f>
        <v>0.5</v>
      </c>
      <c r="C60" s="578">
        <f>C30/B30</f>
        <v>0.5</v>
      </c>
      <c r="D60" s="45">
        <f>D30/B30</f>
        <v>0.5</v>
      </c>
      <c r="E60" s="45">
        <f>D30/B30</f>
        <v>0.5</v>
      </c>
      <c r="F60" s="578">
        <f>E30/B30</f>
        <v>0</v>
      </c>
      <c r="G60" s="578">
        <f>E30/B30</f>
        <v>0</v>
      </c>
      <c r="J60" s="578"/>
      <c r="K60" s="578"/>
    </row>
    <row r="61" spans="1:11">
      <c r="A61" s="50" t="s">
        <v>490</v>
      </c>
      <c r="B61" s="578">
        <f>C31/B31</f>
        <v>0.2</v>
      </c>
      <c r="C61" s="578">
        <f>C31/B31</f>
        <v>0.2</v>
      </c>
      <c r="D61" s="45">
        <f>D31/B31</f>
        <v>0.3</v>
      </c>
      <c r="E61" s="45">
        <f>D31/B31</f>
        <v>0.3</v>
      </c>
      <c r="F61" s="578">
        <f>E31/B31</f>
        <v>0.5</v>
      </c>
      <c r="G61" s="578">
        <f>E31/B31</f>
        <v>0.5</v>
      </c>
      <c r="J61" s="578"/>
      <c r="K61" s="578"/>
    </row>
  </sheetData>
  <pageMargins left="0.7" right="0.7" top="0.75" bottom="0.75" header="0.3" footer="0.3"/>
  <pageSetup scale="1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3"/>
  <sheetViews>
    <sheetView zoomScaleNormal="100" workbookViewId="0">
      <selection activeCell="H52" sqref="H52:M53"/>
    </sheetView>
  </sheetViews>
  <sheetFormatPr defaultRowHeight="14.5"/>
  <cols>
    <col min="1" max="1" width="49.90625" bestFit="1" customWidth="1"/>
    <col min="2" max="5" width="11.90625" bestFit="1" customWidth="1"/>
    <col min="6" max="11" width="12.26953125" bestFit="1" customWidth="1"/>
    <col min="12" max="13" width="12.36328125" bestFit="1" customWidth="1"/>
    <col min="15" max="15" width="11.7265625" bestFit="1" customWidth="1"/>
  </cols>
  <sheetData>
    <row r="1" spans="1:27" s="45" customFormat="1"/>
    <row r="2" spans="1:27">
      <c r="A2" s="588" t="s">
        <v>579</v>
      </c>
      <c r="B2" s="588">
        <v>2009</v>
      </c>
      <c r="C2" s="588">
        <v>2010</v>
      </c>
      <c r="D2" s="588">
        <v>2011</v>
      </c>
      <c r="E2" s="588">
        <v>2012</v>
      </c>
      <c r="F2" s="588">
        <v>2013</v>
      </c>
      <c r="G2" s="588">
        <v>2014</v>
      </c>
      <c r="H2" s="588">
        <v>2015</v>
      </c>
      <c r="I2" s="588">
        <v>2016</v>
      </c>
      <c r="J2" s="588">
        <v>2017</v>
      </c>
      <c r="K2" s="588">
        <v>2018</v>
      </c>
      <c r="L2" s="588">
        <v>2019</v>
      </c>
      <c r="M2" s="588">
        <v>2020</v>
      </c>
    </row>
    <row r="3" spans="1:27">
      <c r="A3" s="590" t="s">
        <v>571</v>
      </c>
      <c r="B3" s="35">
        <f>'KH MWh Savings Pivot'!B12</f>
        <v>258079.21812710026</v>
      </c>
      <c r="C3" s="35">
        <f>'KH MWh Savings Pivot'!C12</f>
        <v>505604.05151086615</v>
      </c>
      <c r="D3" s="35">
        <f>'KH MWh Savings Pivot'!D12</f>
        <v>505604.05151086615</v>
      </c>
      <c r="E3" s="35">
        <f>'KH MWh Savings Pivot'!E12</f>
        <v>504460.54298790556</v>
      </c>
      <c r="F3" s="35">
        <f>'KH MWh Savings Pivot'!F12</f>
        <v>473728.86872915045</v>
      </c>
      <c r="G3" s="35">
        <f>'KH MWh Savings Pivot'!G12</f>
        <v>376734.39521936764</v>
      </c>
      <c r="H3" s="35">
        <f>'KH MWh Savings Pivot'!H12</f>
        <v>329319.42198716803</v>
      </c>
      <c r="I3" s="35">
        <f>'KH MWh Savings Pivot'!I12</f>
        <v>328284.86129872652</v>
      </c>
      <c r="J3" s="35">
        <f>'KH MWh Savings Pivot'!J12</f>
        <v>261911.8570510759</v>
      </c>
      <c r="K3" s="35">
        <f>'KH MWh Savings Pivot'!K12</f>
        <v>261911.8570510759</v>
      </c>
      <c r="L3" s="35">
        <f>'KH MWh Savings Pivot'!L12</f>
        <v>226227.74087909621</v>
      </c>
      <c r="M3" s="35">
        <f>'KH MWh Savings Pivot'!M12</f>
        <v>226163.96103314386</v>
      </c>
      <c r="O3" s="45"/>
      <c r="P3" s="45"/>
      <c r="Q3" s="45"/>
      <c r="R3" s="45"/>
      <c r="S3" s="45"/>
      <c r="T3" s="45"/>
      <c r="U3" s="45"/>
      <c r="V3" s="45"/>
      <c r="W3" s="45"/>
      <c r="X3" s="45"/>
      <c r="Y3" s="45"/>
      <c r="Z3" s="45"/>
      <c r="AA3" s="45"/>
    </row>
    <row r="4" spans="1:27">
      <c r="A4" s="590" t="s">
        <v>572</v>
      </c>
      <c r="B4" s="35"/>
      <c r="C4" s="35">
        <f>'KH MWh Savings Pivot'!C27</f>
        <v>176590.02795359696</v>
      </c>
      <c r="D4" s="35">
        <f>'KH MWh Savings Pivot'!D27</f>
        <v>342383.9360958882</v>
      </c>
      <c r="E4" s="35">
        <f>'KH MWh Savings Pivot'!E27</f>
        <v>339889.6387007102</v>
      </c>
      <c r="F4" s="35">
        <f>'KH MWh Savings Pivot'!F27</f>
        <v>338947.24307090783</v>
      </c>
      <c r="G4" s="35">
        <f>'KH MWh Savings Pivot'!G27</f>
        <v>313908.64148591651</v>
      </c>
      <c r="H4" s="35">
        <f>'KH MWh Savings Pivot'!H27</f>
        <v>212305.15997988035</v>
      </c>
      <c r="I4" s="35">
        <f>'KH MWh Savings Pivot'!I27</f>
        <v>203069.68140192828</v>
      </c>
      <c r="J4" s="35">
        <f>'KH MWh Savings Pivot'!J27</f>
        <v>203069.68140192828</v>
      </c>
      <c r="K4" s="35">
        <f>'KH MWh Savings Pivot'!K27</f>
        <v>202309.3872396285</v>
      </c>
      <c r="L4" s="35">
        <f>'KH MWh Savings Pivot'!L27</f>
        <v>110021.75782230031</v>
      </c>
      <c r="M4" s="35">
        <f>'KH MWh Savings Pivot'!M27</f>
        <v>94821.570593297569</v>
      </c>
      <c r="O4" s="45"/>
      <c r="P4" s="45"/>
      <c r="Q4" s="45"/>
      <c r="R4" s="45"/>
      <c r="S4" s="45"/>
      <c r="T4" s="45"/>
      <c r="U4" s="45"/>
      <c r="V4" s="45"/>
      <c r="W4" s="45"/>
      <c r="X4" s="45"/>
      <c r="Y4" s="45"/>
      <c r="Z4" s="45"/>
      <c r="AA4" s="45"/>
    </row>
    <row r="5" spans="1:27">
      <c r="A5" s="590" t="s">
        <v>573</v>
      </c>
      <c r="B5" s="35"/>
      <c r="C5" s="35"/>
      <c r="D5" s="35">
        <f>'KH MWh Savings Pivot'!D46</f>
        <v>259175.21868655752</v>
      </c>
      <c r="E5" s="35">
        <f>'KH MWh Savings Pivot'!E46</f>
        <v>518350.43737311504</v>
      </c>
      <c r="F5" s="35">
        <f>'KH MWh Savings Pivot'!F46</f>
        <v>518350.43737311504</v>
      </c>
      <c r="G5" s="35">
        <f>'KH MWh Savings Pivot'!G46</f>
        <v>516845.59338506463</v>
      </c>
      <c r="H5" s="35">
        <f>'KH MWh Savings Pivot'!H46</f>
        <v>478543.88628608891</v>
      </c>
      <c r="I5" s="35">
        <f>'KH MWh Savings Pivot'!I46</f>
        <v>401921.62019794108</v>
      </c>
      <c r="J5" s="35">
        <f>'KH MWh Savings Pivot'!J46</f>
        <v>348519.15696424112</v>
      </c>
      <c r="K5" s="35">
        <f>'KH MWh Savings Pivot'!K46</f>
        <v>347791.32569697214</v>
      </c>
      <c r="L5" s="35">
        <f>'KH MWh Savings Pivot'!L46</f>
        <v>390852.95170851401</v>
      </c>
      <c r="M5" s="35">
        <f>'KH MWh Savings Pivot'!M46</f>
        <v>256088.29460278258</v>
      </c>
      <c r="O5" s="45"/>
      <c r="P5" s="45"/>
      <c r="Q5" s="45"/>
      <c r="R5" s="45"/>
      <c r="S5" s="45"/>
      <c r="T5" s="45"/>
      <c r="U5" s="45"/>
      <c r="V5" s="45"/>
      <c r="W5" s="45"/>
      <c r="X5" s="45"/>
      <c r="Y5" s="45"/>
      <c r="Z5" s="45"/>
      <c r="AA5" s="45"/>
    </row>
    <row r="6" spans="1:27">
      <c r="A6" s="590" t="s">
        <v>574</v>
      </c>
      <c r="B6" s="35"/>
      <c r="C6" s="35"/>
      <c r="D6" s="35"/>
      <c r="E6" s="35">
        <f>'KH MWh Savings Pivot'!E65</f>
        <v>170805.37694206584</v>
      </c>
      <c r="F6" s="35">
        <f>'KH MWh Savings Pivot'!F65</f>
        <v>341610.75425034255</v>
      </c>
      <c r="G6" s="35">
        <f>'KH MWh Savings Pivot'!G65</f>
        <v>341610.75425034255</v>
      </c>
      <c r="H6" s="35">
        <f>'KH MWh Savings Pivot'!H65</f>
        <v>338452.82844285696</v>
      </c>
      <c r="I6" s="35">
        <f>'KH MWh Savings Pivot'!I65</f>
        <v>294604.98507918062</v>
      </c>
      <c r="J6" s="35">
        <f>'KH MWh Savings Pivot'!J65</f>
        <v>250166.71519501388</v>
      </c>
      <c r="K6" s="35">
        <f>'KH MWh Savings Pivot'!K65</f>
        <v>212667.03191332149</v>
      </c>
      <c r="L6" s="35">
        <f>'KH MWh Savings Pivot'!L65</f>
        <v>212435.89799124471</v>
      </c>
      <c r="M6" s="35">
        <f>'KH MWh Savings Pivot'!M65</f>
        <v>195367.89799124465</v>
      </c>
      <c r="O6" s="45"/>
      <c r="P6" s="45"/>
      <c r="Q6" s="45"/>
      <c r="R6" s="45"/>
      <c r="S6" s="45"/>
      <c r="T6" s="45"/>
      <c r="U6" s="45"/>
      <c r="V6" s="45"/>
      <c r="W6" s="45"/>
      <c r="X6" s="45"/>
      <c r="Y6" s="45"/>
      <c r="Z6" s="45"/>
      <c r="AA6" s="45"/>
    </row>
    <row r="7" spans="1:27">
      <c r="A7" s="590" t="s">
        <v>575</v>
      </c>
      <c r="B7" s="35"/>
      <c r="C7" s="35"/>
      <c r="D7" s="35"/>
      <c r="E7" s="35"/>
      <c r="F7" s="35">
        <f>'KH MWh Savings Pivot'!F85</f>
        <v>248315.57751024087</v>
      </c>
      <c r="G7" s="35">
        <f>'KH MWh Savings Pivot'!G85</f>
        <v>491100.49605441676</v>
      </c>
      <c r="H7" s="35">
        <f>'KH MWh Savings Pivot'!H85</f>
        <v>482576.25401830074</v>
      </c>
      <c r="I7" s="35">
        <f>'KH MWh Savings Pivot'!I85</f>
        <v>436701.22777200723</v>
      </c>
      <c r="J7" s="35">
        <f>'KH MWh Savings Pivot'!J85</f>
        <v>418741.67027054314</v>
      </c>
      <c r="K7" s="35">
        <f>'KH MWh Savings Pivot'!K85</f>
        <v>396720.77344885626</v>
      </c>
      <c r="L7" s="35">
        <f>'KH MWh Savings Pivot'!L85</f>
        <v>388462.7544211463</v>
      </c>
      <c r="M7" s="35">
        <f>'KH MWh Savings Pivot'!M85</f>
        <v>386783.92020940705</v>
      </c>
      <c r="O7" s="45"/>
      <c r="P7" s="45"/>
      <c r="Q7" s="45"/>
      <c r="R7" s="45"/>
      <c r="S7" s="45"/>
      <c r="T7" s="45"/>
      <c r="U7" s="45"/>
      <c r="V7" s="45"/>
      <c r="W7" s="45"/>
      <c r="X7" s="45"/>
      <c r="Y7" s="45"/>
      <c r="Z7" s="45"/>
      <c r="AA7" s="45"/>
    </row>
    <row r="8" spans="1:27">
      <c r="A8" s="590" t="s">
        <v>576</v>
      </c>
      <c r="B8" s="35"/>
      <c r="C8" s="35"/>
      <c r="D8" s="35"/>
      <c r="E8" s="35"/>
      <c r="F8" s="35"/>
      <c r="G8" s="35">
        <f>'KH MWh Savings Pivot'!G104</f>
        <v>495314.92701998318</v>
      </c>
      <c r="H8" s="35">
        <f>'KH MWh Savings Pivot'!H104</f>
        <v>981394.01415130869</v>
      </c>
      <c r="I8" s="35">
        <f>'KH MWh Savings Pivot'!I104</f>
        <v>935729.84348382754</v>
      </c>
      <c r="J8" s="35">
        <f>'KH MWh Savings Pivot'!J104</f>
        <v>806637.26040436246</v>
      </c>
      <c r="K8" s="35">
        <f>'KH MWh Savings Pivot'!K104</f>
        <v>778701.35254416359</v>
      </c>
      <c r="L8" s="35">
        <f>'KH MWh Savings Pivot'!L104</f>
        <v>768088.01537309051</v>
      </c>
      <c r="M8" s="35">
        <f>'KH MWh Savings Pivot'!M104</f>
        <v>765931.12419487105</v>
      </c>
      <c r="O8" s="45"/>
      <c r="P8" s="45"/>
      <c r="Q8" s="45"/>
      <c r="R8" s="45"/>
      <c r="S8" s="45"/>
      <c r="T8" s="45"/>
      <c r="U8" s="45"/>
      <c r="V8" s="45"/>
      <c r="W8" s="45"/>
      <c r="X8" s="45"/>
      <c r="Y8" s="45"/>
      <c r="Z8" s="45"/>
      <c r="AA8" s="45"/>
    </row>
    <row r="9" spans="1:27">
      <c r="A9" s="590" t="s">
        <v>577</v>
      </c>
      <c r="B9" s="35"/>
      <c r="C9" s="35"/>
      <c r="D9" s="35"/>
      <c r="E9" s="35"/>
      <c r="F9" s="35"/>
      <c r="G9" s="35"/>
      <c r="H9" s="35">
        <f>'KH MWh Savings Pivot'!H134</f>
        <v>181705.71754005147</v>
      </c>
      <c r="I9" s="35">
        <f>'KH MWh Savings Pivot'!I134</f>
        <v>440692.92518048763</v>
      </c>
      <c r="J9" s="35">
        <f>'KH MWh Savings Pivot'!J134</f>
        <v>549771.68367726821</v>
      </c>
      <c r="K9" s="35">
        <f>'KH MWh Savings Pivot'!K134</f>
        <v>614196.00709504541</v>
      </c>
      <c r="L9" s="35">
        <f>'KH MWh Savings Pivot'!L134</f>
        <v>680279.90376279294</v>
      </c>
      <c r="M9" s="35">
        <f>'KH MWh Savings Pivot'!M134</f>
        <v>748023.37368051102</v>
      </c>
    </row>
    <row r="10" spans="1:27">
      <c r="A10" s="590" t="s">
        <v>578</v>
      </c>
      <c r="B10" s="592">
        <f>SUM(B3:B9)</f>
        <v>258079.21812710026</v>
      </c>
      <c r="C10" s="592">
        <f t="shared" ref="C10:M10" si="0">SUM(C3:C9)</f>
        <v>682194.07946446305</v>
      </c>
      <c r="D10" s="592">
        <f t="shared" si="0"/>
        <v>1107163.2062933119</v>
      </c>
      <c r="E10" s="592">
        <f t="shared" si="0"/>
        <v>1533505.9960037966</v>
      </c>
      <c r="F10" s="592">
        <f t="shared" si="0"/>
        <v>1920952.8809337567</v>
      </c>
      <c r="G10" s="592">
        <f t="shared" si="0"/>
        <v>2535514.8074150914</v>
      </c>
      <c r="H10" s="592">
        <f t="shared" si="0"/>
        <v>3004297.2824056549</v>
      </c>
      <c r="I10" s="592">
        <f t="shared" si="0"/>
        <v>3041005.1444140994</v>
      </c>
      <c r="J10" s="592">
        <f t="shared" si="0"/>
        <v>2838818.0249644332</v>
      </c>
      <c r="K10" s="592">
        <f t="shared" si="0"/>
        <v>2814297.7349890633</v>
      </c>
      <c r="L10" s="592">
        <f t="shared" si="0"/>
        <v>2776369.0219581849</v>
      </c>
      <c r="M10" s="592">
        <f t="shared" si="0"/>
        <v>2673180.1423052577</v>
      </c>
      <c r="O10" s="45"/>
      <c r="P10" s="46"/>
      <c r="Q10" s="46"/>
      <c r="R10" s="46"/>
      <c r="S10" s="46"/>
      <c r="T10" s="46"/>
      <c r="U10" s="46"/>
      <c r="V10" s="46"/>
      <c r="W10" s="46"/>
      <c r="X10" s="46"/>
      <c r="Y10" s="46"/>
      <c r="Z10" s="46"/>
      <c r="AA10" s="46"/>
    </row>
    <row r="11" spans="1:27">
      <c r="A11" s="50"/>
      <c r="O11" s="45"/>
      <c r="P11" s="45"/>
      <c r="Q11" s="45"/>
      <c r="R11" s="45"/>
      <c r="S11" s="45"/>
      <c r="T11" s="45"/>
      <c r="U11" s="45"/>
      <c r="V11" s="45"/>
      <c r="W11" s="45"/>
      <c r="X11" s="45"/>
      <c r="Y11" s="45"/>
      <c r="Z11" s="45"/>
      <c r="AA11" s="45"/>
    </row>
    <row r="12" spans="1:27">
      <c r="A12" s="588" t="s">
        <v>486</v>
      </c>
      <c r="B12" s="588">
        <v>2009</v>
      </c>
      <c r="C12" s="588">
        <v>2010</v>
      </c>
      <c r="D12" s="588">
        <v>2011</v>
      </c>
      <c r="E12" s="588">
        <v>2012</v>
      </c>
      <c r="F12" s="588">
        <v>2013</v>
      </c>
      <c r="G12" s="588">
        <v>2014</v>
      </c>
      <c r="H12" s="588">
        <v>2015</v>
      </c>
      <c r="I12" s="588">
        <v>2016</v>
      </c>
      <c r="J12" s="588">
        <v>2017</v>
      </c>
      <c r="K12" s="588">
        <v>2018</v>
      </c>
      <c r="L12" s="588">
        <v>2019</v>
      </c>
      <c r="M12" s="588">
        <v>2020</v>
      </c>
      <c r="O12" s="45"/>
      <c r="P12" s="45"/>
      <c r="Q12" s="45"/>
      <c r="R12" s="45"/>
      <c r="S12" s="45"/>
      <c r="T12" s="45"/>
      <c r="U12" s="45"/>
      <c r="V12" s="45"/>
      <c r="W12" s="45"/>
      <c r="X12" s="45"/>
      <c r="Y12" s="45"/>
      <c r="Z12" s="45"/>
      <c r="AA12" s="45"/>
    </row>
    <row r="13" spans="1:27">
      <c r="A13" s="590" t="s">
        <v>571</v>
      </c>
      <c r="B13" s="35">
        <f>'KH MWh Savings Pivot'!B13</f>
        <v>341521.75913147489</v>
      </c>
      <c r="C13" s="35">
        <f>'KH MWh Savings Pivot'!C13</f>
        <v>683043.51826294977</v>
      </c>
      <c r="D13" s="35">
        <f>'KH MWh Savings Pivot'!D13</f>
        <v>683043.51826294977</v>
      </c>
      <c r="E13" s="35">
        <f>'KH MWh Savings Pivot'!E13</f>
        <v>683043.51826294977</v>
      </c>
      <c r="F13" s="35">
        <f>'KH MWh Savings Pivot'!F13</f>
        <v>683043.51826294977</v>
      </c>
      <c r="G13" s="35">
        <f>'KH MWh Savings Pivot'!G13</f>
        <v>683043.51826294977</v>
      </c>
      <c r="H13" s="35">
        <f>'KH MWh Savings Pivot'!H13</f>
        <v>683043.51826294977</v>
      </c>
      <c r="I13" s="35">
        <f>'KH MWh Savings Pivot'!I13</f>
        <v>683043.51826294977</v>
      </c>
      <c r="J13" s="35">
        <f>'KH MWh Savings Pivot'!J13</f>
        <v>384702.67120560509</v>
      </c>
      <c r="K13" s="35">
        <f>'KH MWh Savings Pivot'!K13</f>
        <v>0</v>
      </c>
      <c r="L13" s="35">
        <f>'KH MWh Savings Pivot'!L13</f>
        <v>0</v>
      </c>
      <c r="M13" s="35">
        <f>'KH MWh Savings Pivot'!M13</f>
        <v>0</v>
      </c>
      <c r="O13" s="45"/>
      <c r="P13" s="45"/>
      <c r="Q13" s="45"/>
      <c r="R13" s="45"/>
      <c r="S13" s="45"/>
      <c r="T13" s="45"/>
      <c r="U13" s="45"/>
      <c r="V13" s="45"/>
      <c r="W13" s="45"/>
      <c r="X13" s="45"/>
      <c r="Y13" s="45"/>
      <c r="Z13" s="45"/>
      <c r="AA13" s="45"/>
    </row>
    <row r="14" spans="1:27">
      <c r="A14" s="590" t="s">
        <v>572</v>
      </c>
      <c r="B14" s="35"/>
      <c r="C14" s="35">
        <f>'KH MWh Savings Pivot'!C28</f>
        <v>269706.18447509001</v>
      </c>
      <c r="D14" s="35">
        <f>'KH MWh Savings Pivot'!D28</f>
        <v>539412.36895018001</v>
      </c>
      <c r="E14" s="35">
        <f>'KH MWh Savings Pivot'!E28</f>
        <v>539412.36895018001</v>
      </c>
      <c r="F14" s="35">
        <f>'KH MWh Savings Pivot'!F28</f>
        <v>539412.36895018001</v>
      </c>
      <c r="G14" s="35">
        <f>'KH MWh Savings Pivot'!G28</f>
        <v>539412.36895018001</v>
      </c>
      <c r="H14" s="35">
        <f>'KH MWh Savings Pivot'!H28</f>
        <v>539412.36895018001</v>
      </c>
      <c r="I14" s="35">
        <f>'KH MWh Savings Pivot'!I28</f>
        <v>539412.36895018001</v>
      </c>
      <c r="J14" s="35">
        <f>'KH MWh Savings Pivot'!J28</f>
        <v>364051.28221036796</v>
      </c>
      <c r="K14" s="35">
        <f>'KH MWh Savings Pivot'!K28</f>
        <v>0</v>
      </c>
      <c r="L14" s="35">
        <f>'KH MWh Savings Pivot'!L28</f>
        <v>0</v>
      </c>
      <c r="M14" s="35">
        <f>'KH MWh Savings Pivot'!M28</f>
        <v>0</v>
      </c>
      <c r="O14" s="45"/>
      <c r="P14" s="45"/>
      <c r="Q14" s="45"/>
      <c r="R14" s="45"/>
      <c r="S14" s="45"/>
      <c r="T14" s="45"/>
      <c r="U14" s="45"/>
      <c r="V14" s="45"/>
      <c r="W14" s="45"/>
      <c r="X14" s="45"/>
      <c r="Y14" s="45"/>
      <c r="Z14" s="45"/>
      <c r="AA14" s="45"/>
    </row>
    <row r="15" spans="1:27">
      <c r="A15" s="590" t="s">
        <v>573</v>
      </c>
      <c r="B15" s="35"/>
      <c r="C15" s="35"/>
      <c r="D15" s="35">
        <f>'KH MWh Savings Pivot'!D47</f>
        <v>332629.70705580758</v>
      </c>
      <c r="E15" s="35">
        <f>'KH MWh Savings Pivot'!E47</f>
        <v>665259.41411161516</v>
      </c>
      <c r="F15" s="35">
        <f>'KH MWh Savings Pivot'!F47</f>
        <v>664680.61727180087</v>
      </c>
      <c r="G15" s="35">
        <f>'KH MWh Savings Pivot'!G47</f>
        <v>608446.44148929615</v>
      </c>
      <c r="H15" s="35">
        <f>'KH MWh Savings Pivot'!H47</f>
        <v>608446.44148929615</v>
      </c>
      <c r="I15" s="35">
        <f>'KH MWh Savings Pivot'!I47</f>
        <v>608446.44148929615</v>
      </c>
      <c r="J15" s="35">
        <f>'KH MWh Savings Pivot'!J47</f>
        <v>456298.80260920519</v>
      </c>
      <c r="K15" s="35">
        <f>'KH MWh Savings Pivot'!K47</f>
        <v>454572.26577393396</v>
      </c>
      <c r="L15" s="35">
        <f>'KH MWh Savings Pivot'!L47</f>
        <v>454572.26577393396</v>
      </c>
      <c r="M15" s="35">
        <f>'KH MWh Savings Pivot'!M47</f>
        <v>351000.35161120637</v>
      </c>
      <c r="O15" s="45"/>
      <c r="P15" s="45"/>
      <c r="Q15" s="45"/>
      <c r="R15" s="45"/>
      <c r="S15" s="45"/>
      <c r="T15" s="45"/>
      <c r="U15" s="45"/>
      <c r="V15" s="45"/>
      <c r="W15" s="45"/>
      <c r="X15" s="45"/>
      <c r="Y15" s="45"/>
      <c r="Z15" s="45"/>
      <c r="AA15" s="45"/>
    </row>
    <row r="16" spans="1:27">
      <c r="A16" s="590" t="s">
        <v>574</v>
      </c>
      <c r="B16" s="35"/>
      <c r="C16" s="35"/>
      <c r="D16" s="35"/>
      <c r="E16" s="35">
        <f>'KH MWh Savings Pivot'!E66</f>
        <v>607739.2566490632</v>
      </c>
      <c r="F16" s="35">
        <f>'KH MWh Savings Pivot'!F66</f>
        <v>1215478.5132981283</v>
      </c>
      <c r="G16" s="35">
        <f>'KH MWh Savings Pivot'!G66</f>
        <v>1199008.9875823504</v>
      </c>
      <c r="H16" s="35">
        <f>'KH MWh Savings Pivot'!H66</f>
        <v>938490.47514653509</v>
      </c>
      <c r="I16" s="35">
        <f>'KH MWh Savings Pivot'!I66</f>
        <v>913314.220683972</v>
      </c>
      <c r="J16" s="35">
        <f>'KH MWh Savings Pivot'!J66</f>
        <v>402560.47244965931</v>
      </c>
      <c r="K16" s="35">
        <f>'KH MWh Savings Pivot'!K66</f>
        <v>401953.76436251891</v>
      </c>
      <c r="L16" s="35">
        <f>'KH MWh Savings Pivot'!L66</f>
        <v>401818.88685420895</v>
      </c>
      <c r="M16" s="35">
        <f>'KH MWh Savings Pivot'!M66</f>
        <v>396974.93492728006</v>
      </c>
      <c r="O16" s="45"/>
      <c r="P16" s="45"/>
      <c r="Q16" s="45"/>
      <c r="R16" s="45"/>
      <c r="S16" s="45"/>
      <c r="T16" s="45"/>
      <c r="U16" s="45"/>
      <c r="V16" s="45"/>
      <c r="W16" s="45"/>
      <c r="X16" s="45"/>
      <c r="Y16" s="45"/>
      <c r="Z16" s="45"/>
      <c r="AA16" s="45"/>
    </row>
    <row r="17" spans="1:27">
      <c r="A17" s="590" t="s">
        <v>575</v>
      </c>
      <c r="B17" s="35"/>
      <c r="C17" s="35"/>
      <c r="D17" s="35"/>
      <c r="E17" s="35"/>
      <c r="F17" s="35">
        <f>'KH MWh Savings Pivot'!F86</f>
        <v>216710.89344552389</v>
      </c>
      <c r="G17" s="35">
        <f>'KH MWh Savings Pivot'!G86</f>
        <v>433421.78689104778</v>
      </c>
      <c r="H17" s="35">
        <f>'KH MWh Savings Pivot'!H86</f>
        <v>428206.77077668183</v>
      </c>
      <c r="I17" s="35">
        <f>'KH MWh Savings Pivot'!I86</f>
        <v>380678.39256023319</v>
      </c>
      <c r="J17" s="35">
        <f>'KH MWh Savings Pivot'!J86</f>
        <v>306323.51801151602</v>
      </c>
      <c r="K17" s="35">
        <f>'KH MWh Savings Pivot'!K86</f>
        <v>305753.45893553353</v>
      </c>
      <c r="L17" s="35">
        <f>'KH MWh Savings Pivot'!L86</f>
        <v>305753.45893553353</v>
      </c>
      <c r="M17" s="35">
        <f>'KH MWh Savings Pivot'!M86</f>
        <v>297321.30767926335</v>
      </c>
    </row>
    <row r="18" spans="1:27">
      <c r="A18" s="590" t="s">
        <v>576</v>
      </c>
      <c r="B18" s="35"/>
      <c r="C18" s="35"/>
      <c r="D18" s="35"/>
      <c r="E18" s="35"/>
      <c r="F18" s="35"/>
      <c r="G18" s="35">
        <f>'KH MWh Savings Pivot'!G105</f>
        <v>419901.87126429088</v>
      </c>
      <c r="H18" s="35">
        <f>'KH MWh Savings Pivot'!H105</f>
        <v>794193.86610480642</v>
      </c>
      <c r="I18" s="35">
        <f>'KH MWh Savings Pivot'!I105</f>
        <v>763907.53476856009</v>
      </c>
      <c r="J18" s="35">
        <f>'KH MWh Savings Pivot'!J105</f>
        <v>632366.79771416693</v>
      </c>
      <c r="K18" s="35">
        <f>'KH MWh Savings Pivot'!K105</f>
        <v>567031.94570656831</v>
      </c>
      <c r="L18" s="35">
        <f>'KH MWh Savings Pivot'!L105</f>
        <v>567031.94570656831</v>
      </c>
      <c r="M18" s="35">
        <f>'KH MWh Savings Pivot'!M105</f>
        <v>563792.78044295707</v>
      </c>
      <c r="O18" s="45"/>
      <c r="P18" s="46"/>
      <c r="Q18" s="46"/>
      <c r="R18" s="46"/>
      <c r="S18" s="46"/>
      <c r="T18" s="46"/>
      <c r="U18" s="46"/>
      <c r="V18" s="46"/>
      <c r="W18" s="46"/>
      <c r="X18" s="46"/>
      <c r="Y18" s="46"/>
      <c r="Z18" s="46"/>
      <c r="AA18" s="46"/>
    </row>
    <row r="19" spans="1:27">
      <c r="A19" s="590" t="s">
        <v>577</v>
      </c>
      <c r="B19" s="35"/>
      <c r="C19" s="35"/>
      <c r="D19" s="35"/>
      <c r="E19" s="35"/>
      <c r="F19" s="35"/>
      <c r="G19" s="35"/>
      <c r="H19" s="35">
        <f>'KH MWh Savings Pivot'!H135</f>
        <v>135731.6256015221</v>
      </c>
      <c r="I19" s="35">
        <f>'KH MWh Savings Pivot'!I135</f>
        <v>634636.32249473815</v>
      </c>
      <c r="J19" s="35">
        <f>'KH MWh Savings Pivot'!J135</f>
        <v>1396645.7113235483</v>
      </c>
      <c r="K19" s="35">
        <f>'KH MWh Savings Pivot'!K135</f>
        <v>2234487.2608030029</v>
      </c>
      <c r="L19" s="35">
        <f>'KH MWh Savings Pivot'!L135</f>
        <v>3140094.3697257126</v>
      </c>
      <c r="M19" s="35">
        <f>'KH MWh Savings Pivot'!M135</f>
        <v>4106990.4144782769</v>
      </c>
      <c r="O19" s="45"/>
      <c r="P19" s="45"/>
      <c r="Q19" s="45"/>
      <c r="R19" s="45"/>
      <c r="S19" s="45"/>
      <c r="T19" s="45"/>
      <c r="U19" s="45"/>
      <c r="V19" s="45"/>
      <c r="W19" s="45"/>
      <c r="X19" s="45"/>
      <c r="Y19" s="45"/>
      <c r="Z19" s="45"/>
      <c r="AA19" s="45"/>
    </row>
    <row r="20" spans="1:27">
      <c r="A20" s="590" t="s">
        <v>578</v>
      </c>
      <c r="B20" s="592">
        <f>SUM(B13:B19)</f>
        <v>341521.75913147489</v>
      </c>
      <c r="C20" s="592">
        <f t="shared" ref="C20:M20" si="1">SUM(C13:C19)</f>
        <v>952749.70273803978</v>
      </c>
      <c r="D20" s="592">
        <f t="shared" si="1"/>
        <v>1555085.5942689374</v>
      </c>
      <c r="E20" s="592">
        <f t="shared" si="1"/>
        <v>2495454.5579738081</v>
      </c>
      <c r="F20" s="592">
        <f t="shared" si="1"/>
        <v>3319325.9112285827</v>
      </c>
      <c r="G20" s="592">
        <f t="shared" si="1"/>
        <v>3883234.9744401155</v>
      </c>
      <c r="H20" s="592">
        <f t="shared" si="1"/>
        <v>4127525.0663319714</v>
      </c>
      <c r="I20" s="592">
        <f t="shared" si="1"/>
        <v>4523438.7992099291</v>
      </c>
      <c r="J20" s="592">
        <f t="shared" si="1"/>
        <v>3942949.2555240691</v>
      </c>
      <c r="K20" s="592">
        <f t="shared" si="1"/>
        <v>3963798.6955815577</v>
      </c>
      <c r="L20" s="592">
        <f t="shared" si="1"/>
        <v>4869270.9269959573</v>
      </c>
      <c r="M20" s="592">
        <f t="shared" si="1"/>
        <v>5716079.7891389839</v>
      </c>
      <c r="O20" s="45"/>
      <c r="P20" s="45"/>
      <c r="Q20" s="45"/>
      <c r="R20" s="45"/>
      <c r="S20" s="45"/>
      <c r="T20" s="45"/>
      <c r="U20" s="45"/>
      <c r="V20" s="45"/>
      <c r="W20" s="45"/>
      <c r="X20" s="45"/>
      <c r="Y20" s="45"/>
      <c r="Z20" s="45"/>
      <c r="AA20" s="45"/>
    </row>
    <row r="21" spans="1:27">
      <c r="O21" s="45"/>
      <c r="P21" s="45"/>
      <c r="Q21" s="45"/>
      <c r="R21" s="45"/>
      <c r="S21" s="45"/>
      <c r="T21" s="45"/>
      <c r="U21" s="45"/>
      <c r="V21" s="45"/>
      <c r="W21" s="45"/>
      <c r="X21" s="45"/>
      <c r="Y21" s="45"/>
      <c r="Z21" s="45"/>
      <c r="AA21" s="45"/>
    </row>
    <row r="22" spans="1:27">
      <c r="A22" s="588" t="s">
        <v>480</v>
      </c>
      <c r="B22" s="588">
        <v>2009</v>
      </c>
      <c r="C22" s="588">
        <v>2010</v>
      </c>
      <c r="D22" s="588">
        <v>2011</v>
      </c>
      <c r="E22" s="588">
        <v>2012</v>
      </c>
      <c r="F22" s="588">
        <v>2013</v>
      </c>
      <c r="G22" s="588">
        <v>2014</v>
      </c>
      <c r="H22" s="588">
        <v>2015</v>
      </c>
      <c r="I22" s="588">
        <v>2016</v>
      </c>
      <c r="J22" s="588">
        <v>2017</v>
      </c>
      <c r="K22" s="588">
        <v>2018</v>
      </c>
      <c r="L22" s="588">
        <v>2019</v>
      </c>
      <c r="M22" s="588">
        <v>2020</v>
      </c>
      <c r="O22" s="45"/>
      <c r="P22" s="45"/>
      <c r="Q22" s="45"/>
      <c r="R22" s="45"/>
      <c r="S22" s="45"/>
      <c r="T22" s="45"/>
      <c r="U22" s="45"/>
      <c r="V22" s="45"/>
      <c r="W22" s="45"/>
      <c r="X22" s="45"/>
      <c r="Y22" s="45"/>
      <c r="Z22" s="45"/>
      <c r="AA22" s="45"/>
    </row>
    <row r="23" spans="1:27">
      <c r="A23" s="590" t="s">
        <v>571</v>
      </c>
      <c r="B23" s="35">
        <f>'KH MWh Savings Pivot'!B14</f>
        <v>640448.99242075463</v>
      </c>
      <c r="C23" s="35">
        <f>'KH MWh Savings Pivot'!C14</f>
        <v>718664.87270786322</v>
      </c>
      <c r="D23" s="35">
        <f>'KH MWh Savings Pivot'!D14</f>
        <v>718664.87270786322</v>
      </c>
      <c r="E23" s="35">
        <f>'KH MWh Savings Pivot'!E14</f>
        <v>718664.87270786322</v>
      </c>
      <c r="F23" s="35">
        <f>'KH MWh Savings Pivot'!F14</f>
        <v>718664.87270786322</v>
      </c>
      <c r="G23" s="35">
        <f>'KH MWh Savings Pivot'!G14</f>
        <v>718664.87270786322</v>
      </c>
      <c r="H23" s="35">
        <f>'KH MWh Savings Pivot'!H14</f>
        <v>570233.2937605154</v>
      </c>
      <c r="I23" s="35">
        <f>'KH MWh Savings Pivot'!I14</f>
        <v>467085.92533944215</v>
      </c>
      <c r="J23" s="35">
        <f>'KH MWh Savings Pivot'!J14</f>
        <v>467085.92533944215</v>
      </c>
      <c r="K23" s="35">
        <f>'KH MWh Savings Pivot'!K14</f>
        <v>467085.92533944215</v>
      </c>
      <c r="L23" s="35">
        <f>'KH MWh Savings Pivot'!L14</f>
        <v>389812.06170305633</v>
      </c>
      <c r="M23" s="35">
        <f>'KH MWh Savings Pivot'!M14</f>
        <v>60381.37988489672</v>
      </c>
      <c r="O23" s="45"/>
      <c r="P23" s="45"/>
      <c r="Q23" s="45"/>
      <c r="R23" s="45"/>
      <c r="S23" s="45"/>
      <c r="T23" s="45"/>
      <c r="U23" s="45"/>
      <c r="V23" s="45"/>
      <c r="W23" s="45"/>
      <c r="X23" s="45"/>
      <c r="Y23" s="45"/>
      <c r="Z23" s="45"/>
      <c r="AA23" s="45"/>
    </row>
    <row r="24" spans="1:27">
      <c r="A24" s="590" t="s">
        <v>572</v>
      </c>
      <c r="B24" s="35"/>
      <c r="C24" s="35">
        <f>'KH MWh Savings Pivot'!C29</f>
        <v>698425.10604095156</v>
      </c>
      <c r="D24" s="35">
        <f>'KH MWh Savings Pivot'!D29</f>
        <v>436954.46521984925</v>
      </c>
      <c r="E24" s="35">
        <f>'KH MWh Savings Pivot'!E29</f>
        <v>436954.46521984925</v>
      </c>
      <c r="F24" s="35">
        <f>'KH MWh Savings Pivot'!F29</f>
        <v>436954.46521984925</v>
      </c>
      <c r="G24" s="35">
        <f>'KH MWh Savings Pivot'!G29</f>
        <v>436954.46521984925</v>
      </c>
      <c r="H24" s="35">
        <f>'KH MWh Savings Pivot'!H29</f>
        <v>436954.46521984925</v>
      </c>
      <c r="I24" s="35">
        <f>'KH MWh Savings Pivot'!I29</f>
        <v>436954.46521984925</v>
      </c>
      <c r="J24" s="35">
        <f>'KH MWh Savings Pivot'!J29</f>
        <v>436954.46521984925</v>
      </c>
      <c r="K24" s="35">
        <f>'KH MWh Savings Pivot'!K29</f>
        <v>434367.597254753</v>
      </c>
      <c r="L24" s="35">
        <f>'KH MWh Savings Pivot'!L29</f>
        <v>250053.25474166201</v>
      </c>
      <c r="M24" s="35">
        <f>'KH MWh Savings Pivot'!M29</f>
        <v>196160.17213547786</v>
      </c>
      <c r="O24" s="45"/>
      <c r="P24" s="45"/>
      <c r="Q24" s="45"/>
      <c r="R24" s="45"/>
      <c r="S24" s="45"/>
      <c r="T24" s="45"/>
      <c r="U24" s="45"/>
      <c r="V24" s="45"/>
      <c r="W24" s="45"/>
      <c r="X24" s="45"/>
      <c r="Y24" s="45"/>
      <c r="Z24" s="45"/>
      <c r="AA24" s="45"/>
    </row>
    <row r="25" spans="1:27">
      <c r="A25" s="590" t="s">
        <v>573</v>
      </c>
      <c r="B25" s="35"/>
      <c r="C25" s="35"/>
      <c r="D25" s="35">
        <f>'KH MWh Savings Pivot'!D48</f>
        <v>609272.08906501881</v>
      </c>
      <c r="E25" s="35">
        <f>'KH MWh Savings Pivot'!E48</f>
        <v>1218544.1781300376</v>
      </c>
      <c r="F25" s="35">
        <f>'KH MWh Savings Pivot'!F48</f>
        <v>1218538.7688137775</v>
      </c>
      <c r="G25" s="35">
        <f>'KH MWh Savings Pivot'!G48</f>
        <v>1217521.0285001916</v>
      </c>
      <c r="H25" s="35">
        <f>'KH MWh Savings Pivot'!H48</f>
        <v>1217521.0285001916</v>
      </c>
      <c r="I25" s="35">
        <f>'KH MWh Savings Pivot'!I48</f>
        <v>1167168.5195750655</v>
      </c>
      <c r="J25" s="35">
        <f>'KH MWh Savings Pivot'!J48</f>
        <v>1160690.0654416622</v>
      </c>
      <c r="K25" s="35">
        <f>'KH MWh Savings Pivot'!K48</f>
        <v>1160673.9295833888</v>
      </c>
      <c r="L25" s="35">
        <f>'KH MWh Savings Pivot'!L48</f>
        <v>1160673.9295833888</v>
      </c>
      <c r="M25" s="35">
        <f>'KH MWh Savings Pivot'!M48</f>
        <v>870425.9801885183</v>
      </c>
    </row>
    <row r="26" spans="1:27">
      <c r="A26" s="590" t="s">
        <v>574</v>
      </c>
      <c r="B26" s="35"/>
      <c r="C26" s="35"/>
      <c r="D26" s="35"/>
      <c r="E26" s="35">
        <f>'KH MWh Savings Pivot'!E67</f>
        <v>1403512.9436610842</v>
      </c>
      <c r="F26" s="35">
        <f>'KH MWh Savings Pivot'!F67</f>
        <v>2807025.8873221683</v>
      </c>
      <c r="G26" s="35">
        <f>'KH MWh Savings Pivot'!G67</f>
        <v>2730595.997369309</v>
      </c>
      <c r="H26" s="35">
        <f>'KH MWh Savings Pivot'!H67</f>
        <v>2611580.1322963592</v>
      </c>
      <c r="I26" s="35">
        <f>'KH MWh Savings Pivot'!I67</f>
        <v>2460522.6055209809</v>
      </c>
      <c r="J26" s="35">
        <f>'KH MWh Savings Pivot'!J67</f>
        <v>2150344.7675654688</v>
      </c>
      <c r="K26" s="35">
        <f>'KH MWh Savings Pivot'!K67</f>
        <v>2143603.5351029313</v>
      </c>
      <c r="L26" s="35">
        <f>'KH MWh Savings Pivot'!L67</f>
        <v>2143596.1647472861</v>
      </c>
      <c r="M26" s="35">
        <f>'KH MWh Savings Pivot'!M67</f>
        <v>2089774.2252200027</v>
      </c>
      <c r="O26" s="45"/>
      <c r="P26" s="46"/>
      <c r="Q26" s="46"/>
      <c r="R26" s="46"/>
      <c r="S26" s="46"/>
      <c r="T26" s="46"/>
      <c r="U26" s="46"/>
      <c r="V26" s="46"/>
      <c r="W26" s="46"/>
      <c r="X26" s="46"/>
      <c r="Y26" s="46"/>
      <c r="Z26" s="46"/>
      <c r="AA26" s="46"/>
    </row>
    <row r="27" spans="1:27">
      <c r="A27" s="590" t="s">
        <v>575</v>
      </c>
      <c r="B27" s="35"/>
      <c r="C27" s="35"/>
      <c r="D27" s="35"/>
      <c r="E27" s="35"/>
      <c r="F27" s="35">
        <f>'KH MWh Savings Pivot'!F87</f>
        <v>787930.86230717774</v>
      </c>
      <c r="G27" s="35">
        <f>'KH MWh Savings Pivot'!G87</f>
        <v>1568449.7786143557</v>
      </c>
      <c r="H27" s="35">
        <f>'KH MWh Savings Pivot'!H87</f>
        <v>1566635.8599658804</v>
      </c>
      <c r="I27" s="35">
        <f>'KH MWh Savings Pivot'!I87</f>
        <v>1481585.8988206347</v>
      </c>
      <c r="J27" s="35">
        <f>'KH MWh Savings Pivot'!J87</f>
        <v>1348682.1463392228</v>
      </c>
      <c r="K27" s="35">
        <f>'KH MWh Savings Pivot'!K87</f>
        <v>1345799.7093618636</v>
      </c>
      <c r="L27" s="35">
        <f>'KH MWh Savings Pivot'!L87</f>
        <v>1345799.7093618636</v>
      </c>
      <c r="M27" s="35">
        <f>'KH MWh Savings Pivot'!M87</f>
        <v>1303163.5237386962</v>
      </c>
      <c r="O27" s="45"/>
      <c r="P27" s="45"/>
      <c r="Q27" s="45"/>
      <c r="R27" s="45"/>
      <c r="S27" s="45"/>
      <c r="T27" s="45"/>
      <c r="U27" s="45"/>
      <c r="V27" s="45"/>
      <c r="W27" s="45"/>
      <c r="X27" s="45"/>
      <c r="Y27" s="45"/>
      <c r="Z27" s="45"/>
      <c r="AA27" s="45"/>
    </row>
    <row r="28" spans="1:27">
      <c r="A28" s="590" t="s">
        <v>576</v>
      </c>
      <c r="B28" s="35"/>
      <c r="C28" s="35"/>
      <c r="D28" s="35"/>
      <c r="E28" s="35"/>
      <c r="F28" s="35"/>
      <c r="G28" s="35">
        <f>'KH MWh Savings Pivot'!G106</f>
        <v>861677.44916610268</v>
      </c>
      <c r="H28" s="35">
        <f>'KH MWh Savings Pivot'!H106</f>
        <v>1617067.8611947901</v>
      </c>
      <c r="I28" s="35">
        <f>'KH MWh Savings Pivot'!I106</f>
        <v>1607506.4225846645</v>
      </c>
      <c r="J28" s="35">
        <f>'KH MWh Savings Pivot'!J106</f>
        <v>1541400.2633697928</v>
      </c>
      <c r="K28" s="35">
        <f>'KH MWh Savings Pivot'!K106</f>
        <v>1280121.5595779642</v>
      </c>
      <c r="L28" s="35">
        <f>'KH MWh Savings Pivot'!L106</f>
        <v>1280121.5595779642</v>
      </c>
      <c r="M28" s="35">
        <f>'KH MWh Savings Pivot'!M106</f>
        <v>1270373.5277261906</v>
      </c>
      <c r="O28" s="45"/>
      <c r="P28" s="45"/>
      <c r="Q28" s="45"/>
      <c r="R28" s="45"/>
      <c r="S28" s="45"/>
      <c r="T28" s="45"/>
      <c r="U28" s="45"/>
      <c r="V28" s="45"/>
      <c r="W28" s="45"/>
      <c r="X28" s="45"/>
      <c r="Y28" s="45"/>
      <c r="Z28" s="45"/>
      <c r="AA28" s="45"/>
    </row>
    <row r="29" spans="1:27">
      <c r="A29" s="590" t="s">
        <v>577</v>
      </c>
      <c r="B29" s="35"/>
      <c r="C29" s="35"/>
      <c r="D29" s="35"/>
      <c r="E29" s="35"/>
      <c r="F29" s="35"/>
      <c r="G29" s="35"/>
      <c r="H29" s="35">
        <f>'KH MWh Savings Pivot'!H136</f>
        <v>601192.67822346475</v>
      </c>
      <c r="I29" s="35">
        <f>'KH MWh Savings Pivot'!I136</f>
        <v>2213426.8569314466</v>
      </c>
      <c r="J29" s="35">
        <f>'KH MWh Savings Pivot'!J136</f>
        <v>4332683.1440145597</v>
      </c>
      <c r="K29" s="35">
        <f>'KH MWh Savings Pivot'!K136</f>
        <v>6668578.404584948</v>
      </c>
      <c r="L29" s="35">
        <f>'KH MWh Savings Pivot'!L136</f>
        <v>9180607.3084351718</v>
      </c>
      <c r="M29" s="35">
        <f>'KH MWh Savings Pivot'!M136</f>
        <v>11862293.231951833</v>
      </c>
      <c r="O29" s="45"/>
      <c r="P29" s="45"/>
      <c r="Q29" s="45"/>
      <c r="R29" s="45"/>
      <c r="S29" s="45"/>
      <c r="T29" s="45"/>
      <c r="U29" s="45"/>
      <c r="V29" s="45"/>
      <c r="W29" s="45"/>
      <c r="X29" s="45"/>
      <c r="Y29" s="45"/>
      <c r="Z29" s="45"/>
      <c r="AA29" s="45"/>
    </row>
    <row r="30" spans="1:27">
      <c r="A30" s="590" t="s">
        <v>578</v>
      </c>
      <c r="B30" s="592">
        <f t="shared" ref="B30:M30" si="2">SUM(B23:B29)</f>
        <v>640448.99242075463</v>
      </c>
      <c r="C30" s="592">
        <f t="shared" si="2"/>
        <v>1417089.9787488147</v>
      </c>
      <c r="D30" s="592">
        <f t="shared" si="2"/>
        <v>1764891.4269927314</v>
      </c>
      <c r="E30" s="592">
        <f t="shared" si="2"/>
        <v>3777676.4597188346</v>
      </c>
      <c r="F30" s="592">
        <f t="shared" si="2"/>
        <v>5969114.8563708365</v>
      </c>
      <c r="G30" s="592">
        <f t="shared" si="2"/>
        <v>7533863.5915776715</v>
      </c>
      <c r="H30" s="592">
        <f t="shared" si="2"/>
        <v>8621185.3191610519</v>
      </c>
      <c r="I30" s="592">
        <f t="shared" si="2"/>
        <v>9834250.6939920839</v>
      </c>
      <c r="J30" s="592">
        <f t="shared" si="2"/>
        <v>11437840.777289998</v>
      </c>
      <c r="K30" s="592">
        <f t="shared" si="2"/>
        <v>13500230.660805291</v>
      </c>
      <c r="L30" s="592">
        <f t="shared" si="2"/>
        <v>15750663.988150392</v>
      </c>
      <c r="M30" s="592">
        <f t="shared" si="2"/>
        <v>17652572.040845618</v>
      </c>
      <c r="O30" s="45"/>
      <c r="P30" s="45"/>
      <c r="Q30" s="45"/>
      <c r="R30" s="45"/>
      <c r="S30" s="45"/>
      <c r="T30" s="45"/>
      <c r="U30" s="45"/>
      <c r="V30" s="45"/>
      <c r="W30" s="45"/>
      <c r="X30" s="45"/>
      <c r="Y30" s="45"/>
      <c r="Z30" s="45"/>
      <c r="AA30" s="45"/>
    </row>
    <row r="31" spans="1:27">
      <c r="O31" s="45"/>
      <c r="P31" s="45"/>
      <c r="Q31" s="45"/>
      <c r="R31" s="45"/>
      <c r="S31" s="45"/>
      <c r="T31" s="45"/>
      <c r="U31" s="45"/>
      <c r="V31" s="45"/>
      <c r="W31" s="45"/>
      <c r="X31" s="45"/>
      <c r="Y31" s="45"/>
      <c r="Z31" s="45"/>
      <c r="AA31" s="45"/>
    </row>
    <row r="32" spans="1:27">
      <c r="A32" s="588" t="s">
        <v>57</v>
      </c>
      <c r="B32" s="588">
        <v>2009</v>
      </c>
      <c r="C32" s="588">
        <v>2010</v>
      </c>
      <c r="D32" s="588">
        <v>2011</v>
      </c>
      <c r="E32" s="588">
        <v>2012</v>
      </c>
      <c r="F32" s="588">
        <v>2013</v>
      </c>
      <c r="G32" s="588">
        <v>2014</v>
      </c>
      <c r="H32" s="588">
        <v>2015</v>
      </c>
      <c r="I32" s="588">
        <v>2016</v>
      </c>
      <c r="J32" s="588">
        <v>2017</v>
      </c>
      <c r="K32" s="588">
        <v>2018</v>
      </c>
      <c r="L32" s="588">
        <v>2019</v>
      </c>
      <c r="M32" s="588">
        <v>2020</v>
      </c>
      <c r="O32" s="45"/>
      <c r="P32" s="45"/>
      <c r="Q32" s="45"/>
      <c r="R32" s="45"/>
      <c r="S32" s="45"/>
      <c r="T32" s="45"/>
      <c r="U32" s="45"/>
      <c r="V32" s="45"/>
      <c r="W32" s="45"/>
      <c r="X32" s="45"/>
      <c r="Y32" s="45"/>
      <c r="Z32" s="45"/>
      <c r="AA32" s="45"/>
    </row>
    <row r="33" spans="1:27">
      <c r="A33" s="590" t="s">
        <v>571</v>
      </c>
      <c r="B33" s="35"/>
      <c r="C33" s="35"/>
      <c r="D33" s="35"/>
      <c r="E33" s="35"/>
      <c r="F33" s="35"/>
      <c r="G33" s="35"/>
      <c r="H33" s="35"/>
      <c r="I33" s="35"/>
      <c r="J33" s="35"/>
      <c r="K33" s="35"/>
      <c r="L33" s="35"/>
      <c r="M33" s="35"/>
    </row>
    <row r="34" spans="1:27">
      <c r="A34" s="590" t="s">
        <v>572</v>
      </c>
      <c r="B34" s="35"/>
      <c r="C34" s="35"/>
      <c r="D34" s="35"/>
      <c r="E34" s="35"/>
      <c r="F34" s="35"/>
      <c r="G34" s="35"/>
      <c r="H34" s="35"/>
      <c r="I34" s="35"/>
      <c r="J34" s="35"/>
      <c r="K34" s="35"/>
      <c r="L34" s="35"/>
      <c r="M34" s="35"/>
      <c r="N34" s="45"/>
      <c r="O34" s="45"/>
      <c r="P34" s="46"/>
      <c r="Q34" s="46"/>
      <c r="R34" s="46"/>
      <c r="S34" s="46"/>
      <c r="T34" s="46"/>
      <c r="U34" s="46"/>
      <c r="V34" s="46"/>
      <c r="W34" s="46"/>
      <c r="X34" s="46"/>
      <c r="Y34" s="46"/>
      <c r="Z34" s="46"/>
      <c r="AA34" s="46"/>
    </row>
    <row r="35" spans="1:27">
      <c r="A35" s="590" t="s">
        <v>573</v>
      </c>
      <c r="B35" s="35"/>
      <c r="C35" s="35"/>
      <c r="D35" s="35">
        <f>'KH MWh Savings Pivot'!D49</f>
        <v>617444.24766883871</v>
      </c>
      <c r="E35" s="35">
        <f>'KH MWh Savings Pivot'!E49</f>
        <v>1234888.4953376774</v>
      </c>
      <c r="F35" s="35">
        <f>'KH MWh Savings Pivot'!F49</f>
        <v>1234888.4953376774</v>
      </c>
      <c r="G35" s="35">
        <f>'KH MWh Savings Pivot'!G49</f>
        <v>1234679.7210905638</v>
      </c>
      <c r="H35" s="35">
        <f>'KH MWh Savings Pivot'!H49</f>
        <v>1234679.7210905636</v>
      </c>
      <c r="I35" s="35">
        <f>'KH MWh Savings Pivot'!I49</f>
        <v>1234679.7210905636</v>
      </c>
      <c r="J35" s="35">
        <f>'KH MWh Savings Pivot'!J49</f>
        <v>1232534.8671232576</v>
      </c>
      <c r="K35" s="35">
        <f>'KH MWh Savings Pivot'!K49</f>
        <v>1232534.8671232576</v>
      </c>
      <c r="L35" s="35">
        <f>'KH MWh Savings Pivot'!L49</f>
        <v>1232534.8671232576</v>
      </c>
      <c r="M35" s="35">
        <f>'KH MWh Savings Pivot'!M49</f>
        <v>1109829.1097225861</v>
      </c>
      <c r="N35" s="45"/>
      <c r="O35" s="45"/>
      <c r="P35" s="45"/>
      <c r="Q35" s="45"/>
      <c r="R35" s="45"/>
      <c r="S35" s="45"/>
      <c r="T35" s="45"/>
      <c r="U35" s="45"/>
      <c r="V35" s="45"/>
      <c r="W35" s="45"/>
      <c r="X35" s="45"/>
      <c r="Y35" s="45"/>
      <c r="Z35" s="45"/>
      <c r="AA35" s="45"/>
    </row>
    <row r="36" spans="1:27">
      <c r="A36" s="590" t="s">
        <v>574</v>
      </c>
      <c r="B36" s="35"/>
      <c r="C36" s="35"/>
      <c r="D36" s="35"/>
      <c r="E36" s="35">
        <f>'KH MWh Savings Pivot'!E68</f>
        <v>306737.12583040661</v>
      </c>
      <c r="F36" s="35">
        <f>'KH MWh Savings Pivot'!F68</f>
        <v>605058.57866081328</v>
      </c>
      <c r="G36" s="35">
        <f>'KH MWh Savings Pivot'!G68</f>
        <v>596959.27131634112</v>
      </c>
      <c r="H36" s="35">
        <f>'KH MWh Savings Pivot'!H68</f>
        <v>585723.39943386614</v>
      </c>
      <c r="I36" s="35">
        <f>'KH MWh Savings Pivot'!I68</f>
        <v>585723.39943386614</v>
      </c>
      <c r="J36" s="35">
        <f>'KH MWh Savings Pivot'!J68</f>
        <v>555454.94731698581</v>
      </c>
      <c r="K36" s="35">
        <f>'KH MWh Savings Pivot'!K68</f>
        <v>554735.61918046011</v>
      </c>
      <c r="L36" s="35">
        <f>'KH MWh Savings Pivot'!L68</f>
        <v>554735.61918046011</v>
      </c>
      <c r="M36" s="35">
        <f>'KH MWh Savings Pivot'!M68</f>
        <v>548992.50978918676</v>
      </c>
      <c r="N36" s="45"/>
      <c r="O36" s="45"/>
      <c r="P36" s="45"/>
      <c r="Q36" s="45"/>
      <c r="R36" s="45"/>
      <c r="S36" s="45"/>
      <c r="T36" s="45"/>
      <c r="U36" s="45"/>
      <c r="V36" s="45"/>
      <c r="W36" s="45"/>
      <c r="X36" s="45"/>
      <c r="Y36" s="45"/>
      <c r="Z36" s="45"/>
      <c r="AA36" s="45"/>
    </row>
    <row r="37" spans="1:27">
      <c r="A37" s="590" t="s">
        <v>575</v>
      </c>
      <c r="B37" s="35"/>
      <c r="C37" s="35"/>
      <c r="D37" s="35"/>
      <c r="E37" s="35"/>
      <c r="F37" s="35">
        <f>'KH MWh Savings Pivot'!F88</f>
        <v>648214.23391528998</v>
      </c>
      <c r="G37" s="35">
        <f>'KH MWh Savings Pivot'!G88</f>
        <v>1296428.46783058</v>
      </c>
      <c r="H37" s="35">
        <f>'KH MWh Savings Pivot'!H88</f>
        <v>1296428.46783058</v>
      </c>
      <c r="I37" s="35">
        <f>'KH MWh Savings Pivot'!I88</f>
        <v>1226040.3615309021</v>
      </c>
      <c r="J37" s="35">
        <f>'KH MWh Savings Pivot'!J88</f>
        <v>1215624.0150079487</v>
      </c>
      <c r="K37" s="35">
        <f>'KH MWh Savings Pivot'!K88</f>
        <v>1212866.6131851347</v>
      </c>
      <c r="L37" s="35">
        <f>'KH MWh Savings Pivot'!L88</f>
        <v>1212866.6131851347</v>
      </c>
      <c r="M37" s="35">
        <f>'KH MWh Savings Pivot'!M88</f>
        <v>1172079.9119047245</v>
      </c>
      <c r="N37" s="45"/>
      <c r="O37" s="45"/>
      <c r="P37" s="45"/>
      <c r="Q37" s="45"/>
      <c r="R37" s="45"/>
      <c r="S37" s="45"/>
      <c r="T37" s="45"/>
      <c r="U37" s="45"/>
      <c r="V37" s="45"/>
      <c r="W37" s="45"/>
      <c r="X37" s="45"/>
      <c r="Y37" s="45"/>
      <c r="Z37" s="45"/>
      <c r="AA37" s="45"/>
    </row>
    <row r="38" spans="1:27">
      <c r="A38" s="590" t="s">
        <v>576</v>
      </c>
      <c r="B38" s="35"/>
      <c r="C38" s="35"/>
      <c r="D38" s="35"/>
      <c r="E38" s="35"/>
      <c r="F38" s="35"/>
      <c r="G38" s="35">
        <f>'KH MWh Savings Pivot'!G107</f>
        <v>53722.560389515347</v>
      </c>
      <c r="H38" s="35">
        <f>'KH MWh Savings Pivot'!H107</f>
        <v>99363.607502785802</v>
      </c>
      <c r="I38" s="35">
        <f>'KH MWh Savings Pivot'!I107</f>
        <v>99363.607502785802</v>
      </c>
      <c r="J38" s="35">
        <f>'KH MWh Savings Pivot'!J107</f>
        <v>96073.335151601015</v>
      </c>
      <c r="K38" s="35">
        <f>'KH MWh Savings Pivot'!K107</f>
        <v>96058.72125988605</v>
      </c>
      <c r="L38" s="35">
        <f>'KH MWh Savings Pivot'!L107</f>
        <v>96058.72125988605</v>
      </c>
      <c r="M38" s="35">
        <f>'KH MWh Savings Pivot'!M107</f>
        <v>95286.278332857837</v>
      </c>
      <c r="N38" s="45"/>
      <c r="O38" s="45"/>
      <c r="P38" s="45"/>
      <c r="Q38" s="45"/>
      <c r="R38" s="45"/>
      <c r="S38" s="45"/>
      <c r="T38" s="45"/>
      <c r="U38" s="45"/>
      <c r="V38" s="45"/>
      <c r="W38" s="45"/>
      <c r="X38" s="45"/>
      <c r="Y38" s="45"/>
      <c r="Z38" s="45"/>
      <c r="AA38" s="45"/>
    </row>
    <row r="39" spans="1:27">
      <c r="A39" s="590" t="s">
        <v>577</v>
      </c>
      <c r="B39" s="35"/>
      <c r="C39" s="35"/>
      <c r="D39" s="35"/>
      <c r="E39" s="35"/>
      <c r="F39" s="35"/>
      <c r="G39" s="35"/>
      <c r="H39" s="35">
        <f>'KH MWh Savings Pivot'!H137</f>
        <v>299418.53706033068</v>
      </c>
      <c r="I39" s="35">
        <f>'KH MWh Savings Pivot'!I137</f>
        <v>4915919.1126540266</v>
      </c>
      <c r="J39" s="35">
        <f>'KH MWh Savings Pivot'!J137</f>
        <v>11127245.229064539</v>
      </c>
      <c r="K39" s="35">
        <f>'KH MWh Savings Pivot'!K137</f>
        <v>13638270.099218942</v>
      </c>
      <c r="L39" s="35">
        <f>'KH MWh Savings Pivot'!L137</f>
        <v>14838923.541311104</v>
      </c>
      <c r="M39" s="35">
        <f>'KH MWh Savings Pivot'!M137</f>
        <v>16036177.45208551</v>
      </c>
      <c r="N39" s="45"/>
      <c r="O39" s="45"/>
      <c r="P39" s="45"/>
      <c r="Q39" s="45"/>
      <c r="R39" s="45"/>
      <c r="S39" s="45"/>
      <c r="T39" s="45"/>
      <c r="U39" s="45"/>
      <c r="V39" s="45"/>
      <c r="W39" s="45"/>
      <c r="X39" s="45"/>
      <c r="Y39" s="45"/>
      <c r="Z39" s="45"/>
      <c r="AA39" s="45"/>
    </row>
    <row r="40" spans="1:27">
      <c r="A40" s="590" t="s">
        <v>578</v>
      </c>
      <c r="B40" s="592">
        <f>SUM(B33:B39)</f>
        <v>0</v>
      </c>
      <c r="C40" s="592">
        <f t="shared" ref="C40:M40" si="3">SUM(C33:C39)</f>
        <v>0</v>
      </c>
      <c r="D40" s="592">
        <f t="shared" si="3"/>
        <v>617444.24766883871</v>
      </c>
      <c r="E40" s="592">
        <f t="shared" si="3"/>
        <v>1541625.621168084</v>
      </c>
      <c r="F40" s="592">
        <f t="shared" si="3"/>
        <v>2488161.3079137807</v>
      </c>
      <c r="G40" s="592">
        <f t="shared" si="3"/>
        <v>3181790.0206270004</v>
      </c>
      <c r="H40" s="592">
        <f t="shared" si="3"/>
        <v>3515613.732918126</v>
      </c>
      <c r="I40" s="592">
        <f t="shared" si="3"/>
        <v>8061726.2022121437</v>
      </c>
      <c r="J40" s="592">
        <f t="shared" si="3"/>
        <v>14226932.393664332</v>
      </c>
      <c r="K40" s="592">
        <f t="shared" si="3"/>
        <v>16734465.919967681</v>
      </c>
      <c r="L40" s="592">
        <f t="shared" si="3"/>
        <v>17935119.362059843</v>
      </c>
      <c r="M40" s="592">
        <f t="shared" si="3"/>
        <v>18962365.261834864</v>
      </c>
      <c r="N40" s="45"/>
      <c r="O40" s="45"/>
      <c r="P40" s="45"/>
      <c r="Q40" s="45"/>
      <c r="R40" s="45"/>
      <c r="S40" s="45"/>
      <c r="T40" s="45"/>
      <c r="U40" s="45"/>
      <c r="V40" s="45"/>
      <c r="W40" s="45"/>
      <c r="X40" s="45"/>
      <c r="Y40" s="45"/>
      <c r="Z40" s="45"/>
      <c r="AA40" s="45"/>
    </row>
    <row r="42" spans="1:27">
      <c r="A42" s="588" t="s">
        <v>496</v>
      </c>
      <c r="B42" s="588">
        <v>2009</v>
      </c>
      <c r="C42" s="588">
        <v>2010</v>
      </c>
      <c r="D42" s="588">
        <v>2011</v>
      </c>
      <c r="E42" s="588">
        <v>2012</v>
      </c>
      <c r="F42" s="588">
        <v>2013</v>
      </c>
      <c r="G42" s="588">
        <v>2014</v>
      </c>
      <c r="H42" s="588">
        <v>2015</v>
      </c>
      <c r="I42" s="588">
        <v>2016</v>
      </c>
      <c r="J42" s="588">
        <v>2017</v>
      </c>
      <c r="K42" s="588">
        <v>2018</v>
      </c>
      <c r="L42" s="588">
        <v>2019</v>
      </c>
      <c r="M42" s="588">
        <v>2020</v>
      </c>
    </row>
    <row r="43" spans="1:27">
      <c r="A43" s="590" t="s">
        <v>571</v>
      </c>
      <c r="B43" s="35"/>
      <c r="C43" s="35"/>
      <c r="D43" s="35"/>
      <c r="E43" s="35"/>
      <c r="F43" s="35"/>
      <c r="G43" s="35"/>
      <c r="H43" s="35"/>
      <c r="I43" s="35"/>
      <c r="J43" s="35"/>
      <c r="K43" s="35"/>
      <c r="L43" s="35"/>
      <c r="M43" s="35"/>
    </row>
    <row r="44" spans="1:27">
      <c r="A44" s="590" t="s">
        <v>572</v>
      </c>
      <c r="B44" s="35"/>
      <c r="C44" s="35"/>
      <c r="D44" s="35"/>
      <c r="E44" s="35"/>
      <c r="F44" s="35"/>
      <c r="G44" s="35"/>
      <c r="H44" s="35"/>
      <c r="I44" s="35"/>
      <c r="J44" s="35"/>
      <c r="K44" s="35"/>
      <c r="L44" s="35"/>
      <c r="M44" s="35"/>
    </row>
    <row r="45" spans="1:27">
      <c r="A45" s="590" t="s">
        <v>573</v>
      </c>
      <c r="B45" s="35"/>
      <c r="C45" s="35"/>
      <c r="D45" s="35"/>
      <c r="E45" s="35"/>
      <c r="F45" s="35"/>
      <c r="G45" s="35"/>
      <c r="H45" s="35"/>
      <c r="I45" s="35"/>
      <c r="J45" s="35"/>
      <c r="K45" s="35"/>
      <c r="L45" s="35"/>
      <c r="M45" s="35"/>
    </row>
    <row r="46" spans="1:27">
      <c r="A46" s="590" t="s">
        <v>574</v>
      </c>
      <c r="B46" s="35"/>
      <c r="C46" s="35"/>
      <c r="D46" s="35"/>
      <c r="E46" s="35">
        <f>'KH MWh Savings Pivot'!E69</f>
        <v>14564.480776132559</v>
      </c>
      <c r="F46" s="35">
        <f>'KH MWh Savings Pivot'!F69</f>
        <v>29128.961552265118</v>
      </c>
      <c r="G46" s="35">
        <f>'KH MWh Savings Pivot'!G69</f>
        <v>28279.802112317881</v>
      </c>
      <c r="H46" s="35">
        <f>'KH MWh Savings Pivot'!H69</f>
        <v>27101.794380390897</v>
      </c>
      <c r="I46" s="35">
        <f>'KH MWh Savings Pivot'!I69</f>
        <v>27101.794380390897</v>
      </c>
      <c r="J46" s="35">
        <f>'KH MWh Savings Pivot'!J69</f>
        <v>23928.345003243598</v>
      </c>
      <c r="K46" s="35">
        <f>'KH MWh Savings Pivot'!K69</f>
        <v>23852.928149484211</v>
      </c>
      <c r="L46" s="35">
        <f>'KH MWh Savings Pivot'!L69</f>
        <v>23852.928149484211</v>
      </c>
      <c r="M46" s="35">
        <f>'KH MWh Savings Pivot'!M69</f>
        <v>23250.800665387953</v>
      </c>
    </row>
    <row r="47" spans="1:27">
      <c r="A47" s="590" t="s">
        <v>575</v>
      </c>
      <c r="B47" s="35"/>
      <c r="C47" s="35"/>
      <c r="D47" s="35"/>
      <c r="E47" s="35"/>
      <c r="F47" s="35">
        <f>'KH MWh Savings Pivot'!F89</f>
        <v>1074219.5845582362</v>
      </c>
      <c r="G47" s="35">
        <f>'KH MWh Savings Pivot'!G89</f>
        <v>2148439.1691164724</v>
      </c>
      <c r="H47" s="35">
        <f>'KH MWh Savings Pivot'!H89</f>
        <v>2148439.1691164724</v>
      </c>
      <c r="I47" s="35">
        <f>'KH MWh Savings Pivot'!I89</f>
        <v>2031792.1127098678</v>
      </c>
      <c r="J47" s="35">
        <f>'KH MWh Savings Pivot'!J89</f>
        <v>2014530.1600265454</v>
      </c>
      <c r="K47" s="35">
        <f>'KH MWh Savings Pivot'!K89</f>
        <v>2009960.5981663065</v>
      </c>
      <c r="L47" s="35">
        <f>'KH MWh Savings Pivot'!L89</f>
        <v>2009960.5981663065</v>
      </c>
      <c r="M47" s="35">
        <f>'KH MWh Savings Pivot'!M89</f>
        <v>1942368.9424874391</v>
      </c>
    </row>
    <row r="48" spans="1:27">
      <c r="A48" s="590" t="s">
        <v>576</v>
      </c>
      <c r="B48" s="45"/>
      <c r="C48" s="45"/>
      <c r="D48" s="45"/>
      <c r="E48" s="45"/>
      <c r="F48" s="45"/>
      <c r="G48" s="45"/>
      <c r="H48" s="45"/>
      <c r="I48" s="45"/>
      <c r="J48" s="45"/>
      <c r="K48" s="45"/>
      <c r="L48" s="45"/>
      <c r="M48" s="45"/>
    </row>
    <row r="49" spans="1:13">
      <c r="A49" s="590" t="s">
        <v>577</v>
      </c>
      <c r="B49" s="45"/>
      <c r="C49" s="45"/>
      <c r="D49" s="45"/>
      <c r="E49" s="45"/>
      <c r="F49" s="45"/>
      <c r="G49" s="45"/>
      <c r="H49" s="35"/>
      <c r="I49" s="35"/>
      <c r="J49" s="35"/>
      <c r="K49" s="35"/>
      <c r="L49" s="35"/>
      <c r="M49" s="35"/>
    </row>
    <row r="50" spans="1:13">
      <c r="A50" s="590" t="s">
        <v>578</v>
      </c>
      <c r="B50" s="35">
        <f>SUM(B43:B49)</f>
        <v>0</v>
      </c>
      <c r="C50" s="35">
        <f t="shared" ref="C50:M50" si="4">SUM(C43:C49)</f>
        <v>0</v>
      </c>
      <c r="D50" s="35">
        <f t="shared" si="4"/>
        <v>0</v>
      </c>
      <c r="E50" s="35">
        <f t="shared" si="4"/>
        <v>14564.480776132559</v>
      </c>
      <c r="F50" s="35">
        <f t="shared" si="4"/>
        <v>1103348.5461105013</v>
      </c>
      <c r="G50" s="35">
        <f t="shared" si="4"/>
        <v>2176718.9712287905</v>
      </c>
      <c r="H50" s="35">
        <f t="shared" si="4"/>
        <v>2175540.9634968634</v>
      </c>
      <c r="I50" s="35">
        <f t="shared" si="4"/>
        <v>2058893.9070902586</v>
      </c>
      <c r="J50" s="35">
        <f t="shared" si="4"/>
        <v>2038458.5050297889</v>
      </c>
      <c r="K50" s="35">
        <f t="shared" si="4"/>
        <v>2033813.5263157906</v>
      </c>
      <c r="L50" s="35">
        <f t="shared" si="4"/>
        <v>2033813.5263157906</v>
      </c>
      <c r="M50" s="35">
        <f t="shared" si="4"/>
        <v>1965619.743152827</v>
      </c>
    </row>
    <row r="52" spans="1:13">
      <c r="A52" s="591"/>
      <c r="B52" s="588">
        <v>2009</v>
      </c>
      <c r="C52" s="588">
        <v>2010</v>
      </c>
      <c r="D52" s="588">
        <v>2011</v>
      </c>
      <c r="E52" s="588">
        <v>2012</v>
      </c>
      <c r="F52" s="588">
        <v>2013</v>
      </c>
      <c r="G52" s="588">
        <v>2014</v>
      </c>
      <c r="H52" s="588">
        <v>2015</v>
      </c>
      <c r="I52" s="588">
        <v>2016</v>
      </c>
      <c r="J52" s="588">
        <v>2017</v>
      </c>
      <c r="K52" s="588">
        <v>2018</v>
      </c>
      <c r="L52" s="588">
        <v>2019</v>
      </c>
      <c r="M52" s="588">
        <v>2020</v>
      </c>
    </row>
    <row r="53" spans="1:13">
      <c r="A53" s="589" t="s">
        <v>580</v>
      </c>
      <c r="B53" s="593">
        <f>B50+B40+B30+B20+B10</f>
        <v>1240049.9696793298</v>
      </c>
      <c r="C53" s="593">
        <f t="shared" ref="C53:M53" si="5">C50+C40+C30+C20+C10</f>
        <v>3052033.7609513174</v>
      </c>
      <c r="D53" s="593">
        <f t="shared" si="5"/>
        <v>5044584.4752238197</v>
      </c>
      <c r="E53" s="593">
        <f t="shared" si="5"/>
        <v>9362827.115640657</v>
      </c>
      <c r="F53" s="593">
        <f t="shared" si="5"/>
        <v>14800903.502557456</v>
      </c>
      <c r="G53" s="593">
        <f t="shared" si="5"/>
        <v>19311122.365288667</v>
      </c>
      <c r="H53" s="593">
        <f t="shared" si="5"/>
        <v>21444162.36431367</v>
      </c>
      <c r="I53" s="593">
        <f t="shared" si="5"/>
        <v>27519314.746918518</v>
      </c>
      <c r="J53" s="593">
        <f t="shared" si="5"/>
        <v>34484998.95647262</v>
      </c>
      <c r="K53" s="593">
        <f t="shared" si="5"/>
        <v>39046606.537659377</v>
      </c>
      <c r="L53" s="593">
        <f t="shared" si="5"/>
        <v>43365236.825480171</v>
      </c>
      <c r="M53" s="593">
        <f t="shared" si="5"/>
        <v>46969816.977277547</v>
      </c>
    </row>
  </sheetData>
  <pageMargins left="0.7" right="0.7" top="0.75" bottom="0.75" header="0.3" footer="0.3"/>
  <pageSetup scale="4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zoomScaleNormal="100" workbookViewId="0">
      <selection activeCell="L9" sqref="L9"/>
    </sheetView>
  </sheetViews>
  <sheetFormatPr defaultRowHeight="14.5"/>
  <cols>
    <col min="1" max="1" width="24.1796875" style="45" bestFit="1" customWidth="1"/>
    <col min="2" max="2" width="13.54296875" style="46" bestFit="1" customWidth="1"/>
    <col min="3" max="3" width="16.453125" style="587" customWidth="1"/>
    <col min="4" max="4" width="33.81640625" style="45" customWidth="1"/>
    <col min="5" max="5" width="11" style="45" customWidth="1"/>
    <col min="6" max="6" width="12.26953125" style="45" customWidth="1"/>
    <col min="7" max="16384" width="8.7265625" style="45"/>
  </cols>
  <sheetData>
    <row r="1" spans="1:6">
      <c r="A1" s="52" t="s">
        <v>596</v>
      </c>
      <c r="B1" s="645"/>
      <c r="C1" s="644"/>
    </row>
    <row r="2" spans="1:6">
      <c r="A2" s="52"/>
      <c r="B2" s="645"/>
      <c r="C2" s="644"/>
    </row>
    <row r="3" spans="1:6">
      <c r="A3" s="617">
        <v>40299</v>
      </c>
      <c r="B3" s="641"/>
      <c r="C3" s="615"/>
      <c r="D3" s="614"/>
      <c r="E3" s="643"/>
      <c r="F3" s="643"/>
    </row>
    <row r="4" spans="1:6" ht="39">
      <c r="A4" s="639" t="s">
        <v>595</v>
      </c>
      <c r="B4" s="610" t="s">
        <v>593</v>
      </c>
      <c r="C4" s="610" t="s">
        <v>592</v>
      </c>
      <c r="D4" s="610" t="s">
        <v>591</v>
      </c>
      <c r="E4" s="611" t="s">
        <v>590</v>
      </c>
      <c r="F4" s="610" t="s">
        <v>589</v>
      </c>
    </row>
    <row r="6" spans="1:6">
      <c r="A6" s="607" t="s">
        <v>3</v>
      </c>
      <c r="B6" s="624">
        <v>40299</v>
      </c>
      <c r="C6" s="624">
        <v>40299</v>
      </c>
      <c r="D6" s="605" t="s">
        <v>17</v>
      </c>
      <c r="E6" s="608">
        <v>10.119999999999999</v>
      </c>
      <c r="F6" s="635">
        <v>1.24E-2</v>
      </c>
    </row>
    <row r="7" spans="1:6">
      <c r="A7" s="607" t="s">
        <v>3</v>
      </c>
      <c r="B7" s="624">
        <v>40299</v>
      </c>
      <c r="C7" s="624">
        <v>40299</v>
      </c>
      <c r="D7" s="605" t="s">
        <v>588</v>
      </c>
      <c r="E7" s="608">
        <v>23.39</v>
      </c>
      <c r="F7" s="635">
        <v>9.7000000000000003E-3</v>
      </c>
    </row>
    <row r="8" spans="1:6">
      <c r="A8" s="607" t="s">
        <v>3</v>
      </c>
      <c r="B8" s="624">
        <v>40299</v>
      </c>
      <c r="C8" s="624">
        <v>40299</v>
      </c>
      <c r="D8" s="605" t="s">
        <v>587</v>
      </c>
      <c r="E8" s="608">
        <v>234.1</v>
      </c>
      <c r="F8" s="635">
        <v>1.6891</v>
      </c>
    </row>
    <row r="9" spans="1:6">
      <c r="A9" s="607" t="s">
        <v>3</v>
      </c>
      <c r="B9" s="624">
        <v>40299</v>
      </c>
      <c r="C9" s="624">
        <v>40299</v>
      </c>
      <c r="D9" s="605" t="s">
        <v>586</v>
      </c>
      <c r="E9" s="608">
        <v>3864.27</v>
      </c>
      <c r="F9" s="635">
        <v>0.83709999999999996</v>
      </c>
    </row>
    <row r="10" spans="1:6">
      <c r="A10" s="607" t="s">
        <v>3</v>
      </c>
      <c r="B10" s="624">
        <v>40299</v>
      </c>
      <c r="C10" s="624">
        <v>40299</v>
      </c>
      <c r="D10" s="605" t="s">
        <v>585</v>
      </c>
      <c r="E10" s="608">
        <v>0.86</v>
      </c>
      <c r="F10" s="635">
        <v>3.9127000000000001</v>
      </c>
    </row>
    <row r="11" spans="1:6">
      <c r="A11" s="602" t="s">
        <v>3</v>
      </c>
      <c r="B11" s="629">
        <v>40299</v>
      </c>
      <c r="C11" s="629">
        <v>40299</v>
      </c>
      <c r="D11" s="600" t="s">
        <v>584</v>
      </c>
      <c r="E11" s="634">
        <v>9.6999999999999993</v>
      </c>
      <c r="F11" s="633">
        <v>1.18E-2</v>
      </c>
    </row>
    <row r="12" spans="1:6">
      <c r="A12" s="607"/>
      <c r="B12" s="624"/>
      <c r="C12" s="624"/>
      <c r="D12" s="605"/>
      <c r="E12" s="642"/>
      <c r="F12" s="635"/>
    </row>
    <row r="13" spans="1:6">
      <c r="A13" s="607"/>
      <c r="B13" s="624"/>
      <c r="C13" s="624"/>
      <c r="D13" s="605"/>
      <c r="E13" s="642"/>
      <c r="F13" s="635"/>
    </row>
    <row r="14" spans="1:6">
      <c r="A14" s="617">
        <v>40664</v>
      </c>
      <c r="B14" s="641"/>
      <c r="C14" s="615"/>
      <c r="D14" s="640"/>
      <c r="E14" s="632"/>
      <c r="F14" s="612"/>
    </row>
    <row r="15" spans="1:6" ht="39">
      <c r="A15" s="639" t="s">
        <v>595</v>
      </c>
      <c r="B15" s="610" t="s">
        <v>593</v>
      </c>
      <c r="C15" s="610" t="s">
        <v>592</v>
      </c>
      <c r="D15" s="610" t="s">
        <v>591</v>
      </c>
      <c r="E15" s="611" t="s">
        <v>590</v>
      </c>
      <c r="F15" s="610" t="s">
        <v>589</v>
      </c>
    </row>
    <row r="16" spans="1:6">
      <c r="A16" s="638" t="s">
        <v>3</v>
      </c>
      <c r="B16" s="624">
        <v>40664</v>
      </c>
      <c r="C16" s="624">
        <v>40756</v>
      </c>
      <c r="D16" s="637" t="s">
        <v>17</v>
      </c>
      <c r="E16" s="608">
        <v>12.06</v>
      </c>
      <c r="F16" s="636">
        <v>1.4800000000000001E-2</v>
      </c>
    </row>
    <row r="17" spans="1:6">
      <c r="A17" s="607" t="s">
        <v>3</v>
      </c>
      <c r="B17" s="624">
        <v>40664</v>
      </c>
      <c r="C17" s="624">
        <v>40756</v>
      </c>
      <c r="D17" s="605" t="s">
        <v>588</v>
      </c>
      <c r="E17" s="608">
        <v>24.83</v>
      </c>
      <c r="F17" s="635">
        <v>1.03E-2</v>
      </c>
    </row>
    <row r="18" spans="1:6">
      <c r="A18" s="607" t="s">
        <v>3</v>
      </c>
      <c r="B18" s="624">
        <v>40664</v>
      </c>
      <c r="C18" s="624">
        <v>40756</v>
      </c>
      <c r="D18" s="605" t="s">
        <v>587</v>
      </c>
      <c r="E18" s="608">
        <v>269.01</v>
      </c>
      <c r="F18" s="635">
        <v>1.927</v>
      </c>
    </row>
    <row r="19" spans="1:6">
      <c r="A19" s="607" t="s">
        <v>3</v>
      </c>
      <c r="B19" s="624">
        <v>40664</v>
      </c>
      <c r="C19" s="624">
        <v>40756</v>
      </c>
      <c r="D19" s="605" t="s">
        <v>586</v>
      </c>
      <c r="E19" s="608">
        <v>4959.68</v>
      </c>
      <c r="F19" s="635">
        <v>1.0118</v>
      </c>
    </row>
    <row r="20" spans="1:6">
      <c r="A20" s="607" t="s">
        <v>3</v>
      </c>
      <c r="B20" s="624">
        <v>40664</v>
      </c>
      <c r="C20" s="624">
        <v>40756</v>
      </c>
      <c r="D20" s="605" t="s">
        <v>585</v>
      </c>
      <c r="E20" s="608">
        <v>0.99</v>
      </c>
      <c r="F20" s="635">
        <v>4.4901</v>
      </c>
    </row>
    <row r="21" spans="1:6">
      <c r="A21" s="602" t="s">
        <v>3</v>
      </c>
      <c r="B21" s="629">
        <v>40664</v>
      </c>
      <c r="C21" s="629">
        <v>40756</v>
      </c>
      <c r="D21" s="600" t="s">
        <v>584</v>
      </c>
      <c r="E21" s="634">
        <v>11.09</v>
      </c>
      <c r="F21" s="633">
        <v>1.35E-2</v>
      </c>
    </row>
    <row r="24" spans="1:6">
      <c r="A24" s="617">
        <v>41030</v>
      </c>
      <c r="B24" s="616"/>
      <c r="C24" s="615"/>
      <c r="D24" s="614"/>
      <c r="E24" s="632"/>
      <c r="F24" s="612"/>
    </row>
    <row r="25" spans="1:6" ht="39">
      <c r="A25" s="610" t="s">
        <v>594</v>
      </c>
      <c r="B25" s="610" t="s">
        <v>593</v>
      </c>
      <c r="C25" s="610" t="s">
        <v>592</v>
      </c>
      <c r="D25" s="610" t="s">
        <v>591</v>
      </c>
      <c r="E25" s="611" t="s">
        <v>590</v>
      </c>
      <c r="F25" s="610" t="s">
        <v>589</v>
      </c>
    </row>
    <row r="26" spans="1:6">
      <c r="A26" s="625" t="s">
        <v>3</v>
      </c>
      <c r="B26" s="624">
        <v>41030</v>
      </c>
      <c r="C26" s="624">
        <v>41030</v>
      </c>
      <c r="D26" s="623" t="s">
        <v>17</v>
      </c>
      <c r="E26" s="631">
        <v>12.17</v>
      </c>
      <c r="F26" s="621">
        <v>1.49E-2</v>
      </c>
    </row>
    <row r="27" spans="1:6">
      <c r="A27" s="625" t="s">
        <v>3</v>
      </c>
      <c r="B27" s="624">
        <v>41030</v>
      </c>
      <c r="C27" s="624">
        <v>41030</v>
      </c>
      <c r="D27" s="623" t="s">
        <v>588</v>
      </c>
      <c r="E27" s="631">
        <v>25.05</v>
      </c>
      <c r="F27" s="621">
        <v>1.04E-2</v>
      </c>
    </row>
    <row r="28" spans="1:6">
      <c r="A28" s="625" t="s">
        <v>3</v>
      </c>
      <c r="B28" s="624">
        <v>41030</v>
      </c>
      <c r="C28" s="624">
        <v>41030</v>
      </c>
      <c r="D28" s="623" t="s">
        <v>587</v>
      </c>
      <c r="E28" s="631">
        <v>271.38</v>
      </c>
      <c r="F28" s="621">
        <v>1.944</v>
      </c>
    </row>
    <row r="29" spans="1:6">
      <c r="A29" s="625" t="s">
        <v>3</v>
      </c>
      <c r="B29" s="624">
        <v>41030</v>
      </c>
      <c r="C29" s="624">
        <v>41030</v>
      </c>
      <c r="D29" s="623" t="s">
        <v>586</v>
      </c>
      <c r="E29" s="631">
        <v>5003.33</v>
      </c>
      <c r="F29" s="621">
        <v>1.0206999999999999</v>
      </c>
    </row>
    <row r="30" spans="1:6">
      <c r="A30" s="625" t="s">
        <v>3</v>
      </c>
      <c r="B30" s="624">
        <v>41030</v>
      </c>
      <c r="C30" s="624">
        <v>41030</v>
      </c>
      <c r="D30" s="623" t="s">
        <v>585</v>
      </c>
      <c r="E30" s="631">
        <v>1</v>
      </c>
      <c r="F30" s="621">
        <v>4.5296000000000003</v>
      </c>
    </row>
    <row r="31" spans="1:6">
      <c r="A31" s="630" t="s">
        <v>3</v>
      </c>
      <c r="B31" s="629">
        <v>41030</v>
      </c>
      <c r="C31" s="629">
        <v>41030</v>
      </c>
      <c r="D31" s="628" t="s">
        <v>584</v>
      </c>
      <c r="E31" s="627">
        <v>11.19</v>
      </c>
      <c r="F31" s="626">
        <v>1.3599999999999999E-2</v>
      </c>
    </row>
    <row r="32" spans="1:6">
      <c r="A32" s="625"/>
      <c r="B32" s="624"/>
      <c r="C32" s="624"/>
      <c r="D32" s="623"/>
      <c r="E32" s="622"/>
      <c r="F32" s="621"/>
    </row>
    <row r="33" spans="1:6">
      <c r="A33" s="625"/>
      <c r="B33" s="624"/>
      <c r="C33" s="624"/>
      <c r="D33" s="623"/>
      <c r="E33" s="622"/>
      <c r="F33" s="621"/>
    </row>
    <row r="34" spans="1:6">
      <c r="A34" s="617">
        <v>41395</v>
      </c>
      <c r="B34" s="616"/>
      <c r="C34" s="615"/>
      <c r="D34" s="614"/>
      <c r="E34" s="613"/>
      <c r="F34" s="612"/>
    </row>
    <row r="35" spans="1:6" ht="39">
      <c r="A35" s="610" t="s">
        <v>594</v>
      </c>
      <c r="B35" s="610" t="s">
        <v>593</v>
      </c>
      <c r="C35" s="610" t="s">
        <v>592</v>
      </c>
      <c r="D35" s="610" t="s">
        <v>591</v>
      </c>
      <c r="E35" s="611" t="s">
        <v>590</v>
      </c>
      <c r="F35" s="610" t="s">
        <v>589</v>
      </c>
    </row>
    <row r="36" spans="1:6">
      <c r="A36" s="607" t="s">
        <v>3</v>
      </c>
      <c r="B36" s="606">
        <v>41395</v>
      </c>
      <c r="C36" s="606">
        <v>41395</v>
      </c>
      <c r="D36" s="605" t="s">
        <v>17</v>
      </c>
      <c r="E36" s="604">
        <v>12.23</v>
      </c>
      <c r="F36" s="603">
        <v>1.4999999999999999E-2</v>
      </c>
    </row>
    <row r="37" spans="1:6">
      <c r="A37" s="607" t="s">
        <v>3</v>
      </c>
      <c r="B37" s="606">
        <v>41395</v>
      </c>
      <c r="C37" s="606">
        <v>41395</v>
      </c>
      <c r="D37" s="605" t="s">
        <v>588</v>
      </c>
      <c r="E37" s="604">
        <v>25.17</v>
      </c>
      <c r="F37" s="603">
        <v>1.04E-2</v>
      </c>
    </row>
    <row r="38" spans="1:6">
      <c r="A38" s="607" t="s">
        <v>3</v>
      </c>
      <c r="B38" s="606">
        <v>41395</v>
      </c>
      <c r="C38" s="606">
        <v>41395</v>
      </c>
      <c r="D38" s="605" t="s">
        <v>587</v>
      </c>
      <c r="E38" s="604">
        <v>272.68</v>
      </c>
      <c r="F38" s="603">
        <v>1.9533</v>
      </c>
    </row>
    <row r="39" spans="1:6">
      <c r="A39" s="607" t="s">
        <v>3</v>
      </c>
      <c r="B39" s="606">
        <v>41395</v>
      </c>
      <c r="C39" s="606">
        <v>41395</v>
      </c>
      <c r="D39" s="605" t="s">
        <v>586</v>
      </c>
      <c r="E39" s="604">
        <v>5027.3500000000004</v>
      </c>
      <c r="F39" s="603">
        <v>1.0256000000000001</v>
      </c>
    </row>
    <row r="40" spans="1:6">
      <c r="A40" s="607" t="s">
        <v>3</v>
      </c>
      <c r="B40" s="606">
        <v>41395</v>
      </c>
      <c r="C40" s="606">
        <v>41395</v>
      </c>
      <c r="D40" s="605" t="s">
        <v>585</v>
      </c>
      <c r="E40" s="604">
        <v>1</v>
      </c>
      <c r="F40" s="603">
        <v>4.5513000000000003</v>
      </c>
    </row>
    <row r="41" spans="1:6">
      <c r="A41" s="602" t="s">
        <v>3</v>
      </c>
      <c r="B41" s="601">
        <v>41395</v>
      </c>
      <c r="C41" s="601">
        <v>41395</v>
      </c>
      <c r="D41" s="600" t="s">
        <v>584</v>
      </c>
      <c r="E41" s="599">
        <v>11.24</v>
      </c>
      <c r="F41" s="598">
        <v>1.37E-2</v>
      </c>
    </row>
    <row r="42" spans="1:6">
      <c r="E42" s="620"/>
    </row>
    <row r="44" spans="1:6">
      <c r="A44" s="617">
        <v>41760</v>
      </c>
      <c r="B44" s="616"/>
      <c r="C44" s="615"/>
      <c r="D44" s="614"/>
      <c r="E44" s="613"/>
      <c r="F44" s="612"/>
    </row>
    <row r="45" spans="1:6" ht="39">
      <c r="A45" s="610" t="s">
        <v>594</v>
      </c>
      <c r="B45" s="610" t="s">
        <v>593</v>
      </c>
      <c r="C45" s="610" t="s">
        <v>592</v>
      </c>
      <c r="D45" s="610" t="s">
        <v>591</v>
      </c>
      <c r="E45" s="611" t="s">
        <v>590</v>
      </c>
      <c r="F45" s="610" t="s">
        <v>589</v>
      </c>
    </row>
    <row r="46" spans="1:6">
      <c r="A46" s="609" t="s">
        <v>3</v>
      </c>
      <c r="B46" s="606">
        <v>41760</v>
      </c>
      <c r="C46" s="606">
        <v>41760</v>
      </c>
      <c r="D46" s="605" t="s">
        <v>17</v>
      </c>
      <c r="E46" s="608">
        <v>12.4</v>
      </c>
      <c r="F46" s="603">
        <v>1.52E-2</v>
      </c>
    </row>
    <row r="47" spans="1:6">
      <c r="A47" s="607" t="s">
        <v>3</v>
      </c>
      <c r="B47" s="606">
        <v>41760</v>
      </c>
      <c r="C47" s="606">
        <v>41760</v>
      </c>
      <c r="D47" s="605" t="s">
        <v>588</v>
      </c>
      <c r="E47" s="604">
        <v>25.52</v>
      </c>
      <c r="F47" s="603">
        <v>1.0500000000000001E-2</v>
      </c>
    </row>
    <row r="48" spans="1:6">
      <c r="A48" s="607" t="s">
        <v>3</v>
      </c>
      <c r="B48" s="606">
        <v>41760</v>
      </c>
      <c r="C48" s="606">
        <v>41760</v>
      </c>
      <c r="D48" s="605" t="s">
        <v>587</v>
      </c>
      <c r="E48" s="604">
        <v>276.5</v>
      </c>
      <c r="F48" s="603">
        <v>1.9805999999999999</v>
      </c>
    </row>
    <row r="49" spans="1:12">
      <c r="A49" s="607" t="s">
        <v>3</v>
      </c>
      <c r="B49" s="606">
        <v>41760</v>
      </c>
      <c r="C49" s="606">
        <v>41760</v>
      </c>
      <c r="D49" s="605" t="s">
        <v>586</v>
      </c>
      <c r="E49" s="604">
        <v>5097.7299999999996</v>
      </c>
      <c r="F49" s="603">
        <v>1.04</v>
      </c>
    </row>
    <row r="50" spans="1:12">
      <c r="A50" s="607" t="s">
        <v>3</v>
      </c>
      <c r="B50" s="606">
        <v>41760</v>
      </c>
      <c r="C50" s="606">
        <v>41760</v>
      </c>
      <c r="D50" s="605" t="s">
        <v>585</v>
      </c>
      <c r="E50" s="604">
        <v>1.01</v>
      </c>
      <c r="F50" s="603">
        <v>4.6150000000000002</v>
      </c>
    </row>
    <row r="51" spans="1:12">
      <c r="A51" s="602" t="s">
        <v>3</v>
      </c>
      <c r="B51" s="601">
        <v>41760</v>
      </c>
      <c r="C51" s="601">
        <v>41760</v>
      </c>
      <c r="D51" s="600" t="s">
        <v>584</v>
      </c>
      <c r="E51" s="599">
        <v>11.4</v>
      </c>
      <c r="F51" s="598">
        <v>1.3899999999999999E-2</v>
      </c>
      <c r="G51" s="618"/>
      <c r="H51" s="618"/>
      <c r="I51" s="618"/>
      <c r="J51" s="618"/>
      <c r="K51" s="618"/>
      <c r="L51" s="618"/>
    </row>
    <row r="52" spans="1:12">
      <c r="A52" s="607"/>
      <c r="B52" s="606"/>
      <c r="C52" s="606"/>
      <c r="D52" s="605"/>
      <c r="E52" s="619"/>
      <c r="F52" s="603"/>
      <c r="G52" s="618"/>
      <c r="H52" s="618"/>
      <c r="I52" s="618"/>
      <c r="J52" s="618"/>
      <c r="K52" s="618"/>
      <c r="L52" s="618"/>
    </row>
    <row r="54" spans="1:12">
      <c r="A54" s="617">
        <v>42125</v>
      </c>
      <c r="B54" s="616"/>
      <c r="C54" s="615"/>
      <c r="D54" s="614"/>
      <c r="E54" s="613"/>
      <c r="F54" s="612"/>
    </row>
    <row r="55" spans="1:12" ht="39">
      <c r="A55" s="610" t="s">
        <v>594</v>
      </c>
      <c r="B55" s="610" t="s">
        <v>593</v>
      </c>
      <c r="C55" s="610" t="s">
        <v>592</v>
      </c>
      <c r="D55" s="610" t="s">
        <v>591</v>
      </c>
      <c r="E55" s="611" t="s">
        <v>590</v>
      </c>
      <c r="F55" s="610" t="s">
        <v>589</v>
      </c>
    </row>
    <row r="56" spans="1:12">
      <c r="A56" s="609" t="s">
        <v>3</v>
      </c>
      <c r="B56" s="606">
        <v>42125</v>
      </c>
      <c r="C56" s="606">
        <v>42125</v>
      </c>
      <c r="D56" s="605" t="s">
        <v>17</v>
      </c>
      <c r="E56" s="608">
        <v>12.56</v>
      </c>
      <c r="F56" s="603">
        <v>1.54E-2</v>
      </c>
    </row>
    <row r="57" spans="1:12">
      <c r="A57" s="607" t="s">
        <v>3</v>
      </c>
      <c r="B57" s="606">
        <v>42125</v>
      </c>
      <c r="C57" s="606">
        <v>42125</v>
      </c>
      <c r="D57" s="605" t="s">
        <v>588</v>
      </c>
      <c r="E57" s="604">
        <v>25.85</v>
      </c>
      <c r="F57" s="603">
        <v>1.06E-2</v>
      </c>
    </row>
    <row r="58" spans="1:12">
      <c r="A58" s="607" t="s">
        <v>3</v>
      </c>
      <c r="B58" s="606">
        <v>42125</v>
      </c>
      <c r="C58" s="606">
        <v>42125</v>
      </c>
      <c r="D58" s="605" t="s">
        <v>587</v>
      </c>
      <c r="E58" s="604">
        <v>280.08999999999997</v>
      </c>
      <c r="F58" s="603">
        <v>2.0063</v>
      </c>
    </row>
    <row r="59" spans="1:12">
      <c r="A59" s="607" t="s">
        <v>3</v>
      </c>
      <c r="B59" s="606">
        <v>42125</v>
      </c>
      <c r="C59" s="606">
        <v>42125</v>
      </c>
      <c r="D59" s="605" t="s">
        <v>586</v>
      </c>
      <c r="E59" s="604">
        <v>5164</v>
      </c>
      <c r="F59" s="603">
        <v>1.0535000000000001</v>
      </c>
    </row>
    <row r="60" spans="1:12">
      <c r="A60" s="607" t="s">
        <v>3</v>
      </c>
      <c r="B60" s="606">
        <v>42125</v>
      </c>
      <c r="C60" s="606">
        <v>42125</v>
      </c>
      <c r="D60" s="605" t="s">
        <v>585</v>
      </c>
      <c r="E60" s="604">
        <v>1.02</v>
      </c>
      <c r="F60" s="603">
        <v>4.6749999999999998</v>
      </c>
    </row>
    <row r="61" spans="1:12">
      <c r="A61" s="602" t="s">
        <v>3</v>
      </c>
      <c r="B61" s="601">
        <v>42125</v>
      </c>
      <c r="C61" s="601">
        <v>42125</v>
      </c>
      <c r="D61" s="600" t="s">
        <v>584</v>
      </c>
      <c r="E61" s="599">
        <v>11.55</v>
      </c>
      <c r="F61" s="598">
        <v>1.41E-2</v>
      </c>
    </row>
  </sheetData>
  <pageMargins left="0.7" right="0.7" top="0.75" bottom="0.75" header="0.3" footer="0.3"/>
  <pageSetup scale="80" orientation="portrait" r:id="rId1"/>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12</vt:i4>
      </vt:variant>
    </vt:vector>
  </HeadingPairs>
  <TitlesOfParts>
    <vt:vector size="36" baseType="lpstr">
      <vt:lpstr>Ch. 2 App 2-I 2016 COS</vt:lpstr>
      <vt:lpstr>2014 IESO persistence table</vt:lpstr>
      <vt:lpstr>KH MW Persistence Table</vt:lpstr>
      <vt:lpstr>KH MW Savings Pivot</vt:lpstr>
      <vt:lpstr>KH MWh Persistence Table</vt:lpstr>
      <vt:lpstr>KH MWh Savings Pivot</vt:lpstr>
      <vt:lpstr>Allocation to Rate Classes</vt:lpstr>
      <vt:lpstr>CDM kWh by Rate Class 2009-20</vt:lpstr>
      <vt:lpstr>KH 2011-2014 Rates</vt:lpstr>
      <vt:lpstr>2011-14 LRAMVA Summary</vt:lpstr>
      <vt:lpstr>KH LRAMVA Account</vt:lpstr>
      <vt:lpstr>Carrying Charges 2011</vt:lpstr>
      <vt:lpstr>Carrying Charges 2012</vt:lpstr>
      <vt:lpstr>Carrying Charges 2013</vt:lpstr>
      <vt:lpstr>Carrying Charges 2014</vt:lpstr>
      <vt:lpstr>2015-2020 LRAMVA Projections</vt:lpstr>
      <vt:lpstr>Kingston Hydro - Summary</vt:lpstr>
      <vt:lpstr>Kingston Hydro - Results (Net)</vt:lpstr>
      <vt:lpstr>Kingston Hydro - NTGs</vt:lpstr>
      <vt:lpstr>2006-10 KH Net MW MWh</vt:lpstr>
      <vt:lpstr>KH 2015-2020 CDM Plan Milestone</vt:lpstr>
      <vt:lpstr>2015-20 Measure Savings Results</vt:lpstr>
      <vt:lpstr>2015-20 Measures-CE Results</vt:lpstr>
      <vt:lpstr>Comparison - Old Model to New</vt:lpstr>
      <vt:lpstr>'2006-10 KH Net MW MWh'!Print_Area</vt:lpstr>
      <vt:lpstr>'2011-14 LRAMVA Summary'!Print_Area</vt:lpstr>
      <vt:lpstr>'2015-20 Measure Savings Results'!Print_Area</vt:lpstr>
      <vt:lpstr>'Carrying Charges 2011'!Print_Area</vt:lpstr>
      <vt:lpstr>'Ch. 2 App 2-I 2016 COS'!Print_Area</vt:lpstr>
      <vt:lpstr>'KH 2015-2020 CDM Plan Milestone'!Print_Area</vt:lpstr>
      <vt:lpstr>'KH MW Savings Pivot'!Print_Area</vt:lpstr>
      <vt:lpstr>'Kingston Hydro - NTGs'!Print_Area</vt:lpstr>
      <vt:lpstr>'Kingston Hydro - Results (Net)'!Print_Area</vt:lpstr>
      <vt:lpstr>'2006-10 KH Net MW MWh'!Print_Titles</vt:lpstr>
      <vt:lpstr>'Kingston Hydro - NTGs'!Print_Titles</vt:lpstr>
      <vt:lpstr>'Kingston Hydro - Results (Net)'!Print_Titles</vt:lpstr>
    </vt:vector>
  </TitlesOfParts>
  <Company>Ontario Power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haneef.ansari</dc:creator>
  <cp:lastModifiedBy>Sottile,Stephen</cp:lastModifiedBy>
  <dcterms:created xsi:type="dcterms:W3CDTF">2015-02-05T18:13:23Z</dcterms:created>
  <dcterms:modified xsi:type="dcterms:W3CDTF">2015-09-24T03:16:17Z</dcterms:modified>
</cp:coreProperties>
</file>